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11.xml" ContentType="application/vnd.openxmlformats-officedocument.spreadsheetml.comments+xml"/>
  <Override PartName="/docProps/app.xml" ContentType="application/vnd.openxmlformats-officedocument.extended-properties+xml"/>
  <Override PartName="/docProps/custom.xml" ContentType="application/vnd.openxmlformats-officedocument.custom-properties+xml"/>
  <Override PartName="/xl/comments8.xml" ContentType="application/vnd.openxmlformats-officedocument.spreadsheetml.comments+xml"/>
  <Override PartName="/xl/commentsmeta14" ContentType="application/binary"/>
  <Override PartName="/xl/commentsmeta15" ContentType="application/binary"/>
  <Override PartName="/xl/metadata" ContentType="application/binary"/>
  <Override PartName="/xl/commentsmeta0" ContentType="application/binary"/>
  <Override PartName="/xl/commentsmeta1" ContentType="application/binary"/>
  <Override PartName="/xl/commentsmeta2" ContentType="application/binary"/>
  <Override PartName="/xl/commentsmeta10" ContentType="application/binary"/>
  <Override PartName="/xl/commentsmeta11" ContentType="application/binary"/>
  <Override PartName="/xl/commentsmeta12" ContentType="application/binary"/>
  <Override PartName="/xl/commentsmeta4" ContentType="application/binary"/>
  <Override PartName="/xl/commentsmeta3" ContentType="application/binary"/>
  <Override PartName="/xl/commentsmeta5" ContentType="application/binary"/>
  <Override PartName="/xl/commentsmeta6" ContentType="application/binary"/>
  <Override PartName="/xl/commentsmeta13" ContentType="application/binary"/>
  <Override PartName="/xl/commentsmeta7" ContentType="application/binary"/>
  <Override PartName="/xl/commentsmeta8" ContentType="application/binary"/>
  <Override PartName="/xl/commentsmeta9"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woodl\Desktop\Work\EIP Landfill\Abdul\June 2021\erick\"/>
    </mc:Choice>
  </mc:AlternateContent>
  <xr:revisionPtr revIDLastSave="0" documentId="13_ncr:1_{2CD06FF8-F04E-4F4A-BB1A-73EB175AA954}" xr6:coauthVersionLast="47" xr6:coauthVersionMax="47" xr10:uidLastSave="{00000000-0000-0000-0000-000000000000}"/>
  <workbookProtection workbookAlgorithmName="SHA-512" workbookHashValue="j+D4JQWu6pHI9ALunE/13hX/lDhzjvldWRArDjc2sTWDqrgbxOoOmLtiHbAKRDm+Qo+ey5x8fCIvenzdQTPL1w==" workbookSaltValue="YorWLgAeEY70QgHcCrzsxw==" workbookSpinCount="100000" lockStructure="1"/>
  <bookViews>
    <workbookView xWindow="-120" yWindow="-120" windowWidth="38640" windowHeight="21240" xr2:uid="{00000000-000D-0000-FFFF-FFFF00000000}"/>
  </bookViews>
  <sheets>
    <sheet name="Summ GHG Rpt Expanded" sheetId="1" r:id="rId1"/>
    <sheet name="EGU_Emission_By_Fuel_Type" sheetId="2" r:id="rId2"/>
    <sheet name="EGU Details" sheetId="3" r:id="rId3"/>
    <sheet name="Luke" sheetId="4" r:id="rId4"/>
    <sheet name="Imported Electricity" sheetId="5" r:id="rId5"/>
    <sheet name="Trans_On_Road" sheetId="6" r:id="rId6"/>
    <sheet name="Trans_Non_Road" sheetId="7" r:id="rId7"/>
    <sheet name="Trans_Others" sheetId="8" r:id="rId8"/>
    <sheet name="Residential" sheetId="9" r:id="rId9"/>
    <sheet name="Commercial" sheetId="10" r:id="rId10"/>
    <sheet name="Industrial" sheetId="11" r:id="rId11"/>
    <sheet name="LimeT&amp;DSodaODS" sheetId="12" r:id="rId12"/>
    <sheet name="Cement" sheetId="13" r:id="rId13"/>
    <sheet name="Landfills" sheetId="14" r:id="rId14"/>
    <sheet name="LFGTE" sheetId="15" r:id="rId15"/>
    <sheet name="Incinerators" sheetId="16" r:id="rId16"/>
    <sheet name="OpenBurn" sheetId="17" r:id="rId17"/>
    <sheet name="Natural Gas and Oil" sheetId="18" r:id="rId18"/>
    <sheet name="Mining" sheetId="19" r:id="rId19"/>
    <sheet name="Wastewater" sheetId="20" r:id="rId20"/>
    <sheet name="Agricultural" sheetId="21" r:id="rId21"/>
    <sheet name="Land Use" sheetId="22" r:id="rId22"/>
  </sheets>
  <definedNames>
    <definedName name="_Key1">#REF!</definedName>
    <definedName name="_Sort">#REF!</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LE_LINK1" localSheetId="1">#REF!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3" roundtripDataSignature="AMtx7mhepNzizRSgwm+AzZ76ZWLx8j06SA=="/>
    </ext>
  </extLst>
</workbook>
</file>

<file path=xl/calcChain.xml><?xml version="1.0" encoding="utf-8"?>
<calcChain xmlns="http://schemas.openxmlformats.org/spreadsheetml/2006/main">
  <c r="M65" i="15" l="1"/>
  <c r="N65" i="15"/>
  <c r="O65" i="15"/>
  <c r="Z65" i="15"/>
  <c r="Y65" i="15"/>
  <c r="X65" i="15"/>
  <c r="W65" i="15"/>
  <c r="V65" i="15"/>
  <c r="U65" i="15"/>
  <c r="T65" i="15"/>
  <c r="P57" i="15"/>
  <c r="Q57" i="15" s="1"/>
  <c r="W57" i="15" s="1"/>
  <c r="Z57" i="15"/>
  <c r="Y57" i="15"/>
  <c r="X57" i="15"/>
  <c r="V57" i="15"/>
  <c r="U57" i="15"/>
  <c r="T57" i="15"/>
  <c r="O57" i="15"/>
  <c r="N57" i="15"/>
  <c r="K57" i="15"/>
  <c r="J57" i="15"/>
  <c r="I57" i="15"/>
  <c r="M57" i="15" s="1"/>
  <c r="F57" i="15"/>
  <c r="C57" i="15"/>
  <c r="AC43" i="16"/>
  <c r="R57" i="15" l="1"/>
  <c r="S57" i="15" s="1"/>
  <c r="L57" i="15"/>
  <c r="F43" i="22"/>
  <c r="F42" i="22"/>
  <c r="F41" i="22"/>
  <c r="Y32" i="22" s="1"/>
  <c r="F40" i="22"/>
  <c r="V30" i="22" s="1"/>
  <c r="F39" i="22"/>
  <c r="AA26" i="22"/>
  <c r="Z26" i="22"/>
  <c r="Y26" i="22"/>
  <c r="X26" i="22"/>
  <c r="W26" i="22"/>
  <c r="V26" i="22"/>
  <c r="AB22" i="22"/>
  <c r="AB17" i="22"/>
  <c r="AB12" i="22"/>
  <c r="AB26" i="22" s="1"/>
  <c r="C245" i="21"/>
  <c r="E234" i="21"/>
  <c r="W222" i="21"/>
  <c r="Y222" i="21" s="1"/>
  <c r="I222" i="21"/>
  <c r="I221" i="21"/>
  <c r="W221" i="21" s="1"/>
  <c r="Y221" i="21" s="1"/>
  <c r="W220" i="21"/>
  <c r="Y220" i="21" s="1"/>
  <c r="I220" i="21"/>
  <c r="I219" i="21"/>
  <c r="W219" i="21" s="1"/>
  <c r="Y219" i="21" s="1"/>
  <c r="Y218" i="21"/>
  <c r="W218" i="21"/>
  <c r="I218" i="21"/>
  <c r="Y217" i="21"/>
  <c r="W217" i="21"/>
  <c r="I216" i="21"/>
  <c r="W216" i="21" s="1"/>
  <c r="Y216" i="21" s="1"/>
  <c r="I215" i="21"/>
  <c r="W215" i="21" s="1"/>
  <c r="Y215" i="21" s="1"/>
  <c r="I214" i="21"/>
  <c r="W214" i="21" s="1"/>
  <c r="W207" i="21"/>
  <c r="Y207" i="21" s="1"/>
  <c r="I207" i="21"/>
  <c r="I206" i="21"/>
  <c r="W206" i="21" s="1"/>
  <c r="Y206" i="21" s="1"/>
  <c r="W205" i="21"/>
  <c r="Y205" i="21" s="1"/>
  <c r="I205" i="21"/>
  <c r="I204" i="21"/>
  <c r="W204" i="21" s="1"/>
  <c r="Y204" i="21" s="1"/>
  <c r="Y203" i="21"/>
  <c r="W203" i="21"/>
  <c r="I203" i="21"/>
  <c r="Y202" i="21"/>
  <c r="W202" i="21"/>
  <c r="I201" i="21"/>
  <c r="W201" i="21" s="1"/>
  <c r="Y201" i="21" s="1"/>
  <c r="I200" i="21"/>
  <c r="W200" i="21" s="1"/>
  <c r="Y200" i="21" s="1"/>
  <c r="I199" i="21"/>
  <c r="W199" i="21" s="1"/>
  <c r="Q185" i="21"/>
  <c r="O184" i="21"/>
  <c r="U184" i="21" s="1"/>
  <c r="I184" i="21"/>
  <c r="K184" i="21" s="1"/>
  <c r="O183" i="21"/>
  <c r="U183" i="21" s="1"/>
  <c r="K183" i="21"/>
  <c r="I183" i="21"/>
  <c r="U182" i="21"/>
  <c r="O182" i="21"/>
  <c r="M182" i="21"/>
  <c r="S182" i="21" s="1"/>
  <c r="I182" i="21"/>
  <c r="K182" i="21" s="1"/>
  <c r="U181" i="21"/>
  <c r="S181" i="21"/>
  <c r="O181" i="21"/>
  <c r="M181" i="21"/>
  <c r="I181" i="21"/>
  <c r="K181" i="21" s="1"/>
  <c r="S179" i="21"/>
  <c r="O179" i="21"/>
  <c r="U179" i="21" s="1"/>
  <c r="M179" i="21"/>
  <c r="I179" i="21"/>
  <c r="K179" i="21" s="1"/>
  <c r="M178" i="21"/>
  <c r="S178" i="21" s="1"/>
  <c r="I178" i="21"/>
  <c r="K178" i="21" s="1"/>
  <c r="S177" i="21"/>
  <c r="M177" i="21"/>
  <c r="I177" i="21"/>
  <c r="K177" i="21" s="1"/>
  <c r="M176" i="21"/>
  <c r="S176" i="21" s="1"/>
  <c r="I176" i="21"/>
  <c r="K176" i="21" s="1"/>
  <c r="S175" i="21"/>
  <c r="M175" i="21"/>
  <c r="I175" i="21"/>
  <c r="K175" i="21" s="1"/>
  <c r="S172" i="21"/>
  <c r="O172" i="21"/>
  <c r="U172" i="21" s="1"/>
  <c r="M172" i="21"/>
  <c r="K172" i="21"/>
  <c r="I172" i="21"/>
  <c r="U171" i="21"/>
  <c r="O171" i="21"/>
  <c r="M171" i="21"/>
  <c r="S171" i="21" s="1"/>
  <c r="I171" i="21"/>
  <c r="K171" i="21" s="1"/>
  <c r="U170" i="21"/>
  <c r="S170" i="21"/>
  <c r="O170" i="21"/>
  <c r="M170" i="21"/>
  <c r="I170" i="21"/>
  <c r="K170" i="21" s="1"/>
  <c r="S169" i="21"/>
  <c r="O169" i="21"/>
  <c r="U169" i="21" s="1"/>
  <c r="M169" i="21"/>
  <c r="I169" i="21"/>
  <c r="K169" i="21" s="1"/>
  <c r="O168" i="21"/>
  <c r="U168" i="21" s="1"/>
  <c r="M168" i="21"/>
  <c r="S168" i="21" s="1"/>
  <c r="K168" i="21"/>
  <c r="I168" i="21"/>
  <c r="O166" i="21"/>
  <c r="U166" i="21" s="1"/>
  <c r="I166" i="21"/>
  <c r="K166" i="21" s="1"/>
  <c r="C166" i="21"/>
  <c r="O165" i="21"/>
  <c r="U165" i="21" s="1"/>
  <c r="K165" i="21"/>
  <c r="I165" i="21"/>
  <c r="O164" i="21"/>
  <c r="U164" i="21" s="1"/>
  <c r="I164" i="21"/>
  <c r="K164" i="21" s="1"/>
  <c r="U163" i="21"/>
  <c r="O163" i="21"/>
  <c r="I163" i="21"/>
  <c r="K163" i="21" s="1"/>
  <c r="U162" i="21"/>
  <c r="O162" i="21"/>
  <c r="K162" i="21"/>
  <c r="I162" i="21"/>
  <c r="M161" i="21"/>
  <c r="S161" i="21" s="1"/>
  <c r="I161" i="21"/>
  <c r="K161" i="21" s="1"/>
  <c r="M160" i="21"/>
  <c r="S160" i="21" s="1"/>
  <c r="K160" i="21"/>
  <c r="I160" i="21"/>
  <c r="S158" i="21"/>
  <c r="Q158" i="21"/>
  <c r="O158" i="21"/>
  <c r="U158" i="21" s="1"/>
  <c r="M158" i="21"/>
  <c r="M185" i="21" s="1"/>
  <c r="K158" i="21"/>
  <c r="I158" i="21"/>
  <c r="AQ157" i="21"/>
  <c r="U157" i="21"/>
  <c r="Q157" i="21"/>
  <c r="O157" i="21"/>
  <c r="M157" i="21"/>
  <c r="I157" i="21"/>
  <c r="C140" i="21"/>
  <c r="E135" i="21"/>
  <c r="C135" i="21"/>
  <c r="E132" i="21"/>
  <c r="E131" i="21"/>
  <c r="E130" i="21"/>
  <c r="E129" i="21"/>
  <c r="E128" i="21"/>
  <c r="E127" i="21"/>
  <c r="E126" i="21"/>
  <c r="E125" i="21" s="1"/>
  <c r="E133" i="21" s="1"/>
  <c r="Q124" i="21"/>
  <c r="E124" i="21"/>
  <c r="K124" i="21" s="1"/>
  <c r="C124" i="21"/>
  <c r="W116" i="21"/>
  <c r="K116" i="21"/>
  <c r="K115" i="21"/>
  <c r="W115" i="21" s="1"/>
  <c r="K114" i="21"/>
  <c r="W114" i="21" s="1"/>
  <c r="K113" i="21"/>
  <c r="W113" i="21" s="1"/>
  <c r="W112" i="21"/>
  <c r="K112" i="21"/>
  <c r="W111" i="21"/>
  <c r="S111" i="21"/>
  <c r="K111" i="21"/>
  <c r="K110" i="21"/>
  <c r="S110" i="21" s="1"/>
  <c r="W109" i="21"/>
  <c r="S109" i="21"/>
  <c r="K109" i="21"/>
  <c r="W108" i="21"/>
  <c r="K108" i="21"/>
  <c r="S108" i="21" s="1"/>
  <c r="K107" i="21"/>
  <c r="W107" i="21" s="1"/>
  <c r="K106" i="21"/>
  <c r="S105" i="21"/>
  <c r="K105" i="21"/>
  <c r="W105" i="21" s="1"/>
  <c r="K104" i="21"/>
  <c r="S104" i="21" s="1"/>
  <c r="S103" i="21"/>
  <c r="K103" i="21"/>
  <c r="S102" i="21"/>
  <c r="K102" i="21"/>
  <c r="S101" i="21"/>
  <c r="K101" i="21"/>
  <c r="K100" i="21"/>
  <c r="S100" i="21" s="1"/>
  <c r="S99" i="21"/>
  <c r="K99" i="21"/>
  <c r="S98" i="21"/>
  <c r="K98" i="21"/>
  <c r="S97" i="21"/>
  <c r="K97" i="21"/>
  <c r="W96" i="21"/>
  <c r="K96" i="21"/>
  <c r="S60" i="21"/>
  <c r="O60" i="21"/>
  <c r="Q60" i="21" s="1"/>
  <c r="I60" i="21"/>
  <c r="O59" i="21"/>
  <c r="Q59" i="21" s="1"/>
  <c r="S59" i="21" s="1"/>
  <c r="I59" i="21"/>
  <c r="O58" i="21"/>
  <c r="Q58" i="21" s="1"/>
  <c r="S58" i="21" s="1"/>
  <c r="I58" i="21"/>
  <c r="O57" i="21"/>
  <c r="Q57" i="21" s="1"/>
  <c r="S57" i="21" s="1"/>
  <c r="I57" i="21"/>
  <c r="S55" i="21"/>
  <c r="O55" i="21"/>
  <c r="Q55" i="21" s="1"/>
  <c r="I55" i="21"/>
  <c r="O54" i="21"/>
  <c r="Q54" i="21" s="1"/>
  <c r="S54" i="21" s="1"/>
  <c r="I54" i="21"/>
  <c r="I53" i="21"/>
  <c r="O53" i="21" s="1"/>
  <c r="Q53" i="21" s="1"/>
  <c r="S53" i="21" s="1"/>
  <c r="O52" i="21"/>
  <c r="Q52" i="21" s="1"/>
  <c r="S52" i="21" s="1"/>
  <c r="I52" i="21"/>
  <c r="O51" i="21"/>
  <c r="Q51" i="21" s="1"/>
  <c r="S51" i="21" s="1"/>
  <c r="I51" i="21"/>
  <c r="Q48" i="21"/>
  <c r="S48" i="21" s="1"/>
  <c r="O48" i="21"/>
  <c r="I48" i="21"/>
  <c r="O47" i="21"/>
  <c r="Q47" i="21" s="1"/>
  <c r="S47" i="21" s="1"/>
  <c r="I47" i="21"/>
  <c r="I46" i="21"/>
  <c r="O46" i="21" s="1"/>
  <c r="Q46" i="21" s="1"/>
  <c r="S46" i="21" s="1"/>
  <c r="S45" i="21"/>
  <c r="O45" i="21"/>
  <c r="Q45" i="21" s="1"/>
  <c r="I45" i="21"/>
  <c r="O44" i="21"/>
  <c r="Q44" i="21" s="1"/>
  <c r="S44" i="21" s="1"/>
  <c r="I44" i="21"/>
  <c r="I42" i="21"/>
  <c r="O42" i="21" s="1"/>
  <c r="Q42" i="21" s="1"/>
  <c r="S42" i="21" s="1"/>
  <c r="O41" i="21"/>
  <c r="Q41" i="21" s="1"/>
  <c r="S41" i="21" s="1"/>
  <c r="I41" i="21"/>
  <c r="O40" i="21"/>
  <c r="Q40" i="21" s="1"/>
  <c r="S40" i="21" s="1"/>
  <c r="I40" i="21"/>
  <c r="Q39" i="21"/>
  <c r="S39" i="21" s="1"/>
  <c r="O39" i="21"/>
  <c r="I39" i="21"/>
  <c r="O38" i="21"/>
  <c r="Q38" i="21" s="1"/>
  <c r="S38" i="21" s="1"/>
  <c r="I38" i="21"/>
  <c r="I37" i="21"/>
  <c r="O37" i="21" s="1"/>
  <c r="Q37" i="21" s="1"/>
  <c r="S37" i="21" s="1"/>
  <c r="S36" i="21"/>
  <c r="O36" i="21"/>
  <c r="Q36" i="21" s="1"/>
  <c r="I36" i="21"/>
  <c r="O35" i="21"/>
  <c r="Q35" i="21" s="1"/>
  <c r="S35" i="21" s="1"/>
  <c r="I35" i="21"/>
  <c r="I33" i="21"/>
  <c r="O33" i="21" s="1"/>
  <c r="Q33" i="21" s="1"/>
  <c r="S33" i="21" s="1"/>
  <c r="O32" i="21"/>
  <c r="I32" i="21"/>
  <c r="G24" i="21"/>
  <c r="I24" i="21" s="1"/>
  <c r="I23" i="21"/>
  <c r="G23" i="21"/>
  <c r="G22" i="21"/>
  <c r="I22" i="21" s="1"/>
  <c r="I21" i="21"/>
  <c r="G21" i="21"/>
  <c r="G19" i="21"/>
  <c r="I19" i="21" s="1"/>
  <c r="I18" i="21"/>
  <c r="G18" i="21"/>
  <c r="I17" i="21"/>
  <c r="G17" i="21"/>
  <c r="I16" i="21"/>
  <c r="G16" i="21"/>
  <c r="I15" i="21"/>
  <c r="G15" i="21"/>
  <c r="I14" i="21"/>
  <c r="G14" i="21"/>
  <c r="G13" i="21"/>
  <c r="I13" i="21" s="1"/>
  <c r="I12" i="21"/>
  <c r="G12" i="21"/>
  <c r="I11" i="21"/>
  <c r="G11" i="21"/>
  <c r="Z10" i="21"/>
  <c r="Z9" i="21"/>
  <c r="I9" i="21"/>
  <c r="G9" i="21"/>
  <c r="Z8" i="21"/>
  <c r="Q82" i="21" s="1"/>
  <c r="S82" i="21" s="1"/>
  <c r="U82" i="21" s="1"/>
  <c r="I8" i="21"/>
  <c r="G8" i="21"/>
  <c r="Z7" i="21"/>
  <c r="E242" i="21" s="1"/>
  <c r="G7" i="21"/>
  <c r="I7" i="21" s="1"/>
  <c r="Z6" i="21"/>
  <c r="G6" i="21"/>
  <c r="S34" i="20"/>
  <c r="S33" i="20"/>
  <c r="S32" i="20"/>
  <c r="AI16" i="20" s="1"/>
  <c r="S31" i="20"/>
  <c r="U22" i="20" s="1"/>
  <c r="S30" i="20"/>
  <c r="W22" i="20"/>
  <c r="C22" i="20"/>
  <c r="O22" i="20" s="1"/>
  <c r="S22" i="20" s="1"/>
  <c r="AE16" i="20"/>
  <c r="AC16" i="20"/>
  <c r="W16" i="20"/>
  <c r="M16" i="20"/>
  <c r="Q16" i="20" s="1"/>
  <c r="Y16" i="20" s="1"/>
  <c r="Q10" i="20"/>
  <c r="O10" i="20"/>
  <c r="K10" i="20"/>
  <c r="U5" i="20"/>
  <c r="O5" i="20"/>
  <c r="C63" i="19"/>
  <c r="C57" i="19"/>
  <c r="J30" i="19"/>
  <c r="C64" i="19" s="1"/>
  <c r="H30" i="19"/>
  <c r="J29" i="19"/>
  <c r="H29" i="19"/>
  <c r="C56" i="19" s="1"/>
  <c r="J28" i="19"/>
  <c r="C62" i="19" s="1"/>
  <c r="C61" i="19" s="1"/>
  <c r="H28" i="19"/>
  <c r="C55" i="19" s="1"/>
  <c r="C54" i="19" s="1"/>
  <c r="J17" i="19"/>
  <c r="H17" i="19"/>
  <c r="J15" i="19"/>
  <c r="H15" i="19"/>
  <c r="H13" i="19"/>
  <c r="J13" i="19" s="1"/>
  <c r="Q12" i="19"/>
  <c r="Q11" i="19"/>
  <c r="Q10" i="19"/>
  <c r="Q9" i="19"/>
  <c r="L9" i="19" s="1"/>
  <c r="D21" i="19" s="1"/>
  <c r="H9" i="19"/>
  <c r="Q8" i="19"/>
  <c r="J6" i="19"/>
  <c r="L6" i="19" s="1"/>
  <c r="C72" i="18"/>
  <c r="H70" i="18"/>
  <c r="C50" i="18"/>
  <c r="E50" i="18" s="1"/>
  <c r="C49" i="18"/>
  <c r="E49" i="18" s="1"/>
  <c r="E48" i="18"/>
  <c r="E33" i="18"/>
  <c r="E32" i="18"/>
  <c r="E31" i="18"/>
  <c r="E28" i="18"/>
  <c r="E27" i="18"/>
  <c r="E26" i="18"/>
  <c r="E25" i="18"/>
  <c r="I12" i="18"/>
  <c r="I11" i="18"/>
  <c r="I10" i="18"/>
  <c r="I70" i="18" s="1"/>
  <c r="D85" i="1" s="1"/>
  <c r="I9" i="18"/>
  <c r="F33" i="18" s="1"/>
  <c r="I8" i="18"/>
  <c r="E8" i="18"/>
  <c r="AC46" i="16"/>
  <c r="AC45" i="16"/>
  <c r="AC44" i="16"/>
  <c r="AC35" i="16" s="1"/>
  <c r="AC42" i="16"/>
  <c r="U35" i="16"/>
  <c r="M35" i="16"/>
  <c r="F35" i="16"/>
  <c r="Y33" i="16"/>
  <c r="Y29" i="16" s="1"/>
  <c r="Y32" i="16"/>
  <c r="J32" i="16"/>
  <c r="J33" i="16" s="1"/>
  <c r="U29" i="16"/>
  <c r="M29" i="16"/>
  <c r="F29" i="16"/>
  <c r="E27" i="16"/>
  <c r="Q26" i="16"/>
  <c r="Q27" i="16" s="1"/>
  <c r="L26" i="16"/>
  <c r="E26" i="16"/>
  <c r="U23" i="16"/>
  <c r="M23" i="16"/>
  <c r="E23" i="16"/>
  <c r="D23" i="16"/>
  <c r="C23" i="16"/>
  <c r="F23" i="16" s="1"/>
  <c r="Y21" i="16"/>
  <c r="T21" i="16"/>
  <c r="S21" i="16"/>
  <c r="R21" i="16"/>
  <c r="Q21" i="16"/>
  <c r="L21" i="16"/>
  <c r="K21" i="16"/>
  <c r="J21" i="16"/>
  <c r="F21" i="16"/>
  <c r="Y19" i="16"/>
  <c r="Y17" i="16"/>
  <c r="L17" i="16"/>
  <c r="L19" i="16" s="1"/>
  <c r="E17" i="16"/>
  <c r="E19" i="16" s="1"/>
  <c r="C17" i="16"/>
  <c r="C19" i="16" s="1"/>
  <c r="Y13" i="16"/>
  <c r="T13" i="16"/>
  <c r="T32" i="16" s="1"/>
  <c r="T33" i="16" s="1"/>
  <c r="Q13" i="16"/>
  <c r="Q17" i="16" s="1"/>
  <c r="Q19" i="16" s="1"/>
  <c r="L13" i="16"/>
  <c r="L32" i="16" s="1"/>
  <c r="L33" i="16" s="1"/>
  <c r="K13" i="16"/>
  <c r="K26" i="16" s="1"/>
  <c r="J13" i="16"/>
  <c r="E13" i="16"/>
  <c r="E32" i="16" s="1"/>
  <c r="E33" i="16" s="1"/>
  <c r="D13" i="16"/>
  <c r="D32" i="16" s="1"/>
  <c r="D33" i="16" s="1"/>
  <c r="C13" i="16"/>
  <c r="C32" i="16" s="1"/>
  <c r="C33" i="16" s="1"/>
  <c r="T9" i="16"/>
  <c r="S9" i="16"/>
  <c r="S13" i="16" s="1"/>
  <c r="R9" i="16"/>
  <c r="Q9" i="16"/>
  <c r="M9" i="16"/>
  <c r="F9" i="16"/>
  <c r="P63" i="15"/>
  <c r="K63" i="15"/>
  <c r="J63" i="15"/>
  <c r="C63" i="15"/>
  <c r="I63" i="15" s="1"/>
  <c r="P61" i="15"/>
  <c r="K61" i="15"/>
  <c r="J61" i="15"/>
  <c r="C61" i="15"/>
  <c r="I61" i="15" s="1"/>
  <c r="L61" i="15" s="1"/>
  <c r="P59" i="15"/>
  <c r="K59" i="15"/>
  <c r="J59" i="15"/>
  <c r="C59" i="15"/>
  <c r="I59" i="15" s="1"/>
  <c r="P55" i="15"/>
  <c r="K55" i="15"/>
  <c r="J55" i="15"/>
  <c r="I55" i="15"/>
  <c r="F55" i="15"/>
  <c r="P53" i="15"/>
  <c r="K53" i="15"/>
  <c r="J53" i="15"/>
  <c r="I53" i="15"/>
  <c r="F53" i="15"/>
  <c r="R53" i="15" s="1"/>
  <c r="P51" i="15"/>
  <c r="K51" i="15"/>
  <c r="J51" i="15"/>
  <c r="I51" i="15"/>
  <c r="F51" i="15"/>
  <c r="P49" i="15"/>
  <c r="K49" i="15"/>
  <c r="J49" i="15"/>
  <c r="C49" i="15"/>
  <c r="K46" i="15"/>
  <c r="J46" i="15"/>
  <c r="I46" i="15"/>
  <c r="L46" i="15" s="1"/>
  <c r="F46" i="15"/>
  <c r="R46" i="15" s="1"/>
  <c r="P44" i="15"/>
  <c r="K44" i="15"/>
  <c r="J44" i="15"/>
  <c r="I44" i="15"/>
  <c r="F44" i="15"/>
  <c r="P42" i="15"/>
  <c r="K42" i="15"/>
  <c r="J42" i="15"/>
  <c r="C42" i="15"/>
  <c r="I42" i="15" s="1"/>
  <c r="P40" i="15"/>
  <c r="K40" i="15"/>
  <c r="J40" i="15"/>
  <c r="I40" i="15"/>
  <c r="F40" i="15"/>
  <c r="P38" i="15"/>
  <c r="J38" i="15"/>
  <c r="E38" i="15"/>
  <c r="K38" i="15" s="1"/>
  <c r="O38" i="15" s="1"/>
  <c r="V38" i="15" s="1"/>
  <c r="C38" i="15"/>
  <c r="F38" i="15" s="1"/>
  <c r="P36" i="15"/>
  <c r="K36" i="15"/>
  <c r="J36" i="15"/>
  <c r="C36" i="15"/>
  <c r="I36" i="15" s="1"/>
  <c r="P34" i="15"/>
  <c r="J34" i="15"/>
  <c r="E34" i="15"/>
  <c r="K34" i="15" s="1"/>
  <c r="C34" i="15"/>
  <c r="P32" i="15"/>
  <c r="K32" i="15"/>
  <c r="J32" i="15"/>
  <c r="I32" i="15"/>
  <c r="F32" i="15"/>
  <c r="P30" i="15"/>
  <c r="K30" i="15"/>
  <c r="J30" i="15"/>
  <c r="N30" i="15" s="1"/>
  <c r="U30" i="15" s="1"/>
  <c r="I30" i="15"/>
  <c r="F30" i="15"/>
  <c r="P28" i="15"/>
  <c r="K28" i="15"/>
  <c r="I28" i="15"/>
  <c r="D28" i="15"/>
  <c r="K26" i="15"/>
  <c r="O26" i="15" s="1"/>
  <c r="J26" i="15"/>
  <c r="N26" i="15" s="1"/>
  <c r="I26" i="15"/>
  <c r="M26" i="15" s="1"/>
  <c r="T26" i="15" s="1"/>
  <c r="F26" i="15"/>
  <c r="G7" i="15"/>
  <c r="X46" i="15" s="1"/>
  <c r="C88" i="14"/>
  <c r="C87" i="14"/>
  <c r="C86" i="14"/>
  <c r="C85" i="14"/>
  <c r="V89" i="14" s="1"/>
  <c r="C84" i="14"/>
  <c r="K75" i="14"/>
  <c r="K74" i="14"/>
  <c r="R74" i="14" s="1"/>
  <c r="J74" i="14"/>
  <c r="G74" i="14"/>
  <c r="E74" i="14"/>
  <c r="K72" i="14"/>
  <c r="R72" i="14" s="1"/>
  <c r="J72" i="14"/>
  <c r="G72" i="14"/>
  <c r="E72" i="14"/>
  <c r="K70" i="14"/>
  <c r="R70" i="14" s="1"/>
  <c r="J70" i="14"/>
  <c r="G70" i="14"/>
  <c r="E70" i="14"/>
  <c r="U69" i="14"/>
  <c r="V69" i="14" s="1"/>
  <c r="T69" i="14"/>
  <c r="R69" i="14"/>
  <c r="G69" i="14"/>
  <c r="E69" i="14"/>
  <c r="U68" i="14"/>
  <c r="V68" i="14" s="1"/>
  <c r="R68" i="14"/>
  <c r="T68" i="14" s="1"/>
  <c r="G68" i="14"/>
  <c r="R66" i="14"/>
  <c r="U66" i="14" s="1"/>
  <c r="V66" i="14" s="1"/>
  <c r="K66" i="14"/>
  <c r="J66" i="14"/>
  <c r="G66" i="14"/>
  <c r="E66" i="14"/>
  <c r="R64" i="14"/>
  <c r="T64" i="14" s="1"/>
  <c r="G64" i="14"/>
  <c r="U63" i="14"/>
  <c r="V63" i="14" s="1"/>
  <c r="R63" i="14"/>
  <c r="T63" i="14" s="1"/>
  <c r="G63" i="14"/>
  <c r="R61" i="14"/>
  <c r="U61" i="14" s="1"/>
  <c r="V61" i="14" s="1"/>
  <c r="G61" i="14"/>
  <c r="J60" i="14"/>
  <c r="R59" i="14"/>
  <c r="U59" i="14" s="1"/>
  <c r="M59" i="14"/>
  <c r="Q59" i="14" s="1"/>
  <c r="R58" i="14"/>
  <c r="T58" i="14" s="1"/>
  <c r="Q58" i="14"/>
  <c r="O58" i="14"/>
  <c r="P58" i="14" s="1"/>
  <c r="M58" i="14"/>
  <c r="R55" i="14"/>
  <c r="U55" i="14" s="1"/>
  <c r="V55" i="14" s="1"/>
  <c r="G55" i="14"/>
  <c r="E55" i="14"/>
  <c r="R53" i="14"/>
  <c r="U53" i="14" s="1"/>
  <c r="M53" i="14"/>
  <c r="O53" i="14" s="1"/>
  <c r="P53" i="14" s="1"/>
  <c r="G53" i="14"/>
  <c r="E53" i="14"/>
  <c r="K51" i="14"/>
  <c r="R51" i="14" s="1"/>
  <c r="J51" i="14"/>
  <c r="E51" i="14"/>
  <c r="K50" i="14"/>
  <c r="M50" i="14" s="1"/>
  <c r="J50" i="14"/>
  <c r="E50" i="14"/>
  <c r="K48" i="14"/>
  <c r="R48" i="14" s="1"/>
  <c r="J48" i="14"/>
  <c r="G48" i="14"/>
  <c r="E48" i="14"/>
  <c r="R46" i="14"/>
  <c r="U46" i="14" s="1"/>
  <c r="V46" i="14" s="1"/>
  <c r="G46" i="14"/>
  <c r="E46" i="14"/>
  <c r="R45" i="14"/>
  <c r="U45" i="14" s="1"/>
  <c r="V45" i="14" s="1"/>
  <c r="G45" i="14"/>
  <c r="E45" i="14"/>
  <c r="R43" i="14"/>
  <c r="U43" i="14" s="1"/>
  <c r="V43" i="14" s="1"/>
  <c r="J43" i="14"/>
  <c r="G43" i="14"/>
  <c r="E43" i="14"/>
  <c r="K42" i="14"/>
  <c r="M42" i="14" s="1"/>
  <c r="J42" i="14"/>
  <c r="G42" i="14"/>
  <c r="E42" i="14"/>
  <c r="K41" i="14"/>
  <c r="R41" i="14" s="1"/>
  <c r="J41" i="14"/>
  <c r="G41" i="14"/>
  <c r="E41" i="14"/>
  <c r="K39" i="14"/>
  <c r="J39" i="14"/>
  <c r="E39" i="14"/>
  <c r="U38" i="14"/>
  <c r="V38" i="14" s="1"/>
  <c r="R38" i="14"/>
  <c r="T38" i="14" s="1"/>
  <c r="G38" i="14"/>
  <c r="E38" i="14"/>
  <c r="K36" i="14"/>
  <c r="R36" i="14" s="1"/>
  <c r="J36" i="14"/>
  <c r="G36" i="14"/>
  <c r="E36" i="14"/>
  <c r="K35" i="14"/>
  <c r="R35" i="14" s="1"/>
  <c r="J35" i="14"/>
  <c r="G35" i="14"/>
  <c r="E35" i="14"/>
  <c r="K33" i="14"/>
  <c r="R33" i="14" s="1"/>
  <c r="J33" i="14"/>
  <c r="E33" i="14"/>
  <c r="R31" i="14"/>
  <c r="U31" i="14" s="1"/>
  <c r="V31" i="14" s="1"/>
  <c r="M31" i="14"/>
  <c r="O31" i="14" s="1"/>
  <c r="P31" i="14" s="1"/>
  <c r="G31" i="14"/>
  <c r="E31" i="14"/>
  <c r="R30" i="14"/>
  <c r="T30" i="14" s="1"/>
  <c r="G30" i="14"/>
  <c r="E30" i="14"/>
  <c r="K28" i="14"/>
  <c r="R28" i="14" s="1"/>
  <c r="J28" i="14"/>
  <c r="R26" i="14"/>
  <c r="U26" i="14" s="1"/>
  <c r="V26" i="14" s="1"/>
  <c r="G26" i="14"/>
  <c r="E26" i="14"/>
  <c r="K25" i="14"/>
  <c r="R25" i="14" s="1"/>
  <c r="J25" i="14"/>
  <c r="G25" i="14"/>
  <c r="E25" i="14"/>
  <c r="K23" i="14"/>
  <c r="R23" i="14" s="1"/>
  <c r="U23" i="14" s="1"/>
  <c r="J23" i="14"/>
  <c r="M22" i="14"/>
  <c r="Q22" i="14" s="1"/>
  <c r="K22" i="14"/>
  <c r="R22" i="14" s="1"/>
  <c r="J22" i="14"/>
  <c r="G22" i="14"/>
  <c r="E22" i="14"/>
  <c r="R20" i="14"/>
  <c r="T20" i="14" s="1"/>
  <c r="M20" i="14"/>
  <c r="O20" i="14" s="1"/>
  <c r="P20" i="14" s="1"/>
  <c r="G20" i="14"/>
  <c r="E20" i="14"/>
  <c r="T19" i="14"/>
  <c r="K18" i="14"/>
  <c r="R18" i="14" s="1"/>
  <c r="J18" i="14"/>
  <c r="R17" i="14"/>
  <c r="U17" i="14" s="1"/>
  <c r="M17" i="14"/>
  <c r="O17" i="14" s="1"/>
  <c r="P17" i="14" s="1"/>
  <c r="K17" i="14"/>
  <c r="J17" i="14"/>
  <c r="R16" i="14"/>
  <c r="U16" i="14" s="1"/>
  <c r="V16" i="14" s="1"/>
  <c r="G16" i="14"/>
  <c r="E16" i="14"/>
  <c r="R15" i="14"/>
  <c r="U15" i="14" s="1"/>
  <c r="M15" i="14"/>
  <c r="Q15" i="14" s="1"/>
  <c r="G15" i="14"/>
  <c r="E15" i="14"/>
  <c r="K14" i="14"/>
  <c r="J14" i="14"/>
  <c r="G14" i="14"/>
  <c r="E14" i="14"/>
  <c r="U13" i="14"/>
  <c r="V13" i="14" s="1"/>
  <c r="R13" i="14"/>
  <c r="T13" i="14" s="1"/>
  <c r="G13" i="14"/>
  <c r="E13" i="14"/>
  <c r="U11" i="14"/>
  <c r="V11" i="14" s="1"/>
  <c r="T11" i="14"/>
  <c r="R11" i="14"/>
  <c r="G11" i="14"/>
  <c r="E11" i="14"/>
  <c r="U10" i="14"/>
  <c r="R10" i="14"/>
  <c r="T10" i="14" s="1"/>
  <c r="M10" i="14"/>
  <c r="O10" i="14" s="1"/>
  <c r="G10" i="14"/>
  <c r="E10" i="14"/>
  <c r="I74" i="13"/>
  <c r="H74" i="13"/>
  <c r="I70" i="13"/>
  <c r="H70" i="13"/>
  <c r="G70" i="13"/>
  <c r="I65" i="13"/>
  <c r="I76" i="13" s="1"/>
  <c r="H65" i="13"/>
  <c r="H76" i="13" s="1"/>
  <c r="G65" i="13"/>
  <c r="G76" i="13" s="1"/>
  <c r="I61" i="13"/>
  <c r="I53" i="13"/>
  <c r="I72" i="13" s="1"/>
  <c r="H53" i="13"/>
  <c r="H72" i="13" s="1"/>
  <c r="G53" i="13"/>
  <c r="G72" i="13" s="1"/>
  <c r="G39" i="13"/>
  <c r="G35" i="13"/>
  <c r="I33" i="13"/>
  <c r="G28" i="13"/>
  <c r="I20" i="13"/>
  <c r="I28" i="13" s="1"/>
  <c r="I39" i="13" s="1"/>
  <c r="H20" i="13"/>
  <c r="H28" i="13" s="1"/>
  <c r="H39" i="13" s="1"/>
  <c r="I18" i="13"/>
  <c r="H18" i="13"/>
  <c r="H33" i="13" s="1"/>
  <c r="G18" i="13"/>
  <c r="G33" i="13" s="1"/>
  <c r="G12" i="13"/>
  <c r="D47" i="12"/>
  <c r="J32" i="12"/>
  <c r="L32" i="12" s="1"/>
  <c r="D56" i="12" s="1"/>
  <c r="P27" i="12"/>
  <c r="H27" i="12"/>
  <c r="P26" i="12"/>
  <c r="P25" i="12"/>
  <c r="P24" i="12"/>
  <c r="P23" i="12"/>
  <c r="D22" i="12"/>
  <c r="L22" i="12" s="1"/>
  <c r="L17" i="12"/>
  <c r="D45" i="12" s="1"/>
  <c r="L16" i="12"/>
  <c r="J16" i="12" s="1"/>
  <c r="H16" i="12"/>
  <c r="J12" i="12"/>
  <c r="H12" i="12" s="1"/>
  <c r="J11" i="12"/>
  <c r="H11" i="12"/>
  <c r="J7" i="12"/>
  <c r="H7" i="12" s="1"/>
  <c r="J6" i="12"/>
  <c r="H6" i="12"/>
  <c r="J5" i="12"/>
  <c r="H5" i="12" s="1"/>
  <c r="H119" i="11"/>
  <c r="H117" i="11"/>
  <c r="H114" i="11"/>
  <c r="H112" i="11"/>
  <c r="H104" i="11"/>
  <c r="H103" i="11"/>
  <c r="H100" i="11"/>
  <c r="F91" i="11"/>
  <c r="F90" i="11"/>
  <c r="F89" i="11"/>
  <c r="F88" i="11"/>
  <c r="F87" i="11"/>
  <c r="F86" i="11"/>
  <c r="F85" i="11"/>
  <c r="F84" i="11"/>
  <c r="F83" i="11"/>
  <c r="F82" i="11"/>
  <c r="F81" i="11"/>
  <c r="F80" i="11"/>
  <c r="F79" i="11"/>
  <c r="F78" i="11"/>
  <c r="F77" i="11"/>
  <c r="F76" i="11"/>
  <c r="F75" i="11"/>
  <c r="F74" i="11"/>
  <c r="F73" i="11"/>
  <c r="F72" i="11"/>
  <c r="F71" i="11"/>
  <c r="F70" i="11"/>
  <c r="F69" i="11"/>
  <c r="F60" i="11"/>
  <c r="F59" i="11"/>
  <c r="F58" i="11"/>
  <c r="F57" i="11"/>
  <c r="F56" i="11"/>
  <c r="F55" i="11"/>
  <c r="F54" i="11"/>
  <c r="F53" i="11"/>
  <c r="F52" i="11"/>
  <c r="F51" i="11"/>
  <c r="F50" i="11"/>
  <c r="F49" i="11"/>
  <c r="F48" i="11"/>
  <c r="F47" i="11"/>
  <c r="F46" i="11"/>
  <c r="F45" i="11"/>
  <c r="F44" i="11"/>
  <c r="F43" i="11"/>
  <c r="F42" i="11"/>
  <c r="F41" i="11"/>
  <c r="F40" i="11"/>
  <c r="F39" i="11"/>
  <c r="F38" i="11"/>
  <c r="I29" i="11"/>
  <c r="J29" i="11" s="1"/>
  <c r="E121" i="11" s="1"/>
  <c r="F29" i="11"/>
  <c r="I28" i="11"/>
  <c r="J28" i="11" s="1"/>
  <c r="E120" i="11" s="1"/>
  <c r="H120" i="11" s="1"/>
  <c r="F28" i="11"/>
  <c r="F27" i="11"/>
  <c r="I27" i="11" s="1"/>
  <c r="J27" i="11" s="1"/>
  <c r="J26" i="11"/>
  <c r="E118" i="11" s="1"/>
  <c r="I26" i="11"/>
  <c r="F26" i="11"/>
  <c r="J25" i="11"/>
  <c r="I25" i="11"/>
  <c r="F25" i="11"/>
  <c r="F24" i="11"/>
  <c r="I24" i="11" s="1"/>
  <c r="J24" i="11" s="1"/>
  <c r="E116" i="11" s="1"/>
  <c r="F23" i="11"/>
  <c r="I23" i="11" s="1"/>
  <c r="J23" i="11" s="1"/>
  <c r="F22" i="11"/>
  <c r="I22" i="11" s="1"/>
  <c r="J22" i="11" s="1"/>
  <c r="I21" i="11"/>
  <c r="J21" i="11" s="1"/>
  <c r="E113" i="11" s="1"/>
  <c r="H113" i="11" s="1"/>
  <c r="F21" i="11"/>
  <c r="I20" i="11"/>
  <c r="J20" i="11" s="1"/>
  <c r="F20" i="11"/>
  <c r="F19" i="11"/>
  <c r="I19" i="11" s="1"/>
  <c r="J19" i="11" s="1"/>
  <c r="E111" i="11" s="1"/>
  <c r="J18" i="11"/>
  <c r="E110" i="11" s="1"/>
  <c r="I18" i="11"/>
  <c r="F18" i="11"/>
  <c r="J17" i="11"/>
  <c r="E109" i="11" s="1"/>
  <c r="I17" i="11"/>
  <c r="F17" i="11"/>
  <c r="F16" i="11"/>
  <c r="I16" i="11" s="1"/>
  <c r="J16" i="11" s="1"/>
  <c r="E108" i="11" s="1"/>
  <c r="F15" i="11"/>
  <c r="I15" i="11" s="1"/>
  <c r="J15" i="11" s="1"/>
  <c r="F14" i="11"/>
  <c r="I14" i="11" s="1"/>
  <c r="J14" i="11" s="1"/>
  <c r="M13" i="11"/>
  <c r="J13" i="11"/>
  <c r="E105" i="11" s="1"/>
  <c r="I13" i="11"/>
  <c r="F13" i="11"/>
  <c r="M12" i="11"/>
  <c r="F12" i="11"/>
  <c r="I12" i="11" s="1"/>
  <c r="J12" i="11" s="1"/>
  <c r="M11" i="11"/>
  <c r="J11" i="11"/>
  <c r="I11" i="11"/>
  <c r="F11" i="11"/>
  <c r="M10" i="11"/>
  <c r="G89" i="11" s="1"/>
  <c r="F10" i="11"/>
  <c r="I10" i="11" s="1"/>
  <c r="J10" i="11" s="1"/>
  <c r="E102" i="11" s="1"/>
  <c r="M9" i="11"/>
  <c r="J9" i="11"/>
  <c r="E101" i="11" s="1"/>
  <c r="I9" i="11"/>
  <c r="F9" i="11"/>
  <c r="F8" i="11"/>
  <c r="I8" i="11" s="1"/>
  <c r="J8" i="11" s="1"/>
  <c r="J30" i="11" s="1"/>
  <c r="E44" i="10"/>
  <c r="E43" i="10"/>
  <c r="E42" i="10"/>
  <c r="E41" i="10"/>
  <c r="E40" i="10"/>
  <c r="E39" i="10"/>
  <c r="E38" i="10"/>
  <c r="E37" i="10"/>
  <c r="E29" i="10"/>
  <c r="E28" i="10"/>
  <c r="E27" i="10"/>
  <c r="E26" i="10"/>
  <c r="E25" i="10"/>
  <c r="E24" i="10"/>
  <c r="E23" i="10"/>
  <c r="E22" i="10"/>
  <c r="G14" i="10"/>
  <c r="D60" i="10" s="1"/>
  <c r="F14" i="10"/>
  <c r="G13" i="10"/>
  <c r="D59" i="10" s="1"/>
  <c r="F13" i="10"/>
  <c r="F12" i="10"/>
  <c r="G12" i="10" s="1"/>
  <c r="D58" i="10" s="1"/>
  <c r="K11" i="10"/>
  <c r="G11" i="10"/>
  <c r="D57" i="10" s="1"/>
  <c r="F11" i="10"/>
  <c r="K10" i="10"/>
  <c r="G10" i="10"/>
  <c r="D56" i="10" s="1"/>
  <c r="F10" i="10"/>
  <c r="K9" i="10"/>
  <c r="F26" i="10" s="1"/>
  <c r="G26" i="10" s="1"/>
  <c r="F58" i="10" s="1"/>
  <c r="F9" i="10"/>
  <c r="G9" i="10" s="1"/>
  <c r="K8" i="10"/>
  <c r="F44" i="10" s="1"/>
  <c r="G8" i="10"/>
  <c r="D54" i="10" s="1"/>
  <c r="F8" i="10"/>
  <c r="K7" i="10"/>
  <c r="E36" i="9"/>
  <c r="E35" i="9"/>
  <c r="E34" i="9"/>
  <c r="E33" i="9"/>
  <c r="E32" i="9"/>
  <c r="E31" i="9"/>
  <c r="E23" i="9"/>
  <c r="E22" i="9"/>
  <c r="E21" i="9"/>
  <c r="E20" i="9"/>
  <c r="E19" i="9"/>
  <c r="E18" i="9"/>
  <c r="K11" i="9"/>
  <c r="G11" i="9"/>
  <c r="C50" i="9" s="1"/>
  <c r="F11" i="9"/>
  <c r="K10" i="9"/>
  <c r="F10" i="9"/>
  <c r="G10" i="9" s="1"/>
  <c r="C49" i="9" s="1"/>
  <c r="K9" i="9"/>
  <c r="F23" i="9" s="1"/>
  <c r="G23" i="9" s="1"/>
  <c r="D51" i="9" s="1"/>
  <c r="F9" i="9"/>
  <c r="G9" i="9" s="1"/>
  <c r="C48" i="9" s="1"/>
  <c r="K8" i="9"/>
  <c r="F35" i="9" s="1"/>
  <c r="G35" i="9" s="1"/>
  <c r="E50" i="9" s="1"/>
  <c r="F8" i="9"/>
  <c r="G8" i="9" s="1"/>
  <c r="C47" i="9" s="1"/>
  <c r="K7" i="9"/>
  <c r="G7" i="9"/>
  <c r="F7" i="9"/>
  <c r="G61" i="8"/>
  <c r="E61" i="8"/>
  <c r="C61" i="8"/>
  <c r="I61" i="8" s="1"/>
  <c r="I49" i="8"/>
  <c r="O49" i="8" s="1"/>
  <c r="Q49" i="8" s="1"/>
  <c r="S49" i="8" s="1"/>
  <c r="C49" i="8"/>
  <c r="O44" i="8"/>
  <c r="E39" i="8"/>
  <c r="K39" i="8" s="1"/>
  <c r="M39" i="8" s="1"/>
  <c r="O39" i="8" s="1"/>
  <c r="C59" i="8" s="1"/>
  <c r="AA38" i="8"/>
  <c r="AC38" i="8" s="1"/>
  <c r="T38" i="8"/>
  <c r="V38" i="8" s="1"/>
  <c r="E38" i="8"/>
  <c r="K38" i="8" s="1"/>
  <c r="M38" i="8" s="1"/>
  <c r="O38" i="8" s="1"/>
  <c r="O40" i="8" s="1"/>
  <c r="C60" i="8" s="1"/>
  <c r="T28" i="8"/>
  <c r="V28" i="8" s="1"/>
  <c r="C28" i="8"/>
  <c r="E28" i="8" s="1"/>
  <c r="K28" i="8" s="1"/>
  <c r="M28" i="8" s="1"/>
  <c r="O28" i="8" s="1"/>
  <c r="E27" i="8"/>
  <c r="AA27" i="8" s="1"/>
  <c r="AC27" i="8" s="1"/>
  <c r="C27" i="8"/>
  <c r="E26" i="8"/>
  <c r="K26" i="8" s="1"/>
  <c r="M26" i="8" s="1"/>
  <c r="O26" i="8" s="1"/>
  <c r="E13" i="8"/>
  <c r="C39" i="8" s="1"/>
  <c r="C11" i="8"/>
  <c r="T10" i="8"/>
  <c r="E10" i="8"/>
  <c r="T9" i="8"/>
  <c r="E9" i="8"/>
  <c r="T8" i="8"/>
  <c r="E8" i="8"/>
  <c r="T7" i="8"/>
  <c r="E7" i="8"/>
  <c r="T6" i="8"/>
  <c r="E6" i="8"/>
  <c r="E5" i="8"/>
  <c r="C26" i="8" s="1"/>
  <c r="G15249" i="7"/>
  <c r="F15249" i="7"/>
  <c r="G15038" i="7"/>
  <c r="F15038" i="7"/>
  <c r="G14826" i="7"/>
  <c r="F14826" i="7"/>
  <c r="G14614" i="7"/>
  <c r="F14614" i="7"/>
  <c r="G14402" i="7"/>
  <c r="F14402" i="7"/>
  <c r="G14191" i="7"/>
  <c r="F14191" i="7"/>
  <c r="G13980" i="7"/>
  <c r="F13980" i="7"/>
  <c r="G13768" i="7"/>
  <c r="F13768" i="7"/>
  <c r="G13556" i="7"/>
  <c r="F13556" i="7"/>
  <c r="G13344" i="7"/>
  <c r="F13344" i="7"/>
  <c r="G13132" i="7"/>
  <c r="F13132" i="7"/>
  <c r="G12920" i="7"/>
  <c r="F12920" i="7"/>
  <c r="G12708" i="7"/>
  <c r="F12708" i="7"/>
  <c r="G12496" i="7"/>
  <c r="F12496" i="7"/>
  <c r="G12284" i="7"/>
  <c r="F12284" i="7"/>
  <c r="G12072" i="7"/>
  <c r="F12072" i="7"/>
  <c r="G11860" i="7"/>
  <c r="F11860" i="7"/>
  <c r="G11648" i="7"/>
  <c r="F11648" i="7"/>
  <c r="G11436" i="7"/>
  <c r="F11436" i="7"/>
  <c r="G11224" i="7"/>
  <c r="F11224" i="7"/>
  <c r="G11012" i="7"/>
  <c r="F11012" i="7"/>
  <c r="G10801" i="7"/>
  <c r="F10801" i="7"/>
  <c r="G10589" i="7"/>
  <c r="F10589" i="7"/>
  <c r="G10377" i="7"/>
  <c r="G15250" i="7" s="1"/>
  <c r="F10377" i="7"/>
  <c r="F15250" i="7" s="1"/>
  <c r="G10160" i="7"/>
  <c r="F10160" i="7"/>
  <c r="G10135" i="7"/>
  <c r="F10135" i="7"/>
  <c r="G9898" i="7"/>
  <c r="F9898" i="7"/>
  <c r="G9825" i="7"/>
  <c r="F9825" i="7"/>
  <c r="G9704" i="7"/>
  <c r="F9704" i="7"/>
  <c r="G9631" i="7"/>
  <c r="F9631" i="7"/>
  <c r="G9534" i="7"/>
  <c r="F9534" i="7"/>
  <c r="G8597" i="7"/>
  <c r="F8597" i="7"/>
  <c r="G7948" i="7"/>
  <c r="F7948" i="7"/>
  <c r="G6387" i="7"/>
  <c r="F6387" i="7"/>
  <c r="G5762" i="7"/>
  <c r="F5762" i="7"/>
  <c r="G5689" i="7"/>
  <c r="G10161" i="7" s="1"/>
  <c r="F5689" i="7"/>
  <c r="F10161" i="7" s="1"/>
  <c r="G5081" i="7"/>
  <c r="F5081" i="7"/>
  <c r="G3616" i="7"/>
  <c r="F3616" i="7"/>
  <c r="G3567" i="7"/>
  <c r="F3567" i="7"/>
  <c r="C10" i="7" s="1"/>
  <c r="G2798" i="7"/>
  <c r="F2798" i="7"/>
  <c r="G329" i="7"/>
  <c r="D8" i="7" s="1"/>
  <c r="F329" i="7"/>
  <c r="F5082" i="7" s="1"/>
  <c r="F12" i="7"/>
  <c r="D12" i="7"/>
  <c r="C12" i="7"/>
  <c r="D11" i="7"/>
  <c r="F11" i="7" s="1"/>
  <c r="C11" i="7"/>
  <c r="I10" i="7"/>
  <c r="F10" i="7"/>
  <c r="D10" i="7"/>
  <c r="I9" i="7"/>
  <c r="D9" i="7"/>
  <c r="F9" i="7" s="1"/>
  <c r="C9" i="7"/>
  <c r="I8" i="7"/>
  <c r="C8" i="7"/>
  <c r="I7" i="7"/>
  <c r="E12" i="7" s="1"/>
  <c r="I6" i="7"/>
  <c r="D67" i="6"/>
  <c r="D66" i="6"/>
  <c r="D65" i="6"/>
  <c r="D64" i="6"/>
  <c r="D63" i="6"/>
  <c r="L35" i="6"/>
  <c r="K35" i="6"/>
  <c r="G34" i="6"/>
  <c r="F34" i="6"/>
  <c r="E34" i="6"/>
  <c r="D34" i="6"/>
  <c r="C34" i="6"/>
  <c r="H32" i="6"/>
  <c r="H31" i="6"/>
  <c r="H30" i="6"/>
  <c r="H29" i="6"/>
  <c r="H28" i="6"/>
  <c r="H27" i="6"/>
  <c r="H26" i="6"/>
  <c r="H25" i="6"/>
  <c r="H24" i="6"/>
  <c r="H23" i="6"/>
  <c r="H22" i="6"/>
  <c r="H21" i="6"/>
  <c r="H20" i="6"/>
  <c r="H19" i="6"/>
  <c r="H18" i="6"/>
  <c r="H17" i="6"/>
  <c r="H16" i="6"/>
  <c r="H15" i="6"/>
  <c r="H14" i="6"/>
  <c r="H13" i="6"/>
  <c r="H12" i="6"/>
  <c r="H11" i="6"/>
  <c r="H10" i="6"/>
  <c r="H9" i="6"/>
  <c r="H8" i="6"/>
  <c r="O86" i="5"/>
  <c r="G72" i="5"/>
  <c r="N70" i="5"/>
  <c r="N72" i="5" s="1"/>
  <c r="W59" i="5"/>
  <c r="Q59" i="5"/>
  <c r="Q86" i="5" s="1"/>
  <c r="P59" i="5"/>
  <c r="P86" i="5" s="1"/>
  <c r="O59" i="5"/>
  <c r="J59" i="5"/>
  <c r="J86" i="5" s="1"/>
  <c r="I59" i="5"/>
  <c r="I86" i="5" s="1"/>
  <c r="H59" i="5"/>
  <c r="H86" i="5" s="1"/>
  <c r="G59" i="5"/>
  <c r="G86" i="5" s="1"/>
  <c r="W52" i="5"/>
  <c r="V52" i="5"/>
  <c r="U52" i="5"/>
  <c r="T52" i="5"/>
  <c r="T59" i="5" s="1"/>
  <c r="T86" i="5" s="1"/>
  <c r="R52" i="5"/>
  <c r="Q52" i="5"/>
  <c r="P52" i="5"/>
  <c r="O52" i="5"/>
  <c r="N52" i="5"/>
  <c r="N59" i="5" s="1"/>
  <c r="N86" i="5" s="1"/>
  <c r="M52" i="5"/>
  <c r="M59" i="5" s="1"/>
  <c r="M86" i="5" s="1"/>
  <c r="L52" i="5"/>
  <c r="L59" i="5" s="1"/>
  <c r="L86" i="5" s="1"/>
  <c r="K52" i="5"/>
  <c r="K59" i="5" s="1"/>
  <c r="K86" i="5" s="1"/>
  <c r="J52" i="5"/>
  <c r="I52" i="5"/>
  <c r="H52" i="5"/>
  <c r="G52" i="5"/>
  <c r="F52" i="5"/>
  <c r="F59" i="5" s="1"/>
  <c r="F86" i="5" s="1"/>
  <c r="E52" i="5"/>
  <c r="E59" i="5" s="1"/>
  <c r="E86" i="5" s="1"/>
  <c r="D52" i="5"/>
  <c r="D59" i="5" s="1"/>
  <c r="D86" i="5" s="1"/>
  <c r="C52" i="5"/>
  <c r="C59" i="5" s="1"/>
  <c r="C86" i="5" s="1"/>
  <c r="S51" i="5"/>
  <c r="S52" i="5" s="1"/>
  <c r="S59" i="5" s="1"/>
  <c r="S86" i="5" s="1"/>
  <c r="R51" i="5"/>
  <c r="T40" i="5"/>
  <c r="S40" i="5"/>
  <c r="N40" i="5"/>
  <c r="M40" i="5"/>
  <c r="L40" i="5"/>
  <c r="K40" i="5"/>
  <c r="F40" i="5"/>
  <c r="E40" i="5"/>
  <c r="D40" i="5"/>
  <c r="C40" i="5"/>
  <c r="S33" i="5"/>
  <c r="R33" i="5"/>
  <c r="Q33" i="5"/>
  <c r="Q40" i="5" s="1"/>
  <c r="P33" i="5"/>
  <c r="P40" i="5" s="1"/>
  <c r="O33" i="5"/>
  <c r="O40" i="5" s="1"/>
  <c r="N33" i="5"/>
  <c r="M33" i="5"/>
  <c r="L33" i="5"/>
  <c r="K33" i="5"/>
  <c r="J33" i="5"/>
  <c r="J40" i="5" s="1"/>
  <c r="I33" i="5"/>
  <c r="I40" i="5" s="1"/>
  <c r="H33" i="5"/>
  <c r="H40" i="5" s="1"/>
  <c r="G33" i="5"/>
  <c r="G40" i="5" s="1"/>
  <c r="F33" i="5"/>
  <c r="E33" i="5"/>
  <c r="D33" i="5"/>
  <c r="C33" i="5"/>
  <c r="W28" i="5"/>
  <c r="V28" i="5"/>
  <c r="U28" i="5"/>
  <c r="T28" i="5"/>
  <c r="T33" i="5" s="1"/>
  <c r="R28" i="5"/>
  <c r="R59" i="5" s="1"/>
  <c r="R86" i="5" s="1"/>
  <c r="J40" i="4"/>
  <c r="J39" i="4"/>
  <c r="D39" i="4"/>
  <c r="J38" i="4"/>
  <c r="J37" i="4"/>
  <c r="J36" i="4"/>
  <c r="K29" i="4"/>
  <c r="K28" i="4"/>
  <c r="K27" i="4"/>
  <c r="K25" i="4"/>
  <c r="K24" i="4"/>
  <c r="K23" i="4"/>
  <c r="K21" i="4"/>
  <c r="K20" i="4"/>
  <c r="K19" i="4"/>
  <c r="H16" i="4"/>
  <c r="G16" i="4"/>
  <c r="E16" i="4"/>
  <c r="D16" i="4"/>
  <c r="H14" i="4"/>
  <c r="F14" i="4"/>
  <c r="F16" i="4" s="1"/>
  <c r="K318" i="3"/>
  <c r="K320" i="3" s="1"/>
  <c r="K323" i="3" s="1"/>
  <c r="J311" i="3"/>
  <c r="F311" i="3"/>
  <c r="J307" i="3"/>
  <c r="J303" i="3"/>
  <c r="J302" i="3"/>
  <c r="J301" i="3"/>
  <c r="J300" i="3"/>
  <c r="J299" i="3"/>
  <c r="J298" i="3"/>
  <c r="J297" i="3"/>
  <c r="J296" i="3"/>
  <c r="J291" i="3"/>
  <c r="J290" i="3"/>
  <c r="J289" i="3"/>
  <c r="O292" i="3" s="1"/>
  <c r="J288" i="3"/>
  <c r="J283" i="3"/>
  <c r="J282" i="3"/>
  <c r="J281" i="3"/>
  <c r="J280" i="3"/>
  <c r="J275" i="3"/>
  <c r="J274" i="3"/>
  <c r="J273" i="3"/>
  <c r="J272" i="3"/>
  <c r="J271" i="3"/>
  <c r="J270" i="3"/>
  <c r="J269" i="3"/>
  <c r="J268" i="3"/>
  <c r="J263" i="3"/>
  <c r="J262" i="3"/>
  <c r="J261" i="3"/>
  <c r="J260" i="3"/>
  <c r="J259" i="3"/>
  <c r="J258" i="3"/>
  <c r="J257" i="3"/>
  <c r="J256" i="3"/>
  <c r="J255" i="3"/>
  <c r="J254" i="3"/>
  <c r="J249" i="3"/>
  <c r="F248" i="3"/>
  <c r="F247" i="3"/>
  <c r="F246" i="3"/>
  <c r="F245" i="3"/>
  <c r="J240" i="3"/>
  <c r="F240" i="3"/>
  <c r="F239" i="3"/>
  <c r="J239" i="3" s="1"/>
  <c r="J238" i="3"/>
  <c r="F238" i="3"/>
  <c r="J237" i="3"/>
  <c r="F237" i="3"/>
  <c r="J232" i="3"/>
  <c r="F232" i="3"/>
  <c r="F231" i="3"/>
  <c r="J231" i="3" s="1"/>
  <c r="F230" i="3"/>
  <c r="J230" i="3" s="1"/>
  <c r="J229" i="3"/>
  <c r="F229" i="3"/>
  <c r="J228" i="3"/>
  <c r="F228" i="3"/>
  <c r="F227" i="3"/>
  <c r="J227" i="3" s="1"/>
  <c r="J226" i="3"/>
  <c r="F226" i="3"/>
  <c r="J225" i="3"/>
  <c r="F225" i="3"/>
  <c r="J220" i="3"/>
  <c r="K219" i="3"/>
  <c r="L219" i="3" s="1"/>
  <c r="F219" i="3"/>
  <c r="L218" i="3"/>
  <c r="M218" i="3" s="1"/>
  <c r="K218" i="3"/>
  <c r="F218" i="3"/>
  <c r="J216" i="3"/>
  <c r="K215" i="3"/>
  <c r="L215" i="3" s="1"/>
  <c r="M215" i="3" s="1"/>
  <c r="F215" i="3"/>
  <c r="L214" i="3"/>
  <c r="K214" i="3"/>
  <c r="F214" i="3"/>
  <c r="J209" i="3"/>
  <c r="J208" i="3"/>
  <c r="J207" i="3"/>
  <c r="J206" i="3"/>
  <c r="J205" i="3"/>
  <c r="J204" i="3"/>
  <c r="J203" i="3"/>
  <c r="J200" i="3"/>
  <c r="J199" i="3"/>
  <c r="J201" i="3" s="1"/>
  <c r="M199" i="3" s="1"/>
  <c r="J196" i="3"/>
  <c r="J195" i="3"/>
  <c r="M189" i="3"/>
  <c r="J189" i="3"/>
  <c r="K188" i="3" s="1"/>
  <c r="M188" i="3"/>
  <c r="L188" i="3"/>
  <c r="J188" i="3"/>
  <c r="L187" i="3"/>
  <c r="L189" i="3" s="1"/>
  <c r="K187" i="3"/>
  <c r="J187" i="3"/>
  <c r="M187" i="3" s="1"/>
  <c r="J184" i="3"/>
  <c r="M183" i="3"/>
  <c r="L183" i="3"/>
  <c r="J183" i="3"/>
  <c r="M178" i="3"/>
  <c r="L178" i="3"/>
  <c r="J178" i="3"/>
  <c r="J176" i="3"/>
  <c r="M175" i="3"/>
  <c r="L175" i="3"/>
  <c r="J175" i="3"/>
  <c r="J174" i="3"/>
  <c r="L174" i="3" s="1"/>
  <c r="L176" i="3" s="1"/>
  <c r="M172" i="3"/>
  <c r="L171" i="3"/>
  <c r="J171" i="3"/>
  <c r="M171" i="3" s="1"/>
  <c r="M170" i="3"/>
  <c r="L170" i="3"/>
  <c r="L172" i="3" s="1"/>
  <c r="J170" i="3"/>
  <c r="J172" i="3" s="1"/>
  <c r="K170" i="3" s="1"/>
  <c r="J167" i="3"/>
  <c r="L167" i="3" s="1"/>
  <c r="L166" i="3"/>
  <c r="L168" i="3" s="1"/>
  <c r="J166" i="3"/>
  <c r="M166" i="3" s="1"/>
  <c r="F161" i="3"/>
  <c r="J161" i="3" s="1"/>
  <c r="J156" i="3"/>
  <c r="J154" i="3"/>
  <c r="M152" i="3"/>
  <c r="L152" i="3"/>
  <c r="J151" i="3"/>
  <c r="J150" i="3"/>
  <c r="J152" i="3" s="1"/>
  <c r="K151" i="3" s="1"/>
  <c r="J145" i="3"/>
  <c r="F145" i="3"/>
  <c r="J143" i="3"/>
  <c r="F143" i="3"/>
  <c r="J141" i="3"/>
  <c r="F141" i="3"/>
  <c r="F139" i="3"/>
  <c r="J139" i="3" s="1"/>
  <c r="J133" i="3"/>
  <c r="F133" i="3"/>
  <c r="J131" i="3"/>
  <c r="F131" i="3"/>
  <c r="J129" i="3"/>
  <c r="F129" i="3"/>
  <c r="F127" i="3"/>
  <c r="J127" i="3" s="1"/>
  <c r="F124" i="3"/>
  <c r="J124" i="3" s="1"/>
  <c r="F123" i="3"/>
  <c r="J123" i="3" s="1"/>
  <c r="J118" i="3"/>
  <c r="M116" i="3"/>
  <c r="L116" i="3"/>
  <c r="J115" i="3"/>
  <c r="K115" i="3" s="1"/>
  <c r="J114" i="3"/>
  <c r="K114" i="3" s="1"/>
  <c r="M112" i="3"/>
  <c r="L112" i="3"/>
  <c r="J112" i="3"/>
  <c r="J111" i="3"/>
  <c r="K111" i="3" s="1"/>
  <c r="K110" i="3"/>
  <c r="J110" i="3"/>
  <c r="M108" i="3"/>
  <c r="L108" i="3"/>
  <c r="K107" i="3"/>
  <c r="J107" i="3"/>
  <c r="J106" i="3"/>
  <c r="J108" i="3" s="1"/>
  <c r="M104" i="3"/>
  <c r="L104" i="3"/>
  <c r="J104" i="3"/>
  <c r="J103" i="3"/>
  <c r="K103" i="3" s="1"/>
  <c r="J102" i="3"/>
  <c r="K102" i="3" s="1"/>
  <c r="M96" i="3"/>
  <c r="J96" i="3"/>
  <c r="L96" i="3" s="1"/>
  <c r="J95" i="3"/>
  <c r="L95" i="3" s="1"/>
  <c r="L97" i="3" s="1"/>
  <c r="M90" i="3"/>
  <c r="J90" i="3"/>
  <c r="L90" i="3" s="1"/>
  <c r="J89" i="3"/>
  <c r="M89" i="3" s="1"/>
  <c r="J88" i="3"/>
  <c r="M88" i="3" s="1"/>
  <c r="J85" i="3"/>
  <c r="L85" i="3" s="1"/>
  <c r="L86" i="3" s="1"/>
  <c r="M84" i="3"/>
  <c r="L84" i="3"/>
  <c r="J84" i="3"/>
  <c r="J86" i="3" s="1"/>
  <c r="M81" i="3"/>
  <c r="L81" i="3"/>
  <c r="L82" i="3" s="1"/>
  <c r="J81" i="3"/>
  <c r="K81" i="3" s="1"/>
  <c r="L80" i="3"/>
  <c r="J80" i="3"/>
  <c r="J82" i="3" s="1"/>
  <c r="M77" i="3"/>
  <c r="J77" i="3"/>
  <c r="K80" i="3" s="1"/>
  <c r="L76" i="3"/>
  <c r="K76" i="3"/>
  <c r="J76" i="3"/>
  <c r="M76" i="3" s="1"/>
  <c r="M78" i="3" s="1"/>
  <c r="J73" i="3"/>
  <c r="M73" i="3" s="1"/>
  <c r="L72" i="3"/>
  <c r="J72" i="3"/>
  <c r="M72" i="3" s="1"/>
  <c r="M74" i="3" s="1"/>
  <c r="M70" i="3"/>
  <c r="L70" i="3"/>
  <c r="M68" i="3"/>
  <c r="L68" i="3"/>
  <c r="J68" i="3"/>
  <c r="J65" i="3"/>
  <c r="M65" i="3" s="1"/>
  <c r="L64" i="3"/>
  <c r="J64" i="3"/>
  <c r="M64" i="3" s="1"/>
  <c r="J63" i="3"/>
  <c r="M63" i="3" s="1"/>
  <c r="J60" i="3"/>
  <c r="L60" i="3" s="1"/>
  <c r="M59" i="3"/>
  <c r="J59" i="3"/>
  <c r="L59" i="3" s="1"/>
  <c r="J58" i="3"/>
  <c r="L58" i="3" s="1"/>
  <c r="L61" i="3" s="1"/>
  <c r="M56" i="3"/>
  <c r="M55" i="3"/>
  <c r="L55" i="3"/>
  <c r="J55" i="3"/>
  <c r="M54" i="3"/>
  <c r="L54" i="3"/>
  <c r="J54" i="3"/>
  <c r="K54" i="3" s="1"/>
  <c r="M53" i="3"/>
  <c r="L53" i="3"/>
  <c r="J53" i="3"/>
  <c r="M52" i="3"/>
  <c r="L52" i="3"/>
  <c r="L56" i="3" s="1"/>
  <c r="J52" i="3"/>
  <c r="K55" i="3" s="1"/>
  <c r="L49" i="3"/>
  <c r="K49" i="3"/>
  <c r="J49" i="3"/>
  <c r="M49" i="3" s="1"/>
  <c r="M48" i="3"/>
  <c r="J48" i="3"/>
  <c r="L48" i="3" s="1"/>
  <c r="L47" i="3"/>
  <c r="K47" i="3"/>
  <c r="J47" i="3"/>
  <c r="M47" i="3" s="1"/>
  <c r="M46" i="3"/>
  <c r="J46" i="3"/>
  <c r="J50" i="3" s="1"/>
  <c r="J42" i="3"/>
  <c r="J40" i="3"/>
  <c r="J38" i="3"/>
  <c r="M36" i="3"/>
  <c r="L36" i="3"/>
  <c r="J35" i="3"/>
  <c r="K35" i="3" s="1"/>
  <c r="J34" i="3"/>
  <c r="K34" i="3" s="1"/>
  <c r="K33" i="3"/>
  <c r="J33" i="3"/>
  <c r="J36" i="3" s="1"/>
  <c r="M31" i="3"/>
  <c r="L31" i="3"/>
  <c r="J30" i="3"/>
  <c r="J29" i="3"/>
  <c r="K29" i="3" s="1"/>
  <c r="J28" i="3"/>
  <c r="K30" i="3" s="1"/>
  <c r="M24" i="3"/>
  <c r="L24" i="3"/>
  <c r="J23" i="3"/>
  <c r="J24" i="3" s="1"/>
  <c r="K22" i="3"/>
  <c r="J22" i="3"/>
  <c r="M20" i="3"/>
  <c r="L20" i="3"/>
  <c r="J19" i="3"/>
  <c r="J18" i="3"/>
  <c r="K19" i="3" s="1"/>
  <c r="J13" i="3"/>
  <c r="J11" i="3"/>
  <c r="J8" i="3"/>
  <c r="L8" i="3" s="1"/>
  <c r="M7" i="3"/>
  <c r="D505" i="2"/>
  <c r="D503" i="2"/>
  <c r="D501" i="2"/>
  <c r="D486" i="2"/>
  <c r="E486" i="2" s="1"/>
  <c r="C480" i="2"/>
  <c r="C499" i="2" s="1"/>
  <c r="J463" i="2"/>
  <c r="J462" i="2"/>
  <c r="J461" i="2"/>
  <c r="F480" i="2" s="1"/>
  <c r="J460" i="2"/>
  <c r="F463" i="2" s="1"/>
  <c r="J459" i="2"/>
  <c r="C459" i="2"/>
  <c r="D443" i="2"/>
  <c r="E443" i="2" s="1"/>
  <c r="F443" i="2" s="1"/>
  <c r="G443" i="2" s="1"/>
  <c r="D441" i="2"/>
  <c r="E441" i="2" s="1"/>
  <c r="F441" i="2" s="1"/>
  <c r="G441" i="2" s="1"/>
  <c r="C441" i="2"/>
  <c r="K421" i="2"/>
  <c r="M419" i="2"/>
  <c r="M421" i="2" s="1"/>
  <c r="L419" i="2"/>
  <c r="D465" i="2" s="1"/>
  <c r="E465" i="2" s="1"/>
  <c r="K419" i="2"/>
  <c r="J419" i="2"/>
  <c r="C465" i="2" s="1"/>
  <c r="C486" i="2" s="1"/>
  <c r="C505" i="2" s="1"/>
  <c r="F419" i="2"/>
  <c r="K301" i="2"/>
  <c r="M299" i="2"/>
  <c r="L299" i="2"/>
  <c r="D463" i="2" s="1"/>
  <c r="E463" i="2" s="1"/>
  <c r="K299" i="2"/>
  <c r="J299" i="2"/>
  <c r="C463" i="2" s="1"/>
  <c r="C484" i="2" s="1"/>
  <c r="C503" i="2" s="1"/>
  <c r="F299" i="2"/>
  <c r="K268" i="2"/>
  <c r="M266" i="2"/>
  <c r="L266" i="2"/>
  <c r="D461" i="2" s="1"/>
  <c r="E461" i="2" s="1"/>
  <c r="K266" i="2"/>
  <c r="J266" i="2"/>
  <c r="C461" i="2" s="1"/>
  <c r="C482" i="2" s="1"/>
  <c r="C501" i="2" s="1"/>
  <c r="F266" i="2"/>
  <c r="K76" i="2"/>
  <c r="M74" i="2"/>
  <c r="D480" i="2" s="1"/>
  <c r="E480" i="2" s="1"/>
  <c r="L74" i="2"/>
  <c r="D459" i="2" s="1"/>
  <c r="K74" i="2"/>
  <c r="D439" i="2" s="1"/>
  <c r="J74" i="2"/>
  <c r="C439" i="2" s="1"/>
  <c r="F74" i="2"/>
  <c r="C190" i="1"/>
  <c r="C189" i="1"/>
  <c r="C188" i="1"/>
  <c r="C187" i="1"/>
  <c r="D182" i="1"/>
  <c r="D174" i="1"/>
  <c r="D172" i="1"/>
  <c r="D166" i="1"/>
  <c r="D165" i="1"/>
  <c r="D149" i="1"/>
  <c r="D148" i="1"/>
  <c r="D127" i="1"/>
  <c r="D124" i="1"/>
  <c r="D123" i="1"/>
  <c r="D119" i="1"/>
  <c r="D108" i="1"/>
  <c r="D107" i="1" s="1"/>
  <c r="D86" i="1"/>
  <c r="D83" i="1"/>
  <c r="D70" i="1"/>
  <c r="D66" i="1"/>
  <c r="D62" i="1"/>
  <c r="D58" i="1"/>
  <c r="D54" i="1"/>
  <c r="D50" i="1"/>
  <c r="D45" i="1"/>
  <c r="D37" i="1"/>
  <c r="D25" i="1"/>
  <c r="R42" i="14" l="1"/>
  <c r="U42" i="14" s="1"/>
  <c r="J77" i="14"/>
  <c r="U20" i="14"/>
  <c r="V20" i="14" s="1"/>
  <c r="M23" i="14"/>
  <c r="U30" i="14"/>
  <c r="V30" i="14" s="1"/>
  <c r="R39" i="14"/>
  <c r="U39" i="14" s="1"/>
  <c r="M39" i="14"/>
  <c r="U64" i="14"/>
  <c r="V64" i="14" s="1"/>
  <c r="Q10" i="14"/>
  <c r="V10" i="14" s="1"/>
  <c r="W10" i="14" s="1"/>
  <c r="X50" i="14"/>
  <c r="X31" i="14"/>
  <c r="Q53" i="14"/>
  <c r="V53" i="14" s="1"/>
  <c r="W53" i="14" s="1"/>
  <c r="X53" i="14" s="1"/>
  <c r="M75" i="14"/>
  <c r="R75" i="14"/>
  <c r="U75" i="14" s="1"/>
  <c r="Q31" i="14"/>
  <c r="R50" i="14"/>
  <c r="U50" i="14" s="1"/>
  <c r="U58" i="14"/>
  <c r="V58" i="14" s="1"/>
  <c r="Q17" i="14"/>
  <c r="V17" i="14" s="1"/>
  <c r="W17" i="14" s="1"/>
  <c r="X17" i="14" s="1"/>
  <c r="Q20" i="14"/>
  <c r="O32" i="15"/>
  <c r="V32" i="15" s="1"/>
  <c r="Z49" i="15"/>
  <c r="N53" i="15"/>
  <c r="U53" i="15" s="1"/>
  <c r="M59" i="15"/>
  <c r="T59" i="15" s="1"/>
  <c r="N34" i="15"/>
  <c r="U34" i="15" s="1"/>
  <c r="I38" i="15"/>
  <c r="M38" i="15" s="1"/>
  <c r="T38" i="15" s="1"/>
  <c r="N44" i="15"/>
  <c r="U44" i="15" s="1"/>
  <c r="X49" i="15"/>
  <c r="Q61" i="15"/>
  <c r="M28" i="15"/>
  <c r="T28" i="15" s="1"/>
  <c r="L55" i="15"/>
  <c r="Q55" i="15" s="1"/>
  <c r="O28" i="15"/>
  <c r="V28" i="15" s="1"/>
  <c r="N36" i="15"/>
  <c r="U36" i="15" s="1"/>
  <c r="N38" i="15"/>
  <c r="U38" i="15" s="1"/>
  <c r="X42" i="15"/>
  <c r="L53" i="15"/>
  <c r="M61" i="15"/>
  <c r="T61" i="15" s="1"/>
  <c r="O30" i="15"/>
  <c r="V30" i="15" s="1"/>
  <c r="Z34" i="15"/>
  <c r="X36" i="15"/>
  <c r="N42" i="15"/>
  <c r="U42" i="15" s="1"/>
  <c r="Y44" i="15"/>
  <c r="I49" i="15"/>
  <c r="L49" i="15" s="1"/>
  <c r="Q49" i="15" s="1"/>
  <c r="F61" i="15"/>
  <c r="R61" i="15" s="1"/>
  <c r="S61" i="15" s="1"/>
  <c r="Y36" i="15"/>
  <c r="S46" i="15"/>
  <c r="X34" i="15"/>
  <c r="F36" i="15"/>
  <c r="M46" i="15"/>
  <c r="T46" i="15" s="1"/>
  <c r="F59" i="15"/>
  <c r="W59" i="15" s="1"/>
  <c r="Z30" i="15"/>
  <c r="X28" i="15"/>
  <c r="I34" i="15"/>
  <c r="M34" i="15" s="1"/>
  <c r="T34" i="15" s="1"/>
  <c r="O40" i="15"/>
  <c r="V40" i="15" s="1"/>
  <c r="J27" i="12"/>
  <c r="L27" i="12" s="1"/>
  <c r="D54" i="12" s="1"/>
  <c r="D118" i="1" s="1"/>
  <c r="G30" i="22"/>
  <c r="L30" i="22"/>
  <c r="U30" i="22"/>
  <c r="E30" i="22"/>
  <c r="P30" i="22"/>
  <c r="J30" i="22"/>
  <c r="X30" i="22"/>
  <c r="H30" i="22"/>
  <c r="Z30" i="22"/>
  <c r="M30" i="22"/>
  <c r="D30" i="22"/>
  <c r="Q30" i="22"/>
  <c r="AA31" i="22"/>
  <c r="O30" i="22"/>
  <c r="W30" i="22"/>
  <c r="W45" i="14"/>
  <c r="X45" i="14" s="1"/>
  <c r="W61" i="14"/>
  <c r="X61" i="14" s="1"/>
  <c r="W68" i="14"/>
  <c r="X68" i="14" s="1"/>
  <c r="W46" i="14"/>
  <c r="X46" i="14" s="1"/>
  <c r="W58" i="14"/>
  <c r="X58" i="14" s="1"/>
  <c r="W31" i="14"/>
  <c r="W38" i="14"/>
  <c r="X38" i="14" s="1"/>
  <c r="W63" i="14"/>
  <c r="X63" i="14" s="1"/>
  <c r="W66" i="14"/>
  <c r="X66" i="14" s="1"/>
  <c r="M301" i="2"/>
  <c r="G480" i="2"/>
  <c r="E499" i="2" s="1"/>
  <c r="W13" i="14"/>
  <c r="X13" i="14" s="1"/>
  <c r="W55" i="14"/>
  <c r="X55" i="14" s="1"/>
  <c r="L301" i="2"/>
  <c r="W20" i="14"/>
  <c r="X20" i="14" s="1"/>
  <c r="W30" i="14"/>
  <c r="X30" i="14" s="1"/>
  <c r="W11" i="14"/>
  <c r="X11" i="14" s="1"/>
  <c r="W16" i="14"/>
  <c r="X16" i="14" s="1"/>
  <c r="W26" i="14"/>
  <c r="X26" i="14" s="1"/>
  <c r="G463" i="2"/>
  <c r="F503" i="2" s="1"/>
  <c r="L421" i="2"/>
  <c r="L76" i="2"/>
  <c r="E9" i="7"/>
  <c r="D55" i="1" s="1"/>
  <c r="L31" i="22"/>
  <c r="K32" i="22"/>
  <c r="O31" i="22"/>
  <c r="N32" i="22"/>
  <c r="E32" i="22"/>
  <c r="Q31" i="22"/>
  <c r="R32" i="22"/>
  <c r="U31" i="22"/>
  <c r="W32" i="22"/>
  <c r="X31" i="22"/>
  <c r="F31" i="22"/>
  <c r="H31" i="22"/>
  <c r="H32" i="22"/>
  <c r="G31" i="22"/>
  <c r="P31" i="22"/>
  <c r="Y31" i="22"/>
  <c r="J32" i="22"/>
  <c r="T32" i="22"/>
  <c r="I31" i="22"/>
  <c r="S31" i="22"/>
  <c r="AB31" i="22"/>
  <c r="D177" i="1" s="1"/>
  <c r="L32" i="22"/>
  <c r="K31" i="22"/>
  <c r="T31" i="22"/>
  <c r="D32" i="22"/>
  <c r="M32" i="22"/>
  <c r="D31" i="22"/>
  <c r="M31" i="22"/>
  <c r="V31" i="22"/>
  <c r="F32" i="22"/>
  <c r="O32" i="22"/>
  <c r="E31" i="22"/>
  <c r="N31" i="22"/>
  <c r="W31" i="22"/>
  <c r="G32" i="22"/>
  <c r="P32" i="22"/>
  <c r="F28" i="18"/>
  <c r="Y30" i="22"/>
  <c r="K82" i="14"/>
  <c r="AB30" i="22"/>
  <c r="D176" i="1" s="1"/>
  <c r="R30" i="22"/>
  <c r="I30" i="22"/>
  <c r="T30" i="22"/>
  <c r="F50" i="18"/>
  <c r="E10" i="7"/>
  <c r="J70" i="18"/>
  <c r="K70" i="18" s="1"/>
  <c r="C87" i="18" s="1"/>
  <c r="L30" i="19"/>
  <c r="C40" i="19" s="1"/>
  <c r="S32" i="22"/>
  <c r="L268" i="2"/>
  <c r="F27" i="18"/>
  <c r="K8" i="21"/>
  <c r="M8" i="21" s="1"/>
  <c r="K16" i="21"/>
  <c r="M16" i="21" s="1"/>
  <c r="K30" i="22"/>
  <c r="S30" i="22"/>
  <c r="AA30" i="22"/>
  <c r="Z32" i="22"/>
  <c r="F482" i="2"/>
  <c r="AA203" i="21"/>
  <c r="AC203" i="21" s="1"/>
  <c r="AA215" i="21"/>
  <c r="AC215" i="21" s="1"/>
  <c r="AA200" i="21"/>
  <c r="AC200" i="21" s="1"/>
  <c r="F484" i="2"/>
  <c r="E8" i="7"/>
  <c r="E11" i="7"/>
  <c r="D63" i="1" s="1"/>
  <c r="W43" i="14"/>
  <c r="X43" i="14" s="1"/>
  <c r="W69" i="14"/>
  <c r="X69" i="14" s="1"/>
  <c r="O82" i="14"/>
  <c r="N6" i="19"/>
  <c r="D20" i="19" s="1"/>
  <c r="L13" i="19"/>
  <c r="Q5" i="20"/>
  <c r="W5" i="20" s="1"/>
  <c r="Y5" i="20" s="1"/>
  <c r="C31" i="20" s="1"/>
  <c r="F30" i="22"/>
  <c r="N30" i="22"/>
  <c r="F486" i="2"/>
  <c r="G486" i="2" s="1"/>
  <c r="E505" i="2" s="1"/>
  <c r="F18" i="9"/>
  <c r="G18" i="9" s="1"/>
  <c r="D46" i="9" s="1"/>
  <c r="V82" i="14"/>
  <c r="L29" i="19"/>
  <c r="C39" i="19" s="1"/>
  <c r="W64" i="14"/>
  <c r="X64" i="14" s="1"/>
  <c r="K7" i="21"/>
  <c r="M7" i="21" s="1"/>
  <c r="U52" i="21"/>
  <c r="W52" i="21" s="1"/>
  <c r="M268" i="2"/>
  <c r="U33" i="21"/>
  <c r="W33" i="21" s="1"/>
  <c r="U38" i="21"/>
  <c r="W38" i="21" s="1"/>
  <c r="U42" i="21"/>
  <c r="W42" i="21" s="1"/>
  <c r="U47" i="21"/>
  <c r="W47" i="21" s="1"/>
  <c r="AA16" i="20"/>
  <c r="AG16" i="20" s="1"/>
  <c r="AK16" i="20" s="1"/>
  <c r="AM16" i="20" s="1"/>
  <c r="C32" i="20" s="1"/>
  <c r="D164" i="1" s="1"/>
  <c r="F459" i="2"/>
  <c r="K12" i="21"/>
  <c r="M12" i="21" s="1"/>
  <c r="K21" i="21"/>
  <c r="M21" i="21" s="1"/>
  <c r="U53" i="21"/>
  <c r="W53" i="21" s="1"/>
  <c r="U57" i="21"/>
  <c r="W57" i="21" s="1"/>
  <c r="U60" i="21"/>
  <c r="W60" i="21" s="1"/>
  <c r="AA204" i="21"/>
  <c r="AC204" i="21" s="1"/>
  <c r="AA216" i="21"/>
  <c r="AC216" i="21" s="1"/>
  <c r="AA220" i="21"/>
  <c r="AC220" i="21" s="1"/>
  <c r="AA32" i="22"/>
  <c r="AE27" i="8"/>
  <c r="E58" i="8" s="1"/>
  <c r="K13" i="21"/>
  <c r="M13" i="21" s="1"/>
  <c r="K17" i="21"/>
  <c r="M17" i="21" s="1"/>
  <c r="K22" i="21"/>
  <c r="M22" i="21" s="1"/>
  <c r="U35" i="21"/>
  <c r="W35" i="21" s="1"/>
  <c r="U44" i="21"/>
  <c r="W44" i="21" s="1"/>
  <c r="AA201" i="21"/>
  <c r="AC201" i="21" s="1"/>
  <c r="AA221" i="21"/>
  <c r="AC221" i="21" s="1"/>
  <c r="D61" i="1"/>
  <c r="F23" i="10"/>
  <c r="G23" i="10" s="1"/>
  <c r="F55" i="10" s="1"/>
  <c r="F29" i="10"/>
  <c r="G29" i="10" s="1"/>
  <c r="F61" i="10" s="1"/>
  <c r="M10" i="20"/>
  <c r="S10" i="20" s="1"/>
  <c r="U10" i="20" s="1"/>
  <c r="K9" i="21"/>
  <c r="M9" i="21" s="1"/>
  <c r="U39" i="21"/>
  <c r="W39" i="21" s="1"/>
  <c r="U54" i="21"/>
  <c r="W54" i="21" s="1"/>
  <c r="U58" i="21"/>
  <c r="W58" i="21" s="1"/>
  <c r="AA205" i="21"/>
  <c r="AC205" i="21" s="1"/>
  <c r="F461" i="2"/>
  <c r="G461" i="2" s="1"/>
  <c r="F501" i="2" s="1"/>
  <c r="X28" i="8"/>
  <c r="D68" i="1" s="1"/>
  <c r="Y22" i="20"/>
  <c r="AA22" i="20" s="1"/>
  <c r="C35" i="20" s="1"/>
  <c r="C33" i="20" s="1"/>
  <c r="K14" i="21"/>
  <c r="M14" i="21" s="1"/>
  <c r="K23" i="21"/>
  <c r="M23" i="21" s="1"/>
  <c r="U48" i="21"/>
  <c r="W48" i="21" s="1"/>
  <c r="AA202" i="21"/>
  <c r="AC202" i="21" s="1"/>
  <c r="AA206" i="21"/>
  <c r="AC206" i="21" s="1"/>
  <c r="F24" i="10"/>
  <c r="G24" i="10" s="1"/>
  <c r="F56" i="10" s="1"/>
  <c r="K18" i="21"/>
  <c r="M18" i="21" s="1"/>
  <c r="K24" i="21"/>
  <c r="M24" i="21" s="1"/>
  <c r="U36" i="21"/>
  <c r="W36" i="21" s="1"/>
  <c r="U40" i="21"/>
  <c r="W40" i="21" s="1"/>
  <c r="U45" i="21"/>
  <c r="W45" i="21" s="1"/>
  <c r="X38" i="8"/>
  <c r="K15" i="21"/>
  <c r="M15" i="21" s="1"/>
  <c r="K19" i="21"/>
  <c r="M19" i="21" s="1"/>
  <c r="U37" i="21"/>
  <c r="W37" i="21" s="1"/>
  <c r="U46" i="21"/>
  <c r="W46" i="21" s="1"/>
  <c r="U51" i="21"/>
  <c r="W51" i="21" s="1"/>
  <c r="U55" i="21"/>
  <c r="W55" i="21" s="1"/>
  <c r="U59" i="21"/>
  <c r="W59" i="21" s="1"/>
  <c r="AA207" i="21"/>
  <c r="AC207" i="21" s="1"/>
  <c r="AA218" i="21"/>
  <c r="AC218" i="21" s="1"/>
  <c r="AE38" i="8"/>
  <c r="K11" i="21"/>
  <c r="M11" i="21" s="1"/>
  <c r="U41" i="21"/>
  <c r="W41" i="21" s="1"/>
  <c r="X32" i="22"/>
  <c r="D468" i="2"/>
  <c r="E459" i="2"/>
  <c r="M50" i="3"/>
  <c r="K123" i="3"/>
  <c r="J125" i="3"/>
  <c r="M123" i="3"/>
  <c r="L123" i="3"/>
  <c r="D445" i="2"/>
  <c r="D499" i="2"/>
  <c r="E439" i="2"/>
  <c r="M124" i="3"/>
  <c r="L124" i="3"/>
  <c r="K124" i="3"/>
  <c r="M214" i="3"/>
  <c r="M66" i="3"/>
  <c r="K73" i="3"/>
  <c r="J97" i="3"/>
  <c r="D484" i="2"/>
  <c r="E484" i="2" s="1"/>
  <c r="M8" i="3"/>
  <c r="J20" i="3"/>
  <c r="J31" i="3"/>
  <c r="K46" i="3"/>
  <c r="K48" i="3"/>
  <c r="M58" i="3"/>
  <c r="M61" i="3" s="1"/>
  <c r="M60" i="3"/>
  <c r="J66" i="3"/>
  <c r="J74" i="3"/>
  <c r="K77" i="3"/>
  <c r="L89" i="3"/>
  <c r="M95" i="3"/>
  <c r="M97" i="3" s="1"/>
  <c r="K106" i="3"/>
  <c r="K150" i="3"/>
  <c r="M167" i="3"/>
  <c r="M168" i="3" s="1"/>
  <c r="M174" i="3"/>
  <c r="M176" i="3" s="1"/>
  <c r="J185" i="3"/>
  <c r="K184" i="3" s="1"/>
  <c r="M200" i="3"/>
  <c r="D68" i="4"/>
  <c r="D55" i="4"/>
  <c r="D41" i="4"/>
  <c r="V33" i="5"/>
  <c r="V40" i="5" s="1"/>
  <c r="U59" i="5"/>
  <c r="U86" i="5" s="1"/>
  <c r="C55" i="6"/>
  <c r="L36" i="6"/>
  <c r="T39" i="8"/>
  <c r="V39" i="8" s="1"/>
  <c r="X39" i="8" s="1"/>
  <c r="AA39" i="8"/>
  <c r="AC39" i="8" s="1"/>
  <c r="AE39" i="8" s="1"/>
  <c r="K18" i="3"/>
  <c r="K199" i="3"/>
  <c r="C443" i="2"/>
  <c r="F465" i="2"/>
  <c r="G465" i="2" s="1"/>
  <c r="F505" i="2" s="1"/>
  <c r="J9" i="3"/>
  <c r="L46" i="3"/>
  <c r="L50" i="3" s="1"/>
  <c r="J61" i="3"/>
  <c r="K64" i="3"/>
  <c r="K72" i="3"/>
  <c r="L77" i="3"/>
  <c r="L78" i="3" s="1"/>
  <c r="M80" i="3"/>
  <c r="M82" i="3" s="1"/>
  <c r="J116" i="3"/>
  <c r="J168" i="3"/>
  <c r="K171" i="3"/>
  <c r="K175" i="3"/>
  <c r="K200" i="3"/>
  <c r="V59" i="5"/>
  <c r="V86" i="5" s="1"/>
  <c r="C57" i="8"/>
  <c r="G12" i="9"/>
  <c r="K7" i="3"/>
  <c r="J56" i="3"/>
  <c r="K96" i="3"/>
  <c r="L200" i="3"/>
  <c r="M72" i="5"/>
  <c r="E72" i="5"/>
  <c r="E76" i="5" s="1"/>
  <c r="E78" i="5" s="1"/>
  <c r="L72" i="5"/>
  <c r="D72" i="5"/>
  <c r="K72" i="5"/>
  <c r="C72" i="5"/>
  <c r="C76" i="5" s="1"/>
  <c r="J72" i="5"/>
  <c r="J76" i="5" s="1"/>
  <c r="J78" i="5" s="1"/>
  <c r="I72" i="5"/>
  <c r="I64" i="5"/>
  <c r="F72" i="5"/>
  <c r="F76" i="5" s="1"/>
  <c r="F78" i="5" s="1"/>
  <c r="K59" i="3"/>
  <c r="K84" i="3"/>
  <c r="D482" i="2"/>
  <c r="E482" i="2" s="1"/>
  <c r="L7" i="3"/>
  <c r="K28" i="3"/>
  <c r="K52" i="3"/>
  <c r="J78" i="3"/>
  <c r="K166" i="3"/>
  <c r="I16" i="4"/>
  <c r="G28" i="4" s="1"/>
  <c r="X62" i="5"/>
  <c r="F8" i="7"/>
  <c r="D13" i="7"/>
  <c r="K63" i="3"/>
  <c r="L88" i="3"/>
  <c r="G15" i="10"/>
  <c r="D55" i="10"/>
  <c r="G44" i="10"/>
  <c r="E61" i="10" s="1"/>
  <c r="M76" i="2"/>
  <c r="K8" i="3"/>
  <c r="K23" i="3"/>
  <c r="K58" i="3"/>
  <c r="K60" i="3"/>
  <c r="L63" i="3"/>
  <c r="L65" i="3"/>
  <c r="L73" i="3"/>
  <c r="L74" i="3" s="1"/>
  <c r="K85" i="3"/>
  <c r="M85" i="3" s="1"/>
  <c r="M86" i="3" s="1"/>
  <c r="K95" i="3"/>
  <c r="K167" i="3"/>
  <c r="K174" i="3"/>
  <c r="M184" i="3"/>
  <c r="M185" i="3" s="1"/>
  <c r="M318" i="3" s="1"/>
  <c r="M320" i="3" s="1"/>
  <c r="M323" i="3" s="1"/>
  <c r="L184" i="3"/>
  <c r="L185" i="3" s="1"/>
  <c r="L199" i="3"/>
  <c r="E28" i="4"/>
  <c r="H72" i="5"/>
  <c r="H76" i="5" s="1"/>
  <c r="H78" i="5" s="1"/>
  <c r="K65" i="3"/>
  <c r="D28" i="4"/>
  <c r="K53" i="3"/>
  <c r="M219" i="3"/>
  <c r="D64" i="4"/>
  <c r="D51" i="4"/>
  <c r="G29" i="4"/>
  <c r="G24" i="4"/>
  <c r="G19" i="4"/>
  <c r="G25" i="4"/>
  <c r="G20" i="4"/>
  <c r="D37" i="4"/>
  <c r="D43" i="4" s="1"/>
  <c r="G27" i="4"/>
  <c r="G21" i="4"/>
  <c r="G23" i="4"/>
  <c r="U33" i="5"/>
  <c r="U40" i="5"/>
  <c r="W86" i="5"/>
  <c r="C56" i="6"/>
  <c r="K36" i="6"/>
  <c r="W33" i="5"/>
  <c r="W40" i="5" s="1"/>
  <c r="R40" i="5"/>
  <c r="F21" i="9"/>
  <c r="G21" i="9" s="1"/>
  <c r="D49" i="9" s="1"/>
  <c r="F33" i="9"/>
  <c r="G33" i="9" s="1"/>
  <c r="E48" i="9" s="1"/>
  <c r="F27" i="10"/>
  <c r="G27" i="10" s="1"/>
  <c r="F59" i="10" s="1"/>
  <c r="F39" i="10"/>
  <c r="G39" i="10" s="1"/>
  <c r="E56" i="10" s="1"/>
  <c r="G106" i="11"/>
  <c r="G55" i="11"/>
  <c r="H55" i="11" s="1"/>
  <c r="G59" i="11"/>
  <c r="H59" i="11" s="1"/>
  <c r="G121" i="11" s="1"/>
  <c r="G51" i="11"/>
  <c r="H51" i="11" s="1"/>
  <c r="G43" i="11"/>
  <c r="H43" i="11" s="1"/>
  <c r="G105" i="11" s="1"/>
  <c r="G107" i="11"/>
  <c r="G115" i="11"/>
  <c r="G48" i="11"/>
  <c r="H48" i="11" s="1"/>
  <c r="G110" i="11" s="1"/>
  <c r="G75" i="11"/>
  <c r="H75" i="11" s="1"/>
  <c r="G91" i="11"/>
  <c r="H91" i="11" s="1"/>
  <c r="F122" i="11" s="1"/>
  <c r="V59" i="14"/>
  <c r="W59" i="14" s="1"/>
  <c r="U72" i="14"/>
  <c r="V72" i="14" s="1"/>
  <c r="W72" i="14" s="1"/>
  <c r="T72" i="14"/>
  <c r="T26" i="8"/>
  <c r="V26" i="8" s="1"/>
  <c r="X26" i="8" s="1"/>
  <c r="K27" i="8"/>
  <c r="M27" i="8" s="1"/>
  <c r="O27" i="8" s="1"/>
  <c r="F36" i="9"/>
  <c r="G36" i="9" s="1"/>
  <c r="E51" i="9" s="1"/>
  <c r="F22" i="10"/>
  <c r="G22" i="10" s="1"/>
  <c r="F42" i="10"/>
  <c r="G42" i="10" s="1"/>
  <c r="E59" i="10" s="1"/>
  <c r="G40" i="11"/>
  <c r="H40" i="11" s="1"/>
  <c r="G102" i="11" s="1"/>
  <c r="G58" i="11"/>
  <c r="H58" i="11" s="1"/>
  <c r="G69" i="11"/>
  <c r="H69" i="11" s="1"/>
  <c r="G82" i="11"/>
  <c r="H82" i="11" s="1"/>
  <c r="G85" i="11"/>
  <c r="H85" i="11" s="1"/>
  <c r="F116" i="11" s="1"/>
  <c r="V15" i="14"/>
  <c r="W15" i="14" s="1"/>
  <c r="U25" i="14"/>
  <c r="V25" i="14" s="1"/>
  <c r="W25" i="14" s="1"/>
  <c r="X25" i="14" s="1"/>
  <c r="T25" i="14"/>
  <c r="U51" i="14"/>
  <c r="T51" i="14"/>
  <c r="G5082" i="7"/>
  <c r="AA28" i="8"/>
  <c r="AC28" i="8" s="1"/>
  <c r="AE28" i="8" s="1"/>
  <c r="D67" i="1" s="1"/>
  <c r="F19" i="9"/>
  <c r="G19" i="9" s="1"/>
  <c r="F31" i="9"/>
  <c r="G31" i="9" s="1"/>
  <c r="F25" i="10"/>
  <c r="G25" i="10" s="1"/>
  <c r="F57" i="10" s="1"/>
  <c r="F37" i="10"/>
  <c r="G37" i="10" s="1"/>
  <c r="G46" i="11"/>
  <c r="H46" i="11" s="1"/>
  <c r="G108" i="11" s="1"/>
  <c r="G49" i="11"/>
  <c r="H49" i="11" s="1"/>
  <c r="G111" i="11" s="1"/>
  <c r="G52" i="11"/>
  <c r="H52" i="11" s="1"/>
  <c r="G79" i="11"/>
  <c r="H79" i="11" s="1"/>
  <c r="F110" i="11" s="1"/>
  <c r="H89" i="11"/>
  <c r="J22" i="12"/>
  <c r="D51" i="12"/>
  <c r="U33" i="14"/>
  <c r="T33" i="14"/>
  <c r="U36" i="14"/>
  <c r="V36" i="14" s="1"/>
  <c r="W36" i="14" s="1"/>
  <c r="X36" i="14" s="1"/>
  <c r="T36" i="14"/>
  <c r="U48" i="14"/>
  <c r="V48" i="14" s="1"/>
  <c r="W48" i="14" s="1"/>
  <c r="X48" i="14" s="1"/>
  <c r="T48" i="14"/>
  <c r="E25" i="4"/>
  <c r="D53" i="4"/>
  <c r="D66" i="4"/>
  <c r="C13" i="7"/>
  <c r="F22" i="9"/>
  <c r="G22" i="9" s="1"/>
  <c r="D50" i="9" s="1"/>
  <c r="F50" i="9" s="1"/>
  <c r="F34" i="9"/>
  <c r="G34" i="9" s="1"/>
  <c r="E49" i="9" s="1"/>
  <c r="F28" i="10"/>
  <c r="G28" i="10" s="1"/>
  <c r="F60" i="10" s="1"/>
  <c r="F40" i="10"/>
  <c r="G40" i="10" s="1"/>
  <c r="E57" i="10" s="1"/>
  <c r="G38" i="11"/>
  <c r="H38" i="11" s="1"/>
  <c r="G70" i="11"/>
  <c r="H70" i="11" s="1"/>
  <c r="F101" i="11" s="1"/>
  <c r="G73" i="11"/>
  <c r="H73" i="11" s="1"/>
  <c r="G86" i="11"/>
  <c r="H86" i="11" s="1"/>
  <c r="P10" i="14"/>
  <c r="U18" i="14"/>
  <c r="V18" i="14" s="1"/>
  <c r="W18" i="14" s="1"/>
  <c r="X18" i="14" s="1"/>
  <c r="T18" i="14"/>
  <c r="Q42" i="14"/>
  <c r="O42" i="14"/>
  <c r="P42" i="14" s="1"/>
  <c r="X42" i="14" s="1"/>
  <c r="AA26" i="8"/>
  <c r="AC26" i="8" s="1"/>
  <c r="AE26" i="8" s="1"/>
  <c r="T27" i="8"/>
  <c r="V27" i="8" s="1"/>
  <c r="X27" i="8" s="1"/>
  <c r="G58" i="8" s="1"/>
  <c r="C46" i="9"/>
  <c r="F43" i="10"/>
  <c r="G43" i="10" s="1"/>
  <c r="E60" i="10" s="1"/>
  <c r="F115" i="11"/>
  <c r="G84" i="11"/>
  <c r="H84" i="11" s="1"/>
  <c r="G76" i="11"/>
  <c r="H76" i="11" s="1"/>
  <c r="F106" i="11"/>
  <c r="G88" i="11"/>
  <c r="H88" i="11" s="1"/>
  <c r="G80" i="11"/>
  <c r="H80" i="11" s="1"/>
  <c r="F111" i="11" s="1"/>
  <c r="G72" i="11"/>
  <c r="H72" i="11" s="1"/>
  <c r="F107" i="11"/>
  <c r="G41" i="11"/>
  <c r="H41" i="11" s="1"/>
  <c r="G44" i="11"/>
  <c r="H44" i="11" s="1"/>
  <c r="G53" i="11"/>
  <c r="H53" i="11" s="1"/>
  <c r="G56" i="11"/>
  <c r="H56" i="11" s="1"/>
  <c r="G118" i="11" s="1"/>
  <c r="G83" i="11"/>
  <c r="H83" i="11" s="1"/>
  <c r="V42" i="14"/>
  <c r="W42" i="14" s="1"/>
  <c r="U70" i="14"/>
  <c r="V70" i="14" s="1"/>
  <c r="W70" i="14" s="1"/>
  <c r="X70" i="14" s="1"/>
  <c r="T70" i="14"/>
  <c r="U74" i="14"/>
  <c r="V74" i="14" s="1"/>
  <c r="W74" i="14" s="1"/>
  <c r="X74" i="14" s="1"/>
  <c r="T74" i="14"/>
  <c r="J197" i="3"/>
  <c r="M196" i="3" s="1"/>
  <c r="E19" i="4"/>
  <c r="E24" i="4"/>
  <c r="E29" i="4"/>
  <c r="F20" i="9"/>
  <c r="G20" i="9" s="1"/>
  <c r="D48" i="9" s="1"/>
  <c r="F32" i="9"/>
  <c r="G32" i="9" s="1"/>
  <c r="E47" i="9" s="1"/>
  <c r="F38" i="10"/>
  <c r="G38" i="10" s="1"/>
  <c r="E55" i="10" s="1"/>
  <c r="G47" i="11"/>
  <c r="H47" i="11" s="1"/>
  <c r="G109" i="11" s="1"/>
  <c r="G50" i="11"/>
  <c r="H50" i="11" s="1"/>
  <c r="G74" i="11"/>
  <c r="H74" i="11" s="1"/>
  <c r="F105" i="11" s="1"/>
  <c r="G77" i="11"/>
  <c r="H77" i="11" s="1"/>
  <c r="F108" i="11" s="1"/>
  <c r="G90" i="11"/>
  <c r="H90" i="11" s="1"/>
  <c r="F121" i="11" s="1"/>
  <c r="Q50" i="14"/>
  <c r="V50" i="14" s="1"/>
  <c r="W50" i="14" s="1"/>
  <c r="O50" i="14"/>
  <c r="P50" i="14" s="1"/>
  <c r="D23" i="4"/>
  <c r="F41" i="10"/>
  <c r="G41" i="10" s="1"/>
  <c r="E58" i="10" s="1"/>
  <c r="G58" i="10" s="1"/>
  <c r="G39" i="11"/>
  <c r="H39" i="11" s="1"/>
  <c r="G101" i="11" s="1"/>
  <c r="G57" i="11"/>
  <c r="H57" i="11" s="1"/>
  <c r="G60" i="11"/>
  <c r="H60" i="11" s="1"/>
  <c r="G122" i="11" s="1"/>
  <c r="G71" i="11"/>
  <c r="H71" i="11" s="1"/>
  <c r="F102" i="11" s="1"/>
  <c r="G87" i="11"/>
  <c r="H87" i="11" s="1"/>
  <c r="F118" i="11" s="1"/>
  <c r="U22" i="14"/>
  <c r="V22" i="14" s="1"/>
  <c r="W22" i="14" s="1"/>
  <c r="T22" i="14"/>
  <c r="T28" i="14"/>
  <c r="U28" i="14"/>
  <c r="U35" i="14"/>
  <c r="T35" i="14"/>
  <c r="E23" i="4"/>
  <c r="G42" i="11"/>
  <c r="H42" i="11" s="1"/>
  <c r="G45" i="11"/>
  <c r="H45" i="11" s="1"/>
  <c r="G54" i="11"/>
  <c r="H54" i="11" s="1"/>
  <c r="G116" i="11" s="1"/>
  <c r="G78" i="11"/>
  <c r="H78" i="11" s="1"/>
  <c r="F109" i="11" s="1"/>
  <c r="G81" i="11"/>
  <c r="H81" i="11" s="1"/>
  <c r="U41" i="14"/>
  <c r="V41" i="14" s="1"/>
  <c r="W41" i="14" s="1"/>
  <c r="X41" i="14" s="1"/>
  <c r="T41" i="14"/>
  <c r="V26" i="15"/>
  <c r="M40" i="15"/>
  <c r="T40" i="15" s="1"/>
  <c r="L40" i="15"/>
  <c r="Q40" i="15" s="1"/>
  <c r="R40" i="15" s="1"/>
  <c r="S40" i="15" s="1"/>
  <c r="R13" i="16"/>
  <c r="U9" i="16"/>
  <c r="AC9" i="16" s="1"/>
  <c r="AC13" i="16" s="1"/>
  <c r="R14" i="14"/>
  <c r="O22" i="14"/>
  <c r="P22" i="14" s="1"/>
  <c r="X22" i="14" s="1"/>
  <c r="T23" i="14"/>
  <c r="M35" i="14"/>
  <c r="T39" i="14"/>
  <c r="T42" i="14"/>
  <c r="T50" i="14"/>
  <c r="M51" i="14"/>
  <c r="T61" i="14"/>
  <c r="T66" i="14"/>
  <c r="T75" i="14"/>
  <c r="L38" i="15"/>
  <c r="Q38" i="15" s="1"/>
  <c r="W38" i="15" s="1"/>
  <c r="M44" i="15"/>
  <c r="T44" i="15" s="1"/>
  <c r="L44" i="15"/>
  <c r="Q44" i="15" s="1"/>
  <c r="W55" i="15"/>
  <c r="O61" i="15"/>
  <c r="V61" i="15" s="1"/>
  <c r="S32" i="16"/>
  <c r="S33" i="16" s="1"/>
  <c r="S26" i="16"/>
  <c r="S27" i="16" s="1"/>
  <c r="S17" i="16"/>
  <c r="S19" i="16" s="1"/>
  <c r="G22" i="13"/>
  <c r="G37" i="13" s="1"/>
  <c r="H35" i="13"/>
  <c r="O15" i="14"/>
  <c r="P15" i="14" s="1"/>
  <c r="T17" i="14"/>
  <c r="M28" i="14"/>
  <c r="T43" i="14"/>
  <c r="T45" i="14"/>
  <c r="T46" i="14"/>
  <c r="T53" i="14"/>
  <c r="T55" i="14"/>
  <c r="O59" i="14"/>
  <c r="P59" i="14" s="1"/>
  <c r="X59" i="14" s="1"/>
  <c r="M36" i="15"/>
  <c r="T36" i="15" s="1"/>
  <c r="L36" i="15"/>
  <c r="Q36" i="15" s="1"/>
  <c r="R36" i="15" s="1"/>
  <c r="S36" i="15" s="1"/>
  <c r="Y51" i="15"/>
  <c r="S53" i="15"/>
  <c r="O59" i="15"/>
  <c r="V59" i="15" s="1"/>
  <c r="M33" i="16"/>
  <c r="J17" i="12"/>
  <c r="D43" i="12"/>
  <c r="I35" i="13"/>
  <c r="G61" i="13"/>
  <c r="G63" i="13" s="1"/>
  <c r="G74" i="13" s="1"/>
  <c r="T26" i="14"/>
  <c r="T31" i="14"/>
  <c r="M33" i="14"/>
  <c r="M72" i="14"/>
  <c r="X51" i="15"/>
  <c r="W46" i="15"/>
  <c r="X44" i="15"/>
  <c r="O36" i="15"/>
  <c r="V36" i="15" s="1"/>
  <c r="X32" i="15"/>
  <c r="Z26" i="15"/>
  <c r="O63" i="15"/>
  <c r="V63" i="15" s="1"/>
  <c r="N59" i="15"/>
  <c r="U59" i="15" s="1"/>
  <c r="Z61" i="15"/>
  <c r="Y55" i="15"/>
  <c r="Y49" i="15"/>
  <c r="Y42" i="15"/>
  <c r="X38" i="15"/>
  <c r="Y34" i="15"/>
  <c r="Y30" i="15"/>
  <c r="X26" i="15"/>
  <c r="Y61" i="15"/>
  <c r="X55" i="15"/>
  <c r="X30" i="15"/>
  <c r="X61" i="15"/>
  <c r="O55" i="15"/>
  <c r="V55" i="15" s="1"/>
  <c r="Z53" i="15"/>
  <c r="O49" i="15"/>
  <c r="V49" i="15" s="1"/>
  <c r="O42" i="15"/>
  <c r="V42" i="15" s="1"/>
  <c r="Z28" i="15"/>
  <c r="Y53" i="15"/>
  <c r="Z46" i="15"/>
  <c r="Z40" i="15"/>
  <c r="Z36" i="15"/>
  <c r="Z63" i="15"/>
  <c r="N61" i="15"/>
  <c r="U61" i="15" s="1"/>
  <c r="Z59" i="15"/>
  <c r="M55" i="15"/>
  <c r="T55" i="15" s="1"/>
  <c r="X53" i="15"/>
  <c r="O53" i="15"/>
  <c r="V53" i="15" s="1"/>
  <c r="Z51" i="15"/>
  <c r="M49" i="15"/>
  <c r="T49" i="15" s="1"/>
  <c r="Y46" i="15"/>
  <c r="O46" i="15"/>
  <c r="V46" i="15" s="1"/>
  <c r="Z44" i="15"/>
  <c r="M42" i="15"/>
  <c r="T42" i="15" s="1"/>
  <c r="Y40" i="15"/>
  <c r="L30" i="15"/>
  <c r="Q30" i="15" s="1"/>
  <c r="R30" i="15" s="1"/>
  <c r="S30" i="15" s="1"/>
  <c r="M32" i="15"/>
  <c r="T32" i="15" s="1"/>
  <c r="L32" i="15"/>
  <c r="Q32" i="15" s="1"/>
  <c r="Y32" i="15"/>
  <c r="N40" i="15"/>
  <c r="U40" i="15" s="1"/>
  <c r="L42" i="15"/>
  <c r="Q42" i="15" s="1"/>
  <c r="N49" i="15"/>
  <c r="U49" i="15" s="1"/>
  <c r="M51" i="15"/>
  <c r="T51" i="15" s="1"/>
  <c r="L51" i="15"/>
  <c r="Q51" i="15" s="1"/>
  <c r="R55" i="15"/>
  <c r="S55" i="15" s="1"/>
  <c r="Y63" i="15"/>
  <c r="F33" i="16"/>
  <c r="D44" i="12"/>
  <c r="D104" i="1" s="1"/>
  <c r="D103" i="1" s="1"/>
  <c r="H61" i="13"/>
  <c r="Y26" i="15"/>
  <c r="M30" i="15"/>
  <c r="T30" i="15" s="1"/>
  <c r="N32" i="15"/>
  <c r="U32" i="15" s="1"/>
  <c r="Z32" i="15"/>
  <c r="Z38" i="15"/>
  <c r="O44" i="15"/>
  <c r="V44" i="15" s="1"/>
  <c r="N51" i="15"/>
  <c r="U51" i="15" s="1"/>
  <c r="M53" i="15"/>
  <c r="T53" i="15" s="1"/>
  <c r="W53" i="15"/>
  <c r="Y59" i="15"/>
  <c r="E51" i="18"/>
  <c r="F49" i="18"/>
  <c r="J28" i="15"/>
  <c r="Y28" i="15"/>
  <c r="Z55" i="15"/>
  <c r="X63" i="15"/>
  <c r="T15" i="14"/>
  <c r="T16" i="14"/>
  <c r="T59" i="14"/>
  <c r="U26" i="15"/>
  <c r="F28" i="15"/>
  <c r="O34" i="15"/>
  <c r="V34" i="15" s="1"/>
  <c r="Y38" i="15"/>
  <c r="X40" i="15"/>
  <c r="N46" i="15"/>
  <c r="O51" i="15"/>
  <c r="V51" i="15" s="1"/>
  <c r="X59" i="15"/>
  <c r="M63" i="15"/>
  <c r="T63" i="15" s="1"/>
  <c r="L63" i="15"/>
  <c r="Q63" i="15" s="1"/>
  <c r="J26" i="16"/>
  <c r="J17" i="16"/>
  <c r="J19" i="16" s="1"/>
  <c r="AC23" i="16"/>
  <c r="D154" i="1" s="1"/>
  <c r="W30" i="15"/>
  <c r="Z42" i="15"/>
  <c r="N55" i="15"/>
  <c r="U55" i="15" s="1"/>
  <c r="N63" i="15"/>
  <c r="U63" i="15" s="1"/>
  <c r="AC29" i="16"/>
  <c r="D155" i="1" s="1"/>
  <c r="Q32" i="21"/>
  <c r="O61" i="21"/>
  <c r="K32" i="16"/>
  <c r="K33" i="16" s="1"/>
  <c r="F31" i="18"/>
  <c r="Q88" i="21"/>
  <c r="S88" i="21" s="1"/>
  <c r="U88" i="21" s="1"/>
  <c r="Q77" i="21"/>
  <c r="S77" i="21" s="1"/>
  <c r="U77" i="21" s="1"/>
  <c r="Q81" i="21"/>
  <c r="S81" i="21" s="1"/>
  <c r="U81" i="21" s="1"/>
  <c r="Q69" i="21"/>
  <c r="S69" i="21" s="1"/>
  <c r="U69" i="21" s="1"/>
  <c r="Q85" i="21"/>
  <c r="S85" i="21" s="1"/>
  <c r="U85" i="21" s="1"/>
  <c r="Q75" i="21"/>
  <c r="S75" i="21" s="1"/>
  <c r="U75" i="21" s="1"/>
  <c r="Q71" i="21"/>
  <c r="S71" i="21" s="1"/>
  <c r="U71" i="21" s="1"/>
  <c r="Q76" i="21"/>
  <c r="S76" i="21" s="1"/>
  <c r="U76" i="21" s="1"/>
  <c r="Q83" i="21"/>
  <c r="S83" i="21" s="1"/>
  <c r="U83" i="21" s="1"/>
  <c r="W158" i="21"/>
  <c r="W209" i="21"/>
  <c r="Y199" i="21"/>
  <c r="W224" i="21"/>
  <c r="Y214" i="21"/>
  <c r="AA217" i="21"/>
  <c r="AC217" i="21" s="1"/>
  <c r="E245" i="21"/>
  <c r="L26" i="15"/>
  <c r="Q26" i="15" s="1"/>
  <c r="R26" i="15" s="1"/>
  <c r="S26" i="15" s="1"/>
  <c r="D17" i="16"/>
  <c r="D19" i="16" s="1"/>
  <c r="F19" i="16" s="1"/>
  <c r="T17" i="16"/>
  <c r="T19" i="16" s="1"/>
  <c r="Q32" i="16"/>
  <c r="Q33" i="16" s="1"/>
  <c r="D156" i="1"/>
  <c r="W106" i="21"/>
  <c r="W117" i="21" s="1"/>
  <c r="AA97" i="21" s="1"/>
  <c r="S106" i="21"/>
  <c r="U124" i="21"/>
  <c r="Y124" i="21" s="1"/>
  <c r="C257" i="21"/>
  <c r="I185" i="21"/>
  <c r="W161" i="21" s="1"/>
  <c r="W162" i="21" s="1"/>
  <c r="O191" i="21" s="1"/>
  <c r="C26" i="16"/>
  <c r="C27" i="16" s="1"/>
  <c r="F8" i="18"/>
  <c r="F25" i="18"/>
  <c r="F32" i="18"/>
  <c r="L15" i="19"/>
  <c r="L28" i="19"/>
  <c r="Q72" i="21"/>
  <c r="S72" i="21" s="1"/>
  <c r="U72" i="21" s="1"/>
  <c r="Q84" i="21"/>
  <c r="S84" i="21" s="1"/>
  <c r="U84" i="21" s="1"/>
  <c r="W110" i="21"/>
  <c r="S157" i="21"/>
  <c r="S185" i="21" s="1"/>
  <c r="F34" i="15"/>
  <c r="F42" i="15"/>
  <c r="F49" i="15"/>
  <c r="L59" i="15"/>
  <c r="D26" i="16"/>
  <c r="D27" i="16" s="1"/>
  <c r="T26" i="16"/>
  <c r="T27" i="16" s="1"/>
  <c r="Q78" i="21"/>
  <c r="S78" i="21" s="1"/>
  <c r="U78" i="21" s="1"/>
  <c r="S107" i="21"/>
  <c r="S117" i="21" s="1"/>
  <c r="AA96" i="21" s="1"/>
  <c r="O185" i="21"/>
  <c r="K17" i="16"/>
  <c r="K19" i="16" s="1"/>
  <c r="F9" i="18"/>
  <c r="F26" i="18"/>
  <c r="G25" i="21"/>
  <c r="I6" i="21"/>
  <c r="Q68" i="21"/>
  <c r="Q74" i="21"/>
  <c r="S74" i="21" s="1"/>
  <c r="U74" i="21" s="1"/>
  <c r="C125" i="21"/>
  <c r="C134" i="21" s="1"/>
  <c r="E34" i="18"/>
  <c r="Q87" i="21"/>
  <c r="S87" i="21" s="1"/>
  <c r="U87" i="21" s="1"/>
  <c r="K117" i="21"/>
  <c r="E134" i="21"/>
  <c r="K125" i="21" s="1"/>
  <c r="W157" i="21" s="1"/>
  <c r="U185" i="21"/>
  <c r="AA219" i="21"/>
  <c r="AC219" i="21" s="1"/>
  <c r="AA222" i="21"/>
  <c r="AC222" i="21" s="1"/>
  <c r="F63" i="15"/>
  <c r="F48" i="18"/>
  <c r="K157" i="21"/>
  <c r="K185" i="21" s="1"/>
  <c r="G189" i="21" s="1"/>
  <c r="AB32" i="22"/>
  <c r="D173" i="1" s="1"/>
  <c r="U32" i="22"/>
  <c r="V32" i="22"/>
  <c r="J31" i="22"/>
  <c r="R31" i="22"/>
  <c r="Z31" i="22"/>
  <c r="I32" i="22"/>
  <c r="Q32" i="22"/>
  <c r="O75" i="14" l="1"/>
  <c r="P75" i="14" s="1"/>
  <c r="Q75" i="14"/>
  <c r="Q23" i="14"/>
  <c r="V23" i="14" s="1"/>
  <c r="W23" i="14" s="1"/>
  <c r="O23" i="14"/>
  <c r="P23" i="14" s="1"/>
  <c r="X23" i="14" s="1"/>
  <c r="V75" i="14"/>
  <c r="W75" i="14" s="1"/>
  <c r="Q39" i="14"/>
  <c r="V39" i="14" s="1"/>
  <c r="W39" i="14" s="1"/>
  <c r="O39" i="14"/>
  <c r="P39" i="14" s="1"/>
  <c r="X15" i="14"/>
  <c r="X10" i="14"/>
  <c r="R59" i="15"/>
  <c r="S59" i="15" s="1"/>
  <c r="W40" i="15"/>
  <c r="L34" i="15"/>
  <c r="Q34" i="15" s="1"/>
  <c r="W61" i="15"/>
  <c r="D115" i="1"/>
  <c r="G482" i="2"/>
  <c r="E501" i="2" s="1"/>
  <c r="C50" i="19"/>
  <c r="E59" i="8"/>
  <c r="H115" i="11"/>
  <c r="G505" i="2"/>
  <c r="H107" i="11"/>
  <c r="G59" i="8"/>
  <c r="L17" i="19"/>
  <c r="D22" i="19" s="1"/>
  <c r="D19" i="19" s="1"/>
  <c r="C36" i="19" s="1"/>
  <c r="D53" i="1"/>
  <c r="F48" i="9"/>
  <c r="E13" i="7"/>
  <c r="H111" i="11"/>
  <c r="H105" i="11"/>
  <c r="D175" i="1"/>
  <c r="H109" i="11"/>
  <c r="H108" i="11"/>
  <c r="G484" i="2"/>
  <c r="E503" i="2" s="1"/>
  <c r="G503" i="2" s="1"/>
  <c r="F51" i="18"/>
  <c r="C85" i="18" s="1"/>
  <c r="G459" i="2"/>
  <c r="F499" i="2" s="1"/>
  <c r="F507" i="2" s="1"/>
  <c r="H102" i="11"/>
  <c r="H121" i="11"/>
  <c r="H101" i="11"/>
  <c r="G57" i="10"/>
  <c r="D65" i="1"/>
  <c r="G61" i="10"/>
  <c r="D47" i="1"/>
  <c r="C49" i="19"/>
  <c r="D163" i="1"/>
  <c r="C38" i="20"/>
  <c r="D75" i="1"/>
  <c r="X40" i="8"/>
  <c r="D72" i="1" s="1"/>
  <c r="G501" i="2"/>
  <c r="H116" i="11"/>
  <c r="G56" i="10"/>
  <c r="G60" i="10"/>
  <c r="S39" i="20"/>
  <c r="H110" i="11"/>
  <c r="H118" i="11"/>
  <c r="H106" i="11"/>
  <c r="D47" i="9"/>
  <c r="G24" i="9"/>
  <c r="D46" i="1"/>
  <c r="F51" i="9"/>
  <c r="AC32" i="16"/>
  <c r="AC33" i="16" s="1"/>
  <c r="AC26" i="16"/>
  <c r="AC27" i="16" s="1"/>
  <c r="AC17" i="16"/>
  <c r="AC19" i="16" s="1"/>
  <c r="H92" i="11"/>
  <c r="AC96" i="21"/>
  <c r="AE96" i="21" s="1"/>
  <c r="C252" i="21"/>
  <c r="D39" i="1"/>
  <c r="F49" i="9"/>
  <c r="C253" i="21"/>
  <c r="AC97" i="21"/>
  <c r="AE97" i="21" s="1"/>
  <c r="E54" i="10"/>
  <c r="G45" i="10"/>
  <c r="G59" i="10"/>
  <c r="E46" i="9"/>
  <c r="F46" i="9" s="1"/>
  <c r="G37" i="9"/>
  <c r="F54" i="10"/>
  <c r="D35" i="1" s="1"/>
  <c r="G30" i="10"/>
  <c r="W42" i="15"/>
  <c r="R42" i="15"/>
  <c r="S42" i="15" s="1"/>
  <c r="R38" i="15"/>
  <c r="S38" i="15" s="1"/>
  <c r="W26" i="15"/>
  <c r="G80" i="13"/>
  <c r="G82" i="13" s="1"/>
  <c r="G84" i="13" s="1"/>
  <c r="D96" i="1" s="1"/>
  <c r="D95" i="1" s="1"/>
  <c r="W36" i="15"/>
  <c r="D42" i="1"/>
  <c r="K195" i="3"/>
  <c r="F20" i="4"/>
  <c r="H24" i="4"/>
  <c r="W63" i="15"/>
  <c r="R63" i="15"/>
  <c r="S63" i="15" s="1"/>
  <c r="D153" i="1"/>
  <c r="U46" i="15"/>
  <c r="K60" i="14"/>
  <c r="R51" i="15"/>
  <c r="S51" i="15" s="1"/>
  <c r="W51" i="15"/>
  <c r="Q35" i="14"/>
  <c r="V35" i="14" s="1"/>
  <c r="W35" i="14" s="1"/>
  <c r="O35" i="14"/>
  <c r="P35" i="14" s="1"/>
  <c r="D50" i="12"/>
  <c r="D114" i="1"/>
  <c r="D111" i="1" s="1"/>
  <c r="V51" i="14"/>
  <c r="W51" i="14" s="1"/>
  <c r="C58" i="8"/>
  <c r="I58" i="8" s="1"/>
  <c r="D78" i="1"/>
  <c r="H122" i="11"/>
  <c r="F25" i="4"/>
  <c r="H29" i="4"/>
  <c r="K183" i="3"/>
  <c r="W34" i="15"/>
  <c r="R34" i="15"/>
  <c r="S34" i="15" s="1"/>
  <c r="F34" i="18"/>
  <c r="C86" i="18" s="1"/>
  <c r="AA214" i="21"/>
  <c r="Y224" i="21"/>
  <c r="C247" i="21" s="1"/>
  <c r="E247" i="21" s="1"/>
  <c r="D147" i="1" s="1"/>
  <c r="N28" i="15"/>
  <c r="L28" i="15"/>
  <c r="Q28" i="15" s="1"/>
  <c r="W28" i="15" s="1"/>
  <c r="D40" i="12"/>
  <c r="D100" i="1"/>
  <c r="D99" i="1" s="1"/>
  <c r="Q28" i="14"/>
  <c r="V28" i="14" s="1"/>
  <c r="W28" i="14" s="1"/>
  <c r="O28" i="14"/>
  <c r="P28" i="14" s="1"/>
  <c r="H61" i="11"/>
  <c r="X29" i="8"/>
  <c r="G60" i="8" s="1"/>
  <c r="G57" i="8"/>
  <c r="D80" i="1"/>
  <c r="F19" i="4"/>
  <c r="E39" i="4" s="1"/>
  <c r="F39" i="4" s="1"/>
  <c r="G39" i="4" s="1"/>
  <c r="D22" i="1" s="1"/>
  <c r="G55" i="6"/>
  <c r="I55" i="6" s="1"/>
  <c r="K55" i="6" s="1"/>
  <c r="N55" i="6"/>
  <c r="P55" i="6" s="1"/>
  <c r="R55" i="6" s="1"/>
  <c r="H21" i="4"/>
  <c r="Q89" i="21"/>
  <c r="S89" i="21" s="1"/>
  <c r="U89" i="21" s="1"/>
  <c r="D139" i="1" s="1"/>
  <c r="S68" i="21"/>
  <c r="U68" i="21" s="1"/>
  <c r="F10" i="18"/>
  <c r="C84" i="18" s="1"/>
  <c r="O81" i="14"/>
  <c r="O83" i="14" s="1"/>
  <c r="D57" i="4"/>
  <c r="L66" i="3"/>
  <c r="L318" i="3" s="1"/>
  <c r="L320" i="3" s="1"/>
  <c r="L323" i="3" s="1"/>
  <c r="F13" i="7"/>
  <c r="D74" i="1"/>
  <c r="F24" i="4"/>
  <c r="H28" i="4"/>
  <c r="H27" i="4"/>
  <c r="G190" i="21"/>
  <c r="G191" i="21"/>
  <c r="I191" i="21" s="1"/>
  <c r="K191" i="21" s="1"/>
  <c r="K6" i="21"/>
  <c r="I25" i="21"/>
  <c r="C240" i="21" s="1"/>
  <c r="F27" i="16"/>
  <c r="AA199" i="21"/>
  <c r="Y209" i="21"/>
  <c r="C243" i="21" s="1"/>
  <c r="E243" i="21" s="1"/>
  <c r="D146" i="1" s="1"/>
  <c r="Q72" i="14"/>
  <c r="O72" i="14"/>
  <c r="P72" i="14" s="1"/>
  <c r="X72" i="14" s="1"/>
  <c r="R44" i="15"/>
  <c r="S44" i="15" s="1"/>
  <c r="W44" i="15"/>
  <c r="U14" i="14"/>
  <c r="V14" i="14" s="1"/>
  <c r="W14" i="14" s="1"/>
  <c r="X14" i="14" s="1"/>
  <c r="T14" i="14"/>
  <c r="D70" i="4"/>
  <c r="F29" i="4"/>
  <c r="H20" i="4"/>
  <c r="E55" i="4" s="1"/>
  <c r="F55" i="4" s="1"/>
  <c r="G55" i="4" s="1"/>
  <c r="D19" i="1" s="1"/>
  <c r="I189" i="21"/>
  <c r="K189" i="21" s="1"/>
  <c r="C258" i="21"/>
  <c r="W159" i="21"/>
  <c r="Q191" i="21"/>
  <c r="S191" i="21" s="1"/>
  <c r="C261" i="21"/>
  <c r="Q61" i="21"/>
  <c r="S32" i="21"/>
  <c r="Q33" i="14"/>
  <c r="V33" i="14" s="1"/>
  <c r="W33" i="14" s="1"/>
  <c r="O33" i="14"/>
  <c r="P33" i="14" s="1"/>
  <c r="Q51" i="14"/>
  <c r="O51" i="14"/>
  <c r="P51" i="14" s="1"/>
  <c r="M195" i="3"/>
  <c r="L195" i="3"/>
  <c r="L196" i="3"/>
  <c r="D33" i="1"/>
  <c r="D38" i="1"/>
  <c r="F23" i="4"/>
  <c r="K196" i="3"/>
  <c r="AE40" i="8"/>
  <c r="D71" i="1" s="1"/>
  <c r="H25" i="4"/>
  <c r="G56" i="6"/>
  <c r="I56" i="6" s="1"/>
  <c r="K56" i="6" s="1"/>
  <c r="D52" i="1" s="1"/>
  <c r="N56" i="6"/>
  <c r="P56" i="6" s="1"/>
  <c r="R56" i="6" s="1"/>
  <c r="D51" i="1" s="1"/>
  <c r="F28" i="4"/>
  <c r="C78" i="5"/>
  <c r="N78" i="5" s="1"/>
  <c r="N76" i="5"/>
  <c r="H23" i="4"/>
  <c r="E445" i="2"/>
  <c r="F445" i="2" s="1"/>
  <c r="F439" i="2"/>
  <c r="G439" i="2" s="1"/>
  <c r="G445" i="2" s="1"/>
  <c r="W49" i="15"/>
  <c r="R49" i="15"/>
  <c r="S49" i="15" s="1"/>
  <c r="C48" i="19"/>
  <c r="C38" i="19"/>
  <c r="C37" i="19" s="1"/>
  <c r="O124" i="21"/>
  <c r="W32" i="15"/>
  <c r="R32" i="15"/>
  <c r="S32" i="15" s="1"/>
  <c r="R32" i="16"/>
  <c r="R33" i="16" s="1"/>
  <c r="R26" i="16"/>
  <c r="R27" i="16" s="1"/>
  <c r="U27" i="16" s="1"/>
  <c r="R17" i="16"/>
  <c r="R19" i="16" s="1"/>
  <c r="U19" i="16" s="1"/>
  <c r="E57" i="8"/>
  <c r="AE29" i="8"/>
  <c r="E60" i="8" s="1"/>
  <c r="D79" i="1"/>
  <c r="G55" i="10"/>
  <c r="D41" i="1"/>
  <c r="D29" i="4"/>
  <c r="D24" i="4"/>
  <c r="D19" i="4"/>
  <c r="E37" i="4" s="1"/>
  <c r="E20" i="4"/>
  <c r="D27" i="4"/>
  <c r="D21" i="4"/>
  <c r="F27" i="4"/>
  <c r="D25" i="4"/>
  <c r="D20" i="4"/>
  <c r="E51" i="4" s="1"/>
  <c r="F21" i="4"/>
  <c r="E21" i="4"/>
  <c r="E66" i="4" s="1"/>
  <c r="F66" i="4" s="1"/>
  <c r="G66" i="4" s="1"/>
  <c r="D24" i="1" s="1"/>
  <c r="E27" i="4"/>
  <c r="O29" i="8"/>
  <c r="H19" i="4"/>
  <c r="E41" i="4" s="1"/>
  <c r="F41" i="4" s="1"/>
  <c r="G41" i="4" s="1"/>
  <c r="D18" i="1" s="1"/>
  <c r="D507" i="2"/>
  <c r="X35" i="14" l="1"/>
  <c r="X75" i="14"/>
  <c r="X51" i="14"/>
  <c r="X39" i="14"/>
  <c r="I59" i="8"/>
  <c r="E507" i="2"/>
  <c r="G488" i="2"/>
  <c r="C46" i="19"/>
  <c r="C60" i="19" s="1"/>
  <c r="C47" i="19"/>
  <c r="D171" i="1"/>
  <c r="G468" i="2"/>
  <c r="D161" i="1"/>
  <c r="D44" i="1"/>
  <c r="D57" i="12"/>
  <c r="H123" i="11"/>
  <c r="D36" i="1"/>
  <c r="D73" i="1"/>
  <c r="I60" i="8"/>
  <c r="G62" i="8"/>
  <c r="D69" i="1"/>
  <c r="I57" i="8"/>
  <c r="G54" i="10"/>
  <c r="G62" i="10" s="1"/>
  <c r="D144" i="1"/>
  <c r="D84" i="1"/>
  <c r="F37" i="4"/>
  <c r="E43" i="4"/>
  <c r="C251" i="21"/>
  <c r="S124" i="21"/>
  <c r="W124" i="21" s="1"/>
  <c r="R57" i="6"/>
  <c r="D59" i="1"/>
  <c r="AC214" i="21"/>
  <c r="AC224" i="21" s="1"/>
  <c r="AA224" i="21"/>
  <c r="D77" i="1"/>
  <c r="R28" i="15"/>
  <c r="S28" i="15" s="1"/>
  <c r="I190" i="21"/>
  <c r="K190" i="21" s="1"/>
  <c r="G192" i="21"/>
  <c r="K57" i="6"/>
  <c r="D60" i="1"/>
  <c r="X28" i="14"/>
  <c r="D92" i="1"/>
  <c r="G499" i="2"/>
  <c r="O190" i="21"/>
  <c r="W164" i="21"/>
  <c r="O189" i="21" s="1"/>
  <c r="M60" i="14"/>
  <c r="R60" i="14"/>
  <c r="K77" i="14"/>
  <c r="K81" i="14" s="1"/>
  <c r="K83" i="14" s="1"/>
  <c r="D49" i="1"/>
  <c r="AC199" i="21"/>
  <c r="AC209" i="21" s="1"/>
  <c r="AA209" i="21"/>
  <c r="C83" i="18"/>
  <c r="E57" i="4"/>
  <c r="F51" i="4"/>
  <c r="X33" i="14"/>
  <c r="C62" i="8"/>
  <c r="D94" i="1"/>
  <c r="D43" i="1"/>
  <c r="F47" i="9"/>
  <c r="F52" i="9" s="1"/>
  <c r="D30" i="1"/>
  <c r="R87" i="5"/>
  <c r="E240" i="21"/>
  <c r="U28" i="15"/>
  <c r="V81" i="14"/>
  <c r="V83" i="14" s="1"/>
  <c r="V86" i="14" s="1"/>
  <c r="G507" i="2"/>
  <c r="E64" i="4"/>
  <c r="E53" i="4"/>
  <c r="F53" i="4" s="1"/>
  <c r="G53" i="4" s="1"/>
  <c r="D23" i="1" s="1"/>
  <c r="E62" i="8"/>
  <c r="S61" i="21"/>
  <c r="C241" i="21" s="1"/>
  <c r="E241" i="21" s="1"/>
  <c r="U32" i="21"/>
  <c r="M6" i="21"/>
  <c r="M25" i="21" s="1"/>
  <c r="K25" i="21"/>
  <c r="E68" i="4"/>
  <c r="F68" i="4" s="1"/>
  <c r="G68" i="4" s="1"/>
  <c r="D20" i="1" s="1"/>
  <c r="D34" i="1"/>
  <c r="D188" i="1" l="1"/>
  <c r="C53" i="19"/>
  <c r="I62" i="8"/>
  <c r="D17" i="1"/>
  <c r="D40" i="1"/>
  <c r="D21" i="1"/>
  <c r="D32" i="1"/>
  <c r="D82" i="1"/>
  <c r="D90" i="1"/>
  <c r="D186" i="1"/>
  <c r="D57" i="1"/>
  <c r="F57" i="4"/>
  <c r="G51" i="4"/>
  <c r="C255" i="21"/>
  <c r="C250" i="21" s="1"/>
  <c r="I192" i="21"/>
  <c r="K192" i="21" s="1"/>
  <c r="V100" i="14"/>
  <c r="V102" i="14" s="1"/>
  <c r="V104" i="14" s="1"/>
  <c r="D158" i="1" s="1"/>
  <c r="U60" i="14"/>
  <c r="T60" i="14"/>
  <c r="T77" i="14" s="1"/>
  <c r="V88" i="14" s="1"/>
  <c r="V90" i="14" s="1"/>
  <c r="E70" i="4"/>
  <c r="F64" i="4"/>
  <c r="C231" i="21"/>
  <c r="D134" i="1"/>
  <c r="U61" i="21"/>
  <c r="W32" i="21"/>
  <c r="W61" i="21" s="1"/>
  <c r="O60" i="14"/>
  <c r="Q60" i="14"/>
  <c r="C246" i="21"/>
  <c r="C239" i="21"/>
  <c r="E239" i="21" s="1"/>
  <c r="O86" i="14"/>
  <c r="O88" i="14" s="1"/>
  <c r="G37" i="4"/>
  <c r="F43" i="4"/>
  <c r="K84" i="14"/>
  <c r="K86" i="14" s="1"/>
  <c r="C235" i="21"/>
  <c r="E235" i="21" s="1"/>
  <c r="Q189" i="21"/>
  <c r="S189" i="21" s="1"/>
  <c r="C259" i="21"/>
  <c r="C256" i="21" s="1"/>
  <c r="C260" i="21"/>
  <c r="Q190" i="21"/>
  <c r="S190" i="21" s="1"/>
  <c r="D31" i="1" l="1"/>
  <c r="D184" i="1" s="1"/>
  <c r="D132" i="1"/>
  <c r="D81" i="1"/>
  <c r="D48" i="1"/>
  <c r="E231" i="21"/>
  <c r="G43" i="4"/>
  <c r="D14" i="1"/>
  <c r="E246" i="21"/>
  <c r="C244" i="21"/>
  <c r="E244" i="21" s="1"/>
  <c r="G57" i="4"/>
  <c r="D15" i="1"/>
  <c r="C262" i="21"/>
  <c r="C233" i="21" s="1"/>
  <c r="E233" i="21" s="1"/>
  <c r="D143" i="1" s="1"/>
  <c r="V92" i="14"/>
  <c r="V94" i="14"/>
  <c r="V96" i="14" s="1"/>
  <c r="P60" i="14"/>
  <c r="X60" i="14" s="1"/>
  <c r="O77" i="14"/>
  <c r="C232" i="21"/>
  <c r="E232" i="21" s="1"/>
  <c r="D138" i="1"/>
  <c r="V60" i="14"/>
  <c r="W60" i="14" s="1"/>
  <c r="D185" i="1"/>
  <c r="F70" i="4"/>
  <c r="G64" i="4"/>
  <c r="K88" i="14"/>
  <c r="D140" i="1" l="1"/>
  <c r="D187" i="1"/>
  <c r="D136" i="1"/>
  <c r="V98" i="14"/>
  <c r="V106" i="14" s="1"/>
  <c r="D159" i="1" s="1"/>
  <c r="P77" i="14"/>
  <c r="G70" i="4"/>
  <c r="D16" i="1"/>
  <c r="C236" i="21"/>
  <c r="E236" i="21" s="1"/>
  <c r="D131" i="1" l="1"/>
  <c r="D189" i="1" s="1"/>
  <c r="D13" i="1"/>
  <c r="D12" i="1" s="1"/>
  <c r="D157" i="1"/>
  <c r="D152" i="1" l="1"/>
  <c r="D11" i="1"/>
  <c r="D10" i="1" l="1"/>
  <c r="D183" i="1"/>
  <c r="D169" i="1"/>
  <c r="D190" i="1"/>
  <c r="D1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456" authorId="0" shapeId="0" xr:uid="{00000000-0006-0000-0100-000002000000}">
      <text>
        <r>
          <rPr>
            <sz val="8"/>
            <color rgb="FF000000"/>
            <rFont val="Arial"/>
          </rPr>
          <t>======
ID#AAAAIe9-e9Y
Philip Groth    (2021-05-11 10:22:41)
MMTCE is converted to MMTCO2E by multiplying by 44/12.</t>
        </r>
      </text>
    </comment>
    <comment ref="G477" authorId="0" shapeId="0" xr:uid="{00000000-0006-0000-0100-000001000000}">
      <text>
        <r>
          <rPr>
            <sz val="8"/>
            <color rgb="FF000000"/>
            <rFont val="Arial"/>
          </rPr>
          <t>======
ID#AAAAIe9-e-w
Philip Groth    (2021-05-11 10:22:41)
MMTCE is converted to MMTCO2E by multiplying by 44/12.</t>
        </r>
      </text>
    </comment>
  </commentList>
  <extLst>
    <ext xmlns:r="http://schemas.openxmlformats.org/officeDocument/2006/relationships" uri="GoogleSheetsCustomDataVersion1">
      <go:sheetsCustomData xmlns:go="http://customooxmlschemas.google.com/" r:id="rId1" roundtripDataSignature="AMtx7mgmWQtUIO+VratQVkJcCxk54dAej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P8" authorId="0" shapeId="0" xr:uid="{00000000-0006-0000-0D00-000028000000}">
      <text>
        <r>
          <rPr>
            <sz val="8"/>
            <color rgb="FF000000"/>
            <rFont val="Arial"/>
          </rPr>
          <t>======
ID#AAAAIe9-e6g
Assuming Complete Combustion    (2021-05-06 16:14:06)
CH4  +   2O2  = CO2 + 2H2O
1 kmole CH4 (16 kg) yield 1 kmole CO2(44kg)
16kg CH4 = 44 kg CO2
1kg CH4 =2.75 kg CO2</t>
        </r>
      </text>
    </comment>
    <comment ref="L10" authorId="0" shapeId="0" xr:uid="{00000000-0006-0000-0D00-000007000000}">
      <text>
        <r>
          <rPr>
            <sz val="8"/>
            <color rgb="FF000000"/>
            <rFont val="Arial"/>
          </rPr>
          <t>======
ID#AAAAIe9-e3A
    (2021-05-11 10:22:40)
2014 Emission Certificate Report: LFG Flow to flare=200.83/LFG Generation Rate =166</t>
        </r>
      </text>
    </comment>
    <comment ref="D15" authorId="0" shapeId="0" xr:uid="{00000000-0006-0000-0D00-000016000000}">
      <text>
        <r>
          <rPr>
            <sz val="8"/>
            <color rgb="FF000000"/>
            <rFont val="Arial"/>
          </rPr>
          <t>======
ID#AAAAIe9-e_w
wsimms    (2021-05-06 16:14:06)
CHANGED 2008 FROM 10.7 TO 14.3 MILLION.</t>
        </r>
      </text>
    </comment>
    <comment ref="D20" authorId="0" shapeId="0" xr:uid="{00000000-0006-0000-0D00-000010000000}">
      <text>
        <r>
          <rPr>
            <sz val="8"/>
            <color rgb="FF000000"/>
            <rFont val="Arial"/>
          </rPr>
          <t>======
ID#AAAAIe9-fCY
wsimms    (2021-05-06 16:14:06)
CHANGED 2008 FROM 13.8 TO 18.320622 MILLION.</t>
        </r>
      </text>
    </comment>
    <comment ref="D22" authorId="0" shapeId="0" xr:uid="{00000000-0006-0000-0D00-000013000000}">
      <text>
        <r>
          <rPr>
            <sz val="8"/>
            <color rgb="FF000000"/>
            <rFont val="Arial"/>
          </rPr>
          <t>======
ID#AAAAIe9-fBs
wsimms    (2021-05-06 16:14:06)
CHANGED 2008 FROM 7.8 TO 22.813 MILLION.</t>
        </r>
      </text>
    </comment>
    <comment ref="L22" authorId="0" shapeId="0" xr:uid="{00000000-0006-0000-0D00-000004000000}">
      <text>
        <r>
          <rPr>
            <sz val="8"/>
            <color rgb="FF000000"/>
            <rFont val="Arial"/>
          </rPr>
          <t>======
ID#AAAAIe9-e64
    (2021-05-11 10:22:40)
2011 Emission Certification Report.</t>
        </r>
      </text>
    </comment>
    <comment ref="N22" authorId="0" shapeId="0" xr:uid="{00000000-0006-0000-0D00-000006000000}">
      <text>
        <r>
          <rPr>
            <sz val="8"/>
            <color rgb="FF000000"/>
            <rFont val="Arial"/>
          </rPr>
          <t>======
ID#AAAAIe9-e38
    (2021-05-11 10:22:40)
Emission Certification Report.</t>
        </r>
      </text>
    </comment>
    <comment ref="D25" authorId="0" shapeId="0" xr:uid="{00000000-0006-0000-0D00-00001F000000}">
      <text>
        <r>
          <rPr>
            <sz val="8"/>
            <color rgb="FF000000"/>
            <rFont val="Arial"/>
          </rPr>
          <t>======
ID#AAAAIe9-e4U
wsimms    (2021-05-06 16:14:06)
CHANGED 2008 2.1 TO 2.79929</t>
        </r>
      </text>
    </comment>
    <comment ref="D31" authorId="0" shapeId="0" xr:uid="{00000000-0006-0000-0D00-00000C000000}">
      <text>
        <r>
          <rPr>
            <sz val="8"/>
            <color rgb="FF000000"/>
            <rFont val="Arial"/>
          </rPr>
          <t>======
ID#AAAAIe9-fE8
wsimms    (2021-05-06 16:14:06)
CHANGED 2008 FROM 2.6 TO 3.504187 MILLION.</t>
        </r>
      </text>
    </comment>
    <comment ref="D33" authorId="0" shapeId="0" xr:uid="{00000000-0006-0000-0D00-00000B000000}">
      <text>
        <r>
          <rPr>
            <sz val="8"/>
            <color rgb="FF000000"/>
            <rFont val="Arial"/>
          </rPr>
          <t>======
ID#AAAAIe9-e1k
wsimms    (2021-05-06 16:14:06)
CHANGED 2008 FROM 3.0 TO 4.505 MILLION.</t>
        </r>
      </text>
    </comment>
    <comment ref="D35" authorId="0" shapeId="0" xr:uid="{00000000-0006-0000-0D00-000026000000}">
      <text>
        <r>
          <rPr>
            <sz val="8"/>
            <color rgb="FF000000"/>
            <rFont val="Arial"/>
          </rPr>
          <t>======
ID#AAAAIe9-e7Y
wsimms    (2021-05-06 16:14:06)
CHANGED 2008 FROM 3.2 TO 4.3747 MILLION.</t>
        </r>
      </text>
    </comment>
    <comment ref="L35" authorId="0" shapeId="0" xr:uid="{00000000-0006-0000-0D00-000002000000}">
      <text>
        <r>
          <rPr>
            <sz val="8"/>
            <color rgb="FF000000"/>
            <rFont val="Arial"/>
          </rPr>
          <t>======
ID#AAAAIe9-e_o
    (2021-05-11 10:22:41)
2014 Emission Certificate Report.</t>
        </r>
      </text>
    </comment>
    <comment ref="D39" authorId="0" shapeId="0" xr:uid="{00000000-0006-0000-0D00-000015000000}">
      <text>
        <r>
          <rPr>
            <sz val="8"/>
            <color rgb="FF000000"/>
            <rFont val="Arial"/>
          </rPr>
          <t>======
ID#AAAAIe9-fBU
wsimms    (2021-05-06 16:14:06)
2005 CAPACITY 4.1 MILLION WAS NOT CHANGED EVEN THOUGH 2008 WAS LISTED AS 1.483205.</t>
        </r>
      </text>
    </comment>
    <comment ref="D41" authorId="0" shapeId="0" xr:uid="{00000000-0006-0000-0D00-00001C000000}">
      <text>
        <r>
          <rPr>
            <sz val="8"/>
            <color rgb="FF000000"/>
            <rFont val="Arial"/>
          </rPr>
          <t>======
ID#AAAAIe9-e5I
wsimms    (2021-05-06 16:14:06)
CHANGED 2008 FROM 0.75 TO 1.0009 MILLION.</t>
        </r>
      </text>
    </comment>
    <comment ref="L42" authorId="0" shapeId="0" xr:uid="{00000000-0006-0000-0D00-000005000000}">
      <text>
        <r>
          <rPr>
            <sz val="8"/>
            <color rgb="FF000000"/>
            <rFont val="Arial"/>
          </rPr>
          <t>======
ID#AAAAIe9-e6o
    (2021-05-11 10:22:40)
2011 Emission Certification Report.</t>
        </r>
      </text>
    </comment>
    <comment ref="N42" authorId="0" shapeId="0" xr:uid="{00000000-0006-0000-0D00-000003000000}">
      <text>
        <r>
          <rPr>
            <sz val="8"/>
            <color rgb="FF000000"/>
            <rFont val="Arial"/>
          </rPr>
          <t>======
ID#AAAAIe9-e9Q
    (2021-05-11 10:22:41)
2011 Emission Certification Report.</t>
        </r>
      </text>
    </comment>
    <comment ref="D43" authorId="0" shapeId="0" xr:uid="{00000000-0006-0000-0D00-000019000000}">
      <text>
        <r>
          <rPr>
            <sz val="8"/>
            <color rgb="FF000000"/>
            <rFont val="Arial"/>
          </rPr>
          <t>======
ID#AAAAIe9-fAQ
wsimms    (2021-05-06 16:14:06)
CHANGED 2008 FROM 3.2 TO 4.226188 MILLION.</t>
        </r>
      </text>
    </comment>
    <comment ref="C45" authorId="0" shapeId="0" xr:uid="{00000000-0006-0000-0D00-000022000000}">
      <text>
        <r>
          <rPr>
            <sz val="8"/>
            <color rgb="FF000000"/>
            <rFont val="Arial"/>
          </rPr>
          <t>======
ID#AAAAIe9-e8s
Walter A. Simms    (2021-05-06 16:14:06)
This landfill was known by the name Del Signiore, but it is now Garrett Co. SWD&amp;RF</t>
        </r>
      </text>
    </comment>
    <comment ref="D45" authorId="0" shapeId="0" xr:uid="{00000000-0006-0000-0D00-000023000000}">
      <text>
        <r>
          <rPr>
            <sz val="8"/>
            <color rgb="FF000000"/>
            <rFont val="Arial"/>
          </rPr>
          <t>======
ID#AAAAIe9-e98
wsimms    (2021-05-06 16:14:06)
CHANGED 2008 FROM 1.5 TO 1.537185 MILLION.</t>
        </r>
      </text>
    </comment>
    <comment ref="D48" authorId="0" shapeId="0" xr:uid="{00000000-0006-0000-0D00-000008000000}">
      <text>
        <r>
          <rPr>
            <sz val="8"/>
            <color rgb="FF000000"/>
            <rFont val="Arial"/>
          </rPr>
          <t>======
ID#AAAAIe9-e_E
wsimms    (2021-05-06 16:14:06)
CHANGED 2008 FROM 2.3 TO 2.98 MILLION.</t>
        </r>
      </text>
    </comment>
    <comment ref="D53" authorId="0" shapeId="0" xr:uid="{00000000-0006-0000-0D00-00001D000000}">
      <text>
        <r>
          <rPr>
            <sz val="8"/>
            <color rgb="FF000000"/>
            <rFont val="Arial"/>
          </rPr>
          <t>======
ID#AAAAIe9-e4c
wsimms    (2021-05-06 16:14:06)
CHANGED 2008 7.1 TO 9.978 MILLION TONS.</t>
        </r>
      </text>
    </comment>
    <comment ref="D59" authorId="0" shapeId="0" xr:uid="{00000000-0006-0000-0D00-00000E000000}">
      <text>
        <r>
          <rPr>
            <sz val="8"/>
            <color rgb="FF000000"/>
            <rFont val="Arial"/>
          </rPr>
          <t>======
ID#AAAAIe9-fDQ
wsimms    (2021-05-06 16:14:06)
CHANGED 2008 FROM 12.4 TO 16.0</t>
        </r>
      </text>
    </comment>
    <comment ref="I60" authorId="0" shapeId="0" xr:uid="{00000000-0006-0000-0D00-00000A000000}">
      <text>
        <r>
          <rPr>
            <sz val="8"/>
            <color rgb="FF000000"/>
            <rFont val="Arial"/>
          </rPr>
          <t>======
ID#AAAAIe9-fEM
Walter A. Simms    (2021-05-06 16:14:06)
CLOSED JUNE 2000</t>
        </r>
      </text>
    </comment>
    <comment ref="K60" authorId="0" shapeId="0" xr:uid="{00000000-0006-0000-0D00-000001000000}">
      <text>
        <r>
          <rPr>
            <sz val="8"/>
            <color rgb="FF000000"/>
            <rFont val="Arial"/>
          </rPr>
          <t>======
ID#AAAAImlMjJM
Abdulrahman Mohammed -MDE-    (2021-05-28 14:17:51)
Back Calculated</t>
        </r>
      </text>
    </comment>
    <comment ref="C61" authorId="0" shapeId="0" xr:uid="{00000000-0006-0000-0D00-00001B000000}">
      <text>
        <r>
          <rPr>
            <sz val="8"/>
            <color rgb="FF000000"/>
            <rFont val="Arial"/>
          </rPr>
          <t>======
ID#AAAAIe9-e4o
Walter A. Simms    (2021-05-06 16:14:06)
Both Area #1 and #2 are calculated on this row.</t>
        </r>
      </text>
    </comment>
    <comment ref="C63" authorId="0" shapeId="0" xr:uid="{00000000-0006-0000-0D00-00001E000000}">
      <text>
        <r>
          <rPr>
            <sz val="8"/>
            <color rgb="FF000000"/>
            <rFont val="Arial"/>
          </rPr>
          <t>======
ID#AAAAIe9-e5A
Walter A. Simms    (2021-05-06 16:14:06)
Somerset County MLF was also known as Fairmount Rd MLF.</t>
        </r>
      </text>
    </comment>
    <comment ref="D63" authorId="0" shapeId="0" xr:uid="{00000000-0006-0000-0D00-000017000000}">
      <text>
        <r>
          <rPr>
            <sz val="8"/>
            <color rgb="FF000000"/>
            <rFont val="Arial"/>
          </rPr>
          <t>======
ID#AAAAIe9-e_s
wsimms    (2021-05-06 16:14:06)
CHANGED 2008 FROM 1.5 TO 1.610 MILLION.</t>
        </r>
      </text>
    </comment>
    <comment ref="D66" authorId="0" shapeId="0" xr:uid="{00000000-0006-0000-0D00-000024000000}">
      <text>
        <r>
          <rPr>
            <sz val="8"/>
            <color rgb="FF000000"/>
            <rFont val="Arial"/>
          </rPr>
          <t>======
ID#AAAAIe9-e7k
wsimms    (2021-05-06 16:14:06)
CHANGED 2008 FROM 2.2 TO 3.751244 MILLION.</t>
        </r>
      </text>
    </comment>
    <comment ref="C69" authorId="0" shapeId="0" xr:uid="{00000000-0006-0000-0D00-000009000000}">
      <text>
        <r>
          <rPr>
            <sz val="8"/>
            <color rgb="FF000000"/>
            <rFont val="Arial"/>
          </rPr>
          <t>======
ID#AAAAIe9-e_0
Walter A. Simms    (2021-05-06 16:14:06)
OPENED 1982 CLOSED IN1998; REOPENED IN 1998 AND CLOSED IN 2000.</t>
        </r>
      </text>
    </comment>
    <comment ref="C70" authorId="0" shapeId="0" xr:uid="{00000000-0006-0000-0D00-00001A000000}">
      <text>
        <r>
          <rPr>
            <sz val="8"/>
            <color rgb="FF000000"/>
            <rFont val="Arial"/>
          </rPr>
          <t>======
ID#AAAAIe9-e5Q
Walter A. Simms    (2021-05-06 16:14:06)
NEW, OPENED 2000</t>
        </r>
      </text>
    </comment>
    <comment ref="D70" authorId="0" shapeId="0" xr:uid="{00000000-0006-0000-0D00-00000F000000}">
      <text>
        <r>
          <rPr>
            <sz val="8"/>
            <color rgb="FF000000"/>
            <rFont val="Arial"/>
          </rPr>
          <t>======
ID#AAAAIe9-fDE
wsimms    (2021-05-06 16:14:06)
CHANGED 2008 FROM 11.8 TO 20.273 MILLION.</t>
        </r>
      </text>
    </comment>
    <comment ref="D72" authorId="0" shapeId="0" xr:uid="{00000000-0006-0000-0D00-000014000000}">
      <text>
        <r>
          <rPr>
            <sz val="8"/>
            <color rgb="FF000000"/>
            <rFont val="Arial"/>
          </rPr>
          <t>======
ID#AAAAIe9-e0Q
wsimms    (2021-05-06 16:14:06)
CHANGED 2008 FROM 5.4 TO 7.2 MILLION.</t>
        </r>
      </text>
    </comment>
    <comment ref="D74" authorId="0" shapeId="0" xr:uid="{00000000-0006-0000-0D00-000018000000}">
      <text>
        <r>
          <rPr>
            <sz val="8"/>
            <color rgb="FF000000"/>
            <rFont val="Arial"/>
          </rPr>
          <t>======
ID#AAAAIe9-fAU
wsimms    (2021-05-06 16:14:06)
CHANGED 2008 FROM 8.6 TO 4.8 MILLION.</t>
        </r>
      </text>
    </comment>
    <comment ref="G84" authorId="0" shapeId="0" xr:uid="{00000000-0006-0000-0D00-000012000000}">
      <text>
        <r>
          <rPr>
            <sz val="8"/>
            <color rgb="FF000000"/>
            <rFont val="Arial"/>
          </rPr>
          <t>======
ID#AAAAIe9-e1A
Amohammed    (2021-05-06 16:14:06)
Assume 7 % of MSW)</t>
        </r>
      </text>
    </comment>
    <comment ref="O86" authorId="0" shapeId="0" xr:uid="{00000000-0006-0000-0D00-000020000000}">
      <text>
        <r>
          <rPr>
            <sz val="8"/>
            <color rgb="FF000000"/>
            <rFont val="Arial"/>
          </rPr>
          <t>======
ID#AAAAIe9-fDo
Amohammed    (2021-05-06 16:14:06)
Flared CH4 + Landfill Gas-to-Energy</t>
        </r>
      </text>
    </comment>
    <comment ref="V94" authorId="0" shapeId="0" xr:uid="{00000000-0006-0000-0D00-000021000000}">
      <text>
        <r>
          <rPr>
            <sz val="8"/>
            <color rgb="FF000000"/>
            <rFont val="Arial"/>
          </rPr>
          <t>======
ID#AAAAIe9-e9w
Amohammed    (2021-05-06 16:14:06)
Assumed 7% of MSW</t>
        </r>
      </text>
    </comment>
    <comment ref="V96" authorId="0" shapeId="0" xr:uid="{00000000-0006-0000-0D00-000025000000}">
      <text>
        <r>
          <rPr>
            <sz val="8"/>
            <color rgb="FF000000"/>
            <rFont val="Arial"/>
          </rPr>
          <t>======
ID#AAAAIe9-e88
Amohammed    (2021-05-06 16:14:06)
Assumed 7% of MSW</t>
        </r>
      </text>
    </comment>
  </commentList>
  <extLst>
    <ext xmlns:r="http://schemas.openxmlformats.org/officeDocument/2006/relationships" uri="GoogleSheetsCustomDataVersion1">
      <go:sheetsCustomData xmlns:go="http://customooxmlschemas.google.com/" r:id="rId1" roundtripDataSignature="AMtx7mhXnDgbNU0oScf4sSVEry4RGFubyQ=="/>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34" authorId="0" shapeId="0" xr:uid="{00000000-0006-0000-0E00-000003000000}">
      <text>
        <r>
          <rPr>
            <sz val="8"/>
            <color rgb="FF000000"/>
            <rFont val="Arial"/>
          </rPr>
          <t>======
ID#AAAAIe9-fDY
Qudus    (2021-05-11 10:22:41)
GGRP 2014 Reporting</t>
        </r>
      </text>
    </comment>
    <comment ref="G34" authorId="0" shapeId="0" xr:uid="{00000000-0006-0000-0E00-000005000000}">
      <text>
        <r>
          <rPr>
            <sz val="8"/>
            <color rgb="FF000000"/>
            <rFont val="Arial"/>
          </rPr>
          <t>======
ID#AAAAIe9-e9g
Qudus    (2021-05-11 10:22:41)
GHGRP Data 2014 Reporting</t>
        </r>
      </text>
    </comment>
    <comment ref="P34" authorId="0" shapeId="0" xr:uid="{00000000-0006-0000-0E00-000007000000}">
      <text>
        <r>
          <rPr>
            <sz val="8"/>
            <color rgb="FF000000"/>
            <rFont val="Arial"/>
          </rPr>
          <t>======
ID#AAAAIe9-e2E
Qudus    (2021-05-11 10:22:40)
MDE Modelled GHGRP Data</t>
        </r>
      </text>
    </comment>
    <comment ref="Q46" authorId="0" shapeId="0" xr:uid="{00000000-0006-0000-0E00-000001000000}">
      <text>
        <r>
          <rPr>
            <sz val="8"/>
            <color rgb="FF000000"/>
            <rFont val="Arial"/>
          </rPr>
          <t>Specified  in the ECR
======</t>
        </r>
      </text>
    </comment>
    <comment ref="C49" authorId="0" shapeId="0" xr:uid="{00000000-0006-0000-0E00-000006000000}">
      <text>
        <r>
          <rPr>
            <sz val="8"/>
            <color rgb="FF000000"/>
            <rFont val="Arial"/>
          </rPr>
          <t>======
ID#AAAAIe9-e5w
Qudus    (2021-05-11 10:22:40)
2014 GHGRP Data</t>
        </r>
      </text>
    </comment>
    <comment ref="G49" authorId="0" shapeId="0" xr:uid="{00000000-0006-0000-0E00-000004000000}">
      <text>
        <r>
          <rPr>
            <sz val="8"/>
            <color rgb="FF000000"/>
            <rFont val="Arial"/>
          </rPr>
          <t>======
ID#AAAAIe9-e-8
Qudus    (2021-05-11 10:22:41)
2014 GHGRP Data</t>
        </r>
      </text>
    </comment>
    <comment ref="P49" authorId="0" shapeId="0" xr:uid="{00000000-0006-0000-0E00-000002000000}">
      <text>
        <r>
          <rPr>
            <sz val="8"/>
            <color rgb="FF000000"/>
            <rFont val="Arial"/>
          </rPr>
          <t>======
ID#AAAAIe9-fE0
Qudus    (2021-05-11 10:22:41)
MDE Modelled GHGRP Data</t>
        </r>
      </text>
    </comment>
  </commentList>
  <extLst>
    <ext xmlns:r="http://schemas.openxmlformats.org/officeDocument/2006/relationships" uri="GoogleSheetsCustomDataVersion1">
      <go:sheetsCustomData xmlns:go="http://customooxmlschemas.google.com/" r:id="rId1" roundtripDataSignature="AMtx7mixUSCA8KgaNWyAQEPlnTn+qDqeEQ=="/>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0F00-000001000000}">
      <text>
        <r>
          <rPr>
            <sz val="8"/>
            <color rgb="FF000000"/>
            <rFont val="Arial"/>
          </rPr>
          <t>======
ID#AAAAIe9-e58
sal    (2021-05-11 10:22:40)
NO CH4 Emission Reported</t>
        </r>
      </text>
    </comment>
  </commentList>
  <extLst>
    <ext xmlns:r="http://schemas.openxmlformats.org/officeDocument/2006/relationships" uri="GoogleSheetsCustomDataVersion1">
      <go:sheetsCustomData xmlns:go="http://customooxmlschemas.google.com/" r:id="rId1" roundtripDataSignature="AMtx7mgq10++g9HWNCX1E6LXJQGObqkMqA=="/>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100-000003000000}">
      <text>
        <r>
          <rPr>
            <sz val="8"/>
            <color rgb="FF000000"/>
            <rFont val="Arial"/>
          </rPr>
          <t>======
ID#AAAAIe9-e4g
Beth Moore    (2021-05-11 10:22:40)
MTCH4 are converted to MMTCO2E by multiplying by the GWP of CH4, or 21, and then dividing by 1,000,000</t>
        </r>
      </text>
    </comment>
    <comment ref="F22" authorId="0" shapeId="0" xr:uid="{00000000-0006-0000-1100-000002000000}">
      <text>
        <r>
          <rPr>
            <sz val="8"/>
            <color rgb="FF000000"/>
            <rFont val="Arial"/>
          </rPr>
          <t>======
ID#AAAAIe9-e8g
Beth Moore    (2021-05-11 10:22:40)
MTCH4 are converted to MMTCO2E by multiplying by the GWP of CH4, or 21, and then dividing by 1,000,000</t>
        </r>
      </text>
    </comment>
    <comment ref="F45" authorId="0" shapeId="0" xr:uid="{00000000-0006-0000-1100-000001000000}">
      <text>
        <r>
          <rPr>
            <sz val="8"/>
            <color rgb="FF000000"/>
            <rFont val="Arial"/>
          </rPr>
          <t>======
ID#AAAAIe9-fBw
Beth Moore    (2021-05-11 10:22:41)
MTCH4 are converted to MMTCO2E by multiplying by the GWP of CH4, or 21, and then dividing by 1,000,000</t>
        </r>
      </text>
    </comment>
  </commentList>
  <extLst>
    <ext xmlns:r="http://schemas.openxmlformats.org/officeDocument/2006/relationships" uri="GoogleSheetsCustomDataVersion1">
      <go:sheetsCustomData xmlns:go="http://customooxmlschemas.google.com/" r:id="rId1" roundtripDataSignature="AMtx7mjuAvI5ER7UTaJNHXakyqbJylNtLA=="/>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200-000002000000}">
      <text>
        <r>
          <rPr>
            <sz val="8"/>
            <color rgb="FF000000"/>
            <rFont val="Arial"/>
          </rPr>
          <t>======
ID#AAAAIe9-fFI
Beth Moore    (2021-05-11 10:22:41)
Million cubic feet are converted to MTCH4 by multiplying by 19.2 grams/cubic feet of CH4.</t>
        </r>
      </text>
    </comment>
    <comment ref="N4" authorId="0" shapeId="0" xr:uid="{00000000-0006-0000-1200-000006000000}">
      <text>
        <r>
          <rPr>
            <sz val="8"/>
            <color rgb="FF000000"/>
            <rFont val="Arial"/>
          </rPr>
          <t>======
ID#AAAAIe9-e1M
Beth Moore    (2021-05-11 10:22:40)
MTCH4 are converted to MTCO2E by multiplying first by the GWP of CH4, or 21.</t>
        </r>
      </text>
    </comment>
    <comment ref="J8" authorId="0" shapeId="0" xr:uid="{00000000-0006-0000-1200-000001000000}">
      <text>
        <r>
          <rPr>
            <sz val="8"/>
            <color rgb="FF000000"/>
            <rFont val="Arial"/>
          </rPr>
          <t>======
ID#AAAAIe9-fFk
Beth Moore    (2021-05-11 10:22:41)
Thousand cubic feet are converted to MTCH4 by dividing by 1,000, then by 19.2 grams/cubic feet of CH4.</t>
        </r>
      </text>
    </comment>
    <comment ref="L8" authorId="0" shapeId="0" xr:uid="{00000000-0006-0000-1200-000004000000}">
      <text>
        <r>
          <rPr>
            <sz val="8"/>
            <color rgb="FF000000"/>
            <rFont val="Arial"/>
          </rPr>
          <t>======
ID#AAAAIe9-e6M
Beth Moore    (2021-05-11 10:22:40)
MTCH4 are converted to MTCO2E by multiplying first by the GWP of CH4, or 21.</t>
        </r>
      </text>
    </comment>
    <comment ref="J12" authorId="0" shapeId="0" xr:uid="{00000000-0006-0000-1200-000005000000}">
      <text>
        <r>
          <rPr>
            <sz val="8"/>
            <color rgb="FF000000"/>
            <rFont val="Arial"/>
          </rPr>
          <t>======
ID#AAAAIe9-e10
Beth Moore    (2021-05-11 10:22:40)
Thousand cubic feet are converted to MTCH4 by dividing by 1,000, then by 19.2 grams/cubic feet of CH4.</t>
        </r>
      </text>
    </comment>
    <comment ref="L12" authorId="0" shapeId="0" xr:uid="{00000000-0006-0000-1200-000003000000}">
      <text>
        <r>
          <rPr>
            <sz val="8"/>
            <color rgb="FF000000"/>
            <rFont val="Arial"/>
          </rPr>
          <t>======
ID#AAAAIe9-e74
Beth Moore    (2021-05-11 10:22:40)
MTCH4 are converted to MTCO2E by multiplying first by the GWP of CH4, or 21.</t>
        </r>
      </text>
    </comment>
  </commentList>
  <extLst>
    <ext xmlns:r="http://schemas.openxmlformats.org/officeDocument/2006/relationships" uri="GoogleSheetsCustomDataVersion1">
      <go:sheetsCustomData xmlns:go="http://customooxmlschemas.google.com/" r:id="rId1" roundtripDataSignature="AMtx7mht9rBTzcL7Q7DH+lTDMNLkbBkGPQ=="/>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300-000001000000}">
      <text>
        <r>
          <rPr>
            <sz val="8"/>
            <color rgb="FF000000"/>
            <rFont val="Arial"/>
          </rPr>
          <t>======
ID#AAAAIe9-fBM
sal    (2021-05-11 10:22:41)
Based on 2011 Pop.</t>
        </r>
      </text>
    </comment>
    <comment ref="E16" authorId="0" shapeId="0" xr:uid="{00000000-0006-0000-1300-000003000000}">
      <text>
        <r>
          <rPr>
            <sz val="8"/>
            <color rgb="FF000000"/>
            <rFont val="Arial"/>
          </rPr>
          <t>======
ID#AAAAIe9-e9M
sal    (2021-05-11 10:22:41)
2010 Available data.</t>
        </r>
      </text>
    </comment>
    <comment ref="C22" authorId="0" shapeId="0" xr:uid="{00000000-0006-0000-1300-000002000000}">
      <text>
        <r>
          <rPr>
            <sz val="8"/>
            <color rgb="FF000000"/>
            <rFont val="Arial"/>
          </rPr>
          <t>======
ID#AAAAIe9-e-0
sal    (2021-05-11 10:22:41)
2014 USDA lbs/2204.58 =metric tons</t>
        </r>
      </text>
    </comment>
  </commentList>
  <extLst>
    <ext xmlns:r="http://schemas.openxmlformats.org/officeDocument/2006/relationships" uri="GoogleSheetsCustomDataVersion1">
      <go:sheetsCustomData xmlns:go="http://customooxmlschemas.google.com/" r:id="rId1" roundtripDataSignature="AMtx7miVlZIdyufzeAyx3hgqlEKmLV/jkw=="/>
    </ext>
  </extL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400-00002C000000}">
      <text>
        <r>
          <rPr>
            <sz val="8"/>
            <color rgb="FF000000"/>
            <rFont val="Arial"/>
          </rPr>
          <t>======
ID#AAAAIe9-e5s
Philip Groth    (2021-05-11 10:22:40)
Kg of methane are converted to metric tons by dividing by 1000. This is then converted to MMTCH4 by dividing by 1,000,000.</t>
        </r>
      </text>
    </comment>
    <comment ref="K4" authorId="0" shapeId="0" xr:uid="{00000000-0006-0000-1400-00001C000000}">
      <text>
        <r>
          <rPr>
            <sz val="8"/>
            <color rgb="FF000000"/>
            <rFont val="Arial"/>
          </rPr>
          <t>======
ID#AAAAIe9-e-Y
Philip Groth    (2021-05-11 10:22:41)
MMTCH4 are converted to MMTCE by multiply by methane's global warming potential (21) and then 12/44 (to convert from CO2 to C).</t>
        </r>
      </text>
    </comment>
    <comment ref="M4" authorId="0" shapeId="0" xr:uid="{00000000-0006-0000-1400-00002D000000}">
      <text>
        <r>
          <rPr>
            <sz val="8"/>
            <color rgb="FF000000"/>
            <rFont val="Arial"/>
          </rPr>
          <t>======
ID#AAAAIe9-e5c
Philip Groth    (2021-05-11 10:22:40)
MMTCE are converted to MMTCO2E by dividing by 12/44 (to convert from C to CO2).</t>
        </r>
      </text>
    </comment>
    <comment ref="M30" authorId="0" shapeId="0" xr:uid="{00000000-0006-0000-1400-000020000000}">
      <text>
        <r>
          <rPr>
            <sz val="8"/>
            <color rgb="FF000000"/>
            <rFont val="Arial"/>
          </rPr>
          <t>======
ID#AAAAIe9-e9k
DLekas    (2021-05-11 10:22:41)
Sum of MCF for each animal's management system x Percent of Manure Managed in that system</t>
        </r>
      </text>
    </comment>
    <comment ref="B52" authorId="0" shapeId="0" xr:uid="{00000000-0006-0000-1400-00001F000000}">
      <text>
        <r>
          <rPr>
            <sz val="8"/>
            <color rgb="FF000000"/>
            <rFont val="Arial"/>
          </rPr>
          <t>======
ID#AAAAIe9-e90
DLekas    (2021-05-11 10:22:41)
Includes:  Pullets laying, Pullets &gt; 3 mo., and Pullets &lt; 3 mo.</t>
        </r>
      </text>
    </comment>
    <comment ref="C53" authorId="0" shapeId="0" xr:uid="{00000000-0006-0000-1400-000015000000}">
      <text>
        <r>
          <rPr>
            <sz val="8"/>
            <color rgb="FF000000"/>
            <rFont val="Arial"/>
          </rPr>
          <t>======
ID#AAAAIe9-fAI
amohammed    (2021-05-11 10:22:41)
2013 Data: USDA Maryland Agriculture Statistics</t>
        </r>
      </text>
    </comment>
    <comment ref="B54" authorId="0" shapeId="0" xr:uid="{00000000-0006-0000-1400-000002000000}">
      <text>
        <r>
          <rPr>
            <sz val="8"/>
            <color rgb="FF000000"/>
            <rFont val="Arial"/>
          </rPr>
          <t>======
ID#AAAAIe9-fFM
DLekas    (2021-05-11 10:22:41)
Includes: Regular Broilers, Other (Lost), and Other (Sold)</t>
        </r>
      </text>
    </comment>
    <comment ref="C55" authorId="0" shapeId="0" xr:uid="{00000000-0006-0000-1400-00001D000000}">
      <text>
        <r>
          <rPr>
            <sz val="8"/>
            <color rgb="FF000000"/>
            <rFont val="Arial"/>
          </rPr>
          <t>======
ID#AAAAIe9-e-Q
amohammed    (2021-05-11 10:22:41)
SIT Default 2011</t>
        </r>
      </text>
    </comment>
    <comment ref="B57" authorId="0" shapeId="0" xr:uid="{00000000-0006-0000-1400-000029000000}">
      <text>
        <r>
          <rPr>
            <sz val="8"/>
            <color rgb="FF000000"/>
            <rFont val="Arial"/>
          </rPr>
          <t>======
ID#AAAAIe9-e6k
Katrin Peterson    (2021-05-11 10:22:40)
Sheep on feed that are in feedlots were assumed to be manged using a dry lot system, all others were assumed to be PRP.</t>
        </r>
      </text>
    </comment>
    <comment ref="C58" authorId="0" shapeId="0" xr:uid="{00000000-0006-0000-1400-00002B000000}">
      <text>
        <r>
          <rPr>
            <sz val="8"/>
            <color rgb="FF000000"/>
            <rFont val="Arial"/>
          </rPr>
          <t>======
ID#AAAAIe9-e50
sal    (2021-05-11 10:22:40)
SIT Default 2011</t>
        </r>
      </text>
    </comment>
    <comment ref="S66" authorId="0" shapeId="0" xr:uid="{00000000-0006-0000-1400-000025000000}">
      <text>
        <r>
          <rPr>
            <sz val="8"/>
            <color rgb="FF000000"/>
            <rFont val="Arial"/>
          </rPr>
          <t>======
ID#AAAAIe9-e8E
Philip Groth    (2021-05-11 10:22:40)
MTCE are converted to MMTCE by dividing by 1,000,000.</t>
        </r>
      </text>
    </comment>
    <comment ref="C71" authorId="0" shapeId="0" xr:uid="{00000000-0006-0000-1400-000001000000}">
      <text>
        <r>
          <rPr>
            <sz val="8"/>
            <color rgb="FF000000"/>
            <rFont val="Arial"/>
          </rPr>
          <t>======
ID#AAAAIe9-fFU
sal    (2021-05-11 10:22:41)
SIT 2009 default</t>
        </r>
      </text>
    </comment>
    <comment ref="C72" authorId="0" shapeId="0" xr:uid="{00000000-0006-0000-1400-00002F000000}">
      <text>
        <r>
          <rPr>
            <sz val="8"/>
            <color rgb="FF000000"/>
            <rFont val="Arial"/>
          </rPr>
          <t>======
ID#AAAAIe9-e40
sal    (2021-05-11 10:22:40)
SIT 2009 Default</t>
        </r>
      </text>
    </comment>
    <comment ref="B81" authorId="0" shapeId="0" xr:uid="{00000000-0006-0000-1400-000040000000}">
      <text>
        <r>
          <rPr>
            <sz val="8"/>
            <color rgb="FF000000"/>
            <rFont val="Arial"/>
          </rPr>
          <t>======
ID#AAAAIe9-e0c
DLekas    (2021-05-11 10:22:40)
Includes: Regular Broilers, Other (Lost), and Other (Sold)</t>
        </r>
      </text>
    </comment>
    <comment ref="C82" authorId="0" shapeId="0" xr:uid="{00000000-0006-0000-1400-000003000000}">
      <text>
        <r>
          <rPr>
            <sz val="8"/>
            <color rgb="FF000000"/>
            <rFont val="Arial"/>
          </rPr>
          <t>======
ID#AAAAIe9-fEg
sal    (2021-05-11 10:22:41)
SIT 2009 Default data</t>
        </r>
      </text>
    </comment>
    <comment ref="C83" authorId="0" shapeId="0" xr:uid="{00000000-0006-0000-1400-000011000000}">
      <text>
        <r>
          <rPr>
            <sz val="8"/>
            <color rgb="FF000000"/>
            <rFont val="Arial"/>
          </rPr>
          <t>======
ID#AAAAIe9-fAw
sal    (2021-05-11 10:22:41)
2013 Data; USDA Maryland Agriculture Staistics</t>
        </r>
      </text>
    </comment>
    <comment ref="C84" authorId="0" shapeId="0" xr:uid="{00000000-0006-0000-1400-000035000000}">
      <text>
        <r>
          <rPr>
            <sz val="8"/>
            <color rgb="FF000000"/>
            <rFont val="Arial"/>
          </rPr>
          <t>======
ID#AAAAIe9-e2w
sal    (2021-05-11 10:22:40)
SIT 2009 Default data</t>
        </r>
      </text>
    </comment>
    <comment ref="C85" authorId="0" shapeId="0" xr:uid="{00000000-0006-0000-1400-000005000000}">
      <text>
        <r>
          <rPr>
            <sz val="8"/>
            <color rgb="FF000000"/>
            <rFont val="Arial"/>
          </rPr>
          <t>======
ID#AAAAIe9-fEA
sal    (2021-05-11 10:22:41)
SIT 2014 Default data</t>
        </r>
      </text>
    </comment>
    <comment ref="C88" authorId="0" shapeId="0" xr:uid="{00000000-0006-0000-1400-000033000000}">
      <text>
        <r>
          <rPr>
            <sz val="8"/>
            <color rgb="FF000000"/>
            <rFont val="Arial"/>
          </rPr>
          <t>======
ID#AAAAIe9-e3c
sal    (2021-05-11 10:22:40)
USDA 2009 data</t>
        </r>
      </text>
    </comment>
    <comment ref="E95" authorId="0" shapeId="0" xr:uid="{00000000-0006-0000-1400-00003A000000}">
      <text>
        <r>
          <rPr>
            <sz val="8"/>
            <color rgb="FF000000"/>
            <rFont val="Arial"/>
          </rPr>
          <t>======
ID#AAAAIe9-e14
DLekas    (2021-05-11 10:22:40)
This data can be obtained departments in each state responsible for agricultural research.  USDA: http://www.nass.usda.gov/Data_and_Statistics/index.asp</t>
        </r>
      </text>
    </comment>
    <comment ref="G95" authorId="0" shapeId="0" xr:uid="{00000000-0006-0000-1400-000008000000}">
      <text>
        <r>
          <rPr>
            <sz val="8"/>
            <color rgb="FF000000"/>
            <rFont val="Arial"/>
          </rPr>
          <t>======
ID#AAAAIe9-fC4
J Casola    (2021-05-11 10:22:41)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400-000014000000}">
      <text>
        <r>
          <rPr>
            <sz val="8"/>
            <color rgb="FF000000"/>
            <rFont val="Arial"/>
          </rPr>
          <t>======
ID#AAAAIe9-fAM
DLekas    (2021-05-11 10:22:41)
EIIP 1999 &amp; EPA 2001</t>
        </r>
      </text>
    </comment>
    <comment ref="AC95" authorId="0" shapeId="0" xr:uid="{00000000-0006-0000-1400-000007000000}">
      <text>
        <r>
          <rPr>
            <sz val="8"/>
            <color rgb="FF000000"/>
            <rFont val="Arial"/>
          </rPr>
          <t>======
ID#AAAAIe9-fC8
Philip Groth    (2021-05-11 10:22:41)
Metric tons N2O are converted to MMTCE by multiplying by the N2O global warming potential (310 N2O/CO2). multiplying by 12/44 (to convert from CO2 to C), and then dividing by 1,000,000.</t>
        </r>
      </text>
    </comment>
    <comment ref="AE95" authorId="0" shapeId="0" xr:uid="{00000000-0006-0000-1400-000018000000}">
      <text>
        <r>
          <rPr>
            <sz val="8"/>
            <color rgb="FF000000"/>
            <rFont val="Arial"/>
          </rPr>
          <t>======
ID#AAAAIe9-e_g
Philip Groth    (2021-05-11 10:22:41)
MMTCE are converted to MMTCO2E by dividing by 12/44 (to convert from C to CO2).</t>
        </r>
      </text>
    </comment>
    <comment ref="E123" authorId="0" shapeId="0" xr:uid="{00000000-0006-0000-1400-000027000000}">
      <text>
        <r>
          <rPr>
            <sz val="8"/>
            <color rgb="FF000000"/>
            <rFont val="Arial"/>
          </rPr>
          <t>======
ID#AAAAIe9-e7I
DLekas    (2021-05-11 10:22:40)
According to the US Inventory, 65% of the fertilizer consumption takes place from Jan-June and 35% from July-Dec.</t>
        </r>
      </text>
    </comment>
    <comment ref="S123" authorId="0" shapeId="0" xr:uid="{00000000-0006-0000-1400-000032000000}">
      <text>
        <r>
          <rPr>
            <sz val="8"/>
            <color rgb="FF000000"/>
            <rFont val="Arial"/>
          </rPr>
          <t>======
ID#AAAAIe9-e30
Philip Groth    (2021-05-11 10:22:40)
Metric tons N2O are converted to MMTCE by multiplying by the N2O global warming potential (310 N2O/CO2). multiplying by 12/44 (to convert from CO2 to C), and then dividing by 1,000,000.</t>
        </r>
      </text>
    </comment>
    <comment ref="U123" authorId="0" shapeId="0" xr:uid="{00000000-0006-0000-1400-00003D000000}">
      <text>
        <r>
          <rPr>
            <sz val="8"/>
            <color rgb="FF000000"/>
            <rFont val="Arial"/>
          </rPr>
          <t>======
ID#AAAAIe9-e1Y
Philip Groth    (2021-05-11 10:22:40)
Metric tons N2O are converted to MMTCE by multiplying by the N2O global warming potential (310 N2O/CO2). multiplying by 12/44 (to convert from CO2 to C), and then dividing by 1,000,000.</t>
        </r>
      </text>
    </comment>
    <comment ref="W123" authorId="0" shapeId="0" xr:uid="{00000000-0006-0000-1400-000034000000}">
      <text>
        <r>
          <rPr>
            <sz val="8"/>
            <color rgb="FF000000"/>
            <rFont val="Arial"/>
          </rPr>
          <t>======
ID#AAAAIe9-e3I
Philip Groth    (2021-05-11 10:22:40)
MMTCE are converted to MMTCO2E by dividing by 12/44 (to convert from C to CO2).</t>
        </r>
      </text>
    </comment>
    <comment ref="Y123" authorId="0" shapeId="0" xr:uid="{00000000-0006-0000-1400-00000E000000}">
      <text>
        <r>
          <rPr>
            <sz val="8"/>
            <color rgb="FF000000"/>
            <rFont val="Arial"/>
          </rPr>
          <t>======
ID#AAAAIe9-fBY
Philip Groth    (2021-05-11 10:22:41)
MMTCE are converted to MMTCO2E by dividing by 12/44 (to convert from C to CO2).</t>
        </r>
      </text>
    </comment>
    <comment ref="C124" authorId="0" shapeId="0" xr:uid="{00000000-0006-0000-1400-000017000000}">
      <text>
        <r>
          <rPr>
            <sz val="8"/>
            <color rgb="FF000000"/>
            <rFont val="Arial"/>
          </rPr>
          <t>======
ID#AAAAIe9-e_k
sal    (2021-05-11 10:22:41)
Total Nitrogen "2012 Tonnage Report" -MDA
July 2012 - June 2013</t>
        </r>
      </text>
    </comment>
    <comment ref="O124" authorId="0" shapeId="0" xr:uid="{00000000-0006-0000-1400-00001E000000}">
      <text>
        <r>
          <rPr>
            <sz val="8"/>
            <color rgb="FF000000"/>
            <rFont val="Arial"/>
          </rPr>
          <t>======
ID#AAAAIe9-e94
rthunell    (2021-05-11 10:22:41)
Emissions = 
(Activity/kg_ MT CF) x EF_Dir x N2O_N2 CF
kg_MT CF = 1000
EF_DIR = 0.01
N2O_N2 CF = 44/28</t>
        </r>
      </text>
    </comment>
    <comment ref="Q124" authorId="0" shapeId="0" xr:uid="{00000000-0006-0000-1400-000026000000}">
      <text>
        <r>
          <rPr>
            <sz val="8"/>
            <color rgb="FF000000"/>
            <rFont val="Arial"/>
          </rPr>
          <t>======
ID#AAAAIe9-e8A
rthunell    (2021-05-11 10:22:40)
rthunell:
Emissions = 
(Activity/kg_ MT CF) x EF_VOL x N2O_N2 CF
kg_MT CF = 1000
EF_VOL = 0.01
N2O_N2 CF = 44/28</t>
        </r>
      </text>
    </comment>
    <comment ref="K125" authorId="0" shapeId="0" xr:uid="{00000000-0006-0000-1400-000037000000}">
      <text>
        <r>
          <rPr>
            <sz val="8"/>
            <color rgb="FF000000"/>
            <rFont val="Arial"/>
          </rPr>
          <t>======
ID#AAAAIe9-e2Y
DLekas    (2021-05-11 10:22:40)
According to the IPCC Good Practice Guidance, the manure portion of organic fertilizers is subtracted from the total of organic fertilizers.</t>
        </r>
      </text>
    </comment>
    <comment ref="M125" authorId="0" shapeId="0" xr:uid="{00000000-0006-0000-1400-000023000000}">
      <text>
        <r>
          <rPr>
            <sz val="8"/>
            <color rgb="FF000000"/>
            <rFont val="Arial"/>
          </rPr>
          <t>======
ID#AAAAIe9-e8o
DLekas    (2021-05-11 10:22:40)
According to the IPCC Good Practice Guidance, the manure portion of organic fertilizers is subtracted from the total of organic fertilizers.</t>
        </r>
      </text>
    </comment>
    <comment ref="B135" authorId="0" shapeId="0" xr:uid="{00000000-0006-0000-1400-00003B000000}">
      <text>
        <r>
          <rPr>
            <sz val="8"/>
            <color rgb="FF000000"/>
            <rFont val="Arial"/>
          </rPr>
          <t>======
ID#AAAAIe9-e1w
DLekas    (2021-05-11 10:22:40)
According to the IPCC Good Practice Guidance, the manure portion of organic fertilizers is subtracted from the total of organic fertilizers.</t>
        </r>
      </text>
    </comment>
    <comment ref="C140" authorId="0" shapeId="0" xr:uid="{00000000-0006-0000-1400-00000C000000}">
      <text>
        <r>
          <rPr>
            <sz val="8"/>
            <color rgb="FF000000"/>
            <rFont val="Arial"/>
          </rPr>
          <t>======
ID#AAAAIe9-fBo
sal    (2021-05-11 10:22:41)
Total Nitrogen "2013 Tonnage Report" -MDA
July 2013 - June 2014</t>
        </r>
      </text>
    </comment>
    <comment ref="B151" authorId="0" shapeId="0" xr:uid="{00000000-0006-0000-1400-00001A000000}">
      <text>
        <r>
          <rPr>
            <sz val="8"/>
            <color rgb="FF000000"/>
            <rFont val="Arial"/>
          </rPr>
          <t>======
ID#AAAAIe9-e_A
DLekas    (2021-05-11 10:22:41)
According to the IPCC Good Practice Guidance, the manure portion of organic fertilizers is subtracted from the total of organic fertilizers.</t>
        </r>
      </text>
    </comment>
    <comment ref="E155" authorId="0" shapeId="0" xr:uid="{00000000-0006-0000-1400-00000F000000}">
      <text>
        <r>
          <rPr>
            <sz val="8"/>
            <color rgb="FF000000"/>
            <rFont val="Arial"/>
          </rPr>
          <t>======
ID#AAAAIe9-fBA
rthunell    (2021-05-11 10:22:41)
TAM: Typical Animal Mass</t>
        </r>
      </text>
    </comment>
    <comment ref="K155" authorId="0" shapeId="0" xr:uid="{00000000-0006-0000-1400-000013000000}">
      <text>
        <r>
          <rPr>
            <sz val="8"/>
            <color rgb="FF000000"/>
            <rFont val="Arial"/>
          </rPr>
          <t>======
ID#AAAAIe9-fAY
DLekas    (2021-05-11 10:22:41)
Volatilization = 20%; 
NH3-NOx EF (kg N2O/kg N) = 0.01</t>
        </r>
      </text>
    </comment>
    <comment ref="S155" authorId="0" shapeId="0" xr:uid="{00000000-0006-0000-1400-00000B000000}">
      <text>
        <r>
          <rPr>
            <sz val="8"/>
            <color rgb="FF000000"/>
            <rFont val="Arial"/>
          </rPr>
          <t>======
ID#AAAAIe9-fB0
rthunell    (2021-05-11 10:22:41)
Volatilization = 20%; 
NonVOL EF (kg N2O/kg N) = 0.0125
Poultry Not Managed = 0.042</t>
        </r>
      </text>
    </comment>
    <comment ref="U155" authorId="0" shapeId="0" xr:uid="{00000000-0006-0000-1400-00001B000000}">
      <text>
        <r>
          <rPr>
            <sz val="8"/>
            <color rgb="FF000000"/>
            <rFont val="Arial"/>
          </rPr>
          <t>======
ID#AAAAIe9-e-k
rthunell    (2021-05-11 10:22:41)
prtEF = 0.02</t>
        </r>
      </text>
    </comment>
    <comment ref="W155" authorId="0" shapeId="0" xr:uid="{00000000-0006-0000-1400-00002E000000}">
      <text>
        <r>
          <rPr>
            <sz val="8"/>
            <color rgb="FF000000"/>
            <rFont val="Arial"/>
          </rPr>
          <t>======
ID#AAAAIe9-e44
rthunell    (2021-05-11 10:22:40)
Leach EF = 0.30
Runoff/Leach EF = 0.0075</t>
        </r>
      </text>
    </comment>
    <comment ref="BN155" authorId="0" shapeId="0" xr:uid="{00000000-0006-0000-1400-00003F000000}">
      <text>
        <r>
          <rPr>
            <sz val="8"/>
            <color rgb="FF000000"/>
            <rFont val="Arial"/>
          </rPr>
          <t>======
ID#AAAAIe9-e0g
DLekas    (2021-05-11 10:22:40)
Source: EIIP Table 7.4.6</t>
        </r>
      </text>
    </comment>
    <comment ref="BQ155" authorId="0" shapeId="0" xr:uid="{00000000-0006-0000-1400-00003C000000}">
      <text>
        <r>
          <rPr>
            <sz val="8"/>
            <color rgb="FF000000"/>
            <rFont val="Arial"/>
          </rPr>
          <t>======
ID#AAAAIe9-e1s
DLekas    (2021-05-11 10:22:40)
Source: EIIP Table 7.4.7</t>
        </r>
      </text>
    </comment>
    <comment ref="BU155" authorId="0" shapeId="0" xr:uid="{00000000-0006-0000-1400-000022000000}">
      <text>
        <r>
          <rPr>
            <sz val="8"/>
            <color rgb="FF000000"/>
            <rFont val="Arial"/>
          </rPr>
          <t>======
ID#AAAAIe9-e8w
DLekas    (2021-05-11 10:22:40)
US Inventory
0% was assumed for both on feed and not on feed sheep for states without sheep data</t>
        </r>
      </text>
    </comment>
    <comment ref="BY155" authorId="0" shapeId="0" xr:uid="{00000000-0006-0000-1400-00002A000000}">
      <text>
        <r>
          <rPr>
            <sz val="8"/>
            <color rgb="FF000000"/>
            <rFont val="Arial"/>
          </rPr>
          <t>======
ID#AAAAIe9-e6A
DLekas    (2021-05-11 10:22:40)
Pgroth: Changed to 100% PRP in 1/03 per discussion w/Joe Mangino.</t>
        </r>
      </text>
    </comment>
    <comment ref="CB155" authorId="0" shapeId="0" xr:uid="{00000000-0006-0000-1400-00000D000000}">
      <text>
        <r>
          <rPr>
            <sz val="8"/>
            <color rgb="FF000000"/>
            <rFont val="Arial"/>
          </rPr>
          <t>======
ID#AAAAIe9-fBc
DLekas    (2021-05-11 10:22:41)
Pgroth: Changed to 100% PRP in 1/03 per discussion w/Joe Mangino.</t>
        </r>
      </text>
    </comment>
    <comment ref="BI156" authorId="0" shapeId="0" xr:uid="{00000000-0006-0000-1400-000038000000}">
      <text>
        <r>
          <rPr>
            <sz val="8"/>
            <color rgb="FF000000"/>
            <rFont val="Arial"/>
          </rPr>
          <t>======
ID#AAAAIe9-e2Q
Philip Groth    (2021-05-11 10:22:40)
ERG:
Assumed "Other" Systems fall into a category with an emission factor similar to solid storage.</t>
        </r>
      </text>
    </comment>
    <comment ref="C160" authorId="0" shapeId="0" xr:uid="{00000000-0006-0000-1400-000010000000}">
      <text>
        <r>
          <rPr>
            <sz val="8"/>
            <color rgb="FF000000"/>
            <rFont val="Arial"/>
          </rPr>
          <t>======
ID#AAAAIe9-fA4
sal    (2021-05-11 10:22:41)
SIT 2009 default</t>
        </r>
      </text>
    </comment>
    <comment ref="C161" authorId="0" shapeId="0" xr:uid="{00000000-0006-0000-1400-000028000000}">
      <text>
        <r>
          <rPr>
            <sz val="8"/>
            <color rgb="FF000000"/>
            <rFont val="Arial"/>
          </rPr>
          <t>======
ID#AAAAIe9-e7A
sal    (2021-05-11 10:22:40)
SIT 2009 Default</t>
        </r>
      </text>
    </comment>
    <comment ref="B166" authorId="0" shapeId="0" xr:uid="{00000000-0006-0000-1400-000012000000}">
      <text>
        <r>
          <rPr>
            <sz val="8"/>
            <color rgb="FF000000"/>
            <rFont val="Arial"/>
          </rPr>
          <t>======
ID#AAAAIe9-fAg
12796    (2021-05-11 10:22:41)
Includes Heifer Stockers and Beef Replacement Heifers.</t>
        </r>
      </text>
    </comment>
    <comment ref="C166" authorId="0" shapeId="0" xr:uid="{00000000-0006-0000-1400-000031000000}">
      <text>
        <r>
          <rPr>
            <sz val="8"/>
            <color rgb="FF000000"/>
            <rFont val="Arial"/>
          </rPr>
          <t>======
ID#AAAAIe9-e4k
sal    (2021-05-11 10:22:40)
Total Beef Heifers = Heifer Stockers + Beef Replacement Heifer</t>
        </r>
      </text>
    </comment>
    <comment ref="C170" authorId="0" shapeId="0" xr:uid="{00000000-0006-0000-1400-000004000000}">
      <text>
        <r>
          <rPr>
            <sz val="8"/>
            <color rgb="FF000000"/>
            <rFont val="Arial"/>
          </rPr>
          <t>======
ID#AAAAIe9-fEQ
sal    (2021-05-11 10:22:41)
USDA 2007 data</t>
        </r>
      </text>
    </comment>
    <comment ref="C175" authorId="0" shapeId="0" xr:uid="{00000000-0006-0000-1400-000030000000}">
      <text>
        <r>
          <rPr>
            <sz val="8"/>
            <color rgb="FF000000"/>
            <rFont val="Arial"/>
          </rPr>
          <t>======
ID#AAAAIe9-e4s
sal    (2021-05-11 10:22:40)
SIT 2009 Default data</t>
        </r>
      </text>
    </comment>
    <comment ref="C176" authorId="0" shapeId="0" xr:uid="{00000000-0006-0000-1400-000024000000}">
      <text>
        <r>
          <rPr>
            <sz val="8"/>
            <color rgb="FF000000"/>
            <rFont val="Arial"/>
          </rPr>
          <t>======
ID#AAAAIe9-e8c
sal    (2021-05-11 10:22:40)
SIT 2009 Default data</t>
        </r>
      </text>
    </comment>
    <comment ref="C177" authorId="0" shapeId="0" xr:uid="{00000000-0006-0000-1400-000036000000}">
      <text>
        <r>
          <rPr>
            <sz val="8"/>
            <color rgb="FF000000"/>
            <rFont val="Arial"/>
          </rPr>
          <t>======
ID#AAAAIe9-e2o
sal    (2021-05-11 10:22:40)
SIT 2009 Default data</t>
        </r>
      </text>
    </comment>
    <comment ref="B178" authorId="0" shapeId="0" xr:uid="{00000000-0006-0000-1400-000009000000}">
      <text>
        <r>
          <rPr>
            <sz val="8"/>
            <color rgb="FF000000"/>
            <rFont val="Arial"/>
          </rPr>
          <t>======
ID#AAAAIe9-fCc
DLekas    (2021-05-11 10:22:41)
Includes: Regular Broilers, Other (Lost), and Other (Sold)</t>
        </r>
      </text>
    </comment>
    <comment ref="C178" authorId="0" shapeId="0" xr:uid="{00000000-0006-0000-1400-00003E000000}">
      <text>
        <r>
          <rPr>
            <sz val="8"/>
            <color rgb="FF000000"/>
            <rFont val="Arial"/>
          </rPr>
          <t>======
ID#AAAAIe9-e0o
sal    (2021-05-11 10:22:40)
SIT 2009 Default data</t>
        </r>
      </text>
    </comment>
    <comment ref="C179" authorId="0" shapeId="0" xr:uid="{00000000-0006-0000-1400-00000A000000}">
      <text>
        <r>
          <rPr>
            <sz val="8"/>
            <color rgb="FF000000"/>
            <rFont val="Arial"/>
          </rPr>
          <t>======
ID#AAAAIe9-fCU
sal    (2021-05-11 10:22:41)
SIT 2009 Default data</t>
        </r>
      </text>
    </comment>
    <comment ref="C182" authorId="0" shapeId="0" xr:uid="{00000000-0006-0000-1400-000006000000}">
      <text>
        <r>
          <rPr>
            <sz val="8"/>
            <color rgb="FF000000"/>
            <rFont val="Arial"/>
          </rPr>
          <t>======
ID#AAAAIe9-fDg
sal    (2021-05-11 10:22:41)
USDA 2009 data</t>
        </r>
      </text>
    </comment>
    <comment ref="C184" authorId="0" shapeId="0" xr:uid="{00000000-0006-0000-1400-000039000000}">
      <text>
        <r>
          <rPr>
            <sz val="8"/>
            <color rgb="FF000000"/>
            <rFont val="Arial"/>
          </rPr>
          <t>======
ID#AAAAIe9-e18
sal    (2021-05-11 10:22:40)
2010 Maryland Equine Census,march 03,11; 2010 data</t>
        </r>
      </text>
    </comment>
    <comment ref="G197" authorId="0" shapeId="0" xr:uid="{00000000-0006-0000-1400-000021000000}">
      <text>
        <r>
          <rPr>
            <sz val="8"/>
            <color rgb="FF000000"/>
            <rFont val="Arial"/>
          </rPr>
          <t>======
ID#AAAAIe9-e9U
J Casola    (2021-05-11 10:22:41)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400-000016000000}">
      <text>
        <r>
          <rPr>
            <sz val="8"/>
            <color rgb="FF000000"/>
            <rFont val="Arial"/>
          </rPr>
          <t>======
ID#AAAAIe9-e_4
sal    (2021-05-11 10:22:41)
CH4 Emission = Total C Released (metric tons C) *CH4-C Emission Ratio (0.005) * CH4- C Conversion factor (16/12)</t>
        </r>
      </text>
    </comment>
    <comment ref="Y212" authorId="0" shapeId="0" xr:uid="{00000000-0006-0000-1400-000019000000}">
      <text>
        <r>
          <rPr>
            <sz val="8"/>
            <color rgb="FF000000"/>
            <rFont val="Arial"/>
          </rPr>
          <t>======
ID#AAAAIe9-e_Y
sal    (2021-05-11 10:22:41)
N2O Emission = Total N Released (metric tons C) *N2O-N Emission Ratio (0.007) * N2O- N Conversion factor (1.57)</t>
        </r>
      </text>
    </comment>
  </commentList>
  <extLst>
    <ext xmlns:r="http://schemas.openxmlformats.org/officeDocument/2006/relationships" uri="GoogleSheetsCustomDataVersion1">
      <go:sheetsCustomData xmlns:go="http://customooxmlschemas.google.com/" r:id="rId1" roundtripDataSignature="AMtx7mhtRV3OLJ0agGXh85BBu7t6y3Nzn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50" authorId="0" shapeId="0" xr:uid="{00000000-0006-0000-0200-000018000000}">
      <text>
        <r>
          <rPr>
            <sz val="8"/>
            <color rgb="FF000000"/>
            <rFont val="Arial"/>
          </rPr>
          <t>======
ID#AAAAIe9-e6E
amohammed    (2021-05-11 10:22:40)
CEM</t>
        </r>
      </text>
    </comment>
    <comment ref="L50" authorId="0" shapeId="0" xr:uid="{00000000-0006-0000-0200-000005000000}">
      <text>
        <r>
          <rPr>
            <sz val="8"/>
            <color rgb="FF000000"/>
            <rFont val="Arial"/>
          </rPr>
          <t>======
ID#AAAAIe9-fDU
amohammed    (2021-05-11 10:22:41)
40 CFR 98</t>
        </r>
      </text>
    </comment>
    <comment ref="M50" authorId="0" shapeId="0" xr:uid="{00000000-0006-0000-0200-000026000000}">
      <text>
        <r>
          <rPr>
            <sz val="8"/>
            <color rgb="FF000000"/>
            <rFont val="Arial"/>
          </rPr>
          <t>======
ID#AAAAIe9-e0s
amohammed    (2021-05-11 10:22:40)
amohammed
40 CFR 98</t>
        </r>
      </text>
    </comment>
    <comment ref="K56" authorId="0" shapeId="0" xr:uid="{00000000-0006-0000-0200-00000B000000}">
      <text>
        <r>
          <rPr>
            <sz val="8"/>
            <color rgb="FF000000"/>
            <rFont val="Arial"/>
          </rPr>
          <t>======
ID#AAAAIe9-fBg
amohammed    (2021-05-11 10:22:41)
CEM</t>
        </r>
      </text>
    </comment>
    <comment ref="L56" authorId="0" shapeId="0" xr:uid="{00000000-0006-0000-0200-000021000000}">
      <text>
        <r>
          <rPr>
            <sz val="8"/>
            <color rgb="FF000000"/>
            <rFont val="Arial"/>
          </rPr>
          <t>======
ID#AAAAIe9-e20
amohammed    (2021-05-11 10:22:40)
40 CFR 98</t>
        </r>
      </text>
    </comment>
    <comment ref="M56" authorId="0" shapeId="0" xr:uid="{00000000-0006-0000-0200-000020000000}">
      <text>
        <r>
          <rPr>
            <sz val="8"/>
            <color rgb="FF000000"/>
            <rFont val="Arial"/>
          </rPr>
          <t>======
ID#AAAAIe9-e3g
amohammed    (2021-05-11 10:22:40)
40 CFR 98</t>
        </r>
      </text>
    </comment>
    <comment ref="K61" authorId="0" shapeId="0" xr:uid="{00000000-0006-0000-0200-00001A000000}">
      <text>
        <r>
          <rPr>
            <sz val="8"/>
            <color rgb="FF000000"/>
            <rFont val="Arial"/>
          </rPr>
          <t>======
ID#AAAAIe9-e5E
amohammed    (2021-05-11 10:22:40)
CEM</t>
        </r>
      </text>
    </comment>
    <comment ref="L61" authorId="0" shapeId="0" xr:uid="{00000000-0006-0000-0200-00001C000000}">
      <text>
        <r>
          <rPr>
            <sz val="8"/>
            <color rgb="FF000000"/>
            <rFont val="Arial"/>
          </rPr>
          <t>======
ID#AAAAIe9-e4Y
amohammed    (2021-05-11 10:22:40)
40 CFR 98</t>
        </r>
      </text>
    </comment>
    <comment ref="M61" authorId="0" shapeId="0" xr:uid="{00000000-0006-0000-0200-000014000000}">
      <text>
        <r>
          <rPr>
            <sz val="8"/>
            <color rgb="FF000000"/>
            <rFont val="Arial"/>
          </rPr>
          <t>======
ID#AAAAIe9-e8I
amohammed    (2021-05-11 10:22:40)
40 CFR 98</t>
        </r>
      </text>
    </comment>
    <comment ref="K68" authorId="0" shapeId="0" xr:uid="{00000000-0006-0000-0200-000023000000}">
      <text>
        <r>
          <rPr>
            <sz val="8"/>
            <color rgb="FF000000"/>
            <rFont val="Arial"/>
          </rPr>
          <t>======
ID#AAAAIe9-e1I
amohammed    (2021-05-11 10:22:40)
40 CFR 98</t>
        </r>
      </text>
    </comment>
    <comment ref="L68" authorId="0" shapeId="0" xr:uid="{00000000-0006-0000-0200-00001F000000}">
      <text>
        <r>
          <rPr>
            <sz val="8"/>
            <color rgb="FF000000"/>
            <rFont val="Arial"/>
          </rPr>
          <t>======
ID#AAAAIe9-e3s
amohammed    (2021-05-11 10:22:40)
40 CFR 98</t>
        </r>
      </text>
    </comment>
    <comment ref="M68" authorId="0" shapeId="0" xr:uid="{00000000-0006-0000-0200-000003000000}">
      <text>
        <r>
          <rPr>
            <sz val="8"/>
            <color rgb="FF000000"/>
            <rFont val="Arial"/>
          </rPr>
          <t>======
ID#AAAAIe9-fDw
amohammed    (2021-05-11 10:22:41)
40 CFR 98</t>
        </r>
      </text>
    </comment>
    <comment ref="K70" authorId="0" shapeId="0" xr:uid="{00000000-0006-0000-0200-000002000000}">
      <text>
        <r>
          <rPr>
            <sz val="8"/>
            <color rgb="FF000000"/>
            <rFont val="Arial"/>
          </rPr>
          <t>======
ID#AAAAIe9-fEw
amohammed    (2021-05-11 10:22:41)
40 CFR 98</t>
        </r>
      </text>
    </comment>
    <comment ref="L70" authorId="0" shapeId="0" xr:uid="{00000000-0006-0000-0200-00001D000000}">
      <text>
        <r>
          <rPr>
            <sz val="8"/>
            <color rgb="FF000000"/>
            <rFont val="Arial"/>
          </rPr>
          <t>======
ID#AAAAIe9-e4E
amohammed    (2021-05-11 10:22:40)
40 CFR 98</t>
        </r>
      </text>
    </comment>
    <comment ref="M70" authorId="0" shapeId="0" xr:uid="{00000000-0006-0000-0200-00000D000000}">
      <text>
        <r>
          <rPr>
            <sz val="8"/>
            <color rgb="FF000000"/>
            <rFont val="Arial"/>
          </rPr>
          <t>======
ID#AAAAIe9-fBE
amohammed    (2021-05-11 10:22:41)
40 CFR 98</t>
        </r>
      </text>
    </comment>
    <comment ref="K74" authorId="0" shapeId="0" xr:uid="{00000000-0006-0000-0200-000011000000}">
      <text>
        <r>
          <rPr>
            <sz val="8"/>
            <color rgb="FF000000"/>
            <rFont val="Arial"/>
          </rPr>
          <t>======
ID#AAAAIe9-e_c
amohammed    (2021-05-11 10:22:41)
CEM</t>
        </r>
      </text>
    </comment>
    <comment ref="L74" authorId="0" shapeId="0" xr:uid="{00000000-0006-0000-0200-000015000000}">
      <text>
        <r>
          <rPr>
            <sz val="8"/>
            <color rgb="FF000000"/>
            <rFont val="Arial"/>
          </rPr>
          <t>======
ID#AAAAIe9-e78
amohammed    (2021-05-11 10:22:40)
40 CFR 98</t>
        </r>
      </text>
    </comment>
    <comment ref="M74" authorId="0" shapeId="0" xr:uid="{00000000-0006-0000-0200-000024000000}">
      <text>
        <r>
          <rPr>
            <sz val="8"/>
            <color rgb="FF000000"/>
            <rFont val="Arial"/>
          </rPr>
          <t>======
ID#AAAAIe9-e04
amohammed    (2021-05-11 10:22:40)
40 CFR 98</t>
        </r>
      </text>
    </comment>
    <comment ref="K78" authorId="0" shapeId="0" xr:uid="{00000000-0006-0000-0200-000027000000}">
      <text>
        <r>
          <rPr>
            <sz val="8"/>
            <color rgb="FF000000"/>
            <rFont val="Arial"/>
          </rPr>
          <t>======
ID#AAAAIe9-e0Y
amohammed    (2021-05-11 10:22:40)
CEM</t>
        </r>
      </text>
    </comment>
    <comment ref="L78" authorId="0" shapeId="0" xr:uid="{00000000-0006-0000-0200-000004000000}">
      <text>
        <r>
          <rPr>
            <sz val="8"/>
            <color rgb="FF000000"/>
            <rFont val="Arial"/>
          </rPr>
          <t>======
ID#AAAAIe9-fDk
amohammed    (2021-05-11 10:22:41)
40 CFR 98</t>
        </r>
      </text>
    </comment>
    <comment ref="K82" authorId="0" shapeId="0" xr:uid="{00000000-0006-0000-0200-000016000000}">
      <text>
        <r>
          <rPr>
            <sz val="8"/>
            <color rgb="FF000000"/>
            <rFont val="Arial"/>
          </rPr>
          <t>======
ID#AAAAIe9-e7c
amohammed    (2021-05-11 10:22:40)
CEM</t>
        </r>
      </text>
    </comment>
    <comment ref="L82" authorId="0" shapeId="0" xr:uid="{00000000-0006-0000-0200-000001000000}">
      <text>
        <r>
          <rPr>
            <sz val="8"/>
            <color rgb="FF000000"/>
            <rFont val="Arial"/>
          </rPr>
          <t>======
ID#AAAAIe9-fFc
amohammed    (2021-05-11 10:22:41)
40 CFR 98</t>
        </r>
      </text>
    </comment>
    <comment ref="K86" authorId="0" shapeId="0" xr:uid="{00000000-0006-0000-0200-00001E000000}">
      <text>
        <r>
          <rPr>
            <sz val="8"/>
            <color rgb="FF000000"/>
            <rFont val="Arial"/>
          </rPr>
          <t>======
ID#AAAAIe9-e34
amohammed    (2021-05-11 10:22:40)
CEM</t>
        </r>
      </text>
    </comment>
    <comment ref="L86" authorId="0" shapeId="0" xr:uid="{00000000-0006-0000-0200-000013000000}">
      <text>
        <r>
          <rPr>
            <sz val="8"/>
            <color rgb="FF000000"/>
            <rFont val="Arial"/>
          </rPr>
          <t>======
ID#AAAAIe9-e80
amohammed    (2021-05-11 10:22:40)
40 CFR 98</t>
        </r>
      </text>
    </comment>
    <comment ref="M86" authorId="0" shapeId="0" xr:uid="{00000000-0006-0000-0200-00000A000000}">
      <text>
        <r>
          <rPr>
            <sz val="8"/>
            <color rgb="FF000000"/>
            <rFont val="Arial"/>
          </rPr>
          <t>======
ID#AAAAIe9-fBk
amohammed    (2021-05-11 10:22:41)
40 CFR 98</t>
        </r>
      </text>
    </comment>
    <comment ref="K88" authorId="0" shapeId="0" xr:uid="{00000000-0006-0000-0200-000008000000}">
      <text>
        <r>
          <rPr>
            <sz val="8"/>
            <color rgb="FF000000"/>
            <rFont val="Arial"/>
          </rPr>
          <t>======
ID#AAAAIe9-fCE
amohammed    (2021-05-11 10:22:41)
40 CFR 98</t>
        </r>
      </text>
    </comment>
    <comment ref="L88" authorId="0" shapeId="0" xr:uid="{00000000-0006-0000-0200-000007000000}">
      <text>
        <r>
          <rPr>
            <sz val="8"/>
            <color rgb="FF000000"/>
            <rFont val="Arial"/>
          </rPr>
          <t>======
ID#AAAAIe9-fCI
amohammed    (2021-05-11 10:22:41)
40 CFR 98</t>
        </r>
      </text>
    </comment>
    <comment ref="M88" authorId="0" shapeId="0" xr:uid="{00000000-0006-0000-0200-000010000000}">
      <text>
        <r>
          <rPr>
            <sz val="8"/>
            <color rgb="FF000000"/>
            <rFont val="Arial"/>
          </rPr>
          <t>======
ID#AAAAIe9-e_8
amohammed    (2021-05-11 10:22:41)
40 CFR 98</t>
        </r>
      </text>
    </comment>
    <comment ref="K89" authorId="0" shapeId="0" xr:uid="{00000000-0006-0000-0200-000012000000}">
      <text>
        <r>
          <rPr>
            <sz val="8"/>
            <color rgb="FF000000"/>
            <rFont val="Arial"/>
          </rPr>
          <t>======
ID#AAAAIe9-e-4
amohammed    (2021-05-11 10:22:41)
40 CFR 98</t>
        </r>
      </text>
    </comment>
    <comment ref="L89" authorId="0" shapeId="0" xr:uid="{00000000-0006-0000-0200-000009000000}">
      <text>
        <r>
          <rPr>
            <sz val="8"/>
            <color rgb="FF000000"/>
            <rFont val="Arial"/>
          </rPr>
          <t>======
ID#AAAAIe9-fB4
amohammed    (2021-05-11 10:22:41)
40 CFR 98</t>
        </r>
      </text>
    </comment>
    <comment ref="M89" authorId="0" shapeId="0" xr:uid="{00000000-0006-0000-0200-000006000000}">
      <text>
        <r>
          <rPr>
            <sz val="8"/>
            <color rgb="FF000000"/>
            <rFont val="Arial"/>
          </rPr>
          <t>======
ID#AAAAIe9-fCs
amohammed    (2021-05-11 10:22:41)
40 CFR 98</t>
        </r>
      </text>
    </comment>
    <comment ref="K90" authorId="0" shapeId="0" xr:uid="{00000000-0006-0000-0200-00000F000000}">
      <text>
        <r>
          <rPr>
            <sz val="8"/>
            <color rgb="FF000000"/>
            <rFont val="Arial"/>
          </rPr>
          <t>======
ID#AAAAIe9-fAc
amohammed    (2021-05-11 10:22:41)
40 CFR 98</t>
        </r>
      </text>
    </comment>
    <comment ref="L90" authorId="0" shapeId="0" xr:uid="{00000000-0006-0000-0200-00000E000000}">
      <text>
        <r>
          <rPr>
            <sz val="8"/>
            <color rgb="FF000000"/>
            <rFont val="Arial"/>
          </rPr>
          <t>======
ID#AAAAIe9-fAs
amohammed    (2021-05-11 10:22:41)
40 CFR 98</t>
        </r>
      </text>
    </comment>
    <comment ref="M90" authorId="0" shapeId="0" xr:uid="{00000000-0006-0000-0200-00000C000000}">
      <text>
        <r>
          <rPr>
            <sz val="8"/>
            <color rgb="FF000000"/>
            <rFont val="Arial"/>
          </rPr>
          <t>======
ID#AAAAIe9-fBQ
amohammed    (2021-05-11 10:22:41)
40 CFR 98</t>
        </r>
      </text>
    </comment>
    <comment ref="J214" authorId="0" shapeId="0" xr:uid="{00000000-0006-0000-0200-000019000000}">
      <text>
        <r>
          <rPr>
            <sz val="8"/>
            <color rgb="FF000000"/>
            <rFont val="Arial"/>
          </rPr>
          <t>======
ID#AAAAIe9-e5U
amohammed    (2021-05-11 10:22:40)
MMBTU Reported and used to Backcalculate Qty</t>
        </r>
      </text>
    </comment>
    <comment ref="F245" authorId="0" shapeId="0" xr:uid="{00000000-0006-0000-0200-000017000000}">
      <text>
        <r>
          <rPr>
            <sz val="8"/>
            <color rgb="FF000000"/>
            <rFont val="Arial"/>
          </rPr>
          <t>======
ID#AAAAIe9-e6Q
sal    (2021-05-11 10:22:40)
Back Caclulation from MMBTU</t>
        </r>
      </text>
    </comment>
    <comment ref="F246" authorId="0" shapeId="0" xr:uid="{00000000-0006-0000-0200-000022000000}">
      <text>
        <r>
          <rPr>
            <sz val="8"/>
            <color rgb="FF000000"/>
            <rFont val="Arial"/>
          </rPr>
          <t>======
ID#AAAAIe9-e2c
sal    (2021-05-11 10:22:40)
Back Caclulation from MMBTU</t>
        </r>
      </text>
    </comment>
    <comment ref="F247" authorId="0" shapeId="0" xr:uid="{00000000-0006-0000-0200-00001B000000}">
      <text>
        <r>
          <rPr>
            <sz val="8"/>
            <color rgb="FF000000"/>
            <rFont val="Arial"/>
          </rPr>
          <t>======
ID#AAAAIe9-e48
sal    (2021-05-11 10:22:40)
Back Caclulation from MMBTU</t>
        </r>
      </text>
    </comment>
    <comment ref="F248" authorId="0" shapeId="0" xr:uid="{00000000-0006-0000-0200-000025000000}">
      <text>
        <r>
          <rPr>
            <sz val="8"/>
            <color rgb="FF000000"/>
            <rFont val="Arial"/>
          </rPr>
          <t>======
ID#AAAAIe9-e00
sal    (2021-05-11 10:22:40)
Back Caclulation from MMBTU</t>
        </r>
      </text>
    </comment>
  </commentList>
  <extLst>
    <ext xmlns:r="http://schemas.openxmlformats.org/officeDocument/2006/relationships" uri="GoogleSheetsCustomDataVersion1">
      <go:sheetsCustomData xmlns:go="http://customooxmlschemas.google.com/" r:id="rId1" roundtripDataSignature="AMtx7mhZIrBSRm3wXo4QSepIwqP7yDyya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300-000003000000}">
      <text>
        <r>
          <rPr>
            <sz val="8"/>
            <color rgb="FF000000"/>
            <rFont val="Arial"/>
          </rPr>
          <t>======
ID#AAAAIe9-fCM
amohammed    (2021-05-11 10:22:41)
Back Calculation from MMBTU gives11,374
VS 10,887 Btu/lb HHV</t>
        </r>
      </text>
    </comment>
    <comment ref="E15" authorId="0" shapeId="0" xr:uid="{00000000-0006-0000-0300-000002000000}">
      <text>
        <r>
          <rPr>
            <sz val="8"/>
            <color rgb="FF000000"/>
            <rFont val="Arial"/>
          </rPr>
          <t>======
ID#AAAAIe9-fD0
amohammed    (2021-05-11 10:22:41)
141,324 Btu/gal</t>
        </r>
      </text>
    </comment>
    <comment ref="F15" authorId="0" shapeId="0" xr:uid="{00000000-0006-0000-0300-000001000000}">
      <text>
        <r>
          <rPr>
            <sz val="8"/>
            <color rgb="FF000000"/>
            <rFont val="Arial"/>
          </rPr>
          <t>======
ID#AAAAIe9-fFo
amohammed    (2021-05-11 10:22:41)
139,000 Btu/gal</t>
        </r>
      </text>
    </comment>
    <comment ref="G15" authorId="0" shapeId="0" xr:uid="{00000000-0006-0000-0300-000004000000}">
      <text>
        <r>
          <rPr>
            <sz val="8"/>
            <color rgb="FF000000"/>
            <rFont val="Arial"/>
          </rPr>
          <t>======
ID#AAAAIe9-fAk
amohammed    (2021-05-11 10:22:41)
4,643 Btu/lbs HHV.</t>
        </r>
      </text>
    </comment>
    <comment ref="H15" authorId="0" shapeId="0" xr:uid="{00000000-0006-0000-0300-000008000000}">
      <text>
        <r>
          <rPr>
            <sz val="8"/>
            <color rgb="FF000000"/>
            <rFont val="Arial"/>
          </rPr>
          <t>======
ID#AAAAIe9-e2A
amohammed    (2021-05-11 10:22:40)
1,053 Btu/scf</t>
        </r>
      </text>
    </comment>
    <comment ref="I19" authorId="0" shapeId="0" xr:uid="{00000000-0006-0000-0300-000006000000}">
      <text>
        <r>
          <rPr>
            <sz val="8"/>
            <color rgb="FF000000"/>
            <rFont val="Arial"/>
          </rPr>
          <t>======
ID#AAAAIe9-e4M
amohammed    (2021-05-11 10:22:40)
CEM Measurement.</t>
        </r>
      </text>
    </comment>
    <comment ref="I23" authorId="0" shapeId="0" xr:uid="{00000000-0006-0000-0300-000007000000}">
      <text>
        <r>
          <rPr>
            <sz val="8"/>
            <color rgb="FF000000"/>
            <rFont val="Arial"/>
          </rPr>
          <t>======
ID#AAAAIe9-e3Y
amohammed    (2021-05-11 10:22:40)
CEM Measurement.</t>
        </r>
      </text>
    </comment>
    <comment ref="I27" authorId="0" shapeId="0" xr:uid="{00000000-0006-0000-0300-000005000000}">
      <text>
        <r>
          <rPr>
            <sz val="8"/>
            <color rgb="FF000000"/>
            <rFont val="Arial"/>
          </rPr>
          <t>======
ID#AAAAIe9-e7M
amohammed    (2021-05-11 10:22:40)
CEM Measurement.</t>
        </r>
      </text>
    </comment>
  </commentList>
  <extLst>
    <ext xmlns:r="http://schemas.openxmlformats.org/officeDocument/2006/relationships" uri="GoogleSheetsCustomDataVersion1">
      <go:sheetsCustomData xmlns:go="http://customooxmlschemas.google.com/" r:id="rId1" roundtripDataSignature="AMtx7mgGZ9zgyGwpsK8JYocoCCEqieyWN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86" authorId="0" shapeId="0" xr:uid="{00000000-0006-0000-0400-000001000000}">
      <text>
        <r>
          <rPr>
            <sz val="8"/>
            <color rgb="FF000000"/>
            <rFont val="Arial"/>
          </rPr>
          <t>======
ID#AAAAIe9-e2M
rthunell    (2021-05-11 10:22:40)
Estimated value based on Emission Rates of Marginal Units
Presented only for Trends purposes</t>
        </r>
      </text>
    </comment>
  </commentList>
  <extLst>
    <ext xmlns:r="http://schemas.openxmlformats.org/officeDocument/2006/relationships" uri="GoogleSheetsCustomDataVersion1">
      <go:sheetsCustomData xmlns:go="http://customooxmlschemas.google.com/" r:id="rId1" roundtripDataSignature="AMtx7mhdwdWymTcp9/8rnMUFe2Rv/BnlS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800-000005000000}">
      <text>
        <r>
          <rPr>
            <sz val="8"/>
            <color rgb="FF000000"/>
            <rFont val="Arial"/>
          </rPr>
          <t>======
ID#AAAAIe9-e2k
Beth Moore    (2021-05-11 10:22:40)
Billion Btus are converted to short tons of carbon by multiplying by the emission factor, combustion efficiency, 1,000 million/billion, and 0.0005 lbs/short ton.</t>
        </r>
      </text>
    </comment>
    <comment ref="B23" authorId="0" shapeId="0" xr:uid="{00000000-0006-0000-0800-000004000000}">
      <text>
        <r>
          <rPr>
            <sz val="8"/>
            <color rgb="FF000000"/>
            <rFont val="Arial"/>
          </rPr>
          <t>======
ID#AAAAIe9-e7o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800-000001000000}">
      <text>
        <r>
          <rPr>
            <sz val="8"/>
            <color rgb="FF000000"/>
            <rFont val="Arial"/>
          </rPr>
          <t>======
ID#AAAAIe9-fEU
Philip Groth    (2021-05-11 10:22:41)
MMTCE is converted to MMTCO2E by multiplying by 44/12.</t>
        </r>
      </text>
    </comment>
    <comment ref="B36" authorId="0" shapeId="0" xr:uid="{00000000-0006-0000-0800-000002000000}">
      <text>
        <r>
          <rPr>
            <sz val="8"/>
            <color rgb="FF000000"/>
            <rFont val="Arial"/>
          </rPr>
          <t>======
ID#AAAAIe9-fDM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800-000003000000}">
      <text>
        <r>
          <rPr>
            <sz val="8"/>
            <color rgb="FF000000"/>
            <rFont val="Arial"/>
          </rPr>
          <t>======
ID#AAAAIe9-e8Q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hzhcK2T5yn6CVke7Shr10KNKzHg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900-000003000000}">
      <text>
        <r>
          <rPr>
            <sz val="8"/>
            <color rgb="FF000000"/>
            <rFont val="Arial"/>
          </rPr>
          <t>======
ID#AAAAIe9-fDA
Beth Moore    (2021-05-11 10:22:41)
Billion Btus are converted to short tons of carbon by multiplying by the emission factor, combustion efficiency, 1,000 million/billion, and 0.0005 lbs/short ton.</t>
        </r>
      </text>
    </comment>
    <comment ref="G6" authorId="0" shapeId="0" xr:uid="{00000000-0006-0000-0900-000008000000}">
      <text>
        <r>
          <rPr>
            <sz val="8"/>
            <color rgb="FF000000"/>
            <rFont val="Arial"/>
          </rPr>
          <t>======
ID#AAAAIe9-e0M
Philip Groth    (2021-05-11 10:22:40)
MMTCE is converted to MMTCO2E by multiplying by 44/12.</t>
        </r>
      </text>
    </comment>
    <comment ref="G20" authorId="0" shapeId="0" xr:uid="{00000000-0006-0000-0900-000002000000}">
      <text>
        <r>
          <rPr>
            <sz val="8"/>
            <color rgb="FF000000"/>
            <rFont val="Arial"/>
          </rPr>
          <t>======
ID#AAAAIe9-fEE
Philip Groth    (2021-05-11 10:22:41)
MMTCE is converted to MMTCO2E by multiplying by 44/12.</t>
        </r>
      </text>
    </comment>
    <comment ref="B29" authorId="0" shapeId="0" xr:uid="{00000000-0006-0000-0900-000004000000}">
      <text>
        <r>
          <rPr>
            <sz val="8"/>
            <color rgb="FF000000"/>
            <rFont val="Arial"/>
          </rPr>
          <t>======
ID#AAAAIe9-fCw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900-000005000000}">
      <text>
        <r>
          <rPr>
            <sz val="8"/>
            <color rgb="FF000000"/>
            <rFont val="Arial"/>
          </rPr>
          <t>======
ID#AAAAIe9-e-E
Philip Groth    (2021-05-11 10:22:41)
MMTCE is converted to MMTCO2E by multiplying by 44/12.</t>
        </r>
      </text>
    </comment>
    <comment ref="B44" authorId="0" shapeId="0" xr:uid="{00000000-0006-0000-0900-000006000000}">
      <text>
        <r>
          <rPr>
            <sz val="8"/>
            <color rgb="FF000000"/>
            <rFont val="Arial"/>
          </rPr>
          <t>======
ID#AAAAIe9-e54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900-000001000000}">
      <text>
        <r>
          <rPr>
            <sz val="8"/>
            <color rgb="FF000000"/>
            <rFont val="Arial"/>
          </rPr>
          <t>======
ID#AAAAIe9-fFQ
Philip Groth    (2021-05-11 10:22:41)
MMTCE is converted to MMTCO2E by multiplying by 44/12.</t>
        </r>
      </text>
    </comment>
    <comment ref="B61" authorId="0" shapeId="0" xr:uid="{00000000-0006-0000-0900-000007000000}">
      <text>
        <r>
          <rPr>
            <sz val="8"/>
            <color rgb="FF000000"/>
            <rFont val="Arial"/>
          </rPr>
          <t>======
ID#AAAAIe9-e5k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L3OMbe364YqAUlRmkqzk7wS5v9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A00-000013000000}">
      <text>
        <r>
          <rPr>
            <sz val="8"/>
            <color rgb="FF000000"/>
            <rFont val="Arial"/>
          </rPr>
          <t>======
ID#AAAAIe9-e3Q
sal    (2021-05-11 10:22:40)
SED 2013  Default Data</t>
        </r>
      </text>
    </comment>
    <comment ref="D5" authorId="0" shapeId="0" xr:uid="{00000000-0006-0000-0A00-000009000000}">
      <text>
        <r>
          <rPr>
            <sz val="8"/>
            <color rgb="FF000000"/>
            <rFont val="Arial"/>
          </rPr>
          <t>======
ID#AAAAIe9-e-c
amohammed    (2021-05-11 10:22:41)
2011 EPA SIT Default</t>
        </r>
      </text>
    </comment>
    <comment ref="I6" authorId="0" shapeId="0" xr:uid="{00000000-0006-0000-0A00-00000F000000}">
      <text>
        <r>
          <rPr>
            <sz val="8"/>
            <color rgb="FF000000"/>
            <rFont val="Arial"/>
          </rPr>
          <t>======
ID#AAAAIe9-e5Y
Beth Moore    (2021-05-11 10:22:40)
Billion Btus are converted to short tons of carbon by multiplying by the emission factor, combustion efficiency, 1,000 million/billion, and 0.0005 lbs/short ton.</t>
        </r>
      </text>
    </comment>
    <comment ref="J6" authorId="0" shapeId="0" xr:uid="{00000000-0006-0000-0A00-000011000000}">
      <text>
        <r>
          <rPr>
            <sz val="8"/>
            <color rgb="FF000000"/>
            <rFont val="Arial"/>
          </rPr>
          <t>======
ID#AAAAIe9-e3w
Philip Groth    (2021-05-11 10:22:40)
MMTCE is converted to MMTCO2E by multiplying by 44/12.</t>
        </r>
      </text>
    </comment>
    <comment ref="N6" authorId="0" shapeId="0" xr:uid="{00000000-0006-0000-0A00-000010000000}">
      <text>
        <r>
          <rPr>
            <sz val="8"/>
            <color rgb="FF000000"/>
            <rFont val="Arial"/>
          </rPr>
          <t>======
ID#AAAAIe9-e4w
Philip Groth    (2021-05-11 10:22:40)
Short tons carbon are converted to MMTCE by multiplying by a conversion factor (0.9072 metric tons/short ton) and dividing by 1,000,000.</t>
        </r>
      </text>
    </comment>
    <comment ref="B27" authorId="0" shapeId="0" xr:uid="{00000000-0006-0000-0A00-00000E000000}">
      <text>
        <r>
          <rPr>
            <sz val="8"/>
            <color rgb="FF000000"/>
            <rFont val="Arial"/>
          </rPr>
          <t>======
ID#AAAAIe9-e8U
J Casola    (2021-05-11 10:22:40)
SEDR data show negative values for consumption.  Represents storage of energy, since oils are manufactured from other fuels.  "Negative" emissions serve to correct the overestimation of emissions attributed to the parent fuel.</t>
        </r>
      </text>
    </comment>
    <comment ref="H36" authorId="0" shapeId="0" xr:uid="{00000000-0006-0000-0A00-000008000000}">
      <text>
        <r>
          <rPr>
            <sz val="8"/>
            <color rgb="FF000000"/>
            <rFont val="Arial"/>
          </rPr>
          <t>======
ID#AAAAIe9-e-s
Philip Groth    (2021-05-11 10:22:41)
metric tons N2O  converted to MMTCO2E by multiplying by GWP and diving by 106.</t>
        </r>
      </text>
    </comment>
    <comment ref="B57" authorId="0" shapeId="0" xr:uid="{00000000-0006-0000-0A00-00000A000000}">
      <text>
        <r>
          <rPr>
            <sz val="8"/>
            <color rgb="FF000000"/>
            <rFont val="Arial"/>
          </rPr>
          <t>======
ID#AAAAIe9-e-U
J Casola    (2021-05-11 10:22:41)
SEDR data show negative values for consumption.  Represents storage of energy, since oils are manufactured from other fuels.  "Negative" emissions serve to correct the overestimation of emissions attributed to the parent fuel.</t>
        </r>
      </text>
    </comment>
    <comment ref="B60" authorId="0" shapeId="0" xr:uid="{00000000-0006-0000-0A00-000001000000}">
      <text>
        <r>
          <rPr>
            <sz val="8"/>
            <color rgb="FF000000"/>
            <rFont val="Arial"/>
          </rPr>
          <t>======
ID#AAAAIe9-fFg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C66" authorId="0" shapeId="0" xr:uid="{00000000-0006-0000-0A00-000007000000}">
      <text>
        <r>
          <rPr>
            <sz val="8"/>
            <color rgb="FF000000"/>
            <rFont val="Arial"/>
          </rPr>
          <t>======
ID#AAAAIe9-e_Q
sal    (2021-05-11 10:22:41)
2013  SED Default Data</t>
        </r>
      </text>
    </comment>
    <comment ref="H67" authorId="0" shapeId="0" xr:uid="{00000000-0006-0000-0A00-000005000000}">
      <text>
        <r>
          <rPr>
            <sz val="8"/>
            <color rgb="FF000000"/>
            <rFont val="Arial"/>
          </rPr>
          <t>======
ID#AAAAIe9-fEI
Philip Groth    (2021-05-11 10:22:41)
metric tons CH4 converted to MMTCO2E by multiplying by GWP. and Dividing by 106</t>
        </r>
      </text>
    </comment>
    <comment ref="B88" authorId="0" shapeId="0" xr:uid="{00000000-0006-0000-0A00-000012000000}">
      <text>
        <r>
          <rPr>
            <sz val="8"/>
            <color rgb="FF000000"/>
            <rFont val="Arial"/>
          </rPr>
          <t>======
ID#AAAAIe9-e3U
J Casola    (2021-05-11 10:22:40)
SEDR data show negative values for consumption.  Represents storage of energy, since oils are manufactured from other fuels.  "Negative" emissions serve to correct the overestimation of emissions attributed to the parent fuel.</t>
        </r>
      </text>
    </comment>
    <comment ref="B91" authorId="0" shapeId="0" xr:uid="{00000000-0006-0000-0A00-00000D000000}">
      <text>
        <r>
          <rPr>
            <sz val="8"/>
            <color rgb="FF000000"/>
            <rFont val="Arial"/>
          </rPr>
          <t>======
ID#AAAAIe9-e9A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E98" authorId="0" shapeId="0" xr:uid="{00000000-0006-0000-0A00-000003000000}">
      <text>
        <r>
          <rPr>
            <sz val="8"/>
            <color rgb="FF000000"/>
            <rFont val="Arial"/>
          </rPr>
          <t>======
ID#AAAAIe9-fEk
Philip Groth    (2021-05-11 10:22:41)
metric tons CH4 converted to MMTCO2E by multiplying by GWP. and Dividing by 106</t>
        </r>
      </text>
    </comment>
    <comment ref="F98" authorId="0" shapeId="0" xr:uid="{00000000-0006-0000-0A00-000002000000}">
      <text>
        <r>
          <rPr>
            <sz val="8"/>
            <color rgb="FF000000"/>
            <rFont val="Arial"/>
          </rPr>
          <t>======
ID#AAAAIe9-fEo
Philip Groth    (2021-05-11 10:22:41)
metric tons CH4 converted to MMTCO2E by multiplying by GWP. and Dividing by 106</t>
        </r>
      </text>
    </comment>
    <comment ref="G98" authorId="0" shapeId="0" xr:uid="{00000000-0006-0000-0A00-00000C000000}">
      <text>
        <r>
          <rPr>
            <sz val="8"/>
            <color rgb="FF000000"/>
            <rFont val="Arial"/>
          </rPr>
          <t>======
ID#AAAAIe9-e9o
Philip Groth    (2021-05-11 10:22:41)
metric tons CH4 converted to MMTCO2E by multiplying by GWP. and Dividing by 106</t>
        </r>
      </text>
    </comment>
    <comment ref="H98" authorId="0" shapeId="0" xr:uid="{00000000-0006-0000-0A00-00000B000000}">
      <text>
        <r>
          <rPr>
            <sz val="8"/>
            <color rgb="FF000000"/>
            <rFont val="Arial"/>
          </rPr>
          <t>======
ID#AAAAIe9-e-A
Philip Groth    (2021-05-11 10:22:41)
metric tons CH4 converted to MMTCO2E by multiplying by GWP. and Dividing by 106</t>
        </r>
      </text>
    </comment>
    <comment ref="B119" authorId="0" shapeId="0" xr:uid="{00000000-0006-0000-0A00-000006000000}">
      <text>
        <r>
          <rPr>
            <sz val="8"/>
            <color rgb="FF000000"/>
            <rFont val="Arial"/>
          </rPr>
          <t>======
ID#AAAAIe9-fDc
J Casola    (2021-05-11 10:22:41)
SEDR data show negative values for consumption.  Represents storage of energy, since oils are manufactured from other fuels.  "Negative" emissions serve to correct the overestimation of emissions attributed to the parent fuel.</t>
        </r>
      </text>
    </comment>
    <comment ref="B122" authorId="0" shapeId="0" xr:uid="{00000000-0006-0000-0A00-000004000000}">
      <text>
        <r>
          <rPr>
            <sz val="8"/>
            <color rgb="FF000000"/>
            <rFont val="Arial"/>
          </rPr>
          <t>======
ID#AAAAIe9-fEc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ha+VefLql2ham6IzkoH8we4U17H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0B00-000006000000}">
      <text>
        <r>
          <rPr>
            <sz val="8"/>
            <color rgb="FF000000"/>
            <rFont val="Arial"/>
          </rPr>
          <t>======
ID#AAAAIe9-e-o
Beth Moore    (2021-05-11 10:22:41)
Metric Tons CO2 are converted into Metric Tons Carbon Equivalent by multiplying by the molecular weight ratio of carbon to carbon dioxide, or (12/44).</t>
        </r>
      </text>
    </comment>
    <comment ref="D5" authorId="0" shapeId="0" xr:uid="{00000000-0006-0000-0B00-000009000000}">
      <text>
        <r>
          <rPr>
            <sz val="8"/>
            <color rgb="FF000000"/>
            <rFont val="Arial"/>
          </rPr>
          <t>======
ID#AAAAIe9-e84
sal    (2021-05-11 10:22:40)
2011 SIT Default</t>
        </r>
      </text>
    </comment>
    <comment ref="C6" authorId="0" shapeId="0" xr:uid="{00000000-0006-0000-0B00-000004000000}">
      <text>
        <r>
          <rPr>
            <sz val="8"/>
            <color rgb="FF000000"/>
            <rFont val="Arial"/>
          </rPr>
          <t>======
ID#AAAAIe9-fA8
Beth Moore    (2021-05-11 10:22:41)
Do not include dolomite used in magnesium production.</t>
        </r>
      </text>
    </comment>
    <comment ref="H10" authorId="0" shapeId="0" xr:uid="{00000000-0006-0000-0B00-000008000000}">
      <text>
        <r>
          <rPr>
            <sz val="8"/>
            <color rgb="FF000000"/>
            <rFont val="Arial"/>
          </rPr>
          <t>======
ID#AAAAIe9-e9E
Beth Moore    (2021-05-11 10:22:41)
Metric Tons CO2 are converted into Metric Tons Carbon Equivalent by multiplying by the molecular weight ratio of carbon to carbon dioxide, or (12/44).</t>
        </r>
      </text>
    </comment>
    <comment ref="D12" authorId="0" shapeId="0" xr:uid="{00000000-0006-0000-0B00-00000B000000}">
      <text>
        <r>
          <rPr>
            <sz val="8"/>
            <color rgb="FF000000"/>
            <rFont val="Arial"/>
          </rPr>
          <t>======
ID#AAAAIe9-e7s
sal    (2021-05-11 10:22:40)
2014 Consumption</t>
        </r>
      </text>
    </comment>
    <comment ref="D17" authorId="0" shapeId="0" xr:uid="{00000000-0006-0000-0B00-00000C000000}">
      <text>
        <r>
          <rPr>
            <sz val="8"/>
            <color rgb="FF000000"/>
            <rFont val="Arial"/>
          </rPr>
          <t>======
ID#AAAAIe9-e7Q
sal    (2021-05-11 10:22:40)
2011 Default data</t>
        </r>
      </text>
    </comment>
    <comment ref="J21" authorId="0" shapeId="0" xr:uid="{00000000-0006-0000-0B00-000003000000}">
      <text>
        <r>
          <rPr>
            <sz val="8"/>
            <color rgb="FF000000"/>
            <rFont val="Arial"/>
          </rPr>
          <t>======
ID#AAAAIe9-fBI
Beth Moore    (2021-05-11 10:22:41)
Metric Tons CO2 are converted into Metric Tons Carbon Equivalent by multiplying by the molecular weight ratio of carbon to carbon dioxide, or (12/44).</t>
        </r>
      </text>
    </comment>
    <comment ref="D22" authorId="0" shapeId="0" xr:uid="{00000000-0006-0000-0B00-000001000000}">
      <text>
        <r>
          <rPr>
            <sz val="8"/>
            <color rgb="FF000000"/>
            <rFont val="Arial"/>
          </rPr>
          <t>======
ID#AAAAIe9-fEs
sal    (2021-05-11 10:22:41)
2013 Default data</t>
        </r>
      </text>
    </comment>
    <comment ref="F22" authorId="0" shapeId="0" xr:uid="{00000000-0006-0000-0B00-000002000000}">
      <text>
        <r>
          <rPr>
            <sz val="8"/>
            <color rgb="FF000000"/>
            <rFont val="Arial"/>
          </rPr>
          <t>======
ID#AAAAIe9-fDI
amohammed    (2021-05-11 10:22:41)
2014 Pop</t>
        </r>
      </text>
    </comment>
    <comment ref="H26" authorId="0" shapeId="0" xr:uid="{00000000-0006-0000-0B00-00000D000000}">
      <text>
        <r>
          <rPr>
            <sz val="8"/>
            <color rgb="FF000000"/>
            <rFont val="Arial"/>
          </rPr>
          <t>======
ID#AAAAIe9-e68
rthunell    (2021-05-11 10:22:40)
GWP SF6 = 23,900</t>
        </r>
      </text>
    </comment>
    <comment ref="J26" authorId="0" shapeId="0" xr:uid="{00000000-0006-0000-0B00-00000F000000}">
      <text>
        <r>
          <rPr>
            <sz val="8"/>
            <color rgb="FF000000"/>
            <rFont val="Arial"/>
          </rPr>
          <t>======
ID#AAAAIe9-e4A
Beth Moore    (2021-05-11 10:22:40)
Metric Tons CO2 are converted into Metric Tons Carbon Equivalent by multiplying by the GWP of SF6 (23,900) and the molecular weight ratio of carbon to carbon dioxide (12/44).</t>
        </r>
      </text>
    </comment>
    <comment ref="L26" authorId="0" shapeId="0" xr:uid="{00000000-0006-0000-0B00-000007000000}">
      <text>
        <r>
          <rPr>
            <sz val="8"/>
            <color rgb="FF000000"/>
            <rFont val="Arial"/>
          </rPr>
          <t>======
ID#AAAAIe9-e9c
Beth Moore    (2021-05-11 10:22:41)
Metric Tons CO2 are converted into Metric Tons Carbon Equivalent by multiplying by the GWP of SF6 (23,900) and the molecular weight ratio of carbon to carbon dioxide (12/44).</t>
        </r>
      </text>
    </comment>
    <comment ref="D27" authorId="0" shapeId="0" xr:uid="{00000000-0006-0000-0B00-00000E000000}">
      <text>
        <r>
          <rPr>
            <sz val="8"/>
            <color rgb="FF000000"/>
            <rFont val="Arial"/>
          </rPr>
          <t>======
ID#AAAAIe9-e5o
sal    (2021-05-11 10:22:40)
2013 EPA Default data and 2014 Electricity Gen</t>
        </r>
      </text>
    </comment>
    <comment ref="J31" authorId="0" shapeId="0" xr:uid="{00000000-0006-0000-0B00-00000A000000}">
      <text>
        <r>
          <rPr>
            <sz val="8"/>
            <color rgb="FF000000"/>
            <rFont val="Arial"/>
          </rPr>
          <t>======
ID#AAAAIe9-e8M
rthunell    (2021-05-11 10:22:40)
Metric Tons CO2 are converted into Metric Tons Carbon Equivalent by multiplying by the molecular weight ratio of carbon to carbon dioxide, or (12/44).</t>
        </r>
      </text>
    </comment>
    <comment ref="L31" authorId="0" shapeId="0" xr:uid="{00000000-0006-0000-0B00-000005000000}">
      <text>
        <r>
          <rPr>
            <sz val="8"/>
            <color rgb="FF000000"/>
            <rFont val="Arial"/>
          </rPr>
          <t>======
ID#AAAAIe9-fAA
Beth Moore    (2021-05-11 10:22:41)
Metric Tons CO2 are converted into Metric Tons Carbon Equivalent by multiplying by the molecular weight ratio of carbon to carbon dioxide, or (12/44).</t>
        </r>
      </text>
    </comment>
  </commentList>
  <extLst>
    <ext xmlns:r="http://schemas.openxmlformats.org/officeDocument/2006/relationships" uri="GoogleSheetsCustomDataVersion1">
      <go:sheetsCustomData xmlns:go="http://customooxmlschemas.google.com/" r:id="rId1" roundtripDataSignature="AMtx7mi+AhMZmgysr9ruObBgRFl3pEHO2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C00-000003000000}">
      <text>
        <r>
          <rPr>
            <sz val="8"/>
            <color rgb="FF000000"/>
            <rFont val="Arial"/>
          </rPr>
          <t>======
ID#AAAAIe9-e0w
amohammed    (2021-05-11 10:22:40)
Biogenic</t>
        </r>
      </text>
    </comment>
    <comment ref="G12" authorId="0" shapeId="0" xr:uid="{00000000-0006-0000-0C00-000001000000}">
      <text>
        <r>
          <rPr>
            <sz val="8"/>
            <color rgb="FF000000"/>
            <rFont val="Arial"/>
          </rPr>
          <t>======
ID#AAAAIe9-e2g
Measured Biomass     (2021-05-11 10:22:40)
6.5 % of Total CO2 (CEM). 2011 Emission Certification Report.</t>
        </r>
      </text>
    </comment>
    <comment ref="E30" authorId="0" shapeId="0" xr:uid="{00000000-0006-0000-0C00-000002000000}">
      <text>
        <r>
          <rPr>
            <sz val="8"/>
            <color rgb="FF000000"/>
            <rFont val="Arial"/>
          </rPr>
          <t>======
ID#AAAAIe9-e1Q
sal    (2021-05-11 10:22:40)
1.10249937 Conversion factor used in ECR (metric to short ton)</t>
        </r>
      </text>
    </comment>
  </commentList>
  <extLst>
    <ext xmlns:r="http://schemas.openxmlformats.org/officeDocument/2006/relationships" uri="GoogleSheetsCustomDataVersion1">
      <go:sheetsCustomData xmlns:go="http://customooxmlschemas.google.com/" r:id="rId1" roundtripDataSignature="AMtx7mh450+fmtB+xZabYRz/JO1ks5burA=="/>
    </ext>
  </extLst>
</comments>
</file>

<file path=xl/sharedStrings.xml><?xml version="1.0" encoding="utf-8"?>
<sst xmlns="http://schemas.openxmlformats.org/spreadsheetml/2006/main" count="65649" uniqueCount="1920">
  <si>
    <t>Global Warming Potential</t>
  </si>
  <si>
    <t>(Change this Column)</t>
  </si>
  <si>
    <t>AR2</t>
  </si>
  <si>
    <t>AR5</t>
  </si>
  <si>
    <t>CO2_GWP=</t>
  </si>
  <si>
    <t>CH4_GWP =</t>
  </si>
  <si>
    <t>N2O_GWP=</t>
  </si>
  <si>
    <t>SF6_GWP =</t>
  </si>
  <si>
    <t>PFCs_GWP=</t>
  </si>
  <si>
    <t>Electricity Production (in-state)</t>
  </si>
  <si>
    <t xml:space="preserve">      Coal</t>
  </si>
  <si>
    <t xml:space="preserve">      Natural Gas</t>
  </si>
  <si>
    <t xml:space="preserve">      Oil</t>
  </si>
  <si>
    <t xml:space="preserve">      Wood</t>
  </si>
  <si>
    <t xml:space="preserve">      MSW/LFG</t>
  </si>
  <si>
    <t xml:space="preserve">Net Imported Electricity </t>
  </si>
  <si>
    <t>Residential/Commercial/Industrial (RCI) Fuel Use</t>
  </si>
  <si>
    <t xml:space="preserve"> Coal</t>
  </si>
  <si>
    <t xml:space="preserve"> Natural Gas &amp; LPG</t>
  </si>
  <si>
    <t xml:space="preserve"> Petroleum</t>
  </si>
  <si>
    <t xml:space="preserve"> Wood </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</si>
  <si>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</si>
  <si>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</si>
  <si>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</si>
  <si>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</si>
  <si>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</si>
  <si>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</si>
  <si>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</si>
  <si>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</si>
  <si>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</si>
  <si>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</si>
  <si>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 xml:space="preserve"> Natural Gas Industry</t>
  </si>
  <si>
    <t xml:space="preserve"> Oil Industry</t>
  </si>
  <si>
    <t xml:space="preserve"> Coal Mining</t>
  </si>
  <si>
    <t>Industrial Processes</t>
  </si>
  <si>
    <t xml:space="preserve"> Cement Manufacture</t>
  </si>
  <si>
    <t xml:space="preserve"> Limestone and Dolomite </t>
  </si>
  <si>
    <t xml:space="preserve"> Soda Ash </t>
  </si>
  <si>
    <t xml:space="preserve"> Iron and Steel</t>
  </si>
  <si>
    <t xml:space="preserve"> ODS Substitutes</t>
  </si>
  <si>
    <t xml:space="preserve"> Electricity Transmission and Dist.</t>
  </si>
  <si>
    <t xml:space="preserve"> Semiconductor Manufacturing</t>
  </si>
  <si>
    <t xml:space="preserve"> Ammonia and Urea Production (Nonfertilizer Usage)</t>
  </si>
  <si>
    <t xml:space="preserve"> Aluminum Production</t>
  </si>
  <si>
    <t>Agriculture</t>
  </si>
  <si>
    <t>Enteric Fermentation</t>
  </si>
  <si>
    <t>Manure Management</t>
  </si>
  <si>
    <t>Agricultural Soils</t>
  </si>
  <si>
    <t>Agricultural Burning</t>
  </si>
  <si>
    <t>Urea Fertilizer Usage</t>
  </si>
  <si>
    <t>Waste Management</t>
  </si>
  <si>
    <t>Waste Combustion</t>
  </si>
  <si>
    <t>Landfills</t>
  </si>
  <si>
    <t>Wastewater Management</t>
  </si>
  <si>
    <t>Residential Open Burning</t>
  </si>
  <si>
    <t>Gross Emissions (Consumption Basis, Excludes Sinks)</t>
  </si>
  <si>
    <t>Emissions Sinks</t>
  </si>
  <si>
    <t>Forested Landscape</t>
  </si>
  <si>
    <t>Urban Forestry and Land Use</t>
  </si>
  <si>
    <t>Agricultural Soils (Cultivation Practices)</t>
  </si>
  <si>
    <t>Forest Fires</t>
  </si>
  <si>
    <t>Net Emissions (Consumptions Basis) (Including forestry, land use, and ag sinks)</t>
  </si>
  <si>
    <t>Electricity Use (Consumption)</t>
  </si>
  <si>
    <t>RCI Fuel Use</t>
  </si>
  <si>
    <t>Transportation - Onroad</t>
  </si>
  <si>
    <t>Transportation - Nonroad</t>
  </si>
  <si>
    <r>
      <rPr>
        <sz val="14"/>
        <color theme="1"/>
        <rFont val="Comic Sans MS"/>
      </rPr>
      <t>Electric Power Production and CO</t>
    </r>
    <r>
      <rPr>
        <vertAlign val="subscript"/>
        <sz val="14"/>
        <color theme="1"/>
        <rFont val="Comic Sans MS"/>
      </rPr>
      <t>2</t>
    </r>
    <r>
      <rPr>
        <sz val="14"/>
        <color theme="1"/>
        <rFont val="Comic Sans MS"/>
      </rPr>
      <t xml:space="preserve"> Emissions in Maryland</t>
    </r>
  </si>
  <si>
    <r>
      <rPr>
        <b/>
        <sz val="10"/>
        <color theme="1"/>
        <rFont val="Calibri"/>
      </rPr>
      <t>Electric Power Production  and CO</t>
    </r>
    <r>
      <rPr>
        <b/>
        <vertAlign val="subscript"/>
        <sz val="10"/>
        <color theme="1"/>
        <rFont val="Calibri"/>
      </rPr>
      <t>2</t>
    </r>
    <r>
      <rPr>
        <b/>
        <sz val="10"/>
        <color theme="1"/>
        <rFont val="Calibri"/>
      </rPr>
      <t xml:space="preserve"> Emissions in Maryland</t>
    </r>
  </si>
  <si>
    <t xml:space="preserve"> COAL COMBUSTION BY UNIT</t>
  </si>
  <si>
    <t>Plant ID</t>
  </si>
  <si>
    <t xml:space="preserve">Plant Name </t>
  </si>
  <si>
    <t>Equipment Description</t>
  </si>
  <si>
    <t>Fuel Type</t>
  </si>
  <si>
    <t>Usage</t>
  </si>
  <si>
    <t xml:space="preserve">Heat </t>
  </si>
  <si>
    <t xml:space="preserve">Heat Content </t>
  </si>
  <si>
    <t>Heat Input</t>
  </si>
  <si>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</si>
  <si>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4</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</si>
  <si>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</si>
  <si>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</si>
  <si>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</si>
  <si>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</si>
  <si>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</si>
  <si>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</si>
  <si>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</si>
  <si>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</si>
  <si>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</si>
  <si>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</si>
  <si>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</si>
  <si>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</si>
  <si>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</si>
  <si>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</si>
  <si>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</si>
  <si>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</si>
  <si>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</si>
  <si>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</si>
  <si>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</si>
  <si>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</si>
  <si>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</si>
  <si>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24-005-0079</t>
  </si>
  <si>
    <t xml:space="preserve">C.P.Crane </t>
  </si>
  <si>
    <t>3-0108</t>
  </si>
  <si>
    <t>Boiler Unit 1</t>
  </si>
  <si>
    <t>Bit Coal</t>
  </si>
  <si>
    <t>MMBTU/tons</t>
  </si>
  <si>
    <t>Sub -Bit -Coal</t>
  </si>
  <si>
    <t>3-0109</t>
  </si>
  <si>
    <t>Boiler Unit 2</t>
  </si>
  <si>
    <t>033-00014</t>
  </si>
  <si>
    <t>Chalk Point</t>
  </si>
  <si>
    <t>1600-14-30004</t>
  </si>
  <si>
    <t>Btu/ lb</t>
  </si>
  <si>
    <t>1600-14-30005</t>
  </si>
  <si>
    <t>1600-14-40998</t>
  </si>
  <si>
    <t>Unit 3</t>
  </si>
  <si>
    <t>1600-14-40999</t>
  </si>
  <si>
    <t>Unit 4</t>
  </si>
  <si>
    <t>003-0014</t>
  </si>
  <si>
    <t>HERBERT A WAGNER</t>
  </si>
  <si>
    <t>4-0308</t>
  </si>
  <si>
    <t>MMBtu/ tons</t>
  </si>
  <si>
    <t>3-0003</t>
  </si>
  <si>
    <t>031-0019</t>
  </si>
  <si>
    <t>Mirant Dickerson</t>
  </si>
  <si>
    <t>1500-19-30001</t>
  </si>
  <si>
    <t>Boiler 1</t>
  </si>
  <si>
    <t>1500-19-30002</t>
  </si>
  <si>
    <t>Boiler 2</t>
  </si>
  <si>
    <t>1500-19-30003</t>
  </si>
  <si>
    <t>Boiler 3</t>
  </si>
  <si>
    <t>017-0014</t>
  </si>
  <si>
    <t>Mirant Morgantown</t>
  </si>
  <si>
    <t>0800-14-30002</t>
  </si>
  <si>
    <t>080-14-30003</t>
  </si>
  <si>
    <t>Total (Coal)</t>
  </si>
  <si>
    <r>
      <rPr>
        <sz val="10"/>
        <color theme="1"/>
        <rFont val="Calibri"/>
      </rPr>
      <t>Total Coal (MMTCO</t>
    </r>
    <r>
      <rPr>
        <vertAlign val="subscript"/>
        <sz val="10"/>
        <color theme="1"/>
        <rFont val="Calibri"/>
      </rPr>
      <t>2</t>
    </r>
    <r>
      <rPr>
        <sz val="10"/>
        <color theme="1"/>
        <rFont val="Calibri"/>
      </rPr>
      <t>E)</t>
    </r>
  </si>
  <si>
    <t>OIL COMBUSTION BY UNIT</t>
  </si>
  <si>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</si>
  <si>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4</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</si>
  <si>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</si>
  <si>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Diesel</t>
  </si>
  <si>
    <t>gallons</t>
  </si>
  <si>
    <t>Btu/gal</t>
  </si>
  <si>
    <t>001-9-0081</t>
  </si>
  <si>
    <t>Emergency Engine (Boiler Feed Pump)</t>
  </si>
  <si>
    <t>S-No. 2 Oil</t>
  </si>
  <si>
    <t>MMBTU/ Gal</t>
  </si>
  <si>
    <t>4-0091</t>
  </si>
  <si>
    <t>Aux Boiler # 2</t>
  </si>
  <si>
    <t>MMBtu/ 1E+03 gal</t>
  </si>
  <si>
    <t>4-1107</t>
  </si>
  <si>
    <t>Aux Boiler # 3</t>
  </si>
  <si>
    <t>4-0089</t>
  </si>
  <si>
    <t>CT (14 MW)</t>
  </si>
  <si>
    <t>#2 Oli</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</si>
  <si>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</si>
  <si>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</si>
  <si>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</si>
  <si>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</si>
  <si>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</si>
  <si>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</si>
  <si>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</si>
  <si>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</si>
  <si>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</si>
  <si>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</si>
  <si>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</si>
  <si>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</si>
  <si>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</si>
  <si>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</si>
  <si>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</si>
  <si>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</si>
  <si>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</si>
  <si>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</si>
  <si>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</si>
  <si>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</si>
  <si>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</si>
  <si>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</si>
  <si>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</si>
  <si>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</si>
  <si>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</si>
  <si>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</si>
  <si>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</si>
  <si>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</si>
  <si>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</si>
  <si>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</si>
  <si>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</si>
  <si>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</si>
  <si>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</si>
  <si>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</si>
  <si>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</si>
  <si>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</si>
  <si>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</si>
  <si>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</si>
  <si>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005-0078</t>
  </si>
  <si>
    <t>Riverside</t>
  </si>
  <si>
    <t>4-1363</t>
  </si>
  <si>
    <t xml:space="preserve">Combustion Turbine # 6 </t>
  </si>
  <si>
    <t>#2 Oil</t>
  </si>
  <si>
    <t>MMBTU/10E+06 scf</t>
  </si>
  <si>
    <t>4-0658</t>
  </si>
  <si>
    <t>Combustion Turbine # 7</t>
  </si>
  <si>
    <t>4-0659</t>
  </si>
  <si>
    <t xml:space="preserve">Combustion Turbine #8 </t>
  </si>
  <si>
    <t>019-0013</t>
  </si>
  <si>
    <t>Vienna Generating Station</t>
  </si>
  <si>
    <t>4-0065-70</t>
  </si>
  <si>
    <t>Unit 8</t>
  </si>
  <si>
    <t>Btu/gallons</t>
  </si>
  <si>
    <t>4-0020-69</t>
  </si>
  <si>
    <t>Aux Boiler</t>
  </si>
  <si>
    <t>4-0114-79</t>
  </si>
  <si>
    <t>Combustion Turbine CT1</t>
  </si>
  <si>
    <t>1500-19-40907</t>
  </si>
  <si>
    <t>031-1822</t>
  </si>
  <si>
    <t>Mirant Station H</t>
  </si>
  <si>
    <t>1518-22-90362</t>
  </si>
  <si>
    <t>CT1</t>
  </si>
  <si>
    <t>0800-14-40016</t>
  </si>
  <si>
    <t>Aux 2</t>
  </si>
  <si>
    <t>0800-14-4-0068</t>
  </si>
  <si>
    <t>0800-14-4-0069</t>
  </si>
  <si>
    <t>0800-14-4-0070</t>
  </si>
  <si>
    <t>CT3</t>
  </si>
  <si>
    <t>0800-14-4-0071</t>
  </si>
  <si>
    <t>CT4</t>
  </si>
  <si>
    <t>0800-14-4-0074</t>
  </si>
  <si>
    <t>0800-14-4-0075</t>
  </si>
  <si>
    <t>CT6</t>
  </si>
  <si>
    <t>033-2200</t>
  </si>
  <si>
    <t>Panda Brandywine</t>
  </si>
  <si>
    <t>5-0844</t>
  </si>
  <si>
    <t>Fuel Oil</t>
  </si>
  <si>
    <t>Btu/gallon</t>
  </si>
  <si>
    <t>5-0845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</si>
  <si>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</si>
  <si>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</si>
  <si>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</si>
  <si>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</si>
  <si>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</si>
  <si>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</si>
  <si>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</si>
  <si>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</si>
  <si>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</si>
  <si>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</si>
  <si>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</si>
  <si>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</si>
  <si>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</si>
  <si>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</si>
  <si>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</si>
  <si>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</si>
  <si>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</si>
  <si>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</si>
  <si>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</si>
  <si>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</si>
  <si>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</si>
  <si>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</si>
  <si>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</si>
  <si>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</si>
  <si>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</si>
  <si>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</si>
  <si>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</si>
  <si>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</si>
  <si>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</si>
  <si>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</si>
  <si>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</si>
  <si>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</si>
  <si>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</si>
  <si>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</si>
  <si>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</si>
  <si>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</si>
  <si>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</si>
  <si>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</si>
  <si>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</si>
  <si>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</si>
  <si>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</si>
  <si>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</si>
  <si>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</si>
  <si>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</si>
  <si>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</si>
  <si>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</si>
  <si>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</si>
  <si>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</si>
  <si>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</si>
  <si>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</si>
  <si>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</si>
  <si>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</si>
  <si>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039-0017</t>
  </si>
  <si>
    <t>Connectiv -Crisfield Generation</t>
  </si>
  <si>
    <t>4-0024</t>
  </si>
  <si>
    <t xml:space="preserve">Unit 1 </t>
  </si>
  <si>
    <t>4-0025</t>
  </si>
  <si>
    <t>4-0026</t>
  </si>
  <si>
    <t>4-0027</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</si>
  <si>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</si>
  <si>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</si>
  <si>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</si>
  <si>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</si>
  <si>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</si>
  <si>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</si>
  <si>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</si>
  <si>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</si>
  <si>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</si>
  <si>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</si>
  <si>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</si>
  <si>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</si>
  <si>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</si>
  <si>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</si>
  <si>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</si>
  <si>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</si>
  <si>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</si>
  <si>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</si>
  <si>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Total #2 Oil </t>
  </si>
  <si>
    <r>
      <rPr>
        <sz val="10"/>
        <color theme="1"/>
        <rFont val="Calibri"/>
      </rPr>
      <t>Total #2 Oil (MMTCO</t>
    </r>
    <r>
      <rPr>
        <b/>
        <vertAlign val="subscript"/>
        <sz val="10"/>
        <color theme="1"/>
        <rFont val="Calibri"/>
      </rPr>
      <t>2</t>
    </r>
    <r>
      <rPr>
        <b/>
        <sz val="10"/>
        <color theme="1"/>
        <rFont val="Calibri"/>
      </rPr>
      <t>E)</t>
    </r>
  </si>
  <si>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</si>
  <si>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 xml:space="preserve">4 </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</si>
  <si>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</si>
  <si>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Used Oil</t>
  </si>
  <si>
    <t>4-0307</t>
  </si>
  <si>
    <t>P-No.6 Oil</t>
  </si>
  <si>
    <t>Boiler 2  (Unit 4)</t>
  </si>
  <si>
    <t>MMBTU/ gallons</t>
  </si>
  <si>
    <t>#6 Oil</t>
  </si>
  <si>
    <t>Total #6 Oil</t>
  </si>
  <si>
    <r>
      <rPr>
        <sz val="10"/>
        <color theme="1"/>
        <rFont val="Calibri"/>
      </rPr>
      <t>Total #6 Oil (MMTCO</t>
    </r>
    <r>
      <rPr>
        <vertAlign val="subscript"/>
        <sz val="10"/>
        <color theme="1"/>
        <rFont val="Calibri"/>
      </rPr>
      <t>2</t>
    </r>
    <r>
      <rPr>
        <sz val="10"/>
        <color theme="1"/>
        <rFont val="Calibri"/>
      </rPr>
      <t>E)</t>
    </r>
  </si>
  <si>
    <t xml:space="preserve"> NATURAL GAS COMBUSTION BY UNIT</t>
  </si>
  <si>
    <t>CO2 Emmission</t>
  </si>
  <si>
    <t>CH4  Emission</t>
  </si>
  <si>
    <t>N2O  Emission</t>
  </si>
  <si>
    <t>001-6-0136</t>
  </si>
  <si>
    <t>Limestone Dryer</t>
  </si>
  <si>
    <t>Natural Gas</t>
  </si>
  <si>
    <t>scf</t>
  </si>
  <si>
    <t>Btu/scf</t>
  </si>
  <si>
    <t>S-Gas</t>
  </si>
  <si>
    <t>MMBtu/1E+06 scf</t>
  </si>
  <si>
    <t>Gas</t>
  </si>
  <si>
    <t>Mcf</t>
  </si>
  <si>
    <t>MMBTU/ Mcf</t>
  </si>
  <si>
    <t>MMBTU/ 10E+06 scf</t>
  </si>
  <si>
    <t>4-1082</t>
  </si>
  <si>
    <t xml:space="preserve"> Boiler #4</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</si>
  <si>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</si>
  <si>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</si>
  <si>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</si>
  <si>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</si>
  <si>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</si>
  <si>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</si>
  <si>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</si>
  <si>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</si>
  <si>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</si>
  <si>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</si>
  <si>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</si>
  <si>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</si>
  <si>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</si>
  <si>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</si>
  <si>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</si>
  <si>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</si>
  <si>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</si>
  <si>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</si>
  <si>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</si>
  <si>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</si>
  <si>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</si>
  <si>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</si>
  <si>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</si>
  <si>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</si>
  <si>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</si>
  <si>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</si>
  <si>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</si>
  <si>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</si>
  <si>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</si>
  <si>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</si>
  <si>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</si>
  <si>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</si>
  <si>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510-0007</t>
  </si>
  <si>
    <t>CPSG - Gould Street</t>
  </si>
  <si>
    <t>4-0536</t>
  </si>
  <si>
    <t>Unit 3 Utility B</t>
  </si>
  <si>
    <t>Total Natural Gas</t>
  </si>
  <si>
    <r>
      <rPr>
        <sz val="10"/>
        <color theme="1"/>
        <rFont val="Calibri"/>
      </rPr>
      <t>Total NG (MMTCO</t>
    </r>
    <r>
      <rPr>
        <vertAlign val="subscript"/>
        <sz val="10"/>
        <color theme="1"/>
        <rFont val="Calibri"/>
      </rPr>
      <t>2</t>
    </r>
    <r>
      <rPr>
        <sz val="10"/>
        <color theme="1"/>
        <rFont val="Calibri"/>
      </rPr>
      <t>E)</t>
    </r>
  </si>
  <si>
    <r>
      <rPr>
        <b/>
        <sz val="10"/>
        <color rgb="FF0066CC"/>
        <rFont val="Calibri"/>
      </rPr>
      <t>CO</t>
    </r>
    <r>
      <rPr>
        <b/>
        <vertAlign val="subscript"/>
        <sz val="10"/>
        <color rgb="FF0066CC"/>
        <rFont val="Calibri"/>
      </rPr>
      <t>2</t>
    </r>
    <r>
      <rPr>
        <b/>
        <sz val="10"/>
        <color rgb="FF0066CC"/>
        <rFont val="Calibri"/>
      </rPr>
      <t xml:space="preserve">  EMISSION SUMMARY</t>
    </r>
  </si>
  <si>
    <t xml:space="preserve"> ALL UNITS</t>
  </si>
  <si>
    <r>
      <rPr>
        <sz val="10"/>
        <color theme="1"/>
        <rFont val="Calibri"/>
      </rPr>
      <t>Electric Power Sector CO</t>
    </r>
    <r>
      <rPr>
        <vertAlign val="subscript"/>
        <sz val="10"/>
        <color theme="1"/>
        <rFont val="Calibri"/>
      </rPr>
      <t>2</t>
    </r>
  </si>
  <si>
    <t>MMBTU</t>
  </si>
  <si>
    <r>
      <rPr>
        <b/>
        <sz val="10"/>
        <color theme="1"/>
        <rFont val="Calibri"/>
      </rPr>
      <t>CO</t>
    </r>
    <r>
      <rPr>
        <b/>
        <vertAlign val="subscript"/>
        <sz val="10"/>
        <color theme="1"/>
        <rFont val="Calibri"/>
      </rPr>
      <t>2</t>
    </r>
    <r>
      <rPr>
        <b/>
        <sz val="10"/>
        <color theme="1"/>
        <rFont val="Calibri"/>
      </rPr>
      <t xml:space="preserve"> Emission </t>
    </r>
  </si>
  <si>
    <r>
      <rPr>
        <b/>
        <sz val="10"/>
        <color theme="1"/>
        <rFont val="Calibri"/>
      </rPr>
      <t>CO</t>
    </r>
    <r>
      <rPr>
        <b/>
        <vertAlign val="subscript"/>
        <sz val="10"/>
        <color theme="1"/>
        <rFont val="Calibri"/>
      </rPr>
      <t>2</t>
    </r>
    <r>
      <rPr>
        <b/>
        <sz val="10"/>
        <color theme="1"/>
        <rFont val="Calibri"/>
      </rPr>
      <t xml:space="preserve"> Emission </t>
    </r>
  </si>
  <si>
    <r>
      <rPr>
        <b/>
        <sz val="10"/>
        <color theme="1"/>
        <rFont val="Calibri"/>
      </rPr>
      <t>CO</t>
    </r>
    <r>
      <rPr>
        <b/>
        <vertAlign val="subscript"/>
        <sz val="10"/>
        <color theme="1"/>
        <rFont val="Calibri"/>
      </rPr>
      <t>2</t>
    </r>
    <r>
      <rPr>
        <b/>
        <sz val="10"/>
        <color theme="1"/>
        <rFont val="Calibri"/>
      </rPr>
      <t xml:space="preserve"> Emission</t>
    </r>
  </si>
  <si>
    <r>
      <rPr>
        <b/>
        <sz val="10"/>
        <color theme="1"/>
        <rFont val="Calibri"/>
      </rPr>
      <t>CO</t>
    </r>
    <r>
      <rPr>
        <b/>
        <vertAlign val="subscript"/>
        <sz val="10"/>
        <color theme="1"/>
        <rFont val="Calibri"/>
      </rPr>
      <t>2</t>
    </r>
    <r>
      <rPr>
        <b/>
        <sz val="10"/>
        <color theme="1"/>
        <rFont val="Calibri"/>
      </rPr>
      <t xml:space="preserve"> Emission </t>
    </r>
  </si>
  <si>
    <t>(short tons)</t>
  </si>
  <si>
    <t>(metric tons)</t>
  </si>
  <si>
    <r>
      <rPr>
        <b/>
        <sz val="10"/>
        <color theme="1"/>
        <rFont val="Calibri"/>
      </rPr>
      <t xml:space="preserve"> (MMTCO</t>
    </r>
    <r>
      <rPr>
        <b/>
        <vertAlign val="subscript"/>
        <sz val="10"/>
        <color theme="1"/>
        <rFont val="Calibri"/>
      </rPr>
      <t>2</t>
    </r>
    <r>
      <rPr>
        <b/>
        <sz val="10"/>
        <color theme="1"/>
        <rFont val="Calibri"/>
      </rPr>
      <t>)</t>
    </r>
  </si>
  <si>
    <t>(MMTC)</t>
  </si>
  <si>
    <t>Petroleum</t>
  </si>
  <si>
    <t>Total</t>
  </si>
  <si>
    <r>
      <rPr>
        <b/>
        <sz val="10"/>
        <color rgb="FF0066CC"/>
        <rFont val="Calibri"/>
      </rPr>
      <t>CH</t>
    </r>
    <r>
      <rPr>
        <b/>
        <vertAlign val="subscript"/>
        <sz val="10"/>
        <color rgb="FF0066CC"/>
        <rFont val="Calibri"/>
      </rPr>
      <t>4</t>
    </r>
    <r>
      <rPr>
        <b/>
        <sz val="10"/>
        <color rgb="FF0066CC"/>
        <rFont val="Calibri"/>
      </rPr>
      <t xml:space="preserve">   EMISSION SUMMARY</t>
    </r>
  </si>
  <si>
    <r>
      <rPr>
        <sz val="10"/>
        <color rgb="FF000000"/>
        <rFont val="Calibri"/>
      </rPr>
      <t>Electric Power Sector CH</t>
    </r>
    <r>
      <rPr>
        <vertAlign val="subscript"/>
        <sz val="10"/>
        <color rgb="FF000000"/>
        <rFont val="Calibri"/>
      </rPr>
      <t>4</t>
    </r>
  </si>
  <si>
    <t>Consumption</t>
  </si>
  <si>
    <t xml:space="preserve">Emissions </t>
  </si>
  <si>
    <t>GWP</t>
  </si>
  <si>
    <t>(Billion Btu)</t>
  </si>
  <si>
    <r>
      <rPr>
        <sz val="10"/>
        <color theme="1"/>
        <rFont val="Calibri"/>
      </rPr>
      <t>(short tons CH</t>
    </r>
    <r>
      <rPr>
        <b/>
        <vertAlign val="subscript"/>
        <sz val="10"/>
        <color theme="1"/>
        <rFont val="Calibri"/>
      </rPr>
      <t>4</t>
    </r>
    <r>
      <rPr>
        <b/>
        <sz val="10"/>
        <color theme="1"/>
        <rFont val="Calibri"/>
      </rPr>
      <t>)</t>
    </r>
  </si>
  <si>
    <r>
      <rPr>
        <sz val="10"/>
        <color theme="1"/>
        <rFont val="Calibri"/>
      </rPr>
      <t>(metric tons CH</t>
    </r>
    <r>
      <rPr>
        <b/>
        <vertAlign val="subscript"/>
        <sz val="10"/>
        <color theme="1"/>
        <rFont val="Calibri"/>
      </rPr>
      <t>4</t>
    </r>
    <r>
      <rPr>
        <b/>
        <sz val="10"/>
        <color theme="1"/>
        <rFont val="Calibri"/>
      </rPr>
      <t>)</t>
    </r>
  </si>
  <si>
    <r>
      <rPr>
        <sz val="10"/>
        <color theme="1"/>
        <rFont val="Calibri"/>
      </rPr>
      <t>(MMTCO</t>
    </r>
    <r>
      <rPr>
        <b/>
        <vertAlign val="subscript"/>
        <sz val="10"/>
        <color theme="1"/>
        <rFont val="Calibri"/>
      </rPr>
      <t>2</t>
    </r>
    <r>
      <rPr>
        <b/>
        <sz val="10"/>
        <color theme="1"/>
        <rFont val="Calibri"/>
      </rPr>
      <t>E)</t>
    </r>
  </si>
  <si>
    <t>Distillate Fuel</t>
  </si>
  <si>
    <t>Residual Fuel</t>
  </si>
  <si>
    <r>
      <rPr>
        <b/>
        <sz val="10"/>
        <color rgb="FF0066CC"/>
        <rFont val="Calibri"/>
      </rPr>
      <t>N</t>
    </r>
    <r>
      <rPr>
        <b/>
        <vertAlign val="subscript"/>
        <sz val="10"/>
        <color rgb="FF0066CC"/>
        <rFont val="Calibri"/>
      </rPr>
      <t>2</t>
    </r>
    <r>
      <rPr>
        <b/>
        <sz val="10"/>
        <color rgb="FF0066CC"/>
        <rFont val="Calibri"/>
      </rPr>
      <t>O  EMISSION SUMMARY</t>
    </r>
  </si>
  <si>
    <t>ALL UNITS</t>
  </si>
  <si>
    <r>
      <rPr>
        <sz val="10"/>
        <color theme="1"/>
        <rFont val="Calibri"/>
      </rPr>
      <t>Electric Power Sector N</t>
    </r>
    <r>
      <rPr>
        <vertAlign val="subscript"/>
        <sz val="10"/>
        <color theme="1"/>
        <rFont val="Calibri"/>
      </rPr>
      <t>2</t>
    </r>
    <r>
      <rPr>
        <sz val="10"/>
        <color theme="1"/>
        <rFont val="Calibri"/>
      </rPr>
      <t>O</t>
    </r>
  </si>
  <si>
    <t>Emissions</t>
  </si>
  <si>
    <r>
      <rPr>
        <sz val="10"/>
        <color theme="1"/>
        <rFont val="Calibri"/>
      </rPr>
      <t>(short tons N</t>
    </r>
    <r>
      <rPr>
        <b/>
        <vertAlign val="subscript"/>
        <sz val="10"/>
        <color theme="1"/>
        <rFont val="Calibri"/>
      </rPr>
      <t>2</t>
    </r>
    <r>
      <rPr>
        <b/>
        <sz val="10"/>
        <color theme="1"/>
        <rFont val="Calibri"/>
      </rPr>
      <t>O)</t>
    </r>
  </si>
  <si>
    <r>
      <rPr>
        <sz val="10"/>
        <color theme="1"/>
        <rFont val="Calibri"/>
      </rPr>
      <t>(metric tons N</t>
    </r>
    <r>
      <rPr>
        <b/>
        <vertAlign val="subscript"/>
        <sz val="10"/>
        <color theme="1"/>
        <rFont val="Calibri"/>
      </rPr>
      <t>2</t>
    </r>
    <r>
      <rPr>
        <b/>
        <sz val="10"/>
        <color theme="1"/>
        <rFont val="Calibri"/>
      </rPr>
      <t>O)</t>
    </r>
  </si>
  <si>
    <r>
      <rPr>
        <sz val="10"/>
        <color theme="1"/>
        <rFont val="Calibri"/>
      </rPr>
      <t>(MMTCO</t>
    </r>
    <r>
      <rPr>
        <b/>
        <vertAlign val="subscript"/>
        <sz val="10"/>
        <color theme="1"/>
        <rFont val="Calibri"/>
      </rPr>
      <t>2</t>
    </r>
    <r>
      <rPr>
        <b/>
        <sz val="10"/>
        <color theme="1"/>
        <rFont val="Calibri"/>
      </rPr>
      <t>E)</t>
    </r>
  </si>
  <si>
    <t>GHG EMISSION SUMMARY</t>
  </si>
  <si>
    <t>Electric Power Sector GHG</t>
  </si>
  <si>
    <r>
      <rPr>
        <b/>
        <sz val="10"/>
        <color theme="1"/>
        <rFont val="Calibri"/>
      </rPr>
      <t>CO</t>
    </r>
    <r>
      <rPr>
        <b/>
        <vertAlign val="subscript"/>
        <sz val="10"/>
        <color theme="1"/>
        <rFont val="Calibri"/>
      </rPr>
      <t>2</t>
    </r>
  </si>
  <si>
    <r>
      <rPr>
        <b/>
        <sz val="10"/>
        <color theme="1"/>
        <rFont val="Calibri"/>
      </rPr>
      <t>N</t>
    </r>
    <r>
      <rPr>
        <b/>
        <vertAlign val="subscript"/>
        <sz val="10"/>
        <color theme="1"/>
        <rFont val="Calibri"/>
      </rPr>
      <t>2</t>
    </r>
    <r>
      <rPr>
        <b/>
        <sz val="10"/>
        <color theme="1"/>
        <rFont val="Calibri"/>
      </rPr>
      <t>O</t>
    </r>
  </si>
  <si>
    <r>
      <rPr>
        <b/>
        <sz val="10"/>
        <color theme="1"/>
        <rFont val="Calibri"/>
      </rPr>
      <t>CH</t>
    </r>
    <r>
      <rPr>
        <b/>
        <vertAlign val="subscript"/>
        <sz val="10"/>
        <color theme="1"/>
        <rFont val="Calibri"/>
      </rPr>
      <t>4</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</si>
  <si>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</si>
  <si>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</si>
  <si>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</si>
  <si>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</si>
  <si>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</si>
  <si>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</si>
  <si>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</si>
  <si>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Emission Factors</t>
  </si>
  <si>
    <t>CO2</t>
  </si>
  <si>
    <t>e-GGRT Subpart D</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</si>
  <si>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</si>
  <si>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</si>
  <si>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2014 ECMPS</t>
  </si>
  <si>
    <t>Unit 1 and Unit 2</t>
  </si>
  <si>
    <t>e-GGRT Subpart C</t>
  </si>
  <si>
    <t>CH4 (lb/MMBTU)</t>
  </si>
  <si>
    <t>N2O(lb/MMBTU)</t>
  </si>
  <si>
    <t>Aux 2,3 and CT</t>
  </si>
  <si>
    <t>Sub Bit Coal</t>
  </si>
  <si>
    <t>40 CFR 98</t>
  </si>
  <si>
    <t>Fuel</t>
  </si>
  <si>
    <t>Emission Factors (kg/MMBTU)</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</si>
  <si>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</si>
  <si>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</si>
  <si>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</si>
  <si>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Bitumunious Coal</t>
  </si>
  <si>
    <t>Subbituminous Coal</t>
  </si>
  <si>
    <t>Distillate Fuel oil #2</t>
  </si>
  <si>
    <t>Distillate Fuel Oil #6</t>
  </si>
  <si>
    <t>Kerosene</t>
  </si>
  <si>
    <t>Propane</t>
  </si>
  <si>
    <t>Gasoline</t>
  </si>
  <si>
    <t>Global Warming Potentials</t>
  </si>
  <si>
    <r>
      <rPr>
        <sz val="10"/>
        <color theme="1"/>
        <rFont val="Arial"/>
      </rPr>
      <t>CO</t>
    </r>
    <r>
      <rPr>
        <vertAlign val="subscript"/>
        <sz val="10"/>
        <color theme="1"/>
        <rFont val="Arial"/>
      </rPr>
      <t>2</t>
    </r>
  </si>
  <si>
    <r>
      <rPr>
        <sz val="10"/>
        <color theme="1"/>
        <rFont val="Arial"/>
      </rPr>
      <t>CH</t>
    </r>
    <r>
      <rPr>
        <vertAlign val="subscript"/>
        <sz val="10"/>
        <color theme="1"/>
        <rFont val="Arial"/>
      </rPr>
      <t>4</t>
    </r>
  </si>
  <si>
    <r>
      <rPr>
        <sz val="10"/>
        <color theme="1"/>
        <rFont val="Arial"/>
      </rPr>
      <t>N</t>
    </r>
    <r>
      <rPr>
        <vertAlign val="subscript"/>
        <sz val="10"/>
        <color theme="1"/>
        <rFont val="Arial"/>
      </rPr>
      <t>2</t>
    </r>
    <r>
      <rPr>
        <sz val="10"/>
        <color theme="1"/>
        <rFont val="Arial"/>
      </rPr>
      <t>O</t>
    </r>
  </si>
  <si>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</si>
  <si>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</si>
  <si>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</si>
  <si>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</si>
  <si>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</si>
  <si>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Emission Certificate Report-Easton Utility</t>
  </si>
  <si>
    <t>BTU for #2 Fuel Oil =137,000</t>
  </si>
  <si>
    <r>
      <rPr>
        <sz val="10"/>
        <color rgb="FFFF0000"/>
        <rFont val="Arial"/>
      </rPr>
      <t>N</t>
    </r>
    <r>
      <rPr>
        <vertAlign val="subscript"/>
        <sz val="10"/>
        <color rgb="FFFF0000"/>
        <rFont val="Arial"/>
      </rPr>
      <t>2</t>
    </r>
    <r>
      <rPr>
        <sz val="10"/>
        <color rgb="FFFF0000"/>
        <rFont val="Arial"/>
      </rPr>
      <t>O Emission Factor =</t>
    </r>
  </si>
  <si>
    <t>0.11 lbs/1,000 gal</t>
  </si>
  <si>
    <r>
      <rPr>
        <sz val="10"/>
        <color rgb="FFFF0000"/>
        <rFont val="Arial"/>
      </rPr>
      <t>CH</t>
    </r>
    <r>
      <rPr>
        <vertAlign val="subscript"/>
        <sz val="10"/>
        <color rgb="FFFF0000"/>
        <rFont val="Arial"/>
      </rPr>
      <t>4</t>
    </r>
    <r>
      <rPr>
        <sz val="10"/>
        <color rgb="FFFF0000"/>
        <rFont val="Arial"/>
      </rPr>
      <t xml:space="preserve"> Emission Factors =</t>
    </r>
  </si>
  <si>
    <t>1.11 lbs/1,000 gallons of Fuel</t>
  </si>
  <si>
    <r>
      <rPr>
        <sz val="10"/>
        <color rgb="FFFF0000"/>
        <rFont val="Arial"/>
      </rPr>
      <t>CO</t>
    </r>
    <r>
      <rPr>
        <vertAlign val="subscript"/>
        <sz val="10"/>
        <color rgb="FFFF0000"/>
        <rFont val="Arial"/>
      </rPr>
      <t>2</t>
    </r>
    <r>
      <rPr>
        <sz val="10"/>
        <color rgb="FFFF0000"/>
        <rFont val="Arial"/>
      </rPr>
      <t xml:space="preserve"> Emission Factor =</t>
    </r>
  </si>
  <si>
    <t>22,600 lbs/1,000 gallons</t>
  </si>
  <si>
    <t>Berlin Town</t>
  </si>
  <si>
    <r>
      <rPr>
        <sz val="10"/>
        <color theme="1"/>
        <rFont val="Arial"/>
      </rPr>
      <t>CO</t>
    </r>
    <r>
      <rPr>
        <b/>
        <vertAlign val="subscript"/>
        <sz val="10"/>
        <color rgb="FFFF0000"/>
        <rFont val="Arial"/>
      </rPr>
      <t xml:space="preserve">2 </t>
    </r>
    <r>
      <rPr>
        <b/>
        <sz val="10"/>
        <color rgb="FFFF0000"/>
        <rFont val="Arial"/>
      </rPr>
      <t>Emission factor Sources ; 22.2 pounds/gallons . Http;www.epa.gov/oms/climate/420f05001.htm</t>
    </r>
  </si>
  <si>
    <r>
      <rPr>
        <sz val="10"/>
        <color theme="1"/>
        <rFont val="Arial"/>
      </rPr>
      <t>CH</t>
    </r>
    <r>
      <rPr>
        <b/>
        <vertAlign val="subscript"/>
        <sz val="10"/>
        <color rgb="FFFF0000"/>
        <rFont val="Arial"/>
      </rPr>
      <t>4</t>
    </r>
    <r>
      <rPr>
        <b/>
        <sz val="10"/>
        <color rgb="FFFF0000"/>
        <rFont val="Arial"/>
      </rPr>
      <t xml:space="preserve"> ;3g/MMBTU</t>
    </r>
  </si>
  <si>
    <t>0.9 lbs/1,000 gal</t>
  </si>
  <si>
    <r>
      <rPr>
        <sz val="10"/>
        <color theme="1"/>
        <rFont val="Arial"/>
      </rPr>
      <t>N</t>
    </r>
    <r>
      <rPr>
        <b/>
        <vertAlign val="subscript"/>
        <sz val="10"/>
        <color rgb="FFFF0000"/>
        <rFont val="Arial"/>
      </rPr>
      <t>2</t>
    </r>
    <r>
      <rPr>
        <b/>
        <sz val="10"/>
        <color rgb="FFFF0000"/>
        <rFont val="Arial"/>
      </rPr>
      <t>O ; 0.6 g/MMBTU</t>
    </r>
  </si>
  <si>
    <t>0.2 lbs/1,000 gal</t>
  </si>
  <si>
    <r>
      <rPr>
        <sz val="10"/>
        <color rgb="FFFF0000"/>
        <rFont val="Arial"/>
      </rPr>
      <t>CO</t>
    </r>
    <r>
      <rPr>
        <vertAlign val="subscript"/>
        <sz val="10"/>
        <color rgb="FFFF0000"/>
        <rFont val="Arial"/>
      </rPr>
      <t>2</t>
    </r>
    <r>
      <rPr>
        <sz val="10"/>
        <color rgb="FFFF0000"/>
        <rFont val="Arial"/>
      </rPr>
      <t xml:space="preserve"> =</t>
    </r>
  </si>
  <si>
    <t>22.2 lbs/gal</t>
  </si>
  <si>
    <t>Crisfield</t>
  </si>
  <si>
    <t>(lb/MMBTU)</t>
  </si>
  <si>
    <t>(lb/Mgal)</t>
  </si>
  <si>
    <r>
      <rPr>
        <sz val="10"/>
        <color theme="1"/>
        <rFont val="Arial"/>
      </rPr>
      <t>CO</t>
    </r>
    <r>
      <rPr>
        <vertAlign val="subscript"/>
        <sz val="10"/>
        <color theme="1"/>
        <rFont val="Arial"/>
      </rPr>
      <t>2</t>
    </r>
    <r>
      <rPr>
        <sz val="10"/>
        <color theme="1"/>
        <rFont val="Arial"/>
      </rPr>
      <t xml:space="preserve"> Emission Factor</t>
    </r>
  </si>
  <si>
    <r>
      <rPr>
        <sz val="10"/>
        <color theme="1"/>
        <rFont val="Arial"/>
      </rPr>
      <t>CH</t>
    </r>
    <r>
      <rPr>
        <vertAlign val="subscript"/>
        <sz val="10"/>
        <color theme="1"/>
        <rFont val="Arial"/>
      </rPr>
      <t>4</t>
    </r>
    <r>
      <rPr>
        <sz val="10"/>
        <color theme="1"/>
        <rFont val="Arial"/>
      </rPr>
      <t xml:space="preserve"> Emission Factor</t>
    </r>
  </si>
  <si>
    <r>
      <rPr>
        <sz val="10"/>
        <color theme="1"/>
        <rFont val="Arial"/>
      </rPr>
      <t>N</t>
    </r>
    <r>
      <rPr>
        <vertAlign val="subscript"/>
        <sz val="10"/>
        <color theme="1"/>
        <rFont val="Arial"/>
      </rPr>
      <t>2</t>
    </r>
    <r>
      <rPr>
        <sz val="10"/>
        <color theme="1"/>
        <rFont val="Arial"/>
      </rPr>
      <t>O</t>
    </r>
  </si>
  <si>
    <t>NC</t>
  </si>
  <si>
    <t>Calvert Cliff</t>
  </si>
  <si>
    <r>
      <rPr>
        <sz val="10"/>
        <color theme="1"/>
        <rFont val="Arial"/>
      </rPr>
      <t>CO</t>
    </r>
    <r>
      <rPr>
        <vertAlign val="subscript"/>
        <sz val="10"/>
        <color theme="1"/>
        <rFont val="Arial"/>
      </rPr>
      <t>2</t>
    </r>
    <r>
      <rPr>
        <sz val="10"/>
        <color theme="1"/>
        <rFont val="Arial"/>
      </rPr>
      <t xml:space="preserve"> Emission Factor for EDG ;Table 3.4-1 of AP-42 =165 lbs/MMBTU</t>
    </r>
  </si>
  <si>
    <r>
      <rPr>
        <sz val="10"/>
        <color theme="1"/>
        <rFont val="Arial"/>
      </rPr>
      <t>CO</t>
    </r>
    <r>
      <rPr>
        <vertAlign val="subscript"/>
        <sz val="10"/>
        <color theme="1"/>
        <rFont val="Arial"/>
      </rPr>
      <t>2</t>
    </r>
    <r>
      <rPr>
        <sz val="10"/>
        <color theme="1"/>
        <rFont val="Arial"/>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</si>
  <si>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</si>
  <si>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</si>
  <si>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rPr>
      <t>N</t>
    </r>
    <r>
      <rPr>
        <vertAlign val="subscript"/>
        <sz val="10"/>
        <color theme="1"/>
        <rFont val="Arial"/>
      </rPr>
      <t>2</t>
    </r>
    <r>
      <rPr>
        <sz val="10"/>
        <color theme="1"/>
        <rFont val="Arial"/>
      </rPr>
      <t>O Emission Factor for EDG ;Table 1.3.8 of AP-42 =1.00E+03 lbs/gal</t>
    </r>
  </si>
  <si>
    <t>003-00529</t>
  </si>
  <si>
    <t>CPSG -Fort Smallwood Complex</t>
  </si>
  <si>
    <r>
      <rPr>
        <b/>
        <sz val="10"/>
        <color theme="1"/>
        <rFont val="Arial"/>
      </rPr>
      <t xml:space="preserve">CPSG - </t>
    </r>
    <r>
      <rPr>
        <b/>
        <sz val="10"/>
        <color rgb="FFFF0000"/>
        <rFont val="Arial"/>
      </rPr>
      <t>Gould Street</t>
    </r>
  </si>
  <si>
    <t>AP-42 Method</t>
  </si>
  <si>
    <t>Short tons</t>
  </si>
  <si>
    <t>MMT</t>
  </si>
  <si>
    <r>
      <rPr>
        <b/>
        <sz val="8"/>
        <color theme="1"/>
        <rFont val="Arial"/>
      </rPr>
      <t>MMTCO</t>
    </r>
    <r>
      <rPr>
        <b/>
        <vertAlign val="subscript"/>
        <sz val="8"/>
        <color theme="1"/>
        <rFont val="Arial"/>
      </rPr>
      <t>2</t>
    </r>
    <r>
      <rPr>
        <b/>
        <sz val="8"/>
        <color theme="1"/>
        <rFont val="Arial"/>
      </rPr>
      <t>E</t>
    </r>
  </si>
  <si>
    <r>
      <rPr>
        <sz val="14"/>
        <color theme="1"/>
        <rFont val="Comic Sans MS"/>
      </rPr>
      <t>Pulp and Paper Electric Power Production and CO</t>
    </r>
    <r>
      <rPr>
        <vertAlign val="subscript"/>
        <sz val="14"/>
        <color theme="1"/>
        <rFont val="Comic Sans MS"/>
      </rPr>
      <t>2</t>
    </r>
    <r>
      <rPr>
        <sz val="14"/>
        <color theme="1"/>
        <rFont val="Comic Sans MS"/>
      </rPr>
      <t xml:space="preserve"> Emissions in Maryland</t>
    </r>
  </si>
  <si>
    <t>kg/mmBTU</t>
  </si>
  <si>
    <t>POWER BOILERS (LUKE) 2014</t>
  </si>
  <si>
    <r>
      <rPr>
        <b/>
        <sz val="11"/>
        <color theme="1"/>
        <rFont val="Calibri"/>
      </rPr>
      <t>CO</t>
    </r>
    <r>
      <rPr>
        <b/>
        <vertAlign val="subscript"/>
        <sz val="11"/>
        <color theme="1"/>
        <rFont val="Calibri"/>
      </rPr>
      <t>2</t>
    </r>
  </si>
  <si>
    <t>CEM</t>
  </si>
  <si>
    <r>
      <rPr>
        <b/>
        <sz val="11"/>
        <color theme="1"/>
        <rFont val="Calibri"/>
      </rPr>
      <t>CH</t>
    </r>
    <r>
      <rPr>
        <b/>
        <vertAlign val="subscript"/>
        <sz val="11"/>
        <color theme="1"/>
        <rFont val="Calibri"/>
      </rPr>
      <t>4</t>
    </r>
  </si>
  <si>
    <r>
      <rPr>
        <b/>
        <sz val="11"/>
        <color theme="1"/>
        <rFont val="Calibri"/>
      </rPr>
      <t>N</t>
    </r>
    <r>
      <rPr>
        <b/>
        <vertAlign val="subscript"/>
        <sz val="11"/>
        <color theme="1"/>
        <rFont val="Calibri"/>
      </rPr>
      <t>2</t>
    </r>
    <r>
      <rPr>
        <b/>
        <sz val="11"/>
        <color theme="1"/>
        <rFont val="Calibri"/>
      </rPr>
      <t>O</t>
    </r>
  </si>
  <si>
    <t>Oil(2,4)</t>
  </si>
  <si>
    <t>Oil(6)</t>
  </si>
  <si>
    <t>Biomass</t>
  </si>
  <si>
    <t xml:space="preserve">% of Heat </t>
  </si>
  <si>
    <t>Share</t>
  </si>
  <si>
    <t># 2 Oil</t>
  </si>
  <si>
    <t># 4 Oil</t>
  </si>
  <si>
    <t>NG</t>
  </si>
  <si>
    <t>(gal)</t>
  </si>
  <si>
    <r>
      <rPr>
        <sz val="11"/>
        <color theme="1"/>
        <rFont val="Calibri"/>
      </rPr>
      <t>(ft</t>
    </r>
    <r>
      <rPr>
        <vertAlign val="superscript"/>
        <sz val="11"/>
        <color theme="1"/>
        <rFont val="Calibri"/>
      </rPr>
      <t>3</t>
    </r>
    <r>
      <rPr>
        <sz val="11"/>
        <color theme="1"/>
        <rFont val="Calibri"/>
      </rPr>
      <t>)</t>
    </r>
  </si>
  <si>
    <t>Qty</t>
  </si>
  <si>
    <t>btus/unit</t>
  </si>
  <si>
    <t>mmbtus</t>
  </si>
  <si>
    <r>
      <rPr>
        <b/>
        <sz val="11"/>
        <color theme="1"/>
        <rFont val="Calibri"/>
      </rPr>
      <t>CO</t>
    </r>
    <r>
      <rPr>
        <b/>
        <vertAlign val="subscript"/>
        <sz val="11"/>
        <color theme="1"/>
        <rFont val="Calibri"/>
      </rPr>
      <t>2</t>
    </r>
    <r>
      <rPr>
        <b/>
        <sz val="11"/>
        <color theme="1"/>
        <rFont val="Calibri"/>
      </rPr>
      <t xml:space="preserve"> emissions (short tons)</t>
    </r>
  </si>
  <si>
    <t>No. 24</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</si>
  <si>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</si>
  <si>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</si>
  <si>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emissions (short tons)</t>
    </r>
  </si>
  <si>
    <t>No. 25</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</si>
  <si>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</si>
  <si>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</si>
  <si>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emissions (short tons)</t>
    </r>
  </si>
  <si>
    <t>No. 26</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</si>
  <si>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</si>
  <si>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</si>
  <si>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</si>
  <si>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</si>
  <si>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</si>
  <si>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(MMTCO</t>
    </r>
    <r>
      <rPr>
        <b/>
        <vertAlign val="subscript"/>
        <sz val="11"/>
        <color theme="1"/>
        <rFont val="Calibri"/>
      </rPr>
      <t>2</t>
    </r>
    <r>
      <rPr>
        <b/>
        <sz val="11"/>
        <color theme="1"/>
        <rFont val="Calibri"/>
      </rPr>
      <t>)</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</si>
  <si>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</si>
  <si>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</si>
  <si>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</si>
  <si>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(MMTCO</t>
    </r>
    <r>
      <rPr>
        <b/>
        <vertAlign val="subscript"/>
        <sz val="11"/>
        <color theme="1"/>
        <rFont val="Calibri"/>
      </rPr>
      <t>2</t>
    </r>
    <r>
      <rPr>
        <b/>
        <sz val="11"/>
        <color theme="1"/>
        <rFont val="Calibri"/>
      </rPr>
      <t>)</t>
    </r>
  </si>
  <si>
    <r>
      <rPr>
        <sz val="8"/>
        <color theme="1"/>
        <rFont val="Arial"/>
      </rPr>
      <t>CO</t>
    </r>
    <r>
      <rPr>
        <vertAlign val="subscript"/>
        <sz val="10"/>
        <color theme="1"/>
        <rFont val="Arial"/>
      </rPr>
      <t>2</t>
    </r>
  </si>
  <si>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</si>
  <si>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10"/>
        <color theme="1"/>
        <rFont val="Arial"/>
      </rPr>
      <t>O</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</si>
  <si>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</si>
  <si>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</si>
  <si>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</si>
  <si>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(MMTCO</t>
    </r>
    <r>
      <rPr>
        <b/>
        <vertAlign val="subscript"/>
        <sz val="11"/>
        <color theme="1"/>
        <rFont val="Calibri"/>
      </rPr>
      <t>2</t>
    </r>
    <r>
      <rPr>
        <b/>
        <sz val="11"/>
        <color theme="1"/>
        <rFont val="Calibri"/>
      </rPr>
      <t>)</t>
    </r>
  </si>
  <si>
    <t>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</si>
  <si>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</si>
  <si>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</si>
  <si>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</si>
  <si>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</si>
  <si>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</si>
  <si>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</si>
  <si>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</si>
  <si>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</si>
  <si>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</si>
  <si>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</si>
  <si>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</si>
  <si>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</si>
  <si>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</si>
  <si>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</si>
  <si>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</si>
  <si>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</si>
  <si>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t xml:space="preserve"> Net MD In-State Electricity Generation (MWh) = MD In-State Electricity Generated - T &amp;D Losses</t>
  </si>
  <si>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</si>
  <si>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</si>
  <si>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</si>
  <si>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</si>
  <si>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</si>
  <si>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</si>
  <si>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</si>
  <si>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</si>
  <si>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</si>
  <si>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t>Electricity Imported (MWh) = MD Gross Retail Sales - Gross In-state Generation</t>
  </si>
  <si>
    <t>Imported Electricity to Meet MD Demand (MWh)</t>
  </si>
  <si>
    <t>GHG Associated with Imported Electricity</t>
  </si>
  <si>
    <r>
      <rPr>
        <sz val="8"/>
        <color theme="1"/>
        <rFont val="Calibri"/>
      </rPr>
      <t>CO</t>
    </r>
    <r>
      <rPr>
        <vertAlign val="subscript"/>
        <sz val="10"/>
        <color theme="1"/>
        <rFont val="MS Sans Serif"/>
      </rPr>
      <t>2</t>
    </r>
    <r>
      <rPr>
        <sz val="8"/>
        <color theme="1"/>
        <rFont val="Arial"/>
      </rPr>
      <t xml:space="preserve"> Emission</t>
    </r>
  </si>
  <si>
    <r>
      <rPr>
        <b/>
        <sz val="10"/>
        <color theme="1"/>
        <rFont val="Open Sans"/>
      </rPr>
      <t>PJM</t>
    </r>
    <r>
      <rPr>
        <sz val="8"/>
        <color theme="1"/>
        <rFont val="Arial"/>
      </rPr>
      <t xml:space="preserve"> Average CO</t>
    </r>
    <r>
      <rPr>
        <vertAlign val="subscript"/>
        <sz val="10"/>
        <color theme="1"/>
        <rFont val="MS Sans Serif"/>
      </rPr>
      <t>2</t>
    </r>
    <r>
      <rPr>
        <sz val="8"/>
        <color theme="1"/>
        <rFont val="Arial"/>
      </rPr>
      <t xml:space="preserve"> Emission Rate (lbs/MWh)</t>
    </r>
  </si>
  <si>
    <r>
      <rPr>
        <sz val="8"/>
        <color theme="1"/>
        <rFont val="Calibri"/>
      </rPr>
      <t>(CO</t>
    </r>
    <r>
      <rPr>
        <vertAlign val="subscript"/>
        <sz val="10"/>
        <color theme="1"/>
        <rFont val="MS Sans Serif"/>
      </rPr>
      <t>2</t>
    </r>
    <r>
      <rPr>
        <sz val="8"/>
        <color theme="1"/>
        <rFont val="Arial"/>
      </rPr>
      <t xml:space="preserve"> Emission Rate of Marginal Units)</t>
    </r>
  </si>
  <si>
    <t>Oil</t>
  </si>
  <si>
    <t>Hydroelectric</t>
  </si>
  <si>
    <t>Solid Waste</t>
  </si>
  <si>
    <r>
      <rPr>
        <b/>
        <sz val="8"/>
        <color theme="1"/>
        <rFont val="Open Sans"/>
      </rPr>
      <t>Captured CH</t>
    </r>
    <r>
      <rPr>
        <b/>
        <vertAlign val="subscript"/>
        <sz val="8"/>
        <color theme="1"/>
        <rFont val="MS Sans Serif"/>
      </rPr>
      <t>4</t>
    </r>
  </si>
  <si>
    <t>Solar</t>
  </si>
  <si>
    <t>Wood</t>
  </si>
  <si>
    <t>Actual Total 2014</t>
  </si>
  <si>
    <t>PJM Electricity Generation Fuel Mix 2014 (%)</t>
  </si>
  <si>
    <t>Maryland 2014  Import Share (MWh)</t>
  </si>
  <si>
    <r>
      <rPr>
        <sz val="8"/>
        <color theme="1"/>
        <rFont val="Arial"/>
      </rPr>
      <t>Imported Electric CO</t>
    </r>
    <r>
      <rPr>
        <vertAlign val="subscript"/>
        <sz val="10"/>
        <color theme="1"/>
        <rFont val="MS Sans Serif"/>
      </rPr>
      <t>2</t>
    </r>
    <r>
      <rPr>
        <sz val="8"/>
        <color theme="1"/>
        <rFont val="Arial"/>
      </rPr>
      <t xml:space="preserve"> Emissions Factors (tons/MWh)</t>
    </r>
  </si>
  <si>
    <r>
      <rPr>
        <sz val="8"/>
        <color theme="1"/>
        <rFont val="Arial"/>
      </rPr>
      <t>Imported Electric CO</t>
    </r>
    <r>
      <rPr>
        <vertAlign val="subscript"/>
        <sz val="10"/>
        <color theme="1"/>
        <rFont val="MS Sans Serif"/>
      </rPr>
      <t>2</t>
    </r>
    <r>
      <rPr>
        <sz val="8"/>
        <color theme="1"/>
        <rFont val="Arial"/>
      </rPr>
      <t xml:space="preserve"> Emissions (metric tons)</t>
    </r>
  </si>
  <si>
    <r>
      <rPr>
        <sz val="8"/>
        <color theme="1"/>
        <rFont val="Arial"/>
      </rPr>
      <t>Imported Electric CO</t>
    </r>
    <r>
      <rPr>
        <vertAlign val="subscript"/>
        <sz val="10"/>
        <color theme="1"/>
        <rFont val="MS Sans Serif"/>
      </rPr>
      <t>2</t>
    </r>
    <r>
      <rPr>
        <sz val="8"/>
        <color theme="1"/>
        <rFont val="Arial"/>
      </rPr>
      <t xml:space="preserve"> Emissions (MMTCO</t>
    </r>
    <r>
      <rPr>
        <vertAlign val="subscript"/>
        <sz val="10"/>
        <color theme="1"/>
        <rFont val="MS Sans Serif"/>
      </rPr>
      <t>2</t>
    </r>
    <r>
      <rPr>
        <sz val="8"/>
        <color theme="1"/>
        <rFont val="Arial"/>
      </rPr>
      <t>)</t>
    </r>
  </si>
  <si>
    <r>
      <rPr>
        <b/>
        <sz val="10"/>
        <color theme="1"/>
        <rFont val="Open Sans"/>
      </rPr>
      <t xml:space="preserve"> Imported Electricity Emissions  (MMTCO</t>
    </r>
    <r>
      <rPr>
        <b/>
        <vertAlign val="subscript"/>
        <sz val="10"/>
        <color theme="1"/>
        <rFont val="MS Sans Serif"/>
      </rPr>
      <t>2</t>
    </r>
    <r>
      <rPr>
        <b/>
        <sz val="10"/>
        <color theme="1"/>
        <rFont val="MS Sans Serif"/>
      </rPr>
      <t>E)</t>
    </r>
  </si>
  <si>
    <t>-http://www.eia.gov/electricity/data/browser/#/topic/0?agg=2,0,1&amp;fuel=vvg&amp;geo=00000008&amp;sec=g&amp;linechart=ELEC.GEN.ALL-MD-99.A~ELEC.GEN.AOR-MD-99.A&amp;columnchart=ELEC.GEN.ALL-MD-99.A&amp;map=ELEC.GEN.ALL-MD-99.A&amp;freq=A&amp;start=2001&amp;end=2014&amp;ctype=linechart&amp;ltype=pin&amp;rtype=s&amp;maptype=0&amp;rse=0&amp;pin=</t>
  </si>
  <si>
    <t>http://www.eia.gov/electricity/data/state/</t>
  </si>
  <si>
    <t>Transportation - OnRoad Consumption and GHG Emissions</t>
  </si>
  <si>
    <r>
      <rPr>
        <b/>
        <sz val="16"/>
        <color rgb="FF000000"/>
        <rFont val="Calibri"/>
      </rPr>
      <t xml:space="preserve">2014 PEI GHG </t>
    </r>
    <r>
      <rPr>
        <b/>
        <sz val="16"/>
        <color rgb="FF0000FF"/>
        <rFont val="Calibri"/>
      </rPr>
      <t>Annual</t>
    </r>
    <r>
      <rPr>
        <b/>
        <sz val="16"/>
        <color rgb="FF000000"/>
        <rFont val="Calibri"/>
      </rPr>
      <t xml:space="preserve"> Estimates for MD using MOVES2014 Model</t>
    </r>
  </si>
  <si>
    <t>Fuel Consumption from MOVES2014 Model</t>
  </si>
  <si>
    <r>
      <rPr>
        <sz val="8"/>
        <color theme="1"/>
        <rFont val="Arial"/>
      </rPr>
      <t>CO</t>
    </r>
    <r>
      <rPr>
        <vertAlign val="subscript"/>
        <sz val="8"/>
        <color theme="1"/>
        <rFont val="Arial"/>
      </rPr>
      <t>2</t>
    </r>
    <r>
      <rPr>
        <sz val="8"/>
        <color theme="1"/>
        <rFont val="Arial"/>
      </rPr>
      <t>E in grams per year</t>
    </r>
  </si>
  <si>
    <r>
      <rPr>
        <b/>
        <sz val="11"/>
        <color rgb="FF0000FF"/>
        <rFont val="Calibri"/>
      </rPr>
      <t>CO</t>
    </r>
    <r>
      <rPr>
        <b/>
        <vertAlign val="subscript"/>
        <sz val="11"/>
        <color rgb="FF0000FF"/>
        <rFont val="Calibri"/>
      </rPr>
      <t>2</t>
    </r>
    <r>
      <rPr>
        <b/>
        <sz val="11"/>
        <color rgb="FF0000FF"/>
        <rFont val="Calibri"/>
      </rPr>
      <t>E ( MMTons)</t>
    </r>
  </si>
  <si>
    <t>County</t>
  </si>
  <si>
    <t>CNG</t>
  </si>
  <si>
    <t>Ethanol (E85)</t>
  </si>
  <si>
    <t>Grand Total</t>
  </si>
  <si>
    <t>2014 PEI</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</si>
  <si>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</si>
  <si>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</si>
  <si>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</si>
  <si>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</si>
  <si>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</si>
  <si>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</si>
  <si>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</si>
  <si>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</si>
  <si>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</si>
  <si>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</si>
  <si>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</si>
  <si>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</si>
  <si>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</si>
  <si>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</si>
  <si>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</si>
  <si>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</si>
  <si>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</si>
  <si>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</si>
  <si>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</si>
  <si>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</si>
  <si>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</si>
  <si>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</si>
  <si>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</si>
  <si>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</si>
  <si>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</si>
  <si>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t>Fuel Density</t>
  </si>
  <si>
    <t>g/gallon</t>
  </si>
  <si>
    <t>Energy Content</t>
  </si>
  <si>
    <t>KJ/g</t>
  </si>
  <si>
    <r>
      <rPr>
        <b/>
        <sz val="8"/>
        <color rgb="FFFF0000"/>
        <rFont val="Arial"/>
      </rPr>
      <t>CO</t>
    </r>
    <r>
      <rPr>
        <b/>
        <vertAlign val="subscript"/>
        <sz val="8"/>
        <color rgb="FFFF0000"/>
        <rFont val="Arial"/>
      </rPr>
      <t>2</t>
    </r>
    <r>
      <rPr>
        <b/>
        <sz val="8"/>
        <color rgb="FFFF0000"/>
        <rFont val="Arial"/>
      </rPr>
      <t xml:space="preserve"> Emissions (MMTCO</t>
    </r>
    <r>
      <rPr>
        <b/>
        <vertAlign val="subscript"/>
        <sz val="8"/>
        <color rgb="FFFF0000"/>
        <rFont val="Arial"/>
      </rPr>
      <t>2</t>
    </r>
    <r>
      <rPr>
        <b/>
        <sz val="8"/>
        <color rgb="FFFF0000"/>
        <rFont val="Arial"/>
      </rPr>
      <t>E)</t>
    </r>
  </si>
  <si>
    <t>Fuel from MOVES</t>
  </si>
  <si>
    <t>gal</t>
  </si>
  <si>
    <t>1000 gal</t>
  </si>
  <si>
    <t>CONSTANTS</t>
  </si>
  <si>
    <t>Btu/Gallon</t>
  </si>
  <si>
    <r>
      <rPr>
        <sz val="14"/>
        <color theme="1"/>
        <rFont val="Comic Sans MS"/>
      </rPr>
      <t>Emissions Data (MMTCO</t>
    </r>
    <r>
      <rPr>
        <vertAlign val="subscript"/>
        <sz val="14"/>
        <color theme="1"/>
        <rFont val="Comic Sans MS"/>
      </rPr>
      <t>2</t>
    </r>
    <r>
      <rPr>
        <sz val="14"/>
        <color theme="1"/>
        <rFont val="Comic Sans MS"/>
      </rPr>
      <t>e)</t>
    </r>
  </si>
  <si>
    <t>Transportation Sector: On-Road Mobile Sources  2014</t>
  </si>
  <si>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</si>
  <si>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</si>
  <si>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(gallon)</t>
  </si>
  <si>
    <t>Density
(kg/gallon)</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</si>
  <si>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</si>
  <si>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</si>
  <si>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(MTCE)</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</si>
  <si>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</si>
  <si>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</si>
  <si>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</si>
  <si>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</si>
  <si>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</si>
  <si>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Motor Diesel  (On-Road)</t>
  </si>
  <si>
    <t>=</t>
  </si>
  <si>
    <t>Motor Gasoline (On Road)</t>
  </si>
  <si>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</si>
  <si>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t>Transportation - NonRoad GHG Emissions</t>
  </si>
  <si>
    <t xml:space="preserve">                                                                                 Summary Table</t>
  </si>
  <si>
    <r>
      <rPr>
        <sz val="8"/>
        <color theme="1"/>
        <rFont val="Arial"/>
      </rPr>
      <t>CH</t>
    </r>
    <r>
      <rPr>
        <vertAlign val="subscript"/>
        <sz val="8"/>
        <color theme="1"/>
        <rFont val="Arial"/>
      </rPr>
      <t>4</t>
    </r>
  </si>
  <si>
    <r>
      <rPr>
        <sz val="8"/>
        <color theme="1"/>
        <rFont val="Arial"/>
      </rPr>
      <t>CO</t>
    </r>
    <r>
      <rPr>
        <vertAlign val="subscript"/>
        <sz val="8"/>
        <color theme="1"/>
        <rFont val="Arial"/>
      </rPr>
      <t>2</t>
    </r>
  </si>
  <si>
    <r>
      <rPr>
        <sz val="8"/>
        <color theme="1"/>
        <rFont val="Arial"/>
      </rPr>
      <t>CH</t>
    </r>
    <r>
      <rPr>
        <vertAlign val="subscript"/>
        <sz val="8"/>
        <color theme="1"/>
        <rFont val="Arial"/>
      </rPr>
      <t>4</t>
    </r>
  </si>
  <si>
    <r>
      <rPr>
        <sz val="8"/>
        <color theme="1"/>
        <rFont val="Arial"/>
      </rPr>
      <t>CO</t>
    </r>
    <r>
      <rPr>
        <vertAlign val="subscript"/>
        <sz val="8"/>
        <color theme="1"/>
        <rFont val="Arial"/>
      </rPr>
      <t>2</t>
    </r>
  </si>
  <si>
    <t>(short tons/yr)</t>
  </si>
  <si>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</si>
  <si>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</si>
  <si>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t>Compressed Natural gas</t>
  </si>
  <si>
    <t>Gasoline Total</t>
  </si>
  <si>
    <t>Liquefidies Petroleum Gas (LPG)</t>
  </si>
  <si>
    <t>Marine Diesel Fuel</t>
  </si>
  <si>
    <t>Non-Road Diesel fuel</t>
  </si>
  <si>
    <t>SUM BY FUEL TYPE</t>
  </si>
  <si>
    <t>countyID</t>
  </si>
  <si>
    <t>SCC</t>
  </si>
  <si>
    <t>description</t>
  </si>
  <si>
    <t>fuelTypeDesc</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</si>
  <si>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</si>
  <si>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</si>
  <si>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24001</t>
  </si>
  <si>
    <t>2268002081</t>
  </si>
  <si>
    <t>Construction</t>
  </si>
  <si>
    <t>Compressed Natural Gas (CNG)</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</si>
  <si>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</si>
  <si>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</si>
  <si>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</si>
  <si>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</si>
  <si>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</si>
  <si>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</si>
  <si>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</si>
  <si>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</si>
  <si>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</si>
  <si>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</si>
  <si>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</si>
  <si>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</si>
  <si>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</si>
  <si>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</si>
  <si>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</si>
  <si>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</si>
  <si>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</si>
  <si>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</si>
  <si>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</si>
  <si>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</si>
  <si>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</si>
  <si>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</si>
  <si>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24510</t>
  </si>
  <si>
    <t>2268003020</t>
  </si>
  <si>
    <t>2268003030</t>
  </si>
  <si>
    <t>2268003040</t>
  </si>
  <si>
    <t>2268003060</t>
  </si>
  <si>
    <t>2268003070</t>
  </si>
  <si>
    <t>2268005055</t>
  </si>
  <si>
    <t>2268005060</t>
  </si>
  <si>
    <t>2268006005</t>
  </si>
  <si>
    <t>2268006010</t>
  </si>
  <si>
    <t>2268006015</t>
  </si>
  <si>
    <t>2268006020</t>
  </si>
  <si>
    <t>2268010010</t>
  </si>
  <si>
    <t>Oil Field</t>
  </si>
  <si>
    <t>Compressed Natural Gas (CNG) Total</t>
  </si>
  <si>
    <t>2260001010</t>
  </si>
  <si>
    <t>Recreational</t>
  </si>
  <si>
    <t>2260001020</t>
  </si>
  <si>
    <t>2260001030</t>
  </si>
  <si>
    <t>2260001060</t>
  </si>
  <si>
    <t>2260002006</t>
  </si>
  <si>
    <t>2260002009</t>
  </si>
  <si>
    <t>2260002021</t>
  </si>
  <si>
    <t>2260002027</t>
  </si>
  <si>
    <t>2260002039</t>
  </si>
  <si>
    <t>2260002054</t>
  </si>
  <si>
    <t>2260003030</t>
  </si>
  <si>
    <t>2260003040</t>
  </si>
  <si>
    <t>2260004015</t>
  </si>
  <si>
    <t>Lawn/Garden</t>
  </si>
  <si>
    <t>2260004016</t>
  </si>
  <si>
    <t>2260004020</t>
  </si>
  <si>
    <t>2260004021</t>
  </si>
  <si>
    <t>2260004025</t>
  </si>
  <si>
    <t>2260004026</t>
  </si>
  <si>
    <t>2260004030</t>
  </si>
  <si>
    <t>2260004031</t>
  </si>
  <si>
    <t>2260004035</t>
  </si>
  <si>
    <t>2260004036</t>
  </si>
  <si>
    <t>2260004071</t>
  </si>
  <si>
    <t>2260005035</t>
  </si>
  <si>
    <t>2260006005</t>
  </si>
  <si>
    <t>2260006010</t>
  </si>
  <si>
    <t>2260006015</t>
  </si>
  <si>
    <t>2260006035</t>
  </si>
  <si>
    <t>2260007005</t>
  </si>
  <si>
    <t>Logging</t>
  </si>
  <si>
    <t>2265001010</t>
  </si>
  <si>
    <t>2265001030</t>
  </si>
  <si>
    <t>2265001050</t>
  </si>
  <si>
    <t>2265001060</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</si>
  <si>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</si>
  <si>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</si>
  <si>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</si>
  <si>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</si>
  <si>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</si>
  <si>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</si>
  <si>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</si>
  <si>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</si>
  <si>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</si>
  <si>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</si>
  <si>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</si>
  <si>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</si>
  <si>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</si>
  <si>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</si>
  <si>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</si>
  <si>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</si>
  <si>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</si>
  <si>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</si>
  <si>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</si>
  <si>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2265003010</t>
  </si>
  <si>
    <t>2265003020</t>
  </si>
  <si>
    <t>2265003030</t>
  </si>
  <si>
    <t>2265003040</t>
  </si>
  <si>
    <t>2265003050</t>
  </si>
  <si>
    <t>2265003060</t>
  </si>
  <si>
    <t>2265003070</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</si>
  <si>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</si>
  <si>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</si>
  <si>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</si>
  <si>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</si>
  <si>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</si>
  <si>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</si>
  <si>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</si>
  <si>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</si>
  <si>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</si>
  <si>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</si>
  <si>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</si>
  <si>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</si>
  <si>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</si>
  <si>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</si>
  <si>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</si>
  <si>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</si>
  <si>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</si>
  <si>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</si>
  <si>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</si>
  <si>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</si>
  <si>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2265005010</t>
  </si>
  <si>
    <t>2265005015</t>
  </si>
  <si>
    <t>2265005020</t>
  </si>
  <si>
    <t>2265005025</t>
  </si>
  <si>
    <t>2265005030</t>
  </si>
  <si>
    <t>2265005035</t>
  </si>
  <si>
    <t>2265005040</t>
  </si>
  <si>
    <t>2265005045</t>
  </si>
  <si>
    <t>2265005055</t>
  </si>
  <si>
    <t>2265005060</t>
  </si>
  <si>
    <t>2265006005</t>
  </si>
  <si>
    <t>2265006010</t>
  </si>
  <si>
    <t>2265006015</t>
  </si>
  <si>
    <t>2265006025</t>
  </si>
  <si>
    <t>2265006030</t>
  </si>
  <si>
    <t>2265006035</t>
  </si>
  <si>
    <t>2265007010</t>
  </si>
  <si>
    <t>2265007015</t>
  </si>
  <si>
    <t>2265008005</t>
  </si>
  <si>
    <t>Airport Support</t>
  </si>
  <si>
    <t>2265010010</t>
  </si>
  <si>
    <t>2282005010</t>
  </si>
  <si>
    <t>Pleasure Craft</t>
  </si>
  <si>
    <t>2282005015</t>
  </si>
  <si>
    <t>2282010005</t>
  </si>
  <si>
    <t>2285004015</t>
  </si>
  <si>
    <t>Railroad</t>
  </si>
  <si>
    <t>2267001060</t>
  </si>
  <si>
    <t>Liquefied Petroleum Gas (LPG)</t>
  </si>
  <si>
    <t>2267002003</t>
  </si>
  <si>
    <t>2267002015</t>
  </si>
  <si>
    <t>2267002021</t>
  </si>
  <si>
    <t>2267002024</t>
  </si>
  <si>
    <t>2267002030</t>
  </si>
  <si>
    <t>2267002033</t>
  </si>
  <si>
    <t>2267002039</t>
  </si>
  <si>
    <t>2267002045</t>
  </si>
  <si>
    <t>2267002054</t>
  </si>
  <si>
    <t>2267002057</t>
  </si>
  <si>
    <t>2267002060</t>
  </si>
  <si>
    <t>2267002066</t>
  </si>
  <si>
    <t>2267002072</t>
  </si>
  <si>
    <t>2267002081</t>
  </si>
  <si>
    <t>2267003010</t>
  </si>
  <si>
    <t>2267003020</t>
  </si>
  <si>
    <t>2267003030</t>
  </si>
  <si>
    <t>2267003040</t>
  </si>
  <si>
    <t>2267003050</t>
  </si>
  <si>
    <t>2267003070</t>
  </si>
  <si>
    <t>2267004066</t>
  </si>
  <si>
    <t>2267005055</t>
  </si>
  <si>
    <t>2267005060</t>
  </si>
  <si>
    <t>2267006005</t>
  </si>
  <si>
    <t>2267006010</t>
  </si>
  <si>
    <t>2267006015</t>
  </si>
  <si>
    <t>2267006025</t>
  </si>
  <si>
    <t>2267006030</t>
  </si>
  <si>
    <t>2267006035</t>
  </si>
  <si>
    <t>2267008005</t>
  </si>
  <si>
    <t>2285006015</t>
  </si>
  <si>
    <t>Liquefied Petroleum Gas (LPG) Total</t>
  </si>
  <si>
    <t>2282020005</t>
  </si>
  <si>
    <t>2282020010</t>
  </si>
  <si>
    <t>Marine Diesel Fuel Total</t>
  </si>
  <si>
    <t>2270001060</t>
  </si>
  <si>
    <t>Nonroad Diesel Fuel</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</si>
  <si>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</si>
  <si>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</si>
  <si>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</si>
  <si>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</si>
  <si>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</si>
  <si>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</si>
  <si>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</si>
  <si>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</si>
  <si>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</si>
  <si>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</si>
  <si>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</si>
  <si>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</si>
  <si>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</si>
  <si>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</si>
  <si>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</si>
  <si>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</si>
  <si>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</si>
  <si>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</si>
  <si>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</si>
  <si>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</si>
  <si>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</si>
  <si>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</si>
  <si>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</si>
  <si>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</si>
  <si>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</si>
  <si>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2270003010</t>
  </si>
  <si>
    <t>2270003020</t>
  </si>
  <si>
    <t>2270003030</t>
  </si>
  <si>
    <t>2270003040</t>
  </si>
  <si>
    <t>2270003050</t>
  </si>
  <si>
    <t>2270003060</t>
  </si>
  <si>
    <t>2270003070</t>
  </si>
  <si>
    <t>2270004031</t>
  </si>
  <si>
    <t>2270004036</t>
  </si>
  <si>
    <t>2270004046</t>
  </si>
  <si>
    <t>2270004056</t>
  </si>
  <si>
    <t>2270004066</t>
  </si>
  <si>
    <t>2270004071</t>
  </si>
  <si>
    <t>2270004076</t>
  </si>
  <si>
    <t>2270005010</t>
  </si>
  <si>
    <t>2270005015</t>
  </si>
  <si>
    <t>2270005020</t>
  </si>
  <si>
    <t>2270005025</t>
  </si>
  <si>
    <t>2270005030</t>
  </si>
  <si>
    <t>2270005035</t>
  </si>
  <si>
    <t>2270005040</t>
  </si>
  <si>
    <t>2270005045</t>
  </si>
  <si>
    <t>2270005055</t>
  </si>
  <si>
    <t>2270005060</t>
  </si>
  <si>
    <t>2270006005</t>
  </si>
  <si>
    <t>2270006010</t>
  </si>
  <si>
    <t>2270006015</t>
  </si>
  <si>
    <t>2270006025</t>
  </si>
  <si>
    <t>2270006030</t>
  </si>
  <si>
    <t>2270006035</t>
  </si>
  <si>
    <t>2270007015</t>
  </si>
  <si>
    <t>2270008005</t>
  </si>
  <si>
    <t>2270009010</t>
  </si>
  <si>
    <t>Underground Mining</t>
  </si>
  <si>
    <t>2270010010</t>
  </si>
  <si>
    <t>2285002015</t>
  </si>
  <si>
    <t>Nonroad Diesel Fuel Total</t>
  </si>
  <si>
    <t>SUM BY SOURCE CATEGORY</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</si>
  <si>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</si>
  <si>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</si>
  <si>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Agriculture Total</t>
  </si>
  <si>
    <t>Airport Support Total</t>
  </si>
  <si>
    <t>Commercial Total</t>
  </si>
  <si>
    <t>Construction Total</t>
  </si>
  <si>
    <t>Industrial Total</t>
  </si>
  <si>
    <t>Lawn/Garden Total</t>
  </si>
  <si>
    <t>Logging Total</t>
  </si>
  <si>
    <t>Oil Field Total</t>
  </si>
  <si>
    <t>Pleasure Craft Total</t>
  </si>
  <si>
    <t>Railroad Total</t>
  </si>
  <si>
    <t>Recreational Total</t>
  </si>
  <si>
    <t>Underground Mining Total</t>
  </si>
  <si>
    <t>SUM BY COUNTY</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</si>
  <si>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</si>
  <si>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</si>
  <si>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24001 Total</t>
  </si>
  <si>
    <t>24003 Total</t>
  </si>
  <si>
    <t>24005 Total</t>
  </si>
  <si>
    <t>24009 Total</t>
  </si>
  <si>
    <t>24011 Total</t>
  </si>
  <si>
    <t>24013 Total</t>
  </si>
  <si>
    <t>24015 Total</t>
  </si>
  <si>
    <t>24017 Total</t>
  </si>
  <si>
    <t>24019 Total</t>
  </si>
  <si>
    <t>24021 Total</t>
  </si>
  <si>
    <t>24023 Total</t>
  </si>
  <si>
    <t>24025 Total</t>
  </si>
  <si>
    <t>24027 Total</t>
  </si>
  <si>
    <t>24029 Total</t>
  </si>
  <si>
    <t>24031 Total</t>
  </si>
  <si>
    <t>24033 Total</t>
  </si>
  <si>
    <t>24035 Total</t>
  </si>
  <si>
    <t>24037 Total</t>
  </si>
  <si>
    <t>24039 Total</t>
  </si>
  <si>
    <t>24041 Total</t>
  </si>
  <si>
    <t>24043 Total</t>
  </si>
  <si>
    <t>24045 Total</t>
  </si>
  <si>
    <t>24047 Total</t>
  </si>
  <si>
    <t>24510 Total</t>
  </si>
  <si>
    <t xml:space="preserve">       Transportation Consumption and GHG Emissions</t>
  </si>
  <si>
    <t>Activity Data (Consumption)</t>
  </si>
  <si>
    <t xml:space="preserve"> State Energy Data  2014</t>
  </si>
  <si>
    <t>(Thousand Barrels)</t>
  </si>
  <si>
    <t>(Gallons)</t>
  </si>
  <si>
    <t xml:space="preserve">Aviation Gasoline </t>
  </si>
  <si>
    <t xml:space="preserve">Distillate Fuel  Oil </t>
  </si>
  <si>
    <t xml:space="preserve">Jet Fuel- Kerosene Type </t>
  </si>
  <si>
    <t>Liquidfied Petroleum Gases</t>
  </si>
  <si>
    <t xml:space="preserve">Lubricant </t>
  </si>
  <si>
    <t>Natural Gases -  (Million Cubic Feet)</t>
  </si>
  <si>
    <t>Distillate Fuel - Locomotive</t>
  </si>
  <si>
    <t>Distillate Fuel - Vessel Bunkering</t>
  </si>
  <si>
    <t>Residual Fuel Oil</t>
  </si>
  <si>
    <r>
      <rPr>
        <sz val="14"/>
        <color theme="1"/>
        <rFont val="Comic Sans MS"/>
      </rPr>
      <t>Emissions Data (MMTCO</t>
    </r>
    <r>
      <rPr>
        <vertAlign val="subscript"/>
        <sz val="14"/>
        <color theme="1"/>
        <rFont val="Comic Sans MS"/>
      </rPr>
      <t>2</t>
    </r>
    <r>
      <rPr>
        <sz val="14"/>
        <color theme="1"/>
        <rFont val="Comic Sans MS"/>
      </rPr>
      <t>e)</t>
    </r>
  </si>
  <si>
    <t>Transportation Sector Emissions: Other-Non-Road Mobile Sources  2014</t>
  </si>
  <si>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</si>
  <si>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</si>
  <si>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</si>
  <si>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Emission Factor</t>
  </si>
  <si>
    <t>Combustion</t>
  </si>
  <si>
    <t>(lbs C/Million Btu)</t>
  </si>
  <si>
    <t>Efficiency (%)</t>
  </si>
  <si>
    <t>(short tons carbon)</t>
  </si>
  <si>
    <t>(MMTCE)</t>
  </si>
  <si>
    <r>
      <rPr>
        <b/>
        <sz val="10"/>
        <color theme="1"/>
        <rFont val="Calibri"/>
      </rPr>
      <t>(MMTCO</t>
    </r>
    <r>
      <rPr>
        <b/>
        <vertAlign val="subscript"/>
        <sz val="10"/>
        <color theme="1"/>
        <rFont val="Calibri"/>
      </rPr>
      <t>2</t>
    </r>
    <r>
      <rPr>
        <b/>
        <sz val="10"/>
        <color theme="1"/>
        <rFont val="Calibri"/>
      </rPr>
      <t>E)</t>
    </r>
  </si>
  <si>
    <t>Energy Content
(kg/Mbtu)</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</si>
  <si>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</si>
  <si>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</si>
  <si>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</si>
  <si>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</si>
  <si>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</si>
  <si>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</si>
  <si>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</si>
  <si>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</si>
  <si>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Aviation Gasoline</t>
  </si>
  <si>
    <t>x</t>
  </si>
  <si>
    <t>Jet Fuel, Kerosene</t>
  </si>
  <si>
    <r>
      <rPr>
        <sz val="14"/>
        <color theme="1"/>
        <rFont val="Comic Sans MS"/>
      </rPr>
      <t>Emissions Data (MMTCO</t>
    </r>
    <r>
      <rPr>
        <vertAlign val="subscript"/>
        <sz val="14"/>
        <color theme="1"/>
        <rFont val="Comic Sans MS"/>
      </rPr>
      <t>2</t>
    </r>
    <r>
      <rPr>
        <sz val="14"/>
        <color theme="1"/>
        <rFont val="Comic Sans MS"/>
      </rPr>
      <t>e)</t>
    </r>
  </si>
  <si>
    <r>
      <rPr>
        <sz val="14"/>
        <color rgb="FF000000"/>
        <rFont val="Calibri"/>
      </rPr>
      <t>Transportation Sector Emissions:</t>
    </r>
    <r>
      <rPr>
        <sz val="14"/>
        <color rgb="FFFF0000"/>
        <rFont val="Calibri"/>
      </rPr>
      <t xml:space="preserve"> International Bunker Fuels 2014</t>
    </r>
  </si>
  <si>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</si>
  <si>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</si>
  <si>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</si>
  <si>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r>
      <rPr>
        <b/>
        <sz val="10"/>
        <color theme="1"/>
        <rFont val="Calibri"/>
      </rPr>
      <t>(MMTCO</t>
    </r>
    <r>
      <rPr>
        <b/>
        <vertAlign val="subscript"/>
        <sz val="10"/>
        <color theme="1"/>
        <rFont val="Calibri"/>
      </rPr>
      <t>2</t>
    </r>
    <r>
      <rPr>
        <b/>
        <sz val="10"/>
        <color theme="1"/>
        <rFont val="Calibri"/>
      </rPr>
      <t>E)</t>
    </r>
  </si>
  <si>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</si>
  <si>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</si>
  <si>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</si>
  <si>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</si>
  <si>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</si>
  <si>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</si>
  <si>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</si>
  <si>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</si>
  <si>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Distillate Fuel -Vessel Bunkering</t>
  </si>
  <si>
    <t>Residual Fuel- Vessel Bunkering</t>
  </si>
  <si>
    <t xml:space="preserve">Non-Energy </t>
  </si>
  <si>
    <t xml:space="preserve">Net combustible </t>
  </si>
  <si>
    <t>Storage Factor (%)</t>
  </si>
  <si>
    <r>
      <rPr>
        <b/>
        <sz val="10"/>
        <color theme="1"/>
        <rFont val="Calibri"/>
      </rPr>
      <t>(MMTCO</t>
    </r>
    <r>
      <rPr>
        <b/>
        <vertAlign val="subscript"/>
        <sz val="10"/>
        <color theme="1"/>
        <rFont val="Calibri"/>
      </rPr>
      <t>2</t>
    </r>
    <r>
      <rPr>
        <b/>
        <sz val="10"/>
        <color theme="1"/>
        <rFont val="Calibri"/>
      </rPr>
      <t>E)</t>
    </r>
  </si>
  <si>
    <t>Lubricants</t>
  </si>
  <si>
    <t>- (</t>
  </si>
  <si>
    <t>) =</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</si>
  <si>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</si>
  <si>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</si>
  <si>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</si>
  <si>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(Total)</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</si>
  <si>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</si>
  <si>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</si>
  <si>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</si>
  <si>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</si>
  <si>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Distillate Fuel-Rail</t>
  </si>
  <si>
    <r>
      <rPr>
        <sz val="14"/>
        <color theme="1"/>
        <rFont val="Comic Sans MS"/>
      </rPr>
      <t>Residential Consumption and CO</t>
    </r>
    <r>
      <rPr>
        <vertAlign val="subscript"/>
        <sz val="14"/>
        <color theme="1"/>
        <rFont val="Comic Sans MS"/>
      </rPr>
      <t>2</t>
    </r>
    <r>
      <rPr>
        <sz val="14"/>
        <color theme="1"/>
        <rFont val="Comic Sans MS"/>
      </rPr>
      <t xml:space="preserve"> Emissions in Maryland</t>
    </r>
  </si>
  <si>
    <r>
      <rPr>
        <sz val="14"/>
        <color theme="1"/>
        <rFont val="Comic Sans MS"/>
      </rPr>
      <t>Residential Sector CO</t>
    </r>
    <r>
      <rPr>
        <vertAlign val="subscript"/>
        <sz val="14"/>
        <color theme="1"/>
        <rFont val="Comic Sans MS"/>
      </rPr>
      <t>2</t>
    </r>
  </si>
  <si>
    <r>
      <rPr>
        <b/>
        <sz val="10"/>
        <color theme="1"/>
        <rFont val="Calibri"/>
      </rPr>
      <t>(MMTCO</t>
    </r>
    <r>
      <rPr>
        <b/>
        <vertAlign val="subscript"/>
        <sz val="10"/>
        <color theme="1"/>
        <rFont val="Calibri"/>
      </rPr>
      <t>2</t>
    </r>
    <r>
      <rPr>
        <b/>
        <sz val="10"/>
        <color theme="1"/>
        <rFont val="Calibri"/>
      </rPr>
      <t>E)</t>
    </r>
  </si>
  <si>
    <t>LPG</t>
  </si>
  <si>
    <r>
      <rPr>
        <sz val="14"/>
        <color theme="1"/>
        <rFont val="Comic Sans MS"/>
      </rPr>
      <t>Residential Sector N</t>
    </r>
    <r>
      <rPr>
        <vertAlign val="subscript"/>
        <sz val="14"/>
        <color theme="1"/>
        <rFont val="Comic Sans MS"/>
      </rPr>
      <t>2</t>
    </r>
    <r>
      <rPr>
        <sz val="14"/>
        <color theme="1"/>
        <rFont val="Comic Sans MS"/>
      </rPr>
      <t>0</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</si>
  <si>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</si>
  <si>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</si>
  <si>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b/>
        <sz val="10"/>
        <color theme="1"/>
        <rFont val="Calibri"/>
      </rPr>
      <t>(MMTCO</t>
    </r>
    <r>
      <rPr>
        <b/>
        <vertAlign val="subscript"/>
        <sz val="10"/>
        <color theme="1"/>
        <rFont val="Calibri"/>
      </rPr>
      <t>2</t>
    </r>
    <r>
      <rPr>
        <b/>
        <sz val="10"/>
        <color theme="1"/>
        <rFont val="Calibri"/>
      </rPr>
      <t>E)</t>
    </r>
  </si>
  <si>
    <r>
      <rPr>
        <sz val="14"/>
        <color theme="1"/>
        <rFont val="Comic Sans MS"/>
      </rPr>
      <t>Residential Sector CH</t>
    </r>
    <r>
      <rPr>
        <vertAlign val="subscript"/>
        <sz val="14"/>
        <color theme="1"/>
        <rFont val="Comic Sans MS"/>
      </rPr>
      <t>4</t>
    </r>
  </si>
  <si>
    <t>(metric tons CH4 /BBtu)</t>
  </si>
  <si>
    <r>
      <rPr>
        <b/>
        <sz val="10"/>
        <color theme="1"/>
        <rFont val="Calibri"/>
      </rPr>
      <t>(metric tons CH</t>
    </r>
    <r>
      <rPr>
        <b/>
        <vertAlign val="subscript"/>
        <sz val="10"/>
        <color theme="1"/>
        <rFont val="Calibri"/>
      </rPr>
      <t>4</t>
    </r>
    <r>
      <rPr>
        <b/>
        <sz val="10"/>
        <color theme="1"/>
        <rFont val="Calibri"/>
      </rPr>
      <t>)</t>
    </r>
  </si>
  <si>
    <t>(MMTCO2E)</t>
  </si>
  <si>
    <t xml:space="preserve">Residential Sector 2014 GHG Emissions </t>
  </si>
  <si>
    <r>
      <rPr>
        <b/>
        <sz val="10"/>
        <color theme="1"/>
        <rFont val="Calibri"/>
      </rPr>
      <t>CO</t>
    </r>
    <r>
      <rPr>
        <b/>
        <vertAlign val="subscript"/>
        <sz val="10"/>
        <color theme="1"/>
        <rFont val="Calibri"/>
      </rPr>
      <t>2</t>
    </r>
  </si>
  <si>
    <r>
      <rPr>
        <b/>
        <sz val="10"/>
        <color theme="1"/>
        <rFont val="Calibri"/>
      </rPr>
      <t>N</t>
    </r>
    <r>
      <rPr>
        <b/>
        <vertAlign val="subscript"/>
        <sz val="10"/>
        <color theme="1"/>
        <rFont val="Calibri"/>
      </rPr>
      <t>2</t>
    </r>
    <r>
      <rPr>
        <b/>
        <sz val="10"/>
        <color theme="1"/>
        <rFont val="Calibri"/>
      </rPr>
      <t>O</t>
    </r>
  </si>
  <si>
    <r>
      <rPr>
        <b/>
        <sz val="10"/>
        <color theme="1"/>
        <rFont val="Calibri"/>
      </rPr>
      <t>CH</t>
    </r>
    <r>
      <rPr>
        <b/>
        <vertAlign val="subscript"/>
        <sz val="10"/>
        <color theme="1"/>
        <rFont val="Calibri"/>
      </rPr>
      <t>4</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</si>
  <si>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</si>
  <si>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</si>
  <si>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</si>
  <si>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</si>
  <si>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 xml:space="preserve">- Default state-level data derived from EIA’s State Energy Consumption, Price, and Expenditure Estimates (SEDS) 2013: Consumption Estimates (EIA 2013)  http://www.eia.gov/state/seds/?sid=MD </t>
  </si>
  <si>
    <r>
      <rPr>
        <sz val="14"/>
        <color theme="1"/>
        <rFont val="Comic Sans MS"/>
      </rPr>
      <t>Commercial Consumption and CO</t>
    </r>
    <r>
      <rPr>
        <vertAlign val="subscript"/>
        <sz val="14"/>
        <color theme="1"/>
        <rFont val="Comic Sans MS"/>
      </rPr>
      <t>2</t>
    </r>
    <r>
      <rPr>
        <sz val="14"/>
        <color theme="1"/>
        <rFont val="Comic Sans MS"/>
      </rPr>
      <t xml:space="preserve"> Emissions in Maryland</t>
    </r>
  </si>
  <si>
    <r>
      <rPr>
        <sz val="14"/>
        <color theme="1"/>
        <rFont val="Comic Sans MS"/>
      </rPr>
      <t>Commercial Sector CO</t>
    </r>
    <r>
      <rPr>
        <vertAlign val="subscript"/>
        <sz val="14"/>
        <color theme="1"/>
        <rFont val="Comic Sans MS"/>
      </rPr>
      <t>2</t>
    </r>
  </si>
  <si>
    <r>
      <rPr>
        <b/>
        <sz val="10"/>
        <color theme="1"/>
        <rFont val="Calibri"/>
      </rPr>
      <t>(MMTCO</t>
    </r>
    <r>
      <rPr>
        <b/>
        <vertAlign val="subscript"/>
        <sz val="10"/>
        <color theme="1"/>
        <rFont val="Calibri"/>
      </rPr>
      <t>2</t>
    </r>
    <r>
      <rPr>
        <b/>
        <sz val="10"/>
        <color theme="1"/>
        <rFont val="Calibri"/>
      </rPr>
      <t>E)</t>
    </r>
  </si>
  <si>
    <t>Motor Gasoline</t>
  </si>
  <si>
    <r>
      <rPr>
        <sz val="14"/>
        <color theme="1"/>
        <rFont val="Comic Sans MS"/>
      </rPr>
      <t>Commercial Sector N</t>
    </r>
    <r>
      <rPr>
        <vertAlign val="subscript"/>
        <sz val="14"/>
        <color theme="1"/>
        <rFont val="Comic Sans MS"/>
      </rPr>
      <t>2</t>
    </r>
    <r>
      <rPr>
        <sz val="14"/>
        <color theme="1"/>
        <rFont val="Comic Sans MS"/>
      </rPr>
      <t>O</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</si>
  <si>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</si>
  <si>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</si>
  <si>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sz val="14"/>
        <color theme="1"/>
        <rFont val="Comic Sans MS"/>
      </rPr>
      <t>Commercial Sector CH</t>
    </r>
    <r>
      <rPr>
        <vertAlign val="subscript"/>
        <sz val="14"/>
        <color theme="1"/>
        <rFont val="Comic Sans MS"/>
      </rPr>
      <t>4</t>
    </r>
  </si>
  <si>
    <r>
      <rPr>
        <b/>
        <sz val="10"/>
        <color theme="1"/>
        <rFont val="Calibri"/>
      </rPr>
      <t>(metric tons CH</t>
    </r>
    <r>
      <rPr>
        <b/>
        <vertAlign val="subscript"/>
        <sz val="10"/>
        <color theme="1"/>
        <rFont val="Calibri"/>
      </rPr>
      <t>4</t>
    </r>
    <r>
      <rPr>
        <b/>
        <sz val="10"/>
        <color theme="1"/>
        <rFont val="Calibri"/>
      </rPr>
      <t xml:space="preserve"> /BBtu)</t>
    </r>
  </si>
  <si>
    <r>
      <rPr>
        <b/>
        <sz val="10"/>
        <color theme="1"/>
        <rFont val="Calibri"/>
      </rPr>
      <t>(metric tons CH</t>
    </r>
    <r>
      <rPr>
        <b/>
        <vertAlign val="subscript"/>
        <sz val="10"/>
        <color theme="1"/>
        <rFont val="Calibri"/>
      </rPr>
      <t>4</t>
    </r>
    <r>
      <rPr>
        <b/>
        <sz val="10"/>
        <color theme="1"/>
        <rFont val="Calibri"/>
      </rPr>
      <t>)</t>
    </r>
  </si>
  <si>
    <r>
      <rPr>
        <b/>
        <sz val="10"/>
        <color theme="1"/>
        <rFont val="Calibri"/>
      </rPr>
      <t>(MMTCO</t>
    </r>
    <r>
      <rPr>
        <b/>
        <vertAlign val="subscript"/>
        <sz val="10"/>
        <color theme="1"/>
        <rFont val="Calibri"/>
      </rPr>
      <t>2</t>
    </r>
    <r>
      <rPr>
        <b/>
        <sz val="10"/>
        <color theme="1"/>
        <rFont val="Calibri"/>
      </rPr>
      <t>E)</t>
    </r>
  </si>
  <si>
    <t>Commercial Sector 2014 GHG Emission</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</si>
  <si>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</si>
  <si>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</si>
  <si>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</si>
  <si>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GHG</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</si>
  <si>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</si>
  <si>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</si>
  <si>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</si>
  <si>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</si>
  <si>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 Default state-level data derived from EIA’s State Energy Consumption, Price, and Expenditure Estimates (SEDS) 2014: Consumption Estimates (EIA 2014)  http://www.eia.gov/state/seds/seds-data-fuel.cfm?sid=US</t>
  </si>
  <si>
    <t>http://www.eia.gov/state/seds/seds-data-fuel.cfm?sid=US</t>
  </si>
  <si>
    <t>Industrial Consumption and CO2 Emissions in Maryland</t>
  </si>
  <si>
    <r>
      <rPr>
        <sz val="14"/>
        <color rgb="FF000000"/>
        <rFont val="Comic Sans MS"/>
      </rPr>
      <t>Industrial Sector CO</t>
    </r>
    <r>
      <rPr>
        <vertAlign val="subscript"/>
        <sz val="14"/>
        <color rgb="FF000000"/>
        <rFont val="Comic Sans MS"/>
      </rPr>
      <t>2</t>
    </r>
  </si>
  <si>
    <t xml:space="preserve">Total </t>
  </si>
  <si>
    <r>
      <rPr>
        <b/>
        <sz val="10"/>
        <color theme="1"/>
        <rFont val="Calibri"/>
      </rPr>
      <t>(MMTCO</t>
    </r>
    <r>
      <rPr>
        <b/>
        <vertAlign val="subscript"/>
        <sz val="10"/>
        <color theme="1"/>
        <rFont val="Calibri"/>
      </rPr>
      <t>2</t>
    </r>
    <r>
      <rPr>
        <b/>
        <sz val="10"/>
        <color theme="1"/>
        <rFont val="Calibri"/>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</si>
  <si>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</si>
  <si>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</si>
  <si>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</si>
  <si>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</si>
  <si>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</si>
  <si>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</si>
  <si>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</si>
  <si>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</si>
  <si>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</si>
  <si>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</si>
  <si>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</si>
  <si>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</si>
  <si>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</si>
  <si>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</si>
  <si>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</si>
  <si>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14"/>
        <color theme="1"/>
        <rFont val="Comic Sans MS"/>
      </rPr>
      <t>Industrial Sector N</t>
    </r>
    <r>
      <rPr>
        <vertAlign val="subscript"/>
        <sz val="14"/>
        <color theme="1"/>
        <rFont val="Comic Sans MS"/>
      </rPr>
      <t>2</t>
    </r>
    <r>
      <rPr>
        <sz val="14"/>
        <color theme="1"/>
        <rFont val="Comic Sans MS"/>
      </rPr>
      <t>O</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</si>
  <si>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</si>
  <si>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</si>
  <si>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b/>
        <sz val="10"/>
        <color theme="1"/>
        <rFont val="Calibri"/>
      </rPr>
      <t>(MMTCO</t>
    </r>
    <r>
      <rPr>
        <b/>
        <vertAlign val="subscript"/>
        <sz val="10"/>
        <color theme="1"/>
        <rFont val="Calibri"/>
      </rPr>
      <t>2</t>
    </r>
    <r>
      <rPr>
        <b/>
        <sz val="10"/>
        <color theme="1"/>
        <rFont val="Calibri"/>
      </rPr>
      <t>E)</t>
    </r>
  </si>
  <si>
    <t>NA</t>
  </si>
  <si>
    <r>
      <rPr>
        <sz val="14"/>
        <color rgb="FF000000"/>
        <rFont val="Comic Sans MS"/>
      </rPr>
      <t>Industrial Sector CH</t>
    </r>
    <r>
      <rPr>
        <vertAlign val="subscript"/>
        <sz val="14"/>
        <color rgb="FF000000"/>
        <rFont val="Comic Sans MS"/>
      </rPr>
      <t>4</t>
    </r>
  </si>
  <si>
    <r>
      <rPr>
        <b/>
        <sz val="10"/>
        <color theme="1"/>
        <rFont val="Calibri"/>
      </rPr>
      <t>(metric tons CH</t>
    </r>
    <r>
      <rPr>
        <b/>
        <vertAlign val="subscript"/>
        <sz val="10"/>
        <color theme="1"/>
        <rFont val="Calibri"/>
      </rPr>
      <t>4</t>
    </r>
    <r>
      <rPr>
        <b/>
        <sz val="10"/>
        <color theme="1"/>
        <rFont val="Calibri"/>
      </rPr>
      <t xml:space="preserve"> /BBtu)</t>
    </r>
  </si>
  <si>
    <r>
      <rPr>
        <b/>
        <sz val="10"/>
        <color theme="1"/>
        <rFont val="Calibri"/>
      </rPr>
      <t>(metric tons CH</t>
    </r>
    <r>
      <rPr>
        <b/>
        <vertAlign val="subscript"/>
        <sz val="10"/>
        <color theme="1"/>
        <rFont val="Calibri"/>
      </rPr>
      <t>4</t>
    </r>
    <r>
      <rPr>
        <b/>
        <sz val="10"/>
        <color theme="1"/>
        <rFont val="Calibri"/>
      </rPr>
      <t>)</t>
    </r>
  </si>
  <si>
    <r>
      <rPr>
        <b/>
        <sz val="10"/>
        <color theme="1"/>
        <rFont val="Calibri"/>
      </rPr>
      <t>(MMTCO</t>
    </r>
    <r>
      <rPr>
        <b/>
        <vertAlign val="subscript"/>
        <sz val="10"/>
        <color theme="1"/>
        <rFont val="Calibri"/>
      </rPr>
      <t>2</t>
    </r>
    <r>
      <rPr>
        <b/>
        <sz val="10"/>
        <color theme="1"/>
        <rFont val="Calibri"/>
      </rPr>
      <t>E)</t>
    </r>
  </si>
  <si>
    <t>Industrial Sector GHG</t>
  </si>
  <si>
    <r>
      <rPr>
        <b/>
        <sz val="10"/>
        <color rgb="FF000000"/>
        <rFont val="Calibri"/>
      </rPr>
      <t>CO</t>
    </r>
    <r>
      <rPr>
        <b/>
        <vertAlign val="subscript"/>
        <sz val="10"/>
        <color rgb="FF000000"/>
        <rFont val="Calibri"/>
      </rPr>
      <t>2</t>
    </r>
  </si>
  <si>
    <r>
      <rPr>
        <b/>
        <sz val="10"/>
        <color rgb="FF000000"/>
        <rFont val="Calibri"/>
      </rPr>
      <t>CH</t>
    </r>
    <r>
      <rPr>
        <b/>
        <vertAlign val="subscript"/>
        <sz val="10"/>
        <color rgb="FF000000"/>
        <rFont val="Calibri"/>
      </rPr>
      <t>4</t>
    </r>
  </si>
  <si>
    <r>
      <rPr>
        <b/>
        <sz val="10"/>
        <color rgb="FF000000"/>
        <rFont val="Calibri"/>
      </rPr>
      <t>N</t>
    </r>
    <r>
      <rPr>
        <b/>
        <vertAlign val="subscript"/>
        <sz val="10"/>
        <color rgb="FF000000"/>
        <rFont val="Calibri"/>
      </rPr>
      <t>2</t>
    </r>
    <r>
      <rPr>
        <b/>
        <sz val="10"/>
        <color rgb="FF000000"/>
        <rFont val="Calibri"/>
      </rPr>
      <t>O</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</si>
  <si>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</si>
  <si>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</si>
  <si>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</si>
  <si>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</si>
  <si>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4"/>
        <color theme="1"/>
        <rFont val="Comic Sans MS"/>
      </rPr>
      <t>Limestone &amp; Dolomite; Soda Ash; Ammonia &amp; Urea; ODS; Electric Power T&amp;D Summary (MTCO</t>
    </r>
    <r>
      <rPr>
        <b/>
        <vertAlign val="subscript"/>
        <sz val="14"/>
        <color theme="1"/>
        <rFont val="Comic Sans MS"/>
      </rPr>
      <t>2</t>
    </r>
    <r>
      <rPr>
        <b/>
        <sz val="14"/>
        <color theme="1"/>
        <rFont val="Comic Sans MS"/>
      </rPr>
      <t>E)</t>
    </r>
  </si>
  <si>
    <t>Limestone and Dolomite Use</t>
  </si>
  <si>
    <t>Consumption
(Metric Tons)</t>
  </si>
  <si>
    <r>
      <rPr>
        <b/>
        <sz val="9"/>
        <color theme="1"/>
        <rFont val="Calibri"/>
      </rPr>
      <t>Emission Factor
(t CO</t>
    </r>
    <r>
      <rPr>
        <b/>
        <vertAlign val="subscript"/>
        <sz val="9"/>
        <color theme="1"/>
        <rFont val="Calibri"/>
      </rPr>
      <t>2</t>
    </r>
    <r>
      <rPr>
        <b/>
        <sz val="9"/>
        <color theme="1"/>
        <rFont val="Calibri"/>
      </rPr>
      <t>/t production)</t>
    </r>
  </si>
  <si>
    <t>Emissions
(MTCE)</t>
  </si>
  <si>
    <r>
      <rPr>
        <b/>
        <sz val="9"/>
        <color theme="1"/>
        <rFont val="Calibri"/>
      </rPr>
      <t>Emissions
(MTCO</t>
    </r>
    <r>
      <rPr>
        <b/>
        <vertAlign val="subscript"/>
        <sz val="9"/>
        <color theme="1"/>
        <rFont val="Calibri"/>
      </rPr>
      <t>2</t>
    </r>
    <r>
      <rPr>
        <b/>
        <sz val="9"/>
        <color theme="1"/>
        <rFont val="Calibri"/>
      </rPr>
      <t>E)</t>
    </r>
  </si>
  <si>
    <t>Limestone</t>
  </si>
  <si>
    <t>Dolomite</t>
  </si>
  <si>
    <t>Magesium Production from Dolomite</t>
  </si>
  <si>
    <t>Soda Ash Use</t>
  </si>
  <si>
    <t>Manufacture and 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</si>
  <si>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</si>
  <si>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</si>
  <si>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Manufacture</t>
  </si>
  <si>
    <t>Ammonia Production and Urea Consumption</t>
  </si>
  <si>
    <t>Production &amp; Consumption
(Metric Tons)</t>
  </si>
  <si>
    <r>
      <rPr>
        <b/>
        <sz val="9"/>
        <color theme="1"/>
        <rFont val="Calibri"/>
      </rPr>
      <t>Emission Factor
(mt CO</t>
    </r>
    <r>
      <rPr>
        <b/>
        <vertAlign val="subscript"/>
        <sz val="9"/>
        <color theme="1"/>
        <rFont val="Calibri"/>
      </rPr>
      <t>2</t>
    </r>
    <r>
      <rPr>
        <b/>
        <sz val="9"/>
        <color theme="1"/>
        <rFont val="Calibri"/>
      </rPr>
      <t>/mt activity)</t>
    </r>
  </si>
  <si>
    <t>Subract emissions from Urea</t>
  </si>
  <si>
    <r>
      <rPr>
        <b/>
        <sz val="9"/>
        <color theme="1"/>
        <rFont val="Calibri"/>
      </rPr>
      <t>Emissions
(MTCO</t>
    </r>
    <r>
      <rPr>
        <b/>
        <vertAlign val="subscript"/>
        <sz val="9"/>
        <color theme="1"/>
        <rFont val="Calibri"/>
      </rPr>
      <t>2</t>
    </r>
    <r>
      <rPr>
        <b/>
        <sz val="9"/>
        <color theme="1"/>
        <rFont val="Calibri"/>
      </rPr>
      <t>E)</t>
    </r>
  </si>
  <si>
    <t xml:space="preserve">Ammonia Production </t>
  </si>
  <si>
    <t>Urea Consumption</t>
  </si>
  <si>
    <t xml:space="preserve">   =</t>
  </si>
  <si>
    <t>Ozone Depleting Substances (ODS) Substitutes</t>
  </si>
  <si>
    <r>
      <rPr>
        <b/>
        <sz val="9"/>
        <color theme="1"/>
        <rFont val="Calibri"/>
      </rPr>
      <t xml:space="preserve"> National Emissions
(Metric Tons CO</t>
    </r>
    <r>
      <rPr>
        <b/>
        <vertAlign val="subscript"/>
        <sz val="9"/>
        <color theme="1"/>
        <rFont val="Calibri"/>
      </rPr>
      <t>2</t>
    </r>
    <r>
      <rPr>
        <b/>
        <sz val="9"/>
        <color theme="1"/>
        <rFont val="Calibri"/>
      </rPr>
      <t xml:space="preserve"> Eq.)</t>
    </r>
  </si>
  <si>
    <t>State Population</t>
  </si>
  <si>
    <t>National Population</t>
  </si>
  <si>
    <t>Apportioned National Emissions
(MTCE)</t>
  </si>
  <si>
    <r>
      <rPr>
        <b/>
        <sz val="9"/>
        <color theme="1"/>
        <rFont val="Calibri"/>
      </rPr>
      <t>Apportioned National Emissions
(MTCO</t>
    </r>
    <r>
      <rPr>
        <b/>
        <vertAlign val="subscript"/>
        <sz val="9"/>
        <color theme="1"/>
        <rFont val="Calibri"/>
      </rPr>
      <t>2</t>
    </r>
    <r>
      <rPr>
        <b/>
        <sz val="9"/>
        <color theme="1"/>
        <rFont val="Calibri"/>
      </rPr>
      <t>E)</t>
    </r>
  </si>
  <si>
    <t>/</t>
  </si>
  <si>
    <t>Electric Power Transmission &amp; Distribution (T&amp;D)</t>
  </si>
  <si>
    <r>
      <rPr>
        <b/>
        <sz val="9"/>
        <color theme="1"/>
        <rFont val="Calibri"/>
      </rPr>
      <t>SF</t>
    </r>
    <r>
      <rPr>
        <b/>
        <vertAlign val="subscript"/>
        <sz val="9"/>
        <color theme="1"/>
        <rFont val="Calibri"/>
      </rPr>
      <t>6</t>
    </r>
    <r>
      <rPr>
        <b/>
        <sz val="9"/>
        <color theme="1"/>
        <rFont val="Calibri"/>
      </rPr>
      <t xml:space="preserve"> Consumption
(Metric Tons)</t>
    </r>
  </si>
  <si>
    <r>
      <rPr>
        <b/>
        <sz val="9"/>
        <color theme="1"/>
        <rFont val="Calibri"/>
      </rPr>
      <t>Emission Factor
(t SF</t>
    </r>
    <r>
      <rPr>
        <b/>
        <vertAlign val="subscript"/>
        <sz val="9"/>
        <color theme="1"/>
        <rFont val="Calibri"/>
      </rPr>
      <t>6</t>
    </r>
    <r>
      <rPr>
        <b/>
        <sz val="9"/>
        <color theme="1"/>
        <rFont val="Calibri"/>
      </rPr>
      <t>/t Consumption)</t>
    </r>
  </si>
  <si>
    <r>
      <rPr>
        <b/>
        <sz val="9"/>
        <color theme="1"/>
        <rFont val="Calibri"/>
      </rPr>
      <t>Emissions
(Metric Tons SF</t>
    </r>
    <r>
      <rPr>
        <b/>
        <vertAlign val="subscript"/>
        <sz val="9"/>
        <color theme="1"/>
        <rFont val="Calibri"/>
      </rPr>
      <t>6</t>
    </r>
    <r>
      <rPr>
        <b/>
        <sz val="9"/>
        <color theme="1"/>
        <rFont val="Calibri"/>
      </rPr>
      <t>)</t>
    </r>
  </si>
  <si>
    <r>
      <rPr>
        <b/>
        <sz val="9"/>
        <color theme="1"/>
        <rFont val="Calibri"/>
      </rPr>
      <t>Emissions
(MTCO</t>
    </r>
    <r>
      <rPr>
        <b/>
        <vertAlign val="subscript"/>
        <sz val="9"/>
        <color theme="1"/>
        <rFont val="Calibri"/>
      </rPr>
      <t>2</t>
    </r>
    <r>
      <rPr>
        <b/>
        <sz val="9"/>
        <color theme="1"/>
        <rFont val="Calibri"/>
      </rPr>
      <t>E)</t>
    </r>
  </si>
  <si>
    <t>Aluminum Production (EastAlCo Shut Down)</t>
  </si>
  <si>
    <t>Production
(Metric Tons)</t>
  </si>
  <si>
    <t>Emission Factor
(t CE/t Production)</t>
  </si>
  <si>
    <r>
      <rPr>
        <b/>
        <sz val="9"/>
        <color theme="1"/>
        <rFont val="Calibri"/>
      </rPr>
      <t>Emissions
(MTCO</t>
    </r>
    <r>
      <rPr>
        <b/>
        <vertAlign val="subscript"/>
        <sz val="9"/>
        <color theme="1"/>
        <rFont val="Calibri"/>
      </rPr>
      <t>2</t>
    </r>
    <r>
      <rPr>
        <b/>
        <sz val="9"/>
        <color theme="1"/>
        <rFont val="Calibri"/>
      </rPr>
      <t>E)</t>
    </r>
  </si>
  <si>
    <t>Carbon Dioxide Emissions</t>
  </si>
  <si>
    <t>Cement Manufacture</t>
  </si>
  <si>
    <t>Lime Manufacture</t>
  </si>
  <si>
    <t>Soda Ash</t>
  </si>
  <si>
    <t>Ammonia &amp; Urea</t>
  </si>
  <si>
    <t>Iron &amp; Steel Production</t>
  </si>
  <si>
    <t>Nitrous Oxide Emissions</t>
  </si>
  <si>
    <t>Nitric Acid Production</t>
  </si>
  <si>
    <t>Adipic Acid Production</t>
  </si>
  <si>
    <t>HFC, PFC, and SF6 Emissions</t>
  </si>
  <si>
    <t>ODS Substitutes</t>
  </si>
  <si>
    <t>Semiconductor Manufacturing</t>
  </si>
  <si>
    <t>Magnesium Production</t>
  </si>
  <si>
    <t>Electric Power Transmission and Distribution Systems</t>
  </si>
  <si>
    <t>HCFC-22 Production</t>
  </si>
  <si>
    <t>Aluminum Production</t>
  </si>
  <si>
    <t>Total Emissions</t>
  </si>
  <si>
    <t>Cement Industry Production Emissions</t>
  </si>
  <si>
    <t>EPA- Mandatory GHG Rule Reporting Methodology used in Emission Certification Reports.</t>
  </si>
  <si>
    <t>% Biomass</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</si>
  <si>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</si>
  <si>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</si>
  <si>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CH</t>
    </r>
    <r>
      <rPr>
        <b/>
        <vertAlign val="subscript"/>
        <sz val="8"/>
        <color theme="1"/>
        <rFont val="Arial"/>
      </rPr>
      <t>4</t>
    </r>
    <r>
      <rPr>
        <b/>
        <sz val="8"/>
        <color theme="1"/>
        <rFont val="Arial"/>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</si>
  <si>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</si>
  <si>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</si>
  <si>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</si>
  <si>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</si>
  <si>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</si>
  <si>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</si>
  <si>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</si>
  <si>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</si>
  <si>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</si>
  <si>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</si>
  <si>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</si>
  <si>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Cement Production-Process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</si>
  <si>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t>Non Kiln</t>
  </si>
  <si>
    <t xml:space="preserve"> Finish Mill (#2 Oil)</t>
  </si>
  <si>
    <r>
      <rPr>
        <b/>
        <sz val="8"/>
        <color theme="1"/>
        <rFont val="Arial"/>
      </rPr>
      <t>Total Facility CO</t>
    </r>
    <r>
      <rPr>
        <b/>
        <vertAlign val="subscript"/>
        <sz val="8"/>
        <color theme="1"/>
        <rFont val="Arial"/>
      </rPr>
      <t>2</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</si>
  <si>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Emissions (short tons)</t>
  </si>
  <si>
    <t>Kiln Fossil Fuel Combustion (short tons)</t>
  </si>
  <si>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</si>
  <si>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Cement Production-Process CO</t>
    </r>
    <r>
      <rPr>
        <b/>
        <vertAlign val="subscript"/>
        <sz val="8"/>
        <color theme="1"/>
        <rFont val="Arial"/>
      </rPr>
      <t xml:space="preserve">2 </t>
    </r>
    <r>
      <rPr>
        <b/>
        <sz val="8"/>
        <color theme="1"/>
        <rFont val="Arial"/>
      </rPr>
      <t>(short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</si>
  <si>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r>
      <rPr>
        <b/>
        <sz val="8"/>
        <color theme="1"/>
        <rFont val="Arial"/>
      </rPr>
      <t>Total Facility CO</t>
    </r>
    <r>
      <rPr>
        <b/>
        <vertAlign val="subscript"/>
        <sz val="8"/>
        <color theme="1"/>
        <rFont val="Arial"/>
      </rPr>
      <t>2</t>
    </r>
    <r>
      <rPr>
        <b/>
        <sz val="8"/>
        <color theme="1"/>
        <rFont val="Arial"/>
      </rPr>
      <t xml:space="preserve"> (short tons)</t>
    </r>
    <r>
      <rPr>
        <b/>
        <vertAlign val="subscript"/>
        <sz val="8"/>
        <color theme="1"/>
        <rFont val="Arial"/>
      </rPr>
      <t xml:space="preserve"> </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</si>
  <si>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(B)</t>
  </si>
  <si>
    <t>Holcim Kiln 2014</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</si>
  <si>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</si>
  <si>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</si>
  <si>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N</t>
    </r>
    <r>
      <rPr>
        <b/>
        <vertAlign val="subscript"/>
        <sz val="8"/>
        <color theme="1"/>
        <rFont val="Arial"/>
      </rPr>
      <t>2</t>
    </r>
    <r>
      <rPr>
        <b/>
        <sz val="8"/>
        <color theme="1"/>
        <rFont val="Arial"/>
      </rPr>
      <t>O)</t>
    </r>
  </si>
  <si>
    <t>Kiln System</t>
  </si>
  <si>
    <t>short  tons</t>
  </si>
  <si>
    <t xml:space="preserve"> - Tire</t>
  </si>
  <si>
    <r>
      <rPr>
        <b/>
        <sz val="8"/>
        <color theme="1"/>
        <rFont val="Arial"/>
      </rPr>
      <t>Kiln Fossil Fuel Alone CO</t>
    </r>
    <r>
      <rPr>
        <b/>
        <vertAlign val="subscript"/>
        <sz val="8"/>
        <color theme="1"/>
        <rFont val="Arial"/>
      </rPr>
      <t>2</t>
    </r>
    <r>
      <rPr>
        <b/>
        <sz val="8"/>
        <color theme="1"/>
        <rFont val="Arial"/>
      </rPr>
      <t xml:space="preserve"> (Calculation)</t>
    </r>
  </si>
  <si>
    <t xml:space="preserve">Non Kiln </t>
  </si>
  <si>
    <t>Raw Meal - # 2 Oil</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</si>
  <si>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</si>
  <si>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Kiln Fossil Fuel Alone CO</t>
    </r>
    <r>
      <rPr>
        <b/>
        <vertAlign val="subscript"/>
        <sz val="8"/>
        <color theme="1"/>
        <rFont val="Arial"/>
      </rPr>
      <t>2</t>
    </r>
    <r>
      <rPr>
        <b/>
        <sz val="8"/>
        <color theme="1"/>
        <rFont val="Arial"/>
      </rPr>
      <t xml:space="preserve"> (Calculation)</t>
    </r>
  </si>
  <si>
    <r>
      <rPr>
        <b/>
        <sz val="8"/>
        <color theme="1"/>
        <rFont val="Arial"/>
      </rPr>
      <t>Cement 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xml:space="preserve">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</si>
  <si>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</si>
  <si>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</si>
  <si>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Kiln Fossil Fuel Alone CO</t>
    </r>
    <r>
      <rPr>
        <b/>
        <vertAlign val="subscript"/>
        <sz val="8"/>
        <color theme="1"/>
        <rFont val="Arial"/>
      </rPr>
      <t>2</t>
    </r>
    <r>
      <rPr>
        <b/>
        <sz val="8"/>
        <color theme="1"/>
        <rFont val="Arial"/>
      </rPr>
      <t xml:space="preserve"> (Calculated) (short tons)</t>
    </r>
  </si>
  <si>
    <r>
      <rPr>
        <b/>
        <sz val="8"/>
        <color theme="1"/>
        <rFont val="Arial"/>
      </rPr>
      <t>Cement Process CO</t>
    </r>
    <r>
      <rPr>
        <b/>
        <vertAlign val="subscript"/>
        <sz val="8"/>
        <color theme="1"/>
        <rFont val="Arial"/>
      </rPr>
      <t>2</t>
    </r>
    <r>
      <rPr>
        <b/>
        <sz val="8"/>
        <color theme="1"/>
        <rFont val="Arial"/>
      </rPr>
      <t xml:space="preserve"> (short tons)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</si>
  <si>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Emission(short tons)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</si>
  <si>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t>(A) +(B)</t>
  </si>
  <si>
    <r>
      <rPr>
        <b/>
        <sz val="8"/>
        <color theme="1"/>
        <rFont val="Arial"/>
      </rPr>
      <t>MD Summmary Cement Process CO</t>
    </r>
    <r>
      <rPr>
        <b/>
        <vertAlign val="subscript"/>
        <sz val="8"/>
        <color theme="1"/>
        <rFont val="Arial"/>
      </rPr>
      <t>2</t>
    </r>
    <r>
      <rPr>
        <b/>
        <sz val="8"/>
        <color theme="1"/>
        <rFont val="Arial"/>
      </rPr>
      <t xml:space="preserve"> Emissions (short tons) </t>
    </r>
  </si>
  <si>
    <r>
      <rPr>
        <b/>
        <sz val="8"/>
        <color theme="1"/>
        <rFont val="Arial"/>
      </rPr>
      <t>MD Summmary Cement Process CO</t>
    </r>
    <r>
      <rPr>
        <b/>
        <vertAlign val="subscript"/>
        <sz val="8"/>
        <color theme="1"/>
        <rFont val="Arial"/>
      </rPr>
      <t>2</t>
    </r>
    <r>
      <rPr>
        <b/>
        <sz val="8"/>
        <color theme="1"/>
        <rFont val="Arial"/>
      </rPr>
      <t xml:space="preserve"> Emissions (metric tons) </t>
    </r>
  </si>
  <si>
    <r>
      <rPr>
        <b/>
        <sz val="8"/>
        <color theme="1"/>
        <rFont val="Arial"/>
      </rPr>
      <t>MD Summmary Cement Process CO</t>
    </r>
    <r>
      <rPr>
        <b/>
        <vertAlign val="subscript"/>
        <sz val="8"/>
        <color theme="1"/>
        <rFont val="Arial"/>
      </rPr>
      <t>2</t>
    </r>
    <r>
      <rPr>
        <b/>
        <sz val="8"/>
        <color theme="1"/>
        <rFont val="Arial"/>
      </rPr>
      <t xml:space="preserve"> Emissions (MMTCO</t>
    </r>
    <r>
      <rPr>
        <b/>
        <vertAlign val="subscript"/>
        <sz val="8"/>
        <color theme="1"/>
        <rFont val="Arial"/>
      </rPr>
      <t>2</t>
    </r>
    <r>
      <rPr>
        <b/>
        <sz val="8"/>
        <color theme="1"/>
        <rFont val="Arial"/>
      </rPr>
      <t xml:space="preserve">E) </t>
    </r>
  </si>
  <si>
    <t>Landfill Emissions</t>
  </si>
  <si>
    <t>Uncontrolled Landfills</t>
  </si>
  <si>
    <t>Flared Landfills</t>
  </si>
  <si>
    <t>LFTGE Landfills</t>
  </si>
  <si>
    <t>Facility Name</t>
  </si>
  <si>
    <t>TOTAL Landfill Capacity (Million tons)</t>
  </si>
  <si>
    <t>Correct Capacity (MegaGrams)</t>
  </si>
  <si>
    <t>Average Acceptance / Yearly Disposal (tons/yr)</t>
  </si>
  <si>
    <t>Year Opened</t>
  </si>
  <si>
    <t>Year Closed</t>
  </si>
  <si>
    <t>Flare Control Efficeincy (%)</t>
  </si>
  <si>
    <t>Surface Oxidation %</t>
  </si>
  <si>
    <t>Mountainview Municipal Landfill</t>
  </si>
  <si>
    <t>Vale Summit</t>
  </si>
  <si>
    <t>Annapolis</t>
  </si>
  <si>
    <t>Fort G. Meade Municipal Landfill</t>
  </si>
  <si>
    <t>Millersville Municipal Landfill</t>
  </si>
  <si>
    <t>Sudley Road</t>
  </si>
  <si>
    <t>Solley Road</t>
  </si>
  <si>
    <t>Glen Burnie</t>
  </si>
  <si>
    <t>Norris Farm</t>
  </si>
  <si>
    <t>Barstow</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</si>
  <si>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</si>
  <si>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</si>
  <si>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</si>
  <si>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</si>
  <si>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</si>
  <si>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</si>
  <si>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</si>
  <si>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</si>
  <si>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</si>
  <si>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Reich's Ford A  Municpal Landfill</t>
  </si>
  <si>
    <t>Reich's Ford Site B Municpal Landfill</t>
  </si>
  <si>
    <t>Garrett County SWD&amp;RF  or  Del Signiore</t>
  </si>
  <si>
    <t>Round Glade</t>
  </si>
  <si>
    <t>Harford W.D. Center Municipal Landfill</t>
  </si>
  <si>
    <t>Gude Landfill</t>
  </si>
  <si>
    <t>Oaks Landfill</t>
  </si>
  <si>
    <t>Alpha Ridge</t>
  </si>
  <si>
    <t>Nicholson</t>
  </si>
  <si>
    <t>Prince Georges</t>
  </si>
  <si>
    <t>Brown Station Landfill 1</t>
  </si>
  <si>
    <t>Brown Station Landfill B</t>
  </si>
  <si>
    <t>CDP/Sandy Hill</t>
  </si>
  <si>
    <t>Saint Andrews 1 &amp; 2 Municipal LF</t>
  </si>
  <si>
    <t>Somerset County Municipal LF or Fairmount Rd</t>
  </si>
  <si>
    <t>Westover/Ring</t>
  </si>
  <si>
    <t>Hancock Landfill</t>
  </si>
  <si>
    <t>Resh Road 1 &amp; 2 Municipal LF</t>
  </si>
  <si>
    <t>Forty West</t>
  </si>
  <si>
    <t>Worcester Cell 2 &amp; 3</t>
  </si>
  <si>
    <t>Landfill Gas-to-Energy (tons)</t>
  </si>
  <si>
    <t>Oxidation at MSW Landfills (tons)</t>
  </si>
  <si>
    <t>Net CH4 Emissions (MTCO2E)</t>
  </si>
  <si>
    <r>
      <rPr>
        <sz val="11"/>
        <color theme="1"/>
        <rFont val="Calibri"/>
      </rPr>
      <t>CO</t>
    </r>
    <r>
      <rPr>
        <vertAlign val="subscript"/>
        <sz val="11"/>
        <color theme="1"/>
        <rFont val="Calibri"/>
      </rPr>
      <t>2</t>
    </r>
    <r>
      <rPr>
        <sz val="11"/>
        <color theme="1"/>
        <rFont val="Calibri"/>
      </rPr>
      <t xml:space="preserve"> molecular mass =</t>
    </r>
  </si>
  <si>
    <t>g/gmol</t>
  </si>
  <si>
    <r>
      <rPr>
        <sz val="11"/>
        <color theme="1"/>
        <rFont val="Calibri"/>
      </rPr>
      <t>CH</t>
    </r>
    <r>
      <rPr>
        <vertAlign val="subscript"/>
        <sz val="11"/>
        <color theme="1"/>
        <rFont val="Calibri"/>
      </rPr>
      <t>4</t>
    </r>
    <r>
      <rPr>
        <sz val="11"/>
        <color theme="1"/>
        <rFont val="Calibri"/>
      </rPr>
      <t xml:space="preserve"> molecular mass =</t>
    </r>
  </si>
  <si>
    <t>Universal Gas Constant =</t>
  </si>
  <si>
    <r>
      <rPr>
        <sz val="11"/>
        <color theme="1"/>
        <rFont val="Calibri"/>
      </rPr>
      <t>m</t>
    </r>
    <r>
      <rPr>
        <vertAlign val="superscript"/>
        <sz val="11"/>
        <color theme="1"/>
        <rFont val="Calibri"/>
      </rPr>
      <t>3</t>
    </r>
    <r>
      <rPr>
        <sz val="11"/>
        <color theme="1"/>
        <rFont val="Calibri"/>
      </rPr>
      <t>-atm/gmol/K</t>
    </r>
  </si>
  <si>
    <t>Gas Temperature =</t>
  </si>
  <si>
    <r>
      <rPr>
        <vertAlign val="superscript"/>
        <sz val="11"/>
        <color theme="1"/>
        <rFont val="Calibri"/>
      </rPr>
      <t>o</t>
    </r>
    <r>
      <rPr>
        <sz val="11"/>
        <color theme="1"/>
        <rFont val="Calibri"/>
      </rPr>
      <t>C</t>
    </r>
  </si>
  <si>
    <r>
      <rPr>
        <vertAlign val="superscript"/>
        <sz val="11"/>
        <color theme="1"/>
        <rFont val="Calibri"/>
      </rPr>
      <t>o</t>
    </r>
    <r>
      <rPr>
        <sz val="11"/>
        <color theme="1"/>
        <rFont val="Calibri"/>
      </rPr>
      <t>K</t>
    </r>
  </si>
  <si>
    <t>grams x 1.1023E-06 = short tons</t>
  </si>
  <si>
    <t>1 short ton = (lb *2,000)</t>
  </si>
  <si>
    <t>Pressure =</t>
  </si>
  <si>
    <t>atm</t>
  </si>
  <si>
    <r>
      <rPr>
        <sz val="11"/>
        <color theme="1"/>
        <rFont val="Calibri"/>
      </rPr>
      <t>Standard CH</t>
    </r>
    <r>
      <rPr>
        <vertAlign val="subscript"/>
        <sz val="11"/>
        <color theme="1"/>
        <rFont val="Calibri"/>
      </rPr>
      <t>4</t>
    </r>
    <r>
      <rPr>
        <sz val="11"/>
        <color theme="1"/>
        <rFont val="Calibri"/>
      </rPr>
      <t xml:space="preserve"> Heat Content =</t>
    </r>
  </si>
  <si>
    <r>
      <rPr>
        <sz val="11"/>
        <color theme="1"/>
        <rFont val="Calibri"/>
      </rPr>
      <t>AP-42 CH</t>
    </r>
    <r>
      <rPr>
        <vertAlign val="subscript"/>
        <sz val="11"/>
        <color theme="1"/>
        <rFont val="Calibri"/>
      </rPr>
      <t>4</t>
    </r>
    <r>
      <rPr>
        <sz val="11"/>
        <color theme="1"/>
        <rFont val="Calibri"/>
      </rPr>
      <t xml:space="preserve"> Destruction Efficiency =</t>
    </r>
  </si>
  <si>
    <t>AP-42 CH4 Destruction Efficiency -Boilers =</t>
  </si>
  <si>
    <t>AP -42 CH4 Destruction Efficiency- LFGTE =</t>
  </si>
  <si>
    <r>
      <rPr>
        <sz val="11"/>
        <color theme="1"/>
        <rFont val="Calibri"/>
      </rPr>
      <t>AP-42 CH</t>
    </r>
    <r>
      <rPr>
        <vertAlign val="subscript"/>
        <sz val="11"/>
        <color theme="1"/>
        <rFont val="Calibri"/>
      </rPr>
      <t>4</t>
    </r>
    <r>
      <rPr>
        <sz val="11"/>
        <color theme="1"/>
        <rFont val="Calibri"/>
      </rPr>
      <t xml:space="preserve"> Emission Factor =</t>
    </r>
  </si>
  <si>
    <t>lb/MMBTU</t>
  </si>
  <si>
    <t>Total  -Site - Specific LFG Collected (MM scf / yr)</t>
  </si>
  <si>
    <r>
      <rPr>
        <b/>
        <sz val="11"/>
        <color theme="1"/>
        <rFont val="Calibri"/>
      </rPr>
      <t>Site-Specific CH</t>
    </r>
    <r>
      <rPr>
        <b/>
        <vertAlign val="subscript"/>
        <sz val="11"/>
        <color theme="1"/>
        <rFont val="Calibri"/>
      </rPr>
      <t>4</t>
    </r>
    <r>
      <rPr>
        <b/>
        <sz val="11"/>
        <color theme="1"/>
        <rFont val="Calibri"/>
      </rPr>
      <t xml:space="preserve"> Content (%)</t>
    </r>
  </si>
  <si>
    <r>
      <rPr>
        <b/>
        <sz val="11"/>
        <color theme="1"/>
        <rFont val="Calibri"/>
      </rPr>
      <t>Site-Specific CO</t>
    </r>
    <r>
      <rPr>
        <b/>
        <vertAlign val="subscript"/>
        <sz val="11"/>
        <color theme="1"/>
        <rFont val="Calibri"/>
      </rPr>
      <t>2</t>
    </r>
    <r>
      <rPr>
        <b/>
        <sz val="11"/>
        <color theme="1"/>
        <rFont val="Calibri"/>
      </rPr>
      <t xml:space="preserve"> Content (%)</t>
    </r>
  </si>
  <si>
    <r>
      <rPr>
        <b/>
        <sz val="11"/>
        <color rgb="FF008000"/>
        <rFont val="Calibri"/>
      </rPr>
      <t>CH</t>
    </r>
    <r>
      <rPr>
        <b/>
        <vertAlign val="subscript"/>
        <sz val="11"/>
        <color rgb="FF008000"/>
        <rFont val="Calibri"/>
      </rPr>
      <t>4</t>
    </r>
    <r>
      <rPr>
        <b/>
        <sz val="11"/>
        <color rgb="FF008000"/>
        <rFont val="Calibri"/>
      </rPr>
      <t xml:space="preserve"> Generation Rate (MM scf/yr)- LandGEM </t>
    </r>
  </si>
  <si>
    <t>Ave. LFG Collection Efficiency</t>
  </si>
  <si>
    <r>
      <rPr>
        <b/>
        <sz val="11"/>
        <color rgb="FFFF6600"/>
        <rFont val="Calibri"/>
      </rPr>
      <t xml:space="preserve"> CO</t>
    </r>
    <r>
      <rPr>
        <b/>
        <vertAlign val="subscript"/>
        <sz val="11"/>
        <color rgb="FFFF6600"/>
        <rFont val="Calibri"/>
      </rPr>
      <t>2</t>
    </r>
    <r>
      <rPr>
        <b/>
        <sz val="11"/>
        <color rgb="FFFF6600"/>
        <rFont val="Calibri"/>
      </rPr>
      <t xml:space="preserve"> Emissions from LFG Burnt in Flares (tons)</t>
    </r>
  </si>
  <si>
    <r>
      <rPr>
        <b/>
        <sz val="11"/>
        <color rgb="FF808080"/>
        <rFont val="Calibri"/>
      </rPr>
      <t xml:space="preserve"> CO</t>
    </r>
    <r>
      <rPr>
        <b/>
        <vertAlign val="subscript"/>
        <sz val="11"/>
        <color rgb="FF808080"/>
        <rFont val="Calibri"/>
      </rPr>
      <t>2</t>
    </r>
    <r>
      <rPr>
        <b/>
        <sz val="11"/>
        <color rgb="FF808080"/>
        <rFont val="Calibri"/>
      </rPr>
      <t xml:space="preserve"> Emissions from LFG Burnt in Boilers (tons)</t>
    </r>
  </si>
  <si>
    <r>
      <rPr>
        <b/>
        <sz val="11"/>
        <color rgb="FFFF0000"/>
        <rFont val="Calibri"/>
      </rPr>
      <t xml:space="preserve"> CO</t>
    </r>
    <r>
      <rPr>
        <b/>
        <vertAlign val="subscript"/>
        <sz val="11"/>
        <color rgb="FFFF0000"/>
        <rFont val="Calibri"/>
      </rPr>
      <t>2</t>
    </r>
    <r>
      <rPr>
        <b/>
        <sz val="11"/>
        <color rgb="FFFF0000"/>
        <rFont val="Calibri"/>
      </rPr>
      <t xml:space="preserve"> Emissions from LFG Burnt at LFGTE</t>
    </r>
  </si>
  <si>
    <r>
      <rPr>
        <b/>
        <sz val="11"/>
        <color rgb="FF993300"/>
        <rFont val="Calibri"/>
      </rPr>
      <t>Fugitive CH</t>
    </r>
    <r>
      <rPr>
        <b/>
        <vertAlign val="subscript"/>
        <sz val="11"/>
        <color rgb="FF993300"/>
        <rFont val="Calibri"/>
      </rPr>
      <t>4</t>
    </r>
    <r>
      <rPr>
        <b/>
        <sz val="11"/>
        <color rgb="FF993300"/>
        <rFont val="Calibri"/>
      </rPr>
      <t xml:space="preserve"> Emissions from Landfill (tons)</t>
    </r>
  </si>
  <si>
    <r>
      <rPr>
        <b/>
        <sz val="11"/>
        <color theme="1"/>
        <rFont val="Calibri"/>
      </rPr>
      <t xml:space="preserve"> CH</t>
    </r>
    <r>
      <rPr>
        <b/>
        <vertAlign val="subscript"/>
        <sz val="11"/>
        <color theme="1"/>
        <rFont val="Calibri"/>
      </rPr>
      <t>4</t>
    </r>
    <r>
      <rPr>
        <b/>
        <sz val="11"/>
        <color theme="1"/>
        <rFont val="Calibri"/>
      </rPr>
      <t xml:space="preserve"> Emissions from LFG Burnt in Flares (tons)</t>
    </r>
  </si>
  <si>
    <r>
      <rPr>
        <b/>
        <sz val="11"/>
        <color theme="1"/>
        <rFont val="Calibri"/>
      </rPr>
      <t xml:space="preserve"> CH</t>
    </r>
    <r>
      <rPr>
        <b/>
        <vertAlign val="subscript"/>
        <sz val="11"/>
        <color theme="1"/>
        <rFont val="Calibri"/>
      </rPr>
      <t>4</t>
    </r>
    <r>
      <rPr>
        <b/>
        <sz val="11"/>
        <color theme="1"/>
        <rFont val="Calibri"/>
      </rPr>
      <t xml:space="preserve"> Emissions from LFG Burnt in Utility Boilers (tons)</t>
    </r>
  </si>
  <si>
    <r>
      <rPr>
        <b/>
        <sz val="11"/>
        <color theme="1"/>
        <rFont val="Calibri"/>
      </rPr>
      <t xml:space="preserve"> CH</t>
    </r>
    <r>
      <rPr>
        <b/>
        <vertAlign val="subscript"/>
        <sz val="11"/>
        <color theme="1"/>
        <rFont val="Calibri"/>
      </rPr>
      <t>4</t>
    </r>
    <r>
      <rPr>
        <b/>
        <sz val="11"/>
        <color theme="1"/>
        <rFont val="Calibri"/>
      </rPr>
      <t xml:space="preserve"> Emissions from LFG Burnt at LFGTE Plant</t>
    </r>
  </si>
  <si>
    <t>Flares</t>
  </si>
  <si>
    <t>Boilers</t>
  </si>
  <si>
    <t xml:space="preserve">LFGTE </t>
  </si>
  <si>
    <t>Brown Station</t>
  </si>
  <si>
    <t>Eastern Sanitary</t>
  </si>
  <si>
    <t xml:space="preserve">Midshore I Regional </t>
  </si>
  <si>
    <t>Millersville Landfill</t>
  </si>
  <si>
    <t>Newland Park</t>
  </si>
  <si>
    <t>Quarantine Road</t>
  </si>
  <si>
    <t>Reich Ford</t>
  </si>
  <si>
    <t>Sandy Hill</t>
  </si>
  <si>
    <t>Beulah II</t>
  </si>
  <si>
    <t>Mountainview</t>
  </si>
  <si>
    <t>Cecil County</t>
  </si>
  <si>
    <t>Northern</t>
  </si>
  <si>
    <t>Charles County</t>
  </si>
  <si>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</si>
  <si>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</si>
  <si>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</si>
  <si>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</si>
  <si>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</si>
  <si>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</si>
  <si>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</si>
  <si>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</si>
  <si>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</si>
  <si>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</si>
  <si>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</si>
  <si>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</si>
  <si>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</si>
  <si>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</si>
  <si>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</si>
  <si>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</si>
  <si>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</si>
  <si>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</si>
  <si>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</si>
  <si>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</si>
  <si>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</si>
  <si>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</si>
  <si>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</si>
  <si>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</si>
  <si>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</si>
  <si>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</si>
  <si>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Estimate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</si>
  <si>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</si>
  <si>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</si>
  <si>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CEM/ECR</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</si>
  <si>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</si>
  <si>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</si>
  <si>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</si>
  <si>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</si>
  <si>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</si>
  <si>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</si>
  <si>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CEM Readings (short tons CO</t>
    </r>
    <r>
      <rPr>
        <vertAlign val="subscript"/>
        <sz val="8"/>
        <color theme="1"/>
        <rFont val="Arial"/>
      </rPr>
      <t>2</t>
    </r>
    <r>
      <rPr>
        <sz val="8"/>
        <color theme="1"/>
        <rFont val="Arial"/>
      </rPr>
      <t>)</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</si>
  <si>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</si>
  <si>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</si>
  <si>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</si>
  <si>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</si>
  <si>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</si>
  <si>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</si>
  <si>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</si>
  <si>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</si>
  <si>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</si>
  <si>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</si>
  <si>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</si>
  <si>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</si>
  <si>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</si>
  <si>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</si>
  <si>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</si>
  <si>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</si>
  <si>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</si>
  <si>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</si>
  <si>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</si>
  <si>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t>CH4 Emissions (short tons CO2e)</t>
  </si>
  <si>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</si>
  <si>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</si>
  <si>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</si>
  <si>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</si>
  <si>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</si>
  <si>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</si>
  <si>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</si>
  <si>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</si>
  <si>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</si>
  <si>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</si>
  <si>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</si>
  <si>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</si>
  <si>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</si>
  <si>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</si>
  <si>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</si>
  <si>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</si>
  <si>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</si>
  <si>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</si>
  <si>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</si>
  <si>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t>N2O Emissions (short tons CO2e)</t>
  </si>
  <si>
    <t>Table C-1 and C-2 Data</t>
  </si>
  <si>
    <t>MSW</t>
  </si>
  <si>
    <r>
      <rPr>
        <sz val="8"/>
        <color theme="1"/>
        <rFont val="Arial"/>
      </rPr>
      <t>CO</t>
    </r>
    <r>
      <rPr>
        <vertAlign val="subscript"/>
        <sz val="8"/>
        <color theme="1"/>
        <rFont val="Arial"/>
      </rPr>
      <t>2</t>
    </r>
    <r>
      <rPr>
        <sz val="8"/>
        <color theme="1"/>
        <rFont val="Arial"/>
      </rPr>
      <t xml:space="preserve"> EF</t>
    </r>
  </si>
  <si>
    <r>
      <rPr>
        <sz val="8"/>
        <color theme="1"/>
        <rFont val="Arial"/>
      </rPr>
      <t>kg CO</t>
    </r>
    <r>
      <rPr>
        <vertAlign val="subscript"/>
        <sz val="8"/>
        <color theme="1"/>
        <rFont val="Arial"/>
      </rPr>
      <t>2</t>
    </r>
    <r>
      <rPr>
        <sz val="8"/>
        <color theme="1"/>
        <rFont val="Arial"/>
      </rPr>
      <t>/MMBTU</t>
    </r>
  </si>
  <si>
    <r>
      <rPr>
        <sz val="8"/>
        <color theme="1"/>
        <rFont val="Arial"/>
      </rPr>
      <t>CH</t>
    </r>
    <r>
      <rPr>
        <vertAlign val="subscript"/>
        <sz val="8"/>
        <color theme="1"/>
        <rFont val="Arial"/>
      </rPr>
      <t>4</t>
    </r>
    <r>
      <rPr>
        <sz val="8"/>
        <color theme="1"/>
        <rFont val="Arial"/>
      </rPr>
      <t xml:space="preserve"> EF</t>
    </r>
  </si>
  <si>
    <r>
      <rPr>
        <sz val="8"/>
        <color theme="1"/>
        <rFont val="Arial"/>
      </rPr>
      <t>kg CH</t>
    </r>
    <r>
      <rPr>
        <vertAlign val="subscript"/>
        <sz val="8"/>
        <color theme="1"/>
        <rFont val="Arial"/>
      </rPr>
      <t>4</t>
    </r>
    <r>
      <rPr>
        <sz val="8"/>
        <color theme="1"/>
        <rFont val="Arial"/>
      </rPr>
      <t>/MMBTU</t>
    </r>
  </si>
  <si>
    <r>
      <rPr>
        <sz val="8"/>
        <color theme="1"/>
        <rFont val="Arial"/>
      </rPr>
      <t>N</t>
    </r>
    <r>
      <rPr>
        <vertAlign val="subscript"/>
        <sz val="8"/>
        <color theme="1"/>
        <rFont val="Arial"/>
      </rPr>
      <t>2</t>
    </r>
    <r>
      <rPr>
        <sz val="8"/>
        <color theme="1"/>
        <rFont val="Arial"/>
      </rPr>
      <t>O Ef</t>
    </r>
  </si>
  <si>
    <r>
      <rPr>
        <sz val="8"/>
        <color theme="1"/>
        <rFont val="Arial"/>
      </rPr>
      <t>kg N</t>
    </r>
    <r>
      <rPr>
        <vertAlign val="subscript"/>
        <sz val="8"/>
        <color theme="1"/>
        <rFont val="Arial"/>
      </rPr>
      <t>2</t>
    </r>
    <r>
      <rPr>
        <sz val="8"/>
        <color theme="1"/>
        <rFont val="Arial"/>
      </rPr>
      <t>O /MMBTU</t>
    </r>
  </si>
  <si>
    <t>Table A-1 Data</t>
  </si>
  <si>
    <r>
      <rPr>
        <sz val="8"/>
        <color theme="1"/>
        <rFont val="Arial"/>
      </rPr>
      <t>CO</t>
    </r>
    <r>
      <rPr>
        <vertAlign val="subscript"/>
        <sz val="8"/>
        <color theme="1"/>
        <rFont val="Arial"/>
      </rPr>
      <t>2</t>
    </r>
    <r>
      <rPr>
        <sz val="8"/>
        <color theme="1"/>
        <rFont val="Arial"/>
      </rPr>
      <t xml:space="preserve"> GWP</t>
    </r>
  </si>
  <si>
    <r>
      <rPr>
        <sz val="8"/>
        <color theme="1"/>
        <rFont val="Arial"/>
      </rPr>
      <t>CH</t>
    </r>
    <r>
      <rPr>
        <vertAlign val="subscript"/>
        <sz val="8"/>
        <color theme="1"/>
        <rFont val="Arial"/>
      </rPr>
      <t>4</t>
    </r>
    <r>
      <rPr>
        <sz val="8"/>
        <color theme="1"/>
        <rFont val="Arial"/>
      </rPr>
      <t xml:space="preserve"> GWP</t>
    </r>
  </si>
  <si>
    <t>updated beginning January 1,2014</t>
  </si>
  <si>
    <r>
      <rPr>
        <sz val="8"/>
        <color theme="1"/>
        <rFont val="Arial"/>
      </rPr>
      <t>N</t>
    </r>
    <r>
      <rPr>
        <vertAlign val="subscript"/>
        <sz val="8"/>
        <color theme="1"/>
        <rFont val="Arial"/>
      </rPr>
      <t>2</t>
    </r>
    <r>
      <rPr>
        <sz val="8"/>
        <color theme="1"/>
        <rFont val="Arial"/>
      </rPr>
      <t>O GWP</t>
    </r>
  </si>
  <si>
    <t>Residential Open Burning - Leaves, Brush, MSW</t>
  </si>
  <si>
    <r>
      <rPr>
        <b/>
        <sz val="11"/>
        <color theme="1"/>
        <rFont val="Calibri"/>
      </rPr>
      <t>(MMTCO</t>
    </r>
    <r>
      <rPr>
        <b/>
        <vertAlign val="subscript"/>
        <sz val="11"/>
        <color theme="1"/>
        <rFont val="Calibri"/>
      </rPr>
      <t>2</t>
    </r>
    <r>
      <rPr>
        <b/>
        <sz val="11"/>
        <color theme="1"/>
        <rFont val="Calibri"/>
      </rPr>
      <t>E)</t>
    </r>
  </si>
  <si>
    <t>Open Burning</t>
  </si>
  <si>
    <t>Emissions from Natural Gas Activities in MD</t>
  </si>
  <si>
    <t>Natural Gas - Production</t>
  </si>
  <si>
    <t>Activity Data</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</si>
  <si>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</si>
  <si>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</si>
  <si>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</si>
  <si>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Total number of wells</t>
  </si>
  <si>
    <t>Number of off-shore platforms not in the Gulf of Mexico</t>
  </si>
  <si>
    <t xml:space="preserve">Total  </t>
  </si>
  <si>
    <t>Number of Wells from EIA, " Natural Gas Navigator- Maryland Natural Gas Number of Gas and Gas Condensate Wells" acccessed from: http://tonto.eia.doe.gov/dnav/ng/hist/na1170_smd_8a.htm</t>
  </si>
  <si>
    <t>http://www.eia.gov/dnav/ng/NG_PROD_WELLS_S1_A.htm</t>
  </si>
  <si>
    <r>
      <rPr>
        <sz val="8"/>
        <color theme="1"/>
        <rFont val="Arial"/>
      </rPr>
      <t>Emission factor from US EP</t>
    </r>
    <r>
      <rPr>
        <sz val="10"/>
        <color theme="1"/>
        <rFont val="Arial"/>
      </rPr>
      <t>A, Emissions Inventory Improvements Program,</t>
    </r>
    <r>
      <rPr>
        <i/>
        <sz val="10"/>
        <color theme="1"/>
        <rFont val="Arial"/>
      </rPr>
      <t xml:space="preserve"> Volume VII: Chpater 5. Methods for Estimating Methane Emissions from Natural Gas and Oil Systems. </t>
    </r>
    <r>
      <rPr>
        <sz val="10"/>
        <color theme="1"/>
        <rFont val="Arial"/>
      </rPr>
      <t>This factor represents emissions not just from wells but also from pneumatic devices, dehydrator vents, Kimray pumps, gas engines, and well clean-ups</t>
    </r>
  </si>
  <si>
    <t>Natural Gas - Distribution</t>
  </si>
  <si>
    <r>
      <rPr>
        <b/>
        <sz val="7"/>
        <color theme="1"/>
        <rFont val="Comic Sans MS"/>
      </rPr>
      <t>Metric Tons CH</t>
    </r>
    <r>
      <rPr>
        <b/>
        <vertAlign val="subscript"/>
        <sz val="7"/>
        <color theme="1"/>
        <rFont val="Comic Sans MS"/>
      </rPr>
      <t>4</t>
    </r>
  </si>
  <si>
    <r>
      <rPr>
        <b/>
        <sz val="7"/>
        <color theme="1"/>
        <rFont val="Comic Sans MS"/>
      </rPr>
      <t>MMTCO</t>
    </r>
    <r>
      <rPr>
        <b/>
        <vertAlign val="subscript"/>
        <sz val="7"/>
        <color theme="1"/>
        <rFont val="Comic Sans MS"/>
      </rPr>
      <t>2</t>
    </r>
    <r>
      <rPr>
        <b/>
        <sz val="7"/>
        <color theme="1"/>
        <rFont val="Comic Sans MS"/>
      </rPr>
      <t>E</t>
    </r>
  </si>
  <si>
    <t>Distribution pipeline</t>
  </si>
  <si>
    <r>
      <rPr>
        <sz val="7"/>
        <color theme="1"/>
        <rFont val="Comic Sans MS"/>
      </rPr>
      <t>(metric tons CH</t>
    </r>
    <r>
      <rPr>
        <vertAlign val="subscript"/>
        <sz val="7"/>
        <color theme="1"/>
        <rFont val="Comic Sans MS"/>
      </rPr>
      <t>4</t>
    </r>
    <r>
      <rPr>
        <sz val="7"/>
        <color theme="1"/>
        <rFont val="Comic Sans MS"/>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</si>
  <si>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</si>
  <si>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</si>
  <si>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</si>
  <si>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</si>
  <si>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</si>
  <si>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</si>
  <si>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</si>
  <si>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</si>
  <si>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data:1990 -2005" . Acess from http://www.phmsa.dot.gov/portal/</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</si>
  <si>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</si>
  <si>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Transmission</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</si>
  <si>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</si>
  <si>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</si>
  <si>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</si>
  <si>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</si>
  <si>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</si>
  <si>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</si>
  <si>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</si>
  <si>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data:1990 -2005"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</si>
  <si>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</si>
  <si>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</si>
  <si>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</si>
  <si>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</si>
  <si>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</si>
  <si>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</si>
  <si>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Arial"/>
      </rPr>
      <t>CO</t>
    </r>
    <r>
      <rPr>
        <b/>
        <vertAlign val="subscript"/>
        <sz val="10"/>
        <color theme="1"/>
        <rFont val="Arial"/>
      </rPr>
      <t>2</t>
    </r>
    <r>
      <rPr>
        <b/>
        <sz val="10"/>
        <color theme="1"/>
        <rFont val="Arial"/>
      </rPr>
      <t xml:space="preserve"> Emissions</t>
    </r>
  </si>
  <si>
    <r>
      <rPr>
        <b/>
        <sz val="10"/>
        <color theme="1"/>
        <rFont val="Arial"/>
      </rPr>
      <t>N</t>
    </r>
    <r>
      <rPr>
        <b/>
        <vertAlign val="subscript"/>
        <sz val="10"/>
        <color theme="1"/>
        <rFont val="Arial"/>
      </rPr>
      <t>2</t>
    </r>
    <r>
      <rPr>
        <b/>
        <sz val="10"/>
        <color theme="1"/>
        <rFont val="Arial"/>
      </rPr>
      <t>O Emissions</t>
    </r>
  </si>
  <si>
    <r>
      <rPr>
        <b/>
        <sz val="10"/>
        <color theme="1"/>
        <rFont val="Arial"/>
      </rPr>
      <t>CH</t>
    </r>
    <r>
      <rPr>
        <b/>
        <vertAlign val="subscript"/>
        <sz val="10"/>
        <color theme="1"/>
        <rFont val="Arial"/>
      </rPr>
      <t>4</t>
    </r>
    <r>
      <rPr>
        <b/>
        <sz val="10"/>
        <color theme="1"/>
        <rFont val="Arial"/>
      </rPr>
      <t xml:space="preserve"> Emissions</t>
    </r>
  </si>
  <si>
    <t>GHG Emissions</t>
  </si>
  <si>
    <t>NG Consumption</t>
  </si>
  <si>
    <t>(Billion Btus)</t>
  </si>
  <si>
    <t>Carbon</t>
  </si>
  <si>
    <r>
      <rPr>
        <b/>
        <sz val="10"/>
        <color theme="1"/>
        <rFont val="Arial"/>
      </rPr>
      <t>N</t>
    </r>
    <r>
      <rPr>
        <b/>
        <vertAlign val="subscript"/>
        <sz val="10"/>
        <color theme="1"/>
        <rFont val="Arial"/>
      </rPr>
      <t>2</t>
    </r>
    <r>
      <rPr>
        <b/>
        <sz val="10"/>
        <color theme="1"/>
        <rFont val="Arial"/>
      </rPr>
      <t>O</t>
    </r>
  </si>
  <si>
    <r>
      <rPr>
        <b/>
        <sz val="10"/>
        <color theme="1"/>
        <rFont val="Arial"/>
      </rPr>
      <t>CH</t>
    </r>
    <r>
      <rPr>
        <b/>
        <vertAlign val="subscript"/>
        <sz val="10"/>
        <color theme="1"/>
        <rFont val="Arial"/>
      </rPr>
      <t>4</t>
    </r>
  </si>
  <si>
    <r>
      <rPr>
        <b/>
        <sz val="10"/>
        <color theme="1"/>
        <rFont val="Arial"/>
      </rPr>
      <t>(MMTCO</t>
    </r>
    <r>
      <rPr>
        <b/>
        <vertAlign val="subscript"/>
        <sz val="10"/>
        <color theme="1"/>
        <rFont val="Arial"/>
      </rPr>
      <t>2</t>
    </r>
    <r>
      <rPr>
        <b/>
        <sz val="10"/>
        <color theme="1"/>
        <rFont val="Arial"/>
      </rPr>
      <t>E)</t>
    </r>
  </si>
  <si>
    <r>
      <rPr>
        <b/>
        <sz val="10"/>
        <color theme="1"/>
        <rFont val="Arial"/>
      </rPr>
      <t>(MMTCO</t>
    </r>
    <r>
      <rPr>
        <b/>
        <vertAlign val="subscript"/>
        <sz val="10"/>
        <color theme="1"/>
        <rFont val="Arial"/>
      </rPr>
      <t>2</t>
    </r>
    <r>
      <rPr>
        <b/>
        <sz val="10"/>
        <color theme="1"/>
        <rFont val="Arial"/>
      </rPr>
      <t>E)</t>
    </r>
  </si>
  <si>
    <r>
      <rPr>
        <b/>
        <sz val="10"/>
        <color theme="1"/>
        <rFont val="Arial"/>
      </rPr>
      <t>(MMTCO</t>
    </r>
    <r>
      <rPr>
        <b/>
        <vertAlign val="subscript"/>
        <sz val="10"/>
        <color theme="1"/>
        <rFont val="Arial"/>
      </rPr>
      <t>2</t>
    </r>
    <r>
      <rPr>
        <b/>
        <sz val="10"/>
        <color theme="1"/>
        <rFont val="Arial"/>
      </rPr>
      <t>E)</t>
    </r>
  </si>
  <si>
    <t>(lbs/MMBtu)</t>
  </si>
  <si>
    <t>(Mt/BBtu)</t>
  </si>
  <si>
    <t>NGPZB (Billion Btus)</t>
  </si>
  <si>
    <t>NGPZB (Million Btus)</t>
  </si>
  <si>
    <t xml:space="preserve">Natural Gas as Pipeline Fuel Activity Data (Billion Btu)  was obtained from: http://www.eia.doe.gov/states/sep_fuel/html/csv/fuel_adjust_consum.csv </t>
  </si>
  <si>
    <t>Number of Gas Producing Wells : http://www.eia.gov/dnav/ng/hist/na1170_smd_8a.htm.</t>
  </si>
  <si>
    <r>
      <rPr>
        <b/>
        <sz val="8"/>
        <color theme="1"/>
        <rFont val="Comic Sans MS"/>
      </rPr>
      <t>Emissions by Gas (MMTCO</t>
    </r>
    <r>
      <rPr>
        <b/>
        <vertAlign val="subscript"/>
        <sz val="8"/>
        <color theme="1"/>
        <rFont val="Comic Sans MS"/>
      </rPr>
      <t>2</t>
    </r>
    <r>
      <rPr>
        <b/>
        <sz val="8"/>
        <color theme="1"/>
        <rFont val="Comic Sans MS"/>
      </rPr>
      <t>e)</t>
    </r>
  </si>
  <si>
    <t>Production</t>
  </si>
  <si>
    <t>Transmission</t>
  </si>
  <si>
    <t>Distribution</t>
  </si>
  <si>
    <t>Pipeline Fuel</t>
  </si>
  <si>
    <t>Emissions from Mining in MD</t>
  </si>
  <si>
    <r>
      <rPr>
        <sz val="14"/>
        <color theme="1"/>
        <rFont val="Calibri"/>
      </rPr>
      <t>CH</t>
    </r>
    <r>
      <rPr>
        <vertAlign val="subscript"/>
        <sz val="14"/>
        <color theme="1"/>
        <rFont val="Calibri"/>
      </rPr>
      <t>4</t>
    </r>
    <r>
      <rPr>
        <sz val="14"/>
        <color theme="1"/>
        <rFont val="Calibri"/>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</si>
  <si>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</si>
  <si>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</si>
  <si>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</si>
  <si>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</si>
  <si>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</si>
  <si>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rPr>
      <t>Emissions
(mcf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</si>
  <si>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</si>
  <si>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</si>
  <si>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Mines</t>
  </si>
  <si>
    <t>Underground Mines</t>
  </si>
  <si>
    <t>+</t>
  </si>
  <si>
    <t>-</t>
  </si>
  <si>
    <t>Surface Coal Production
('000 short tons)</t>
  </si>
  <si>
    <r>
      <rPr>
        <b/>
        <sz val="7"/>
        <color theme="1"/>
        <rFont val="Calibri"/>
      </rPr>
      <t>Basin-specific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</si>
  <si>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</si>
  <si>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</si>
  <si>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</si>
  <si>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Surface Mines</t>
  </si>
  <si>
    <t>Northern Appalachian Basin</t>
  </si>
  <si>
    <t>---</t>
  </si>
  <si>
    <t>Post-Mining Activity</t>
  </si>
  <si>
    <t>Coal Production
('000 short tons)</t>
  </si>
  <si>
    <r>
      <rPr>
        <b/>
        <sz val="7"/>
        <color theme="1"/>
        <rFont val="Calibri"/>
      </rPr>
      <t>Basin- &amp; Mine-specific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</si>
  <si>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</si>
  <si>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</si>
  <si>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</si>
  <si>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Post-Mining Total</t>
  </si>
  <si>
    <t>Total Coal Mining</t>
  </si>
  <si>
    <r>
      <rPr>
        <b/>
        <sz val="7"/>
        <color theme="1"/>
        <rFont val="Calibri"/>
      </rPr>
      <t>(MTCO</t>
    </r>
    <r>
      <rPr>
        <b/>
        <vertAlign val="subscript"/>
        <sz val="7"/>
        <color theme="1"/>
        <rFont val="Calibri"/>
      </rPr>
      <t>2</t>
    </r>
    <r>
      <rPr>
        <b/>
        <sz val="7"/>
        <color theme="1"/>
        <rFont val="Calibri"/>
      </rPr>
      <t>E)</t>
    </r>
  </si>
  <si>
    <t>Maryland Abandoned Coal Mines Emissions Summary</t>
  </si>
  <si>
    <t>Default MD Abandoned Mine Emissions
Gg/Year</t>
  </si>
  <si>
    <t xml:space="preserve">Mine Status
Percent </t>
  </si>
  <si>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</si>
  <si>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</si>
  <si>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Vented</t>
  </si>
  <si>
    <t>Sealed</t>
  </si>
  <si>
    <t>Flooded</t>
  </si>
  <si>
    <t>Maryland Coal Mines Emissions Summary</t>
  </si>
  <si>
    <r>
      <rPr>
        <b/>
        <sz val="8"/>
        <color theme="1"/>
        <rFont val="Calibri"/>
      </rPr>
      <t>Emissions (MMTCO</t>
    </r>
    <r>
      <rPr>
        <b/>
        <vertAlign val="subscript"/>
        <sz val="8"/>
        <color theme="1"/>
        <rFont val="Calibri"/>
      </rPr>
      <t>2</t>
    </r>
    <r>
      <rPr>
        <b/>
        <sz val="8"/>
        <color theme="1"/>
        <rFont val="Calibri"/>
      </rPr>
      <t>E)</t>
    </r>
  </si>
  <si>
    <t>Coal Mining</t>
  </si>
  <si>
    <t>Abandoned Coal Mines</t>
  </si>
  <si>
    <r>
      <rPr>
        <b/>
        <sz val="8"/>
        <color theme="1"/>
        <rFont val="Calibri"/>
      </rPr>
      <t>Emissions (MTCO</t>
    </r>
    <r>
      <rPr>
        <b/>
        <vertAlign val="subscript"/>
        <sz val="8"/>
        <color theme="1"/>
        <rFont val="Calibri"/>
      </rPr>
      <t>2</t>
    </r>
    <r>
      <rPr>
        <b/>
        <sz val="8"/>
        <color theme="1"/>
        <rFont val="Calibri"/>
      </rPr>
      <t>E)</t>
    </r>
  </si>
  <si>
    <t>Emissions (MTCE)</t>
  </si>
  <si>
    <r>
      <rPr>
        <b/>
        <sz val="8"/>
        <color theme="1"/>
        <rFont val="Calibri"/>
      </rPr>
      <t>Emissions by Gas (MTCH</t>
    </r>
    <r>
      <rPr>
        <b/>
        <vertAlign val="subscript"/>
        <sz val="8"/>
        <color theme="1"/>
        <rFont val="Calibri"/>
      </rPr>
      <t>4</t>
    </r>
    <r>
      <rPr>
        <b/>
        <sz val="8"/>
        <color theme="1"/>
        <rFont val="Calibri"/>
      </rPr>
      <t>)</t>
    </r>
  </si>
  <si>
    <t>Energy Information Administration, U.S. Department of Energy, Annual Coal Report, Table 1.</t>
  </si>
  <si>
    <t>Table 1: Coal Produced for Sale, Transfer, Or Use During the Calendar Year,EY 2014, ending June 30,2015</t>
  </si>
  <si>
    <t>2015 Maryland Annual Evaluation Report, Office of Surface Mining Relcamation &amp; Enforcement.</t>
  </si>
  <si>
    <t>http://odocs.osmre.gov/</t>
  </si>
  <si>
    <t>Maryland Wastewater Emissions Summary</t>
  </si>
  <si>
    <t>Maryland Municipal Wastewater Methane Emissions</t>
  </si>
  <si>
    <t>Year</t>
  </si>
  <si>
    <r>
      <rPr>
        <b/>
        <sz val="7"/>
        <color theme="1"/>
        <rFont val="Calibri"/>
      </rPr>
      <t>Per Capita BOD</t>
    </r>
    <r>
      <rPr>
        <b/>
        <vertAlign val="subscript"/>
        <sz val="7"/>
        <color theme="1"/>
        <rFont val="Calibri"/>
      </rPr>
      <t xml:space="preserve">5
</t>
    </r>
    <r>
      <rPr>
        <b/>
        <sz val="7"/>
        <color theme="1"/>
        <rFont val="Calibri"/>
      </rPr>
      <t>(kg/day)</t>
    </r>
  </si>
  <si>
    <t>Days per Year
(days)</t>
  </si>
  <si>
    <t>Unit Conversion
(metric tons/kg)</t>
  </si>
  <si>
    <r>
      <rPr>
        <b/>
        <sz val="7"/>
        <color theme="1"/>
        <rFont val="Calibri"/>
      </rPr>
      <t>Emission Factor
(Gg CH</t>
    </r>
    <r>
      <rPr>
        <b/>
        <vertAlign val="subscript"/>
        <sz val="7"/>
        <color theme="1"/>
        <rFont val="Calibri"/>
      </rPr>
      <t>4</t>
    </r>
    <r>
      <rPr>
        <b/>
        <sz val="7"/>
        <color theme="1"/>
        <rFont val="Calibri"/>
      </rPr>
      <t>/Gg BOD</t>
    </r>
    <r>
      <rPr>
        <b/>
        <vertAlign val="subscript"/>
        <sz val="7"/>
        <color theme="1"/>
        <rFont val="Calibri"/>
      </rPr>
      <t>5</t>
    </r>
    <r>
      <rPr>
        <b/>
        <sz val="7"/>
        <color theme="1"/>
        <rFont val="Calibri"/>
      </rPr>
      <t>)</t>
    </r>
  </si>
  <si>
    <r>
      <rPr>
        <b/>
        <sz val="7"/>
        <color theme="1"/>
        <rFont val="Calibri"/>
      </rPr>
      <t>WW BOD</t>
    </r>
    <r>
      <rPr>
        <b/>
        <vertAlign val="subscript"/>
        <sz val="7"/>
        <color theme="1"/>
        <rFont val="Calibri"/>
      </rPr>
      <t>5</t>
    </r>
    <r>
      <rPr>
        <b/>
        <sz val="7"/>
        <color theme="1"/>
        <rFont val="Calibri"/>
      </rPr>
      <t xml:space="preserve"> anaerobically digested
(percent)</t>
    </r>
  </si>
  <si>
    <r>
      <rPr>
        <b/>
        <sz val="7"/>
        <color theme="1"/>
        <rFont val="Calibri"/>
      </rPr>
      <t>Emissions
(metric tons CH</t>
    </r>
    <r>
      <rPr>
        <b/>
        <vertAlign val="subscript"/>
        <sz val="7"/>
        <color theme="1"/>
        <rFont val="Calibri"/>
      </rPr>
      <t>4</t>
    </r>
    <r>
      <rPr>
        <b/>
        <sz val="7"/>
        <color theme="1"/>
        <rFont val="Calibri"/>
      </rPr>
      <t>)</t>
    </r>
  </si>
  <si>
    <r>
      <rPr>
        <b/>
        <sz val="7"/>
        <color theme="1"/>
        <rFont val="Calibri"/>
      </rPr>
      <t>CH</t>
    </r>
    <r>
      <rPr>
        <b/>
        <vertAlign val="subscript"/>
        <sz val="7"/>
        <color theme="1"/>
        <rFont val="Calibri"/>
      </rPr>
      <t xml:space="preserve">4 </t>
    </r>
    <r>
      <rPr>
        <b/>
        <sz val="7"/>
        <color theme="1"/>
        <rFont val="Calibri"/>
      </rPr>
      <t>GWP
(CO</t>
    </r>
    <r>
      <rPr>
        <b/>
        <vertAlign val="subscript"/>
        <sz val="7"/>
        <color theme="1"/>
        <rFont val="Calibri"/>
      </rPr>
      <t>2</t>
    </r>
    <r>
      <rPr>
        <b/>
        <sz val="7"/>
        <color theme="1"/>
        <rFont val="Calibri"/>
      </rPr>
      <t xml:space="preserve"> Eq.)</t>
    </r>
  </si>
  <si>
    <t>Unit Conversion
(MMT/MT)</t>
  </si>
  <si>
    <r>
      <rPr>
        <b/>
        <sz val="7"/>
        <color theme="1"/>
        <rFont val="Calibri"/>
      </rPr>
      <t>C/CO</t>
    </r>
    <r>
      <rPr>
        <b/>
        <vertAlign val="subscript"/>
        <sz val="7"/>
        <color theme="1"/>
        <rFont val="Calibri"/>
      </rPr>
      <t>2</t>
    </r>
  </si>
  <si>
    <t>Emissions
(MMTCE)</t>
  </si>
  <si>
    <r>
      <rPr>
        <b/>
        <sz val="7"/>
        <color theme="1"/>
        <rFont val="Calibri"/>
      </rPr>
      <t>Emissions
(MMTCO</t>
    </r>
    <r>
      <rPr>
        <b/>
        <vertAlign val="subscript"/>
        <sz val="7"/>
        <color theme="1"/>
        <rFont val="Calibri"/>
      </rPr>
      <t>2</t>
    </r>
    <r>
      <rPr>
        <b/>
        <sz val="7"/>
        <color theme="1"/>
        <rFont val="Calibri"/>
      </rPr>
      <t>E)</t>
    </r>
  </si>
  <si>
    <t>Maryland Direct Nitrous Oxide Emissions from Municipal Wastewater Treatment</t>
  </si>
  <si>
    <t>Fraction of Population not on Septic</t>
  </si>
  <si>
    <r>
      <rPr>
        <b/>
        <sz val="7"/>
        <color theme="1"/>
        <rFont val="Calibri"/>
      </rPr>
      <t>Direct N</t>
    </r>
    <r>
      <rPr>
        <b/>
        <vertAlign val="subscript"/>
        <sz val="7"/>
        <color theme="1"/>
        <rFont val="Calibri"/>
      </rPr>
      <t>2</t>
    </r>
    <r>
      <rPr>
        <b/>
        <sz val="7"/>
        <color theme="1"/>
        <rFont val="Calibri"/>
      </rPr>
      <t>O Emissions from Wastewater Treatment
 (g N</t>
    </r>
    <r>
      <rPr>
        <b/>
        <vertAlign val="subscript"/>
        <sz val="7"/>
        <color theme="1"/>
        <rFont val="Calibri"/>
      </rPr>
      <t>2</t>
    </r>
    <r>
      <rPr>
        <b/>
        <sz val="7"/>
        <color theme="1"/>
        <rFont val="Calibri"/>
      </rPr>
      <t>O/person/year)</t>
    </r>
  </si>
  <si>
    <t>Unit Conversion
(g/metric ton)</t>
  </si>
  <si>
    <r>
      <rPr>
        <b/>
        <sz val="7"/>
        <color theme="1"/>
        <rFont val="Calibri"/>
      </rPr>
      <t>Emissions
(Metric Tons N</t>
    </r>
    <r>
      <rPr>
        <b/>
        <vertAlign val="subscript"/>
        <sz val="7"/>
        <color theme="1"/>
        <rFont val="Calibri"/>
      </rPr>
      <t>2</t>
    </r>
    <r>
      <rPr>
        <b/>
        <sz val="7"/>
        <color theme="1"/>
        <rFont val="Calibri"/>
      </rPr>
      <t>O)</t>
    </r>
  </si>
  <si>
    <r>
      <rPr>
        <b/>
        <sz val="7"/>
        <color theme="1"/>
        <rFont val="Calibri"/>
      </rPr>
      <t>N</t>
    </r>
    <r>
      <rPr>
        <b/>
        <vertAlign val="subscript"/>
        <sz val="7"/>
        <color theme="1"/>
        <rFont val="Calibri"/>
      </rPr>
      <t>2</t>
    </r>
    <r>
      <rPr>
        <b/>
        <sz val="7"/>
        <color theme="1"/>
        <rFont val="Calibri"/>
      </rPr>
      <t>O GWP
(CO</t>
    </r>
    <r>
      <rPr>
        <b/>
        <vertAlign val="subscript"/>
        <sz val="7"/>
        <color theme="1"/>
        <rFont val="Calibri"/>
      </rPr>
      <t>2</t>
    </r>
    <r>
      <rPr>
        <b/>
        <sz val="7"/>
        <color theme="1"/>
        <rFont val="Calibri"/>
      </rPr>
      <t xml:space="preserve"> Eq.)</t>
    </r>
  </si>
  <si>
    <t xml:space="preserve">Unit Conversion
(MMT/MT)
</t>
  </si>
  <si>
    <r>
      <rPr>
        <b/>
        <sz val="7"/>
        <color theme="1"/>
        <rFont val="Calibri"/>
      </rPr>
      <t>C/CO</t>
    </r>
    <r>
      <rPr>
        <b/>
        <vertAlign val="subscript"/>
        <sz val="7"/>
        <color theme="1"/>
        <rFont val="Calibri"/>
      </rPr>
      <t>2</t>
    </r>
  </si>
  <si>
    <r>
      <rPr>
        <b/>
        <sz val="7"/>
        <color theme="1"/>
        <rFont val="Calibri"/>
      </rPr>
      <t>Emissions
(MMTCO</t>
    </r>
    <r>
      <rPr>
        <b/>
        <vertAlign val="subscript"/>
        <sz val="7"/>
        <color theme="1"/>
        <rFont val="Calibri"/>
      </rPr>
      <t>2</t>
    </r>
    <r>
      <rPr>
        <b/>
        <sz val="7"/>
        <color theme="1"/>
        <rFont val="Calibri"/>
      </rPr>
      <t>E)</t>
    </r>
  </si>
  <si>
    <t>Maryland Effulent Nitrous Oxide Emissions from Municipal Wastewater Treatment</t>
  </si>
  <si>
    <t>Protein
(kg/ person/ year)</t>
  </si>
  <si>
    <r>
      <rPr>
        <b/>
        <sz val="7"/>
        <color theme="1"/>
        <rFont val="Comic Sans MS"/>
      </rPr>
      <t>Frac</t>
    </r>
    <r>
      <rPr>
        <b/>
        <vertAlign val="subscript"/>
        <sz val="7"/>
        <color theme="1"/>
        <rFont val="Comic Sans MS"/>
      </rPr>
      <t xml:space="preserve">NPR 
</t>
    </r>
    <r>
      <rPr>
        <b/>
        <sz val="7"/>
        <color theme="1"/>
        <rFont val="Comic Sans MS"/>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</si>
  <si>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</si>
  <si>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</si>
  <si>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</si>
  <si>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</si>
  <si>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</si>
  <si>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7"/>
        <color theme="1"/>
        <rFont val="Comic Sans MS"/>
      </rPr>
      <t>Emission Factor
(kg N</t>
    </r>
    <r>
      <rPr>
        <b/>
        <vertAlign val="subscript"/>
        <sz val="7"/>
        <color theme="1"/>
        <rFont val="Comic Sans MS"/>
      </rPr>
      <t>2</t>
    </r>
    <r>
      <rPr>
        <b/>
        <sz val="7"/>
        <color theme="1"/>
        <rFont val="Comic Sans MS"/>
      </rPr>
      <t xml:space="preserve">O-N/ kg sewage N-produced) </t>
    </r>
  </si>
  <si>
    <r>
      <rPr>
        <b/>
        <sz val="7"/>
        <color theme="1"/>
        <rFont val="Comic Sans MS"/>
      </rPr>
      <t>N</t>
    </r>
    <r>
      <rPr>
        <b/>
        <vertAlign val="subscript"/>
        <sz val="7"/>
        <color theme="1"/>
        <rFont val="Comic Sans MS"/>
      </rPr>
      <t>2</t>
    </r>
    <r>
      <rPr>
        <b/>
        <sz val="7"/>
        <color theme="1"/>
        <rFont val="Comic Sans MS"/>
      </rPr>
      <t>O/N</t>
    </r>
    <r>
      <rPr>
        <b/>
        <vertAlign val="subscript"/>
        <sz val="7"/>
        <color theme="1"/>
        <rFont val="Comic Sans MS"/>
      </rPr>
      <t>2</t>
    </r>
  </si>
  <si>
    <r>
      <rPr>
        <b/>
        <sz val="7"/>
        <color theme="1"/>
        <rFont val="Comic Sans MS"/>
      </rPr>
      <t>Emissions 
(metric tons N</t>
    </r>
    <r>
      <rPr>
        <b/>
        <vertAlign val="subscript"/>
        <sz val="7"/>
        <color theme="1"/>
        <rFont val="Comic Sans MS"/>
      </rPr>
      <t>2</t>
    </r>
    <r>
      <rPr>
        <b/>
        <sz val="7"/>
        <color theme="1"/>
        <rFont val="Comic Sans MS"/>
      </rPr>
      <t>O)</t>
    </r>
  </si>
  <si>
    <r>
      <rPr>
        <b/>
        <sz val="7"/>
        <color theme="1"/>
        <rFont val="Comic Sans MS"/>
      </rPr>
      <t>N</t>
    </r>
    <r>
      <rPr>
        <b/>
        <vertAlign val="subscript"/>
        <sz val="7"/>
        <color theme="1"/>
        <rFont val="Comic Sans MS"/>
      </rPr>
      <t>2</t>
    </r>
    <r>
      <rPr>
        <b/>
        <sz val="7"/>
        <color theme="1"/>
        <rFont val="Comic Sans MS"/>
      </rPr>
      <t>O GWP
(CO2 Eq.)</t>
    </r>
  </si>
  <si>
    <r>
      <rPr>
        <b/>
        <sz val="7"/>
        <color theme="1"/>
        <rFont val="Comic Sans MS"/>
      </rPr>
      <t>C/CO</t>
    </r>
    <r>
      <rPr>
        <b/>
        <vertAlign val="subscript"/>
        <sz val="7"/>
        <color theme="1"/>
        <rFont val="Comic Sans MS"/>
      </rPr>
      <t>2</t>
    </r>
  </si>
  <si>
    <t>Emissions from Biosolids
(MMTCE)</t>
  </si>
  <si>
    <t>Direct Emissions
(MMTCE)</t>
  </si>
  <si>
    <t>Total Emissions
(MMTCE)</t>
  </si>
  <si>
    <t>Emission
(MMTCO2E)</t>
  </si>
  <si>
    <t>(MMT/MT)</t>
  </si>
  <si>
    <r>
      <rPr>
        <b/>
        <sz val="12"/>
        <color rgb="FF000000"/>
        <rFont val="Comic Sans MS"/>
      </rPr>
      <t>Maryland Industrial Wastewater Methane Emissions - CH</t>
    </r>
    <r>
      <rPr>
        <b/>
        <vertAlign val="subscript"/>
        <sz val="12"/>
        <color rgb="FF000000"/>
        <rFont val="Comic Sans MS"/>
      </rPr>
      <t>4</t>
    </r>
  </si>
  <si>
    <t>Production Processed</t>
  </si>
  <si>
    <t xml:space="preserve">WW Outflow </t>
  </si>
  <si>
    <t>Unit Conversion</t>
  </si>
  <si>
    <t xml:space="preserve">COD </t>
  </si>
  <si>
    <t>COD Degraded</t>
  </si>
  <si>
    <r>
      <rPr>
        <b/>
        <sz val="7"/>
        <color theme="1"/>
        <rFont val="Comic Sans MS"/>
      </rPr>
      <t>CH</t>
    </r>
    <r>
      <rPr>
        <b/>
        <vertAlign val="subscript"/>
        <sz val="7"/>
        <color theme="1"/>
        <rFont val="Comic Sans MS"/>
      </rPr>
      <t>4</t>
    </r>
    <r>
      <rPr>
        <b/>
        <sz val="7"/>
        <color theme="1"/>
        <rFont val="Comic Sans MS"/>
      </rPr>
      <t xml:space="preserve"> GWP</t>
    </r>
  </si>
  <si>
    <r>
      <rPr>
        <b/>
        <sz val="7"/>
        <color theme="1"/>
        <rFont val="Comic Sans MS"/>
      </rPr>
      <t>C/CO</t>
    </r>
    <r>
      <rPr>
        <b/>
        <vertAlign val="subscript"/>
        <sz val="7"/>
        <color theme="1"/>
        <rFont val="Comic Sans MS"/>
      </rPr>
      <t>2</t>
    </r>
  </si>
  <si>
    <r>
      <rPr>
        <sz val="7"/>
        <color theme="1"/>
        <rFont val="Comic Sans MS"/>
      </rPr>
      <t>(m</t>
    </r>
    <r>
      <rPr>
        <vertAlign val="superscript"/>
        <sz val="7"/>
        <color theme="1"/>
        <rFont val="Comic Sans MS"/>
      </rPr>
      <t>3</t>
    </r>
    <r>
      <rPr>
        <sz val="7"/>
        <color theme="1"/>
        <rFont val="Comic Sans MS"/>
      </rPr>
      <t>/metric ton)</t>
    </r>
  </si>
  <si>
    <r>
      <rPr>
        <sz val="7"/>
        <color theme="1"/>
        <rFont val="Comic Sans MS"/>
      </rPr>
      <t>(l/m</t>
    </r>
    <r>
      <rPr>
        <vertAlign val="superscript"/>
        <sz val="7"/>
        <color theme="1"/>
        <rFont val="Comic Sans MS"/>
      </rPr>
      <t>3</t>
    </r>
    <r>
      <rPr>
        <sz val="7"/>
        <color theme="1"/>
        <rFont val="Comic Sans MS"/>
      </rPr>
      <t>)</t>
    </r>
  </si>
  <si>
    <t>(g COD/l)</t>
  </si>
  <si>
    <r>
      <rPr>
        <sz val="7"/>
        <color theme="1"/>
        <rFont val="Comic Sans MS"/>
      </rPr>
      <t>(g CH</t>
    </r>
    <r>
      <rPr>
        <vertAlign val="subscript"/>
        <sz val="7"/>
        <color theme="1"/>
        <rFont val="Comic Sans MS"/>
      </rPr>
      <t>4</t>
    </r>
    <r>
      <rPr>
        <sz val="7"/>
        <color theme="1"/>
        <rFont val="Comic Sans MS"/>
      </rPr>
      <t>/g COD)</t>
    </r>
  </si>
  <si>
    <t>(percent)</t>
  </si>
  <si>
    <r>
      <rPr>
        <sz val="7"/>
        <color theme="1"/>
        <rFont val="Comic Sans MS"/>
      </rPr>
      <t>(g CH</t>
    </r>
    <r>
      <rPr>
        <vertAlign val="subscript"/>
        <sz val="7"/>
        <color theme="1"/>
        <rFont val="Comic Sans MS"/>
      </rPr>
      <t>4</t>
    </r>
    <r>
      <rPr>
        <sz val="7"/>
        <color theme="1"/>
        <rFont val="Comic Sans MS"/>
      </rPr>
      <t>)</t>
    </r>
  </si>
  <si>
    <t>(g/Tg)</t>
  </si>
  <si>
    <r>
      <rPr>
        <sz val="7"/>
        <color theme="1"/>
        <rFont val="Comic Sans MS"/>
      </rPr>
      <t>(Tg or MMT CH</t>
    </r>
    <r>
      <rPr>
        <vertAlign val="subscript"/>
        <sz val="7"/>
        <color theme="1"/>
        <rFont val="Comic Sans MS"/>
      </rPr>
      <t>4</t>
    </r>
    <r>
      <rPr>
        <sz val="7"/>
        <color theme="1"/>
        <rFont val="Comic Sans MS"/>
      </rPr>
      <t>)</t>
    </r>
  </si>
  <si>
    <r>
      <rPr>
        <sz val="7"/>
        <color theme="1"/>
        <rFont val="Comic Sans MS"/>
      </rPr>
      <t>(CO</t>
    </r>
    <r>
      <rPr>
        <vertAlign val="subscript"/>
        <sz val="7"/>
        <color theme="1"/>
        <rFont val="Comic Sans MS"/>
      </rPr>
      <t>2</t>
    </r>
    <r>
      <rPr>
        <sz val="7"/>
        <color theme="1"/>
        <rFont val="Comic Sans MS"/>
      </rPr>
      <t xml:space="preserve"> Eq.)</t>
    </r>
  </si>
  <si>
    <r>
      <rPr>
        <sz val="7"/>
        <color theme="1"/>
        <rFont val="Comic Sans MS"/>
      </rPr>
      <t>(MMTCO</t>
    </r>
    <r>
      <rPr>
        <vertAlign val="subscript"/>
        <sz val="7"/>
        <color theme="1"/>
        <rFont val="Comic Sans MS"/>
      </rPr>
      <t>2</t>
    </r>
    <r>
      <rPr>
        <sz val="7"/>
        <color theme="1"/>
        <rFont val="Comic Sans MS"/>
      </rPr>
      <t>E)</t>
    </r>
  </si>
  <si>
    <t>Emissions were not calculated for the following sources: Industrial fruits &amp; vegetables, Industrial poultry, and Industrial pulp &amp; paper.</t>
  </si>
  <si>
    <r>
      <rPr>
        <b/>
        <sz val="8"/>
        <color theme="1"/>
        <rFont val="Comic Sans MS"/>
      </rPr>
      <t>Emissions (MMTCO</t>
    </r>
    <r>
      <rPr>
        <b/>
        <vertAlign val="subscript"/>
        <sz val="8"/>
        <color theme="1"/>
        <rFont val="Comic Sans MS"/>
      </rPr>
      <t>2</t>
    </r>
    <r>
      <rPr>
        <b/>
        <sz val="8"/>
        <color theme="1"/>
        <rFont val="Comic Sans MS"/>
      </rPr>
      <t>E)</t>
    </r>
  </si>
  <si>
    <t>Municipal CH4</t>
  </si>
  <si>
    <t>Municipal N2O</t>
  </si>
  <si>
    <t>Industrial CH4</t>
  </si>
  <si>
    <t>Fruits &amp; Vegetables</t>
  </si>
  <si>
    <t>Red Meat</t>
  </si>
  <si>
    <t>Poultry</t>
  </si>
  <si>
    <t>Pulp &amp; Paper</t>
  </si>
  <si>
    <r>
      <rPr>
        <sz val="8"/>
        <color theme="1"/>
        <rFont val="Arial"/>
      </rPr>
      <t xml:space="preserve">Source: USDA Quick Stats 2.0, </t>
    </r>
    <r>
      <rPr>
        <sz val="8"/>
        <color rgb="FFFF0000"/>
        <rFont val="Arial"/>
      </rPr>
      <t>Annual Red Meat Production</t>
    </r>
    <r>
      <rPr>
        <sz val="8"/>
        <color theme="1"/>
        <rFont val="Arial"/>
      </rPr>
      <t>. Available online by state: http://quickstats.nass.usda.gov. Choose Survey, Animals &amp; Products, Livestock, Red Meat, Production, Red Meat Slaughter Commercial Production Measured in LB (Don't choose Total in the Domain), Choose National AND State, Select All States (including US Total), 1990-2014, Annual, Year, Get Data.</t>
    </r>
  </si>
  <si>
    <t>Agricultural Emissions in Maryland</t>
  </si>
  <si>
    <t>Enteric Fermentation Emissions</t>
  </si>
  <si>
    <t>Number of Animals
('000 head)</t>
  </si>
  <si>
    <r>
      <rPr>
        <b/>
        <sz val="7"/>
        <color theme="1"/>
        <rFont val="Arial"/>
      </rPr>
      <t>Emission Factor
(kg CH</t>
    </r>
    <r>
      <rPr>
        <b/>
        <vertAlign val="subscript"/>
        <sz val="7"/>
        <color theme="1"/>
        <rFont val="Arial"/>
      </rPr>
      <t>4</t>
    </r>
    <r>
      <rPr>
        <b/>
        <sz val="7"/>
        <color theme="1"/>
        <rFont val="Arial"/>
      </rPr>
      <t>/head)</t>
    </r>
  </si>
  <si>
    <r>
      <rPr>
        <b/>
        <sz val="7"/>
        <color theme="1"/>
        <rFont val="Arial"/>
      </rPr>
      <t>Emissions
(kg CH</t>
    </r>
    <r>
      <rPr>
        <b/>
        <vertAlign val="subscript"/>
        <sz val="7"/>
        <color theme="1"/>
        <rFont val="Arial"/>
      </rPr>
      <t>4</t>
    </r>
    <r>
      <rPr>
        <b/>
        <sz val="7"/>
        <color theme="1"/>
        <rFont val="Arial"/>
      </rPr>
      <t>)</t>
    </r>
  </si>
  <si>
    <r>
      <rPr>
        <b/>
        <sz val="7"/>
        <color theme="1"/>
        <rFont val="Arial"/>
      </rPr>
      <t>Emissions
(MMTCH</t>
    </r>
    <r>
      <rPr>
        <b/>
        <vertAlign val="subscript"/>
        <sz val="7"/>
        <color theme="1"/>
        <rFont val="Arial"/>
      </rPr>
      <t>4</t>
    </r>
    <r>
      <rPr>
        <b/>
        <sz val="7"/>
        <color theme="1"/>
        <rFont val="Arial"/>
      </rPr>
      <t>)</t>
    </r>
  </si>
  <si>
    <r>
      <rPr>
        <b/>
        <sz val="7"/>
        <color theme="1"/>
        <rFont val="Arial"/>
      </rPr>
      <t>Emissions
(MMTCO</t>
    </r>
    <r>
      <rPr>
        <b/>
        <vertAlign val="subscript"/>
        <sz val="7"/>
        <color theme="1"/>
        <rFont val="Arial"/>
      </rPr>
      <t>2</t>
    </r>
    <r>
      <rPr>
        <b/>
        <sz val="7"/>
        <color theme="1"/>
        <rFont val="Arial"/>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</si>
  <si>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</si>
  <si>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</si>
  <si>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</si>
  <si>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</si>
  <si>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</si>
  <si>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</si>
  <si>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</si>
  <si>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</si>
  <si>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</si>
  <si>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</si>
  <si>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</si>
  <si>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</si>
  <si>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</si>
  <si>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</si>
  <si>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</si>
  <si>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</si>
  <si>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</si>
  <si>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</si>
  <si>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</si>
  <si>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</si>
  <si>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</si>
  <si>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</si>
  <si>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</si>
  <si>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rPr>
      <t>Max Pot. 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 kg VS)</t>
    </r>
  </si>
  <si>
    <t>Weighted MCF</t>
  </si>
  <si>
    <r>
      <rPr>
        <b/>
        <sz val="7"/>
        <color theme="1"/>
        <rFont val="Comic Sans MS"/>
      </rPr>
      <t>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t>
    </r>
  </si>
  <si>
    <r>
      <rPr>
        <b/>
        <sz val="7"/>
        <color theme="1"/>
        <rFont val="Comic Sans MS"/>
      </rPr>
      <t>Emissions (Metric Tons CH</t>
    </r>
    <r>
      <rPr>
        <b/>
        <vertAlign val="subscript"/>
        <sz val="7"/>
        <color theme="1"/>
        <rFont val="Comic Sans MS"/>
      </rPr>
      <t>4</t>
    </r>
    <r>
      <rPr>
        <b/>
        <sz val="7"/>
        <color theme="1"/>
        <rFont val="Comic Sans MS"/>
      </rPr>
      <t>)</t>
    </r>
  </si>
  <si>
    <r>
      <rPr>
        <b/>
        <sz val="7"/>
        <color theme="1"/>
        <rFont val="Comic Sans MS"/>
      </rPr>
      <t>Emissions (MMTCH</t>
    </r>
    <r>
      <rPr>
        <b/>
        <vertAlign val="subscript"/>
        <sz val="7"/>
        <color theme="1"/>
        <rFont val="Comic Sans MS"/>
      </rPr>
      <t>4</t>
    </r>
    <r>
      <rPr>
        <b/>
        <sz val="7"/>
        <color theme="1"/>
        <rFont val="Comic Sans MS"/>
      </rPr>
      <t>)</t>
    </r>
  </si>
  <si>
    <t>Emissions (MMTCE)</t>
  </si>
  <si>
    <r>
      <rPr>
        <b/>
        <sz val="7"/>
        <color theme="1"/>
        <rFont val="Comic Sans MS"/>
      </rPr>
      <t>Emissions  (MMTCO</t>
    </r>
    <r>
      <rPr>
        <b/>
        <vertAlign val="subscript"/>
        <sz val="7"/>
        <color theme="1"/>
        <rFont val="Arial"/>
      </rPr>
      <t>2</t>
    </r>
    <r>
      <rPr>
        <b/>
        <sz val="7"/>
        <color theme="1"/>
        <rFont val="Arial"/>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</si>
  <si>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</si>
  <si>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</si>
  <si>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</si>
  <si>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</si>
  <si>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</si>
  <si>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</si>
  <si>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</si>
  <si>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</si>
  <si>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</si>
  <si>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</si>
  <si>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</si>
  <si>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</si>
  <si>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</si>
  <si>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</si>
  <si>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2"/>
        <color theme="1"/>
        <rFont val="Comic Sans MS"/>
      </rPr>
      <t>Manure Management N</t>
    </r>
    <r>
      <rPr>
        <vertAlign val="subscript"/>
        <sz val="12"/>
        <color theme="1"/>
        <rFont val="Comic Sans MS"/>
      </rPr>
      <t>2</t>
    </r>
    <r>
      <rPr>
        <sz val="12"/>
        <color theme="1"/>
        <rFont val="Comic Sans MS"/>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</si>
  <si>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</si>
  <si>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</si>
  <si>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</si>
  <si>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</si>
  <si>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</si>
  <si>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rPr>
      <t>Total N</t>
    </r>
    <r>
      <rPr>
        <b/>
        <vertAlign val="subscript"/>
        <sz val="7"/>
        <color theme="1"/>
        <rFont val="Arial"/>
      </rPr>
      <t>2</t>
    </r>
    <r>
      <rPr>
        <b/>
        <sz val="7"/>
        <color theme="1"/>
        <rFont val="Arial"/>
      </rPr>
      <t>O Emissions
(kg N</t>
    </r>
    <r>
      <rPr>
        <b/>
        <vertAlign val="subscript"/>
        <sz val="7"/>
        <color theme="1"/>
        <rFont val="Arial"/>
      </rPr>
      <t>2</t>
    </r>
    <r>
      <rPr>
        <b/>
        <sz val="7"/>
        <color theme="1"/>
        <rFont val="Arial"/>
      </rPr>
      <t>O)</t>
    </r>
  </si>
  <si>
    <r>
      <rPr>
        <b/>
        <sz val="7"/>
        <color theme="1"/>
        <rFont val="Arial"/>
      </rPr>
      <t>Emissions
(MMTCO</t>
    </r>
    <r>
      <rPr>
        <b/>
        <vertAlign val="subscript"/>
        <sz val="7"/>
        <color theme="1"/>
        <rFont val="Arial"/>
      </rPr>
      <t>2</t>
    </r>
    <r>
      <rPr>
        <b/>
        <sz val="7"/>
        <color theme="1"/>
        <rFont val="Arial"/>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</si>
  <si>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</si>
  <si>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</si>
  <si>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</si>
  <si>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</si>
  <si>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</si>
  <si>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</si>
  <si>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</si>
  <si>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</si>
  <si>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</si>
  <si>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</si>
  <si>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</si>
  <si>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</si>
  <si>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</si>
  <si>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</si>
  <si>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</si>
  <si>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rPr>
      <t>Direct N</t>
    </r>
    <r>
      <rPr>
        <b/>
        <vertAlign val="subscript"/>
        <sz val="8"/>
        <color theme="1"/>
        <rFont val="Calibri"/>
      </rPr>
      <t>2</t>
    </r>
    <r>
      <rPr>
        <b/>
        <sz val="8"/>
        <color theme="1"/>
        <rFont val="Calibri"/>
      </rPr>
      <t>O Emissions (metric tons N</t>
    </r>
    <r>
      <rPr>
        <b/>
        <vertAlign val="subscript"/>
        <sz val="8"/>
        <color theme="1"/>
        <rFont val="Calibri"/>
      </rPr>
      <t>2</t>
    </r>
    <r>
      <rPr>
        <b/>
        <sz val="8"/>
        <color theme="1"/>
        <rFont val="Calibri"/>
      </rPr>
      <t>O)</t>
    </r>
  </si>
  <si>
    <r>
      <rPr>
        <b/>
        <sz val="8"/>
        <color theme="1"/>
        <rFont val="Calibri"/>
      </rPr>
      <t>Direct Emissions</t>
    </r>
    <r>
      <rPr>
        <sz val="8"/>
        <color theme="1"/>
        <rFont val="Calibri"/>
      </rPr>
      <t xml:space="preserve"> (MMTCE)</t>
    </r>
  </si>
  <si>
    <r>
      <rPr>
        <b/>
        <sz val="8"/>
        <color theme="1"/>
        <rFont val="Calibri"/>
      </rPr>
      <t>Direct Emissions  (MMTCO</t>
    </r>
    <r>
      <rPr>
        <b/>
        <vertAlign val="subscript"/>
        <sz val="8"/>
        <color theme="1"/>
        <rFont val="Calibri"/>
      </rPr>
      <t>2</t>
    </r>
    <r>
      <rPr>
        <b/>
        <sz val="8"/>
        <color theme="1"/>
        <rFont val="Calibri"/>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</si>
  <si>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</si>
  <si>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</si>
  <si>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</si>
  <si>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</si>
  <si>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</si>
  <si>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</si>
  <si>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</si>
  <si>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</si>
  <si>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</si>
  <si>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</si>
  <si>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</si>
  <si>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</si>
  <si>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</si>
  <si>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</si>
  <si>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</si>
  <si>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</si>
  <si>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</si>
  <si>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</si>
  <si>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</si>
  <si>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</si>
  <si>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</si>
  <si>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</si>
  <si>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</si>
  <si>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</si>
  <si>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</si>
  <si>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</si>
  <si>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</si>
  <si>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</si>
  <si>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</si>
  <si>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</si>
  <si>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rPr>
      <t>Total Fertilizer Use</t>
    </r>
    <r>
      <rPr>
        <sz val="8"/>
        <color theme="1"/>
        <rFont val="Calibri"/>
      </rPr>
      <t xml:space="preserve"> (kg N)</t>
    </r>
  </si>
  <si>
    <r>
      <rPr>
        <b/>
        <sz val="8"/>
        <color theme="1"/>
        <rFont val="Calibri"/>
      </rPr>
      <t xml:space="preserve">Total N in Fertilizers </t>
    </r>
    <r>
      <rPr>
        <sz val="8"/>
        <color theme="1"/>
        <rFont val="Calibri"/>
      </rPr>
      <t>(Calendar Year)</t>
    </r>
  </si>
  <si>
    <t>Volatilzation
(Percent)</t>
  </si>
  <si>
    <t>N Content of Non-Manure Organics</t>
  </si>
  <si>
    <r>
      <rPr>
        <b/>
        <sz val="8"/>
        <color theme="1"/>
        <rFont val="Calibri"/>
      </rPr>
      <t xml:space="preserve">Unvolatized N
</t>
    </r>
    <r>
      <rPr>
        <sz val="8"/>
        <color theme="1"/>
        <rFont val="Calibri"/>
      </rPr>
      <t>(kg)</t>
    </r>
  </si>
  <si>
    <r>
      <rPr>
        <b/>
        <sz val="8"/>
        <color theme="1"/>
        <rFont val="Calibri"/>
      </rPr>
      <t xml:space="preserve">Volatized N
</t>
    </r>
    <r>
      <rPr>
        <sz val="8"/>
        <color theme="1"/>
        <rFont val="Calibri"/>
      </rPr>
      <t>(kg)</t>
    </r>
  </si>
  <si>
    <r>
      <rPr>
        <b/>
        <sz val="8"/>
        <color theme="1"/>
        <rFont val="Calibri"/>
      </rPr>
      <t>Direct N</t>
    </r>
    <r>
      <rPr>
        <b/>
        <vertAlign val="subscript"/>
        <sz val="8"/>
        <color theme="1"/>
        <rFont val="Calibri"/>
      </rPr>
      <t>2</t>
    </r>
    <r>
      <rPr>
        <b/>
        <sz val="8"/>
        <color theme="1"/>
        <rFont val="Calibri"/>
      </rPr>
      <t>O Emissions
(metric tons)</t>
    </r>
  </si>
  <si>
    <r>
      <rPr>
        <b/>
        <sz val="8"/>
        <color theme="1"/>
        <rFont val="Calibri"/>
      </rPr>
      <t>Indirect N</t>
    </r>
    <r>
      <rPr>
        <b/>
        <vertAlign val="subscript"/>
        <sz val="8"/>
        <color theme="1"/>
        <rFont val="Calibri"/>
      </rPr>
      <t>2</t>
    </r>
    <r>
      <rPr>
        <b/>
        <sz val="8"/>
        <color theme="1"/>
        <rFont val="Calibri"/>
      </rPr>
      <t>O Emissions
(metric tons)</t>
    </r>
  </si>
  <si>
    <r>
      <rPr>
        <b/>
        <sz val="8"/>
        <color theme="1"/>
        <rFont val="Calibri"/>
      </rPr>
      <t xml:space="preserve">Direct Emissions
</t>
    </r>
    <r>
      <rPr>
        <sz val="8"/>
        <color theme="1"/>
        <rFont val="Calibri"/>
      </rPr>
      <t>(MMTCE)</t>
    </r>
  </si>
  <si>
    <r>
      <rPr>
        <b/>
        <sz val="8"/>
        <color theme="1"/>
        <rFont val="Calibri"/>
      </rPr>
      <t xml:space="preserve">Indirect Emissions
</t>
    </r>
    <r>
      <rPr>
        <sz val="8"/>
        <color theme="1"/>
        <rFont val="Calibri"/>
      </rPr>
      <t>(MMTCE)</t>
    </r>
  </si>
  <si>
    <r>
      <rPr>
        <b/>
        <sz val="8"/>
        <color theme="1"/>
        <rFont val="Calibri"/>
      </rPr>
      <t>Direct Emissions
(MMTCO</t>
    </r>
    <r>
      <rPr>
        <b/>
        <vertAlign val="subscript"/>
        <sz val="8"/>
        <color theme="1"/>
        <rFont val="Calibri"/>
      </rPr>
      <t>2</t>
    </r>
    <r>
      <rPr>
        <b/>
        <sz val="8"/>
        <color theme="1"/>
        <rFont val="Calibri"/>
      </rPr>
      <t>E)</t>
    </r>
  </si>
  <si>
    <r>
      <rPr>
        <b/>
        <sz val="8"/>
        <color theme="1"/>
        <rFont val="Calibri"/>
      </rPr>
      <t>Indirect Emissions
(MMTCO</t>
    </r>
    <r>
      <rPr>
        <b/>
        <vertAlign val="subscript"/>
        <sz val="8"/>
        <color theme="1"/>
        <rFont val="Calibri"/>
      </rPr>
      <t>2</t>
    </r>
    <r>
      <rPr>
        <b/>
        <sz val="8"/>
        <color theme="1"/>
        <rFont val="Calibri"/>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</si>
  <si>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</si>
  <si>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</si>
  <si>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</si>
  <si>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</si>
  <si>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</si>
  <si>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</si>
  <si>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</si>
  <si>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</si>
  <si>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</si>
  <si>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</si>
  <si>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</si>
  <si>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</si>
  <si>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rPr>
      <t>Total Fertilizer Use</t>
    </r>
    <r>
      <rPr>
        <sz val="8"/>
        <color theme="1"/>
        <rFont val="Calibri"/>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</si>
  <si>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</si>
  <si>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</si>
  <si>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</si>
  <si>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</si>
  <si>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</si>
  <si>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8"/>
        <color theme="1"/>
        <rFont val="Calibri"/>
      </rPr>
      <t xml:space="preserve">Number of Animals
</t>
    </r>
    <r>
      <rPr>
        <sz val="8"/>
        <color theme="1"/>
        <rFont val="Calibri"/>
      </rPr>
      <t>('000 head)</t>
    </r>
  </si>
  <si>
    <t>TAM
(kg)</t>
  </si>
  <si>
    <t>K-Nitrogen
(kg/day/1000kg)</t>
  </si>
  <si>
    <r>
      <rPr>
        <b/>
        <sz val="8"/>
        <color theme="1"/>
        <rFont val="Calibri"/>
      </rPr>
      <t xml:space="preserve">Total K-Nitrogen Excreted
</t>
    </r>
    <r>
      <rPr>
        <sz val="8"/>
        <color theme="1"/>
        <rFont val="Calibri"/>
      </rPr>
      <t>(kg)</t>
    </r>
  </si>
  <si>
    <r>
      <rPr>
        <b/>
        <sz val="8"/>
        <color theme="1"/>
        <rFont val="Calibri"/>
      </rPr>
      <t>Indirect Animal N</t>
    </r>
    <r>
      <rPr>
        <b/>
        <vertAlign val="subscript"/>
        <sz val="8"/>
        <color theme="1"/>
        <rFont val="Calibri"/>
      </rPr>
      <t>2</t>
    </r>
    <r>
      <rPr>
        <b/>
        <sz val="8"/>
        <color theme="1"/>
        <rFont val="Calibri"/>
      </rPr>
      <t xml:space="preserve">O Emissions
</t>
    </r>
    <r>
      <rPr>
        <sz val="8"/>
        <color theme="1"/>
        <rFont val="Calibri"/>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</si>
  <si>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</si>
  <si>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</si>
  <si>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</si>
  <si>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</si>
  <si>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</si>
  <si>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</si>
  <si>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</si>
  <si>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</si>
  <si>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</si>
  <si>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</si>
  <si>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</si>
  <si>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</si>
  <si>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</si>
  <si>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</si>
  <si>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</si>
  <si>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</si>
  <si>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</si>
  <si>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</si>
  <si>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</si>
  <si>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</si>
  <si>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</si>
  <si>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</si>
  <si>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State</t>
  </si>
  <si>
    <t>Litter</t>
  </si>
  <si>
    <t>Range</t>
  </si>
  <si>
    <t>On Feed (PRP)</t>
  </si>
  <si>
    <t>Not on Feed (PRP)</t>
  </si>
  <si>
    <t>Pasture, Range &amp; Paddock</t>
  </si>
  <si>
    <t>Unvolatilized N from Organic Fertilizers (kg)</t>
  </si>
  <si>
    <t>2011MD</t>
  </si>
  <si>
    <t>MD</t>
  </si>
  <si>
    <t>Unvolatilized N from Synthetic Fertilizers (kg)</t>
  </si>
  <si>
    <r>
      <rPr>
        <b/>
        <sz val="8"/>
        <color theme="1"/>
        <rFont val="Calibri"/>
      </rPr>
      <t>Fertilizer Runoff/Leached</t>
    </r>
    <r>
      <rPr>
        <sz val="8"/>
        <color theme="1"/>
        <rFont val="Calibri"/>
      </rPr>
      <t xml:space="preserve"> (metric tons N)</t>
    </r>
  </si>
  <si>
    <t>Total N excreted by Livestock (kg)</t>
  </si>
  <si>
    <r>
      <rPr>
        <b/>
        <sz val="8"/>
        <color theme="1"/>
        <rFont val="Calibri"/>
      </rPr>
      <t xml:space="preserve">Manure Runoff/Leached </t>
    </r>
    <r>
      <rPr>
        <sz val="8"/>
        <color theme="1"/>
        <rFont val="Calibri"/>
      </rPr>
      <t>(metric tons N)</t>
    </r>
  </si>
  <si>
    <r>
      <rPr>
        <b/>
        <sz val="8"/>
        <color theme="1"/>
        <rFont val="Calibri"/>
      </rPr>
      <t xml:space="preserve">TOTAL Runoff/Leached </t>
    </r>
    <r>
      <rPr>
        <sz val="8"/>
        <color theme="1"/>
        <rFont val="Calibri"/>
      </rPr>
      <t>(metric tons N</t>
    </r>
    <r>
      <rPr>
        <vertAlign val="subscript"/>
        <sz val="8"/>
        <color theme="1"/>
        <rFont val="Calibri"/>
      </rPr>
      <t>2</t>
    </r>
    <r>
      <rPr>
        <sz val="8"/>
        <color theme="1"/>
        <rFont val="Calibri"/>
      </rPr>
      <t>O-N)</t>
    </r>
  </si>
  <si>
    <t>Total Beef Heifers</t>
  </si>
  <si>
    <t>EMISSIONS SUMMARY  2011</t>
  </si>
  <si>
    <r>
      <rPr>
        <b/>
        <sz val="8"/>
        <color theme="1"/>
        <rFont val="Calibri"/>
      </rPr>
      <t>Livestock
(Metric Tons N</t>
    </r>
    <r>
      <rPr>
        <b/>
        <vertAlign val="subscript"/>
        <sz val="8"/>
        <color theme="1"/>
        <rFont val="Calibri"/>
      </rPr>
      <t>2</t>
    </r>
    <r>
      <rPr>
        <b/>
        <sz val="8"/>
        <color theme="1"/>
        <rFont val="Calibri"/>
      </rPr>
      <t>O)</t>
    </r>
  </si>
  <si>
    <t>Livestock
(MMTCE)</t>
  </si>
  <si>
    <r>
      <rPr>
        <b/>
        <sz val="8"/>
        <color theme="1"/>
        <rFont val="Calibri"/>
      </rPr>
      <t>Livestock
(MMTCO</t>
    </r>
    <r>
      <rPr>
        <b/>
        <vertAlign val="subscript"/>
        <sz val="8"/>
        <color theme="1"/>
        <rFont val="Calibri"/>
      </rPr>
      <t>2</t>
    </r>
    <r>
      <rPr>
        <b/>
        <sz val="8"/>
        <color theme="1"/>
        <rFont val="Calibri"/>
      </rPr>
      <t>E)</t>
    </r>
  </si>
  <si>
    <r>
      <rPr>
        <b/>
        <sz val="8"/>
        <color theme="1"/>
        <rFont val="Calibri"/>
      </rPr>
      <t>Leaching and Runoff
(Metric Tons N</t>
    </r>
    <r>
      <rPr>
        <b/>
        <vertAlign val="subscript"/>
        <sz val="8"/>
        <color theme="1"/>
        <rFont val="Calibri"/>
      </rPr>
      <t>2</t>
    </r>
    <r>
      <rPr>
        <b/>
        <sz val="8"/>
        <color theme="1"/>
        <rFont val="Calibri"/>
      </rPr>
      <t>O)</t>
    </r>
  </si>
  <si>
    <t>Leaching and Runoff
(MMTCE)</t>
  </si>
  <si>
    <r>
      <rPr>
        <b/>
        <sz val="8"/>
        <color theme="1"/>
        <rFont val="Calibri"/>
      </rPr>
      <t>Leaching and Runoff
(MMTCO</t>
    </r>
    <r>
      <rPr>
        <b/>
        <vertAlign val="subscript"/>
        <sz val="8"/>
        <color theme="1"/>
        <rFont val="Calibri"/>
      </rPr>
      <t>2</t>
    </r>
    <r>
      <rPr>
        <b/>
        <sz val="8"/>
        <color theme="1"/>
        <rFont val="Calibri"/>
      </rPr>
      <t>E)</t>
    </r>
  </si>
  <si>
    <r>
      <rPr>
        <b/>
        <sz val="8"/>
        <color rgb="FFFF0000"/>
        <rFont val="Calibri"/>
      </rPr>
      <t>Indirect N</t>
    </r>
    <r>
      <rPr>
        <b/>
        <vertAlign val="subscript"/>
        <sz val="8"/>
        <color rgb="FFFF0000"/>
        <rFont val="Calibri"/>
      </rPr>
      <t>2</t>
    </r>
    <r>
      <rPr>
        <b/>
        <sz val="8"/>
        <color rgb="FFFF0000"/>
        <rFont val="Calibri"/>
      </rPr>
      <t>O Emissions</t>
    </r>
  </si>
  <si>
    <t>TOTAL Runoff/Leached</t>
  </si>
  <si>
    <r>
      <rPr>
        <b/>
        <sz val="8"/>
        <color theme="1"/>
        <rFont val="Calibri"/>
      </rPr>
      <t>Direct N</t>
    </r>
    <r>
      <rPr>
        <b/>
        <vertAlign val="subscript"/>
        <sz val="8"/>
        <color theme="1"/>
        <rFont val="Calibri"/>
      </rPr>
      <t>2</t>
    </r>
    <r>
      <rPr>
        <b/>
        <sz val="8"/>
        <color theme="1"/>
        <rFont val="Calibri"/>
      </rPr>
      <t>O Emissions - Manure Applied to Soils (including Daily Spread)</t>
    </r>
  </si>
  <si>
    <t>Fertilizer Runoff/Leached</t>
  </si>
  <si>
    <r>
      <rPr>
        <b/>
        <sz val="8"/>
        <color theme="1"/>
        <rFont val="Calibri"/>
      </rPr>
      <t>Direct N</t>
    </r>
    <r>
      <rPr>
        <b/>
        <vertAlign val="subscript"/>
        <sz val="8"/>
        <color theme="1"/>
        <rFont val="Calibri"/>
      </rPr>
      <t>2</t>
    </r>
    <r>
      <rPr>
        <b/>
        <sz val="8"/>
        <color theme="1"/>
        <rFont val="Calibri"/>
      </rPr>
      <t>O Emissions - Pasture, Range, and Paddock</t>
    </r>
  </si>
  <si>
    <t xml:space="preserve">Manure Runoff/Leached </t>
  </si>
  <si>
    <r>
      <rPr>
        <b/>
        <sz val="8"/>
        <color rgb="FFFF0000"/>
        <rFont val="Calibri"/>
      </rPr>
      <t>Direct N</t>
    </r>
    <r>
      <rPr>
        <b/>
        <vertAlign val="subscript"/>
        <sz val="8"/>
        <color rgb="FFFF0000"/>
        <rFont val="Calibri"/>
      </rPr>
      <t>2</t>
    </r>
    <r>
      <rPr>
        <b/>
        <sz val="8"/>
        <color rgb="FFFF0000"/>
        <rFont val="Calibri"/>
      </rPr>
      <t>O Emissions</t>
    </r>
  </si>
  <si>
    <r>
      <rPr>
        <sz val="14"/>
        <color theme="1"/>
        <rFont val="Comic Sans MS"/>
      </rPr>
      <t>Agricultural Residue Burning -  CH</t>
    </r>
    <r>
      <rPr>
        <vertAlign val="subscript"/>
        <sz val="14"/>
        <color theme="1"/>
        <rFont val="Comic Sans MS"/>
      </rPr>
      <t>4</t>
    </r>
    <r>
      <rPr>
        <sz val="14"/>
        <color theme="1"/>
        <rFont val="Comic Sans MS"/>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</si>
  <si>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</si>
  <si>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</si>
  <si>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</si>
  <si>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</si>
  <si>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</si>
  <si>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</si>
  <si>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</si>
  <si>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</si>
  <si>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</si>
  <si>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</si>
  <si>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</si>
  <si>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rPr>
      <t>CH</t>
    </r>
    <r>
      <rPr>
        <b/>
        <vertAlign val="subscript"/>
        <sz val="8"/>
        <color theme="1"/>
        <rFont val="Calibri"/>
      </rPr>
      <t>4</t>
    </r>
    <r>
      <rPr>
        <b/>
        <sz val="8"/>
        <color theme="1"/>
        <rFont val="Calibri"/>
      </rPr>
      <t xml:space="preserve"> Emissions  (metric tons CH</t>
    </r>
    <r>
      <rPr>
        <b/>
        <vertAlign val="subscript"/>
        <sz val="8"/>
        <color theme="1"/>
        <rFont val="Calibri"/>
      </rPr>
      <t>4</t>
    </r>
    <r>
      <rPr>
        <b/>
        <sz val="8"/>
        <color theme="1"/>
        <rFont val="Calibri"/>
      </rPr>
      <t>)</t>
    </r>
  </si>
  <si>
    <r>
      <rPr>
        <b/>
        <sz val="8"/>
        <color theme="1"/>
        <rFont val="Calibri"/>
      </rPr>
      <t>CH</t>
    </r>
    <r>
      <rPr>
        <b/>
        <vertAlign val="subscript"/>
        <sz val="8"/>
        <color theme="1"/>
        <rFont val="Calibri"/>
      </rPr>
      <t>4</t>
    </r>
    <r>
      <rPr>
        <b/>
        <sz val="8"/>
        <color theme="1"/>
        <rFont val="Calibri"/>
      </rPr>
      <t xml:space="preserve"> Emissions  (MMTCE)</t>
    </r>
  </si>
  <si>
    <r>
      <rPr>
        <b/>
        <sz val="8"/>
        <color theme="1"/>
        <rFont val="Calibri"/>
      </rPr>
      <t>CH</t>
    </r>
    <r>
      <rPr>
        <b/>
        <vertAlign val="subscript"/>
        <sz val="8"/>
        <color theme="1"/>
        <rFont val="Calibri"/>
      </rPr>
      <t>4</t>
    </r>
    <r>
      <rPr>
        <b/>
        <sz val="8"/>
        <color theme="1"/>
        <rFont val="Calibri"/>
      </rPr>
      <t xml:space="preserve"> Emissions  (MMTCO</t>
    </r>
    <r>
      <rPr>
        <b/>
        <vertAlign val="subscript"/>
        <sz val="8"/>
        <color theme="1"/>
        <rFont val="Calibri"/>
      </rPr>
      <t>2</t>
    </r>
    <r>
      <rPr>
        <b/>
        <sz val="8"/>
        <color theme="1"/>
        <rFont val="Calibri"/>
      </rPr>
      <t>E)</t>
    </r>
  </si>
  <si>
    <t>Barley</t>
  </si>
  <si>
    <t>Corn</t>
  </si>
  <si>
    <t>'000 pounds</t>
  </si>
  <si>
    <t>'000 cwt</t>
  </si>
  <si>
    <t>Soybeans</t>
  </si>
  <si>
    <t>Sugarcane</t>
  </si>
  <si>
    <t>Wheat</t>
  </si>
  <si>
    <r>
      <rPr>
        <sz val="14"/>
        <color theme="1"/>
        <rFont val="Comic Sans MS"/>
      </rPr>
      <t>Agricultural Residue Burning -  N</t>
    </r>
    <r>
      <rPr>
        <vertAlign val="subscript"/>
        <sz val="14"/>
        <color theme="1"/>
        <rFont val="Comic Sans MS"/>
      </rPr>
      <t>2</t>
    </r>
    <r>
      <rPr>
        <sz val="14"/>
        <color theme="1"/>
        <rFont val="Comic Sans MS"/>
      </rPr>
      <t>O Emissions</t>
    </r>
  </si>
  <si>
    <t>Fraction Residue Burned</t>
  </si>
  <si>
    <t>Nitrogen Content</t>
  </si>
  <si>
    <t>Total N Released  (metric tons)</t>
  </si>
  <si>
    <r>
      <rPr>
        <b/>
        <sz val="8"/>
        <color theme="1"/>
        <rFont val="Calibri"/>
      </rPr>
      <t>N</t>
    </r>
    <r>
      <rPr>
        <b/>
        <vertAlign val="subscript"/>
        <sz val="8"/>
        <color theme="1"/>
        <rFont val="Calibri"/>
      </rPr>
      <t>2</t>
    </r>
    <r>
      <rPr>
        <b/>
        <sz val="8"/>
        <color theme="1"/>
        <rFont val="Calibri"/>
      </rPr>
      <t>O Emissions  (metric tons)</t>
    </r>
  </si>
  <si>
    <r>
      <rPr>
        <b/>
        <sz val="8"/>
        <color theme="1"/>
        <rFont val="Calibri"/>
      </rPr>
      <t>N</t>
    </r>
    <r>
      <rPr>
        <b/>
        <vertAlign val="subscript"/>
        <sz val="8"/>
        <color theme="1"/>
        <rFont val="Calibri"/>
      </rPr>
      <t>2</t>
    </r>
    <r>
      <rPr>
        <b/>
        <sz val="8"/>
        <color theme="1"/>
        <rFont val="Calibri"/>
      </rPr>
      <t>O Emissions  (MMTCE)</t>
    </r>
  </si>
  <si>
    <r>
      <rPr>
        <b/>
        <sz val="8"/>
        <color theme="1"/>
        <rFont val="Calibri"/>
      </rPr>
      <t>N</t>
    </r>
    <r>
      <rPr>
        <b/>
        <vertAlign val="subscript"/>
        <sz val="8"/>
        <color theme="1"/>
        <rFont val="Calibri"/>
      </rPr>
      <t>2</t>
    </r>
    <r>
      <rPr>
        <b/>
        <sz val="8"/>
        <color theme="1"/>
        <rFont val="Calibri"/>
      </rPr>
      <t>O Emissions  (MMTCO</t>
    </r>
    <r>
      <rPr>
        <b/>
        <vertAlign val="subscript"/>
        <sz val="8"/>
        <color theme="1"/>
        <rFont val="Calibri"/>
      </rPr>
      <t>2</t>
    </r>
    <r>
      <rPr>
        <b/>
        <sz val="8"/>
        <color theme="1"/>
        <rFont val="Calibri"/>
      </rPr>
      <t>E)</t>
    </r>
  </si>
  <si>
    <t>TOTAL AGRICULTURE</t>
  </si>
  <si>
    <r>
      <rPr>
        <b/>
        <sz val="9"/>
        <color theme="1"/>
        <rFont val="Calibri"/>
      </rPr>
      <t>Emissions (MMTCO</t>
    </r>
    <r>
      <rPr>
        <b/>
        <vertAlign val="subscript"/>
        <sz val="9"/>
        <color theme="1"/>
        <rFont val="Calibri"/>
      </rPr>
      <t xml:space="preserve">2 </t>
    </r>
    <r>
      <rPr>
        <b/>
        <sz val="9"/>
        <color theme="1"/>
        <rFont val="Calibri"/>
      </rPr>
      <t>Eq.)</t>
    </r>
  </si>
  <si>
    <r>
      <rPr>
        <b/>
        <sz val="9"/>
        <color theme="1"/>
        <rFont val="Calibri"/>
      </rPr>
      <t>2014
MMTCO</t>
    </r>
    <r>
      <rPr>
        <b/>
        <vertAlign val="subscript"/>
        <sz val="9"/>
        <color theme="1"/>
        <rFont val="Calibri"/>
      </rPr>
      <t>2</t>
    </r>
    <r>
      <rPr>
        <b/>
        <sz val="9"/>
        <color theme="1"/>
        <rFont val="Calibri"/>
      </rPr>
      <t>E</t>
    </r>
  </si>
  <si>
    <t>Ag Soils</t>
  </si>
  <si>
    <t>Rice Cultivation</t>
  </si>
  <si>
    <t>Agricultural Residue Burning</t>
  </si>
  <si>
    <r>
      <rPr>
        <b/>
        <sz val="9"/>
        <color theme="1"/>
        <rFont val="Calibri"/>
      </rPr>
      <t>Emissions by Gas 
(MMTCH</t>
    </r>
    <r>
      <rPr>
        <b/>
        <vertAlign val="subscript"/>
        <sz val="9"/>
        <color theme="1"/>
        <rFont val="Calibri"/>
      </rPr>
      <t>4</t>
    </r>
    <r>
      <rPr>
        <b/>
        <sz val="9"/>
        <color theme="1"/>
        <rFont val="Calibri"/>
      </rPr>
      <t xml:space="preserve"> or MMTN</t>
    </r>
    <r>
      <rPr>
        <b/>
        <vertAlign val="subscript"/>
        <sz val="9"/>
        <color theme="1"/>
        <rFont val="Calibri"/>
      </rPr>
      <t>2</t>
    </r>
    <r>
      <rPr>
        <b/>
        <sz val="9"/>
        <color theme="1"/>
        <rFont val="Calibri"/>
      </rPr>
      <t>O)</t>
    </r>
  </si>
  <si>
    <r>
      <rPr>
        <b/>
        <sz val="9"/>
        <color theme="1"/>
        <rFont val="Calibri"/>
      </rPr>
      <t>2014
MMTCO</t>
    </r>
    <r>
      <rPr>
        <b/>
        <vertAlign val="subscript"/>
        <sz val="9"/>
        <color theme="1"/>
        <rFont val="Calibri"/>
      </rPr>
      <t>2</t>
    </r>
    <r>
      <rPr>
        <b/>
        <sz val="9"/>
        <color theme="1"/>
        <rFont val="Calibri"/>
      </rPr>
      <t>E</t>
    </r>
  </si>
  <si>
    <t>Methane</t>
  </si>
  <si>
    <t>Nitrous Oxide</t>
  </si>
  <si>
    <r>
      <rPr>
        <b/>
        <sz val="9"/>
        <color theme="1"/>
        <rFont val="Calibri"/>
      </rPr>
      <t>Nitrous Oxide Emissions from Ag Soils (metric tons N</t>
    </r>
    <r>
      <rPr>
        <b/>
        <vertAlign val="subscript"/>
        <sz val="9"/>
        <color theme="1"/>
        <rFont val="Calibri"/>
      </rPr>
      <t>2</t>
    </r>
    <r>
      <rPr>
        <b/>
        <sz val="9"/>
        <color theme="1"/>
        <rFont val="Calibri"/>
      </rPr>
      <t>O)</t>
    </r>
  </si>
  <si>
    <t>Direct</t>
  </si>
  <si>
    <t>Fertilizers</t>
  </si>
  <si>
    <t>Crop Residues</t>
  </si>
  <si>
    <t>N-Fixing Crops</t>
  </si>
  <si>
    <t>Histosols</t>
  </si>
  <si>
    <t>Livestock</t>
  </si>
  <si>
    <t>Indirect</t>
  </si>
  <si>
    <t>Leaching/Runoff</t>
  </si>
  <si>
    <t>Land Use, Land-Use Change, and Forestry Emissions and Sequestration</t>
  </si>
  <si>
    <r>
      <rPr>
        <b/>
        <sz val="10"/>
        <color theme="1"/>
        <rFont val="Calibri"/>
      </rPr>
      <t>Emissions* (MMTCO</t>
    </r>
    <r>
      <rPr>
        <b/>
        <vertAlign val="subscript"/>
        <sz val="10"/>
        <color theme="1"/>
        <rFont val="Calibri"/>
      </rPr>
      <t>2</t>
    </r>
    <r>
      <rPr>
        <b/>
        <sz val="10"/>
        <color theme="1"/>
        <rFont val="Calibri"/>
      </rPr>
      <t>E)</t>
    </r>
  </si>
  <si>
    <t>Forest Carbon Flux</t>
  </si>
  <si>
    <t>Aboveground Biomass</t>
  </si>
  <si>
    <t>Belowground Biomass</t>
  </si>
  <si>
    <t>Dead Wood</t>
  </si>
  <si>
    <t>Soil Organic Carbon</t>
  </si>
  <si>
    <t>Total wood products and landfills</t>
  </si>
  <si>
    <t>Liming of Agricultural Soils</t>
  </si>
  <si>
    <t>Urea Fertilization</t>
  </si>
  <si>
    <t>Urban Trees</t>
  </si>
  <si>
    <t>Landfilled Yard Trimmings and Food Scraps</t>
  </si>
  <si>
    <t>Grass</t>
  </si>
  <si>
    <t>Leaves</t>
  </si>
  <si>
    <t>Branches</t>
  </si>
  <si>
    <t>Landfilled Food Scraps</t>
  </si>
  <si>
    <r>
      <rPr>
        <i/>
        <sz val="10"/>
        <color theme="1"/>
        <rFont val="Calibri"/>
      </rPr>
      <t>CH</t>
    </r>
    <r>
      <rPr>
        <i/>
        <vertAlign val="subscript"/>
        <sz val="10"/>
        <color theme="1"/>
        <rFont val="Calibri"/>
      </rPr>
      <t>4</t>
    </r>
  </si>
  <si>
    <r>
      <rPr>
        <i/>
        <sz val="10"/>
        <color theme="1"/>
        <rFont val="Calibri"/>
      </rPr>
      <t>N</t>
    </r>
    <r>
      <rPr>
        <i/>
        <vertAlign val="subscript"/>
        <sz val="10"/>
        <color theme="1"/>
        <rFont val="Calibri"/>
      </rPr>
      <t>2</t>
    </r>
    <r>
      <rPr>
        <i/>
        <sz val="10"/>
        <color theme="1"/>
        <rFont val="Calibri"/>
      </rPr>
      <t>O</t>
    </r>
  </si>
  <si>
    <r>
      <rPr>
        <b/>
        <sz val="10"/>
        <color theme="1"/>
        <rFont val="Calibri"/>
      </rPr>
      <t>N</t>
    </r>
    <r>
      <rPr>
        <b/>
        <vertAlign val="subscript"/>
        <sz val="10"/>
        <color theme="1"/>
        <rFont val="Calibri"/>
      </rPr>
      <t>2</t>
    </r>
    <r>
      <rPr>
        <b/>
        <sz val="10"/>
        <color theme="1"/>
        <rFont val="Calibri"/>
      </rPr>
      <t>O from Settlement Soils</t>
    </r>
  </si>
  <si>
    <t>* Note that parentheses indicate net sequestration.</t>
  </si>
  <si>
    <r>
      <rPr>
        <i/>
        <sz val="10"/>
        <color theme="1"/>
        <rFont val="Calibri"/>
      </rPr>
      <t>CH</t>
    </r>
    <r>
      <rPr>
        <i/>
        <vertAlign val="subscript"/>
        <sz val="10"/>
        <color theme="1"/>
        <rFont val="Calibri"/>
      </rPr>
      <t>4</t>
    </r>
  </si>
  <si>
    <r>
      <rPr>
        <i/>
        <sz val="10"/>
        <color theme="1"/>
        <rFont val="Calibri"/>
      </rPr>
      <t>N</t>
    </r>
    <r>
      <rPr>
        <i/>
        <vertAlign val="subscript"/>
        <sz val="10"/>
        <color theme="1"/>
        <rFont val="Calibri"/>
      </rPr>
      <t>2</t>
    </r>
    <r>
      <rPr>
        <i/>
        <sz val="10"/>
        <color theme="1"/>
        <rFont val="Calibri"/>
      </rPr>
      <t>O</t>
    </r>
  </si>
  <si>
    <r>
      <rPr>
        <b/>
        <sz val="10"/>
        <color theme="1"/>
        <rFont val="Calibri"/>
      </rPr>
      <t>N</t>
    </r>
    <r>
      <rPr>
        <b/>
        <vertAlign val="subscript"/>
        <sz val="10"/>
        <color theme="1"/>
        <rFont val="Calibri"/>
      </rPr>
      <t>2</t>
    </r>
    <r>
      <rPr>
        <b/>
        <sz val="10"/>
        <color theme="1"/>
        <rFont val="Calibri"/>
      </rPr>
      <t>O from Settlement Soils</t>
    </r>
  </si>
  <si>
    <t>Maryland GHG Emissions by Sectors</t>
  </si>
  <si>
    <t>Final</t>
  </si>
  <si>
    <r>
      <t>MMtCO</t>
    </r>
    <r>
      <rPr>
        <b/>
        <vertAlign val="subscript"/>
        <sz val="11"/>
        <color rgb="FFFFFFFF"/>
        <rFont val="Calibri"/>
        <family val="2"/>
      </rPr>
      <t>2</t>
    </r>
    <r>
      <rPr>
        <b/>
        <sz val="11"/>
        <color rgb="FFFFFFFF"/>
        <rFont val="Calibri"/>
        <family val="2"/>
      </rPr>
      <t>e</t>
    </r>
  </si>
  <si>
    <r>
      <t>Energy Use (CO</t>
    </r>
    <r>
      <rPr>
        <b/>
        <vertAlign val="subscript"/>
        <sz val="11"/>
        <color theme="1"/>
        <rFont val="Calibri"/>
        <family val="2"/>
      </rPr>
      <t>2</t>
    </r>
    <r>
      <rPr>
        <b/>
        <sz val="11"/>
        <color theme="1"/>
        <rFont val="Calibri"/>
        <family val="2"/>
      </rPr>
      <t>, CH</t>
    </r>
    <r>
      <rPr>
        <b/>
        <vertAlign val="subscript"/>
        <sz val="11"/>
        <color theme="1"/>
        <rFont val="Calibri"/>
        <family val="2"/>
      </rPr>
      <t>4</t>
    </r>
    <r>
      <rPr>
        <b/>
        <sz val="11"/>
        <color theme="1"/>
        <rFont val="Calibri"/>
        <family val="2"/>
      </rPr>
      <t>, N</t>
    </r>
    <r>
      <rPr>
        <b/>
        <vertAlign val="subscript"/>
        <sz val="11"/>
        <color theme="1"/>
        <rFont val="Calibri"/>
        <family val="2"/>
      </rPr>
      <t>2</t>
    </r>
    <r>
      <rPr>
        <b/>
        <sz val="11"/>
        <color theme="1"/>
        <rFont val="Calibri"/>
        <family val="2"/>
      </rPr>
      <t>O)</t>
    </r>
  </si>
  <si>
    <r>
      <t>Electricity Use (Consumption)</t>
    </r>
    <r>
      <rPr>
        <b/>
        <vertAlign val="superscript"/>
        <sz val="11"/>
        <color theme="1"/>
        <rFont val="Calibri"/>
        <family val="2"/>
      </rPr>
      <t>b</t>
    </r>
  </si>
  <si>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</si>
  <si>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</si>
  <si>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</si>
  <si>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r>
      <t>HFC, PFC, SF</t>
    </r>
    <r>
      <rPr>
        <vertAlign val="subscript"/>
        <sz val="11"/>
        <color theme="1"/>
        <rFont val="Calibri"/>
        <family val="2"/>
      </rPr>
      <t>6</t>
    </r>
  </si>
  <si>
    <r>
      <t>1 m</t>
    </r>
    <r>
      <rPr>
        <vertAlign val="superscript"/>
        <sz val="11"/>
        <rFont val="Calibri"/>
        <family val="2"/>
      </rPr>
      <t>3</t>
    </r>
    <r>
      <rPr>
        <sz val="11"/>
        <rFont val="Calibri"/>
        <family val="2"/>
      </rPr>
      <t xml:space="preserve"> =35.31 ft</t>
    </r>
    <r>
      <rPr>
        <vertAlign val="superscript"/>
        <sz val="11"/>
        <rFont val="Calibri"/>
        <family val="2"/>
      </rPr>
      <t>3</t>
    </r>
  </si>
  <si>
    <t>Alpha Ridge Landfill</t>
  </si>
  <si>
    <t>Landfill Gas to Energy Emissions</t>
  </si>
  <si>
    <t>Site- Specific LFG Flows (MM scf/yr)</t>
  </si>
  <si>
    <r>
      <rPr>
        <b/>
        <sz val="11"/>
        <color theme="1"/>
        <rFont val="Calibri"/>
        <family val="2"/>
        <scheme val="major"/>
      </rPr>
      <t>Site -Specific CH</t>
    </r>
    <r>
      <rPr>
        <b/>
        <vertAlign val="subscript"/>
        <sz val="11"/>
        <color theme="1"/>
        <rFont val="Calibri"/>
        <family val="2"/>
        <scheme val="major"/>
      </rPr>
      <t>4</t>
    </r>
    <r>
      <rPr>
        <b/>
        <sz val="11"/>
        <color theme="1"/>
        <rFont val="Calibri"/>
        <family val="2"/>
        <scheme val="major"/>
      </rPr>
      <t xml:space="preserve"> Flow (MM scf / yr)</t>
    </r>
  </si>
  <si>
    <r>
      <t>Total -Site -Specific CH</t>
    </r>
    <r>
      <rPr>
        <b/>
        <vertAlign val="subscript"/>
        <sz val="11"/>
        <color rgb="FF00CCFF"/>
        <rFont val="Calibri"/>
        <family val="2"/>
        <scheme val="major"/>
      </rPr>
      <t>4</t>
    </r>
    <r>
      <rPr>
        <b/>
        <sz val="11"/>
        <color rgb="FF00CCFF"/>
        <rFont val="Calibri"/>
        <family val="2"/>
        <scheme val="major"/>
      </rPr>
      <t xml:space="preserve"> Flow (MM scf / yr)</t>
    </r>
  </si>
  <si>
    <r>
      <t>Site -Specific CH</t>
    </r>
    <r>
      <rPr>
        <b/>
        <vertAlign val="subscript"/>
        <sz val="11"/>
        <rFont val="Calibri"/>
        <family val="2"/>
        <scheme val="major"/>
      </rPr>
      <t>4</t>
    </r>
    <r>
      <rPr>
        <b/>
        <sz val="11"/>
        <rFont val="Calibri"/>
        <family val="2"/>
        <scheme val="major"/>
      </rPr>
      <t xml:space="preserve"> Flow (short tons/yr)</t>
    </r>
  </si>
  <si>
    <t>Fugitive CO2 Emissions from Landfill (m3/yr)</t>
  </si>
  <si>
    <t>Fugitive CO2 Emissions from Landfill (tons/yr)</t>
  </si>
  <si>
    <t>Amount of CH4 Removed By Oxidation (tons)</t>
  </si>
  <si>
    <r>
      <t>CO</t>
    </r>
    <r>
      <rPr>
        <b/>
        <vertAlign val="subscript"/>
        <sz val="9"/>
        <rFont val="Arial"/>
        <family val="2"/>
      </rPr>
      <t>2</t>
    </r>
    <r>
      <rPr>
        <b/>
        <sz val="9"/>
        <rFont val="Arial"/>
        <family val="2"/>
      </rPr>
      <t xml:space="preserve"> Generation (short tons) LandGEM 3.0</t>
    </r>
  </si>
  <si>
    <r>
      <t>CH</t>
    </r>
    <r>
      <rPr>
        <b/>
        <vertAlign val="subscript"/>
        <sz val="9"/>
        <rFont val="Arial"/>
        <family val="2"/>
      </rPr>
      <t>4</t>
    </r>
    <r>
      <rPr>
        <b/>
        <sz val="9"/>
        <rFont val="Arial"/>
        <family val="2"/>
      </rPr>
      <t xml:space="preserve"> Generation (short tons/yr) LandGEM 3.0</t>
    </r>
  </si>
  <si>
    <r>
      <t>CO</t>
    </r>
    <r>
      <rPr>
        <b/>
        <vertAlign val="subscript"/>
        <sz val="9"/>
        <rFont val="Arial"/>
        <family val="2"/>
      </rPr>
      <t>2</t>
    </r>
    <r>
      <rPr>
        <b/>
        <sz val="9"/>
        <rFont val="Arial"/>
        <family val="2"/>
      </rPr>
      <t xml:space="preserve"> Generated from CH4 Combustion, tons</t>
    </r>
  </si>
  <si>
    <r>
      <t>Uncombusted CH</t>
    </r>
    <r>
      <rPr>
        <b/>
        <vertAlign val="subscript"/>
        <sz val="9"/>
        <rFont val="Arial"/>
        <family val="2"/>
      </rPr>
      <t xml:space="preserve">4 </t>
    </r>
    <r>
      <rPr>
        <b/>
        <sz val="9"/>
        <rFont val="Arial"/>
        <family val="2"/>
      </rPr>
      <t xml:space="preserve"> (Flare Emission, tons)  </t>
    </r>
  </si>
  <si>
    <r>
      <t>Fugitive Landfill CH</t>
    </r>
    <r>
      <rPr>
        <b/>
        <vertAlign val="subscript"/>
        <sz val="9"/>
        <rFont val="Arial"/>
        <family val="2"/>
      </rPr>
      <t>4</t>
    </r>
    <r>
      <rPr>
        <b/>
        <sz val="9"/>
        <rFont val="Arial"/>
        <family val="2"/>
      </rPr>
      <t xml:space="preserve"> Emission (tons)</t>
    </r>
  </si>
  <si>
    <t>Midshore II Regional Municipal LF</t>
  </si>
  <si>
    <t>Newland Park Municipal LF - Wicomico County Landfill</t>
  </si>
  <si>
    <t>Central Municipal LF- Worcester County Sanitary Landfill</t>
  </si>
  <si>
    <t>Midshore I Regional Landfill</t>
  </si>
  <si>
    <t>Quarantine Road Municipal Landfill</t>
  </si>
  <si>
    <t>Average Acceptance / Yearly Disposal (Mg/yr)</t>
  </si>
  <si>
    <r>
      <t>CH</t>
    </r>
    <r>
      <rPr>
        <b/>
        <vertAlign val="subscript"/>
        <sz val="9"/>
        <color theme="1"/>
        <rFont val="Arial"/>
        <family val="2"/>
      </rPr>
      <t>4</t>
    </r>
    <r>
      <rPr>
        <b/>
        <sz val="9"/>
        <color theme="1"/>
        <rFont val="Arial"/>
        <family val="2"/>
      </rPr>
      <t xml:space="preserve"> Collection Efficiency (%)</t>
    </r>
  </si>
  <si>
    <r>
      <t>CH</t>
    </r>
    <r>
      <rPr>
        <b/>
        <vertAlign val="subscript"/>
        <sz val="9"/>
        <rFont val="Arial"/>
        <family val="2"/>
      </rPr>
      <t>4</t>
    </r>
    <r>
      <rPr>
        <b/>
        <sz val="9"/>
        <rFont val="Arial"/>
        <family val="2"/>
      </rPr>
      <t xml:space="preserve"> Collected (tons)</t>
    </r>
  </si>
  <si>
    <t>Amount of CH4 Flared (tons)</t>
  </si>
  <si>
    <r>
      <t>Uncollected Landfill CH</t>
    </r>
    <r>
      <rPr>
        <b/>
        <vertAlign val="subscript"/>
        <sz val="9"/>
        <rFont val="Arial"/>
        <family val="2"/>
      </rPr>
      <t>4</t>
    </r>
  </si>
  <si>
    <t xml:space="preserve">Total CH4 Emission, tons </t>
  </si>
  <si>
    <t xml:space="preserve">Total methane emissions (CO2e) </t>
  </si>
  <si>
    <t>Total GHG Emissions (tons)</t>
  </si>
  <si>
    <r>
      <t>MSW Generation (short ton CH</t>
    </r>
    <r>
      <rPr>
        <vertAlign val="subscript"/>
        <sz val="10"/>
        <color theme="1"/>
        <rFont val="Arial"/>
        <family val="2"/>
      </rPr>
      <t>4</t>
    </r>
    <r>
      <rPr>
        <sz val="10"/>
        <color theme="1"/>
        <rFont val="Arial"/>
        <family val="2"/>
      </rPr>
      <t>)</t>
    </r>
  </si>
  <si>
    <r>
      <t>Flared CH</t>
    </r>
    <r>
      <rPr>
        <vertAlign val="subscript"/>
        <sz val="10"/>
        <color theme="1"/>
        <rFont val="Arial"/>
        <family val="2"/>
      </rPr>
      <t>4</t>
    </r>
    <r>
      <rPr>
        <sz val="10"/>
        <color theme="1"/>
        <rFont val="Arial"/>
        <family val="2"/>
      </rPr>
      <t xml:space="preserve"> (tons)</t>
    </r>
  </si>
  <si>
    <r>
      <t>CH</t>
    </r>
    <r>
      <rPr>
        <vertAlign val="subscript"/>
        <sz val="10"/>
        <color theme="1"/>
        <rFont val="Arial"/>
        <family val="2"/>
      </rPr>
      <t>4</t>
    </r>
    <r>
      <rPr>
        <sz val="10"/>
        <color theme="1"/>
        <rFont val="Arial"/>
        <family val="2"/>
      </rPr>
      <t xml:space="preserve"> GWP</t>
    </r>
  </si>
  <si>
    <r>
      <t>MSW Generation ( MTCO</t>
    </r>
    <r>
      <rPr>
        <b/>
        <vertAlign val="subscript"/>
        <sz val="10"/>
        <color theme="1"/>
        <rFont val="Arial"/>
        <family val="2"/>
      </rPr>
      <t>2</t>
    </r>
    <r>
      <rPr>
        <b/>
        <sz val="10"/>
        <color theme="1"/>
        <rFont val="Arial"/>
        <family val="2"/>
      </rPr>
      <t>E)</t>
    </r>
  </si>
  <si>
    <r>
      <t>Flared CH</t>
    </r>
    <r>
      <rPr>
        <b/>
        <vertAlign val="subscript"/>
        <sz val="10"/>
        <color theme="1"/>
        <rFont val="Arial"/>
        <family val="2"/>
      </rPr>
      <t>4</t>
    </r>
    <r>
      <rPr>
        <b/>
        <sz val="10"/>
        <color theme="1"/>
        <rFont val="Arial"/>
        <family val="2"/>
      </rPr>
      <t xml:space="preserve"> (MTCO</t>
    </r>
    <r>
      <rPr>
        <b/>
        <vertAlign val="subscript"/>
        <sz val="10"/>
        <color theme="1"/>
        <rFont val="Arial"/>
        <family val="2"/>
      </rPr>
      <t>2</t>
    </r>
    <r>
      <rPr>
        <b/>
        <sz val="10"/>
        <color theme="1"/>
        <rFont val="Arial"/>
        <family val="2"/>
      </rPr>
      <t>E)</t>
    </r>
  </si>
  <si>
    <r>
      <t>Landfill Gas-to-Energy (MTCO</t>
    </r>
    <r>
      <rPr>
        <b/>
        <vertAlign val="subscript"/>
        <sz val="10"/>
        <color theme="1"/>
        <rFont val="Arial"/>
        <family val="2"/>
      </rPr>
      <t>2</t>
    </r>
    <r>
      <rPr>
        <b/>
        <sz val="10"/>
        <color theme="1"/>
        <rFont val="Arial"/>
        <family val="2"/>
      </rPr>
      <t>E)</t>
    </r>
  </si>
  <si>
    <r>
      <t>Industrial  Generation (MTCO</t>
    </r>
    <r>
      <rPr>
        <b/>
        <vertAlign val="subscript"/>
        <sz val="10"/>
        <color theme="1"/>
        <rFont val="Arial"/>
        <family val="2"/>
      </rPr>
      <t>2</t>
    </r>
    <r>
      <rPr>
        <b/>
        <sz val="10"/>
        <color theme="1"/>
        <rFont val="Arial"/>
        <family val="2"/>
      </rPr>
      <t>E)</t>
    </r>
  </si>
  <si>
    <r>
      <t>Potential CH</t>
    </r>
    <r>
      <rPr>
        <b/>
        <vertAlign val="subscript"/>
        <sz val="10"/>
        <color theme="1"/>
        <rFont val="Arial"/>
        <family val="2"/>
      </rPr>
      <t xml:space="preserve">4 </t>
    </r>
    <r>
      <rPr>
        <b/>
        <sz val="10"/>
        <color theme="1"/>
        <rFont val="Arial"/>
        <family val="2"/>
      </rPr>
      <t>(MTCO</t>
    </r>
    <r>
      <rPr>
        <b/>
        <vertAlign val="subscript"/>
        <sz val="10"/>
        <color theme="1"/>
        <rFont val="Arial"/>
        <family val="2"/>
      </rPr>
      <t>2</t>
    </r>
    <r>
      <rPr>
        <b/>
        <sz val="10"/>
        <color theme="1"/>
        <rFont val="Arial"/>
        <family val="2"/>
      </rPr>
      <t>E)</t>
    </r>
  </si>
  <si>
    <r>
      <t>CH</t>
    </r>
    <r>
      <rPr>
        <b/>
        <vertAlign val="subscript"/>
        <sz val="10"/>
        <color theme="1"/>
        <rFont val="Arial"/>
        <family val="2"/>
      </rPr>
      <t>4</t>
    </r>
    <r>
      <rPr>
        <b/>
        <sz val="10"/>
        <color theme="1"/>
        <rFont val="Arial"/>
        <family val="2"/>
      </rPr>
      <t xml:space="preserve"> Avoided (MTCO</t>
    </r>
    <r>
      <rPr>
        <b/>
        <vertAlign val="subscript"/>
        <sz val="10"/>
        <color theme="1"/>
        <rFont val="Arial"/>
        <family val="2"/>
      </rPr>
      <t>2</t>
    </r>
    <r>
      <rPr>
        <b/>
        <sz val="10"/>
        <color theme="1"/>
        <rFont val="Arial"/>
        <family val="2"/>
      </rPr>
      <t>E)</t>
    </r>
  </si>
  <si>
    <t>Landfill Gas-to-Energy (MTCE)</t>
  </si>
  <si>
    <r>
      <t>Potential CH</t>
    </r>
    <r>
      <rPr>
        <b/>
        <vertAlign val="subscript"/>
        <sz val="10"/>
        <color theme="1"/>
        <rFont val="Arial"/>
        <family val="2"/>
      </rPr>
      <t xml:space="preserve">4 </t>
    </r>
    <r>
      <rPr>
        <b/>
        <sz val="10"/>
        <color theme="1"/>
        <rFont val="Arial"/>
        <family val="2"/>
      </rPr>
      <t>(MTCE)</t>
    </r>
  </si>
  <si>
    <r>
      <t>CH</t>
    </r>
    <r>
      <rPr>
        <b/>
        <vertAlign val="subscript"/>
        <sz val="10"/>
        <color theme="1"/>
        <rFont val="Arial"/>
        <family val="2"/>
      </rPr>
      <t>4</t>
    </r>
    <r>
      <rPr>
        <b/>
        <sz val="10"/>
        <color theme="1"/>
        <rFont val="Arial"/>
        <family val="2"/>
      </rPr>
      <t xml:space="preserve"> Avoided (MTCE)</t>
    </r>
  </si>
  <si>
    <r>
      <t>Oxidation at MSW Landfills (MTCO</t>
    </r>
    <r>
      <rPr>
        <b/>
        <vertAlign val="subscript"/>
        <sz val="10"/>
        <color theme="1"/>
        <rFont val="Arial"/>
        <family val="2"/>
      </rPr>
      <t>2</t>
    </r>
    <r>
      <rPr>
        <b/>
        <sz val="10"/>
        <color theme="1"/>
        <rFont val="Arial"/>
        <family val="2"/>
      </rPr>
      <t>E)</t>
    </r>
  </si>
  <si>
    <t>Oxidation at MSW Landfills (MTCE)</t>
  </si>
  <si>
    <r>
      <t>Oxidation at Industrial Landfills (MTCO</t>
    </r>
    <r>
      <rPr>
        <b/>
        <vertAlign val="subscript"/>
        <sz val="10"/>
        <color theme="1"/>
        <rFont val="Arial"/>
        <family val="2"/>
      </rPr>
      <t>2</t>
    </r>
    <r>
      <rPr>
        <b/>
        <sz val="10"/>
        <color theme="1"/>
        <rFont val="Arial"/>
        <family val="2"/>
      </rPr>
      <t>E)</t>
    </r>
  </si>
  <si>
    <t>Oxidation at Industrial Landfills (MTCE)</t>
  </si>
  <si>
    <r>
      <t>CO</t>
    </r>
    <r>
      <rPr>
        <b/>
        <vertAlign val="subscript"/>
        <sz val="10"/>
        <color theme="1"/>
        <rFont val="Arial"/>
        <family val="2"/>
      </rPr>
      <t>2</t>
    </r>
    <r>
      <rPr>
        <b/>
        <sz val="10"/>
        <color theme="1"/>
        <rFont val="Arial"/>
        <family val="2"/>
      </rPr>
      <t xml:space="preserve"> Emission from (Flaring + LFGTE) (MMTCO</t>
    </r>
    <r>
      <rPr>
        <b/>
        <vertAlign val="subscript"/>
        <sz val="10"/>
        <color theme="1"/>
        <rFont val="Arial"/>
        <family val="2"/>
      </rPr>
      <t>2</t>
    </r>
    <r>
      <rPr>
        <b/>
        <sz val="10"/>
        <color theme="1"/>
        <rFont val="Arial"/>
        <family val="2"/>
      </rPr>
      <t>E)</t>
    </r>
  </si>
  <si>
    <r>
      <t>Total CH</t>
    </r>
    <r>
      <rPr>
        <b/>
        <vertAlign val="subscript"/>
        <sz val="10"/>
        <color rgb="FFFF0000"/>
        <rFont val="Arial"/>
        <family val="2"/>
      </rPr>
      <t>4</t>
    </r>
    <r>
      <rPr>
        <b/>
        <sz val="10"/>
        <color rgb="FFFF0000"/>
        <rFont val="Arial"/>
        <family val="2"/>
      </rPr>
      <t xml:space="preserve"> Emissions (MMTCO</t>
    </r>
    <r>
      <rPr>
        <b/>
        <vertAlign val="subscript"/>
        <sz val="10"/>
        <color rgb="FFFF0000"/>
        <rFont val="Arial"/>
        <family val="2"/>
      </rPr>
      <t>2</t>
    </r>
    <r>
      <rPr>
        <b/>
        <sz val="10"/>
        <color rgb="FFFF0000"/>
        <rFont val="Arial"/>
        <family val="2"/>
      </rPr>
      <t>E)</t>
    </r>
  </si>
  <si>
    <r>
      <t>CO</t>
    </r>
    <r>
      <rPr>
        <b/>
        <vertAlign val="subscript"/>
        <sz val="10"/>
        <color rgb="FFFF6600"/>
        <rFont val="Arial"/>
        <family val="2"/>
      </rPr>
      <t>2</t>
    </r>
    <r>
      <rPr>
        <b/>
        <sz val="10"/>
        <color rgb="FFFF6600"/>
        <rFont val="Arial"/>
        <family val="2"/>
      </rPr>
      <t xml:space="preserve"> Emission from (Flaring + LFGTE) (MTCO</t>
    </r>
    <r>
      <rPr>
        <b/>
        <vertAlign val="subscript"/>
        <sz val="10"/>
        <color rgb="FFFF6600"/>
        <rFont val="Arial"/>
        <family val="2"/>
      </rPr>
      <t>2</t>
    </r>
    <r>
      <rPr>
        <b/>
        <sz val="10"/>
        <color rgb="FFFF6600"/>
        <rFont val="Arial"/>
        <family val="2"/>
      </rPr>
      <t>E)</t>
    </r>
  </si>
  <si>
    <t>Total CO2 Emissions from Landfill (Landfill + Flaring+LFGTE)</t>
  </si>
  <si>
    <t>Eastern Municipal Landfill</t>
  </si>
  <si>
    <t>Baltimore County</t>
  </si>
  <si>
    <t>Appeal Municiapl Landfill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</si>
</sst>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1" formatCode="_(* #,##0_);_(* \(#,##0\);_(* &quot;-&quot;_);_(@_)"/>
    <numFmt numFmtId="43" formatCode="_(* #,##0.00_);_(* \(#,##0.00\);_(* &quot;-&quot;??_);_(@_)"/>
    <numFmt numFmtId="164" formatCode="0.000000"/>
    <numFmt numFmtId="165" formatCode="0.0"/>
    <numFmt numFmtId="166" formatCode="_(* #,##0_);_(* \(#,##0\);_(* &quot;-&quot;??_);_(@_)"/>
    <numFmt numFmtId="167" formatCode="_(* #,##0.000_);_(* \(#,##0.000\);_(* &quot;-&quot;??_);_(@_)"/>
    <numFmt numFmtId="168" formatCode="_(* #,##0.0000_);_(* \(#,##0.0000\);_(* &quot;-&quot;??_);_(@_)"/>
    <numFmt numFmtId="169" formatCode="#,##0.000_);\(#,##0.000\)"/>
    <numFmt numFmtId="170" formatCode="_(* #,##0.0_);_(* \(#,##0.0\);_(* &quot;-&quot;??_);_(@_)"/>
    <numFmt numFmtId="171" formatCode="#,##0.0_);\(#,##0.0\)"/>
    <numFmt numFmtId="172" formatCode="0.0000"/>
    <numFmt numFmtId="173" formatCode="0.000"/>
    <numFmt numFmtId="174" formatCode="_(* #,##0.000000_);_(* \(#,##0.000000\);_(* &quot;-&quot;??_);_(@_)"/>
    <numFmt numFmtId="175" formatCode="0.00000"/>
    <numFmt numFmtId="176" formatCode="0.0000000"/>
    <numFmt numFmtId="177" formatCode="_(* #,##0.000000_);_(* \(#,##0.000000\);_(* &quot;-&quot;??????_);_(@_)"/>
    <numFmt numFmtId="178" formatCode="0.0%"/>
    <numFmt numFmtId="179" formatCode="0.000_)"/>
    <numFmt numFmtId="180" formatCode="0.0000_)"/>
    <numFmt numFmtId="181" formatCode="0.0000000000"/>
    <numFmt numFmtId="182" formatCode="0.00_)"/>
    <numFmt numFmtId="183" formatCode="0.000000000"/>
    <numFmt numFmtId="184" formatCode="#,##0.000000_);\(#,##0.000000\)"/>
    <numFmt numFmtId="185" formatCode="0.00000000"/>
    <numFmt numFmtId="186" formatCode="#,##0.0000_);\(#,##0.0000\)"/>
    <numFmt numFmtId="187" formatCode="_-* #,##0_-;\-* #,##0_-;_-* &quot;-&quot;??_-;_-@"/>
    <numFmt numFmtId="188" formatCode="_-* #,##0.0_-;\-* #,##0.0_-;_-* &quot;-&quot;??_-;_-@"/>
    <numFmt numFmtId="189" formatCode="_-* #,##0.00_-;\-* #,##0.00_-;_-* &quot;-&quot;??_-;_-@"/>
    <numFmt numFmtId="190" formatCode="0.0000%"/>
    <numFmt numFmtId="191" formatCode="_-* #,##0.000_-;\-* #,##0.000_-;_-* &quot;-&quot;??_-;_-@"/>
    <numFmt numFmtId="192" formatCode="_(* #,##0.00000_);_(* \(#,##0.00000\);_(* &quot;-&quot;??_);_(@_)"/>
    <numFmt numFmtId="193" formatCode="_(* #,##0.0000000_);_(* \(#,##0.0000000\);_(* &quot;-&quot;??_);_(@_)"/>
    <numFmt numFmtId="194" formatCode="#,##0.00000_);\(#,##0.00000\)"/>
    <numFmt numFmtId="195" formatCode="0E+00"/>
    <numFmt numFmtId="196" formatCode="_(* #,##0.00000000_);_(* \(#,##0.00000000\);_(* &quot;-&quot;????????_);_(@_)"/>
    <numFmt numFmtId="197" formatCode="#,##0.0"/>
    <numFmt numFmtId="198" formatCode="0.00000000000000000%"/>
    <numFmt numFmtId="199" formatCode="0_)"/>
  </numFmts>
  <fonts count="211" x14ac:knownFonts="1">
    <font>
      <sz val="8"/>
      <color rgb="FF000000"/>
      <name val="Arial"/>
    </font>
    <font>
      <b/>
      <sz val="14"/>
      <color theme="1"/>
      <name val="Calibri"/>
    </font>
    <font>
      <sz val="14"/>
      <color theme="1"/>
      <name val="Calibri"/>
    </font>
    <font>
      <sz val="11"/>
      <color theme="1"/>
      <name val="Calibri"/>
    </font>
    <font>
      <sz val="8"/>
      <color theme="1"/>
      <name val="Arial"/>
    </font>
    <font>
      <sz val="8"/>
      <color theme="1"/>
      <name val="Calibri"/>
    </font>
    <font>
      <sz val="8"/>
      <name val="Arial"/>
    </font>
    <font>
      <sz val="7"/>
      <color theme="1"/>
      <name val="Arial"/>
    </font>
    <font>
      <b/>
      <sz val="11"/>
      <color theme="1"/>
      <name val="Calibri"/>
    </font>
    <font>
      <sz val="8"/>
      <color rgb="FFFF0000"/>
      <name val="Arial"/>
    </font>
    <font>
      <sz val="10"/>
      <color theme="1"/>
      <name val="Calibri"/>
    </font>
    <font>
      <b/>
      <sz val="11"/>
      <color rgb="FFFF0000"/>
      <name val="Calibri"/>
    </font>
    <font>
      <sz val="14"/>
      <color theme="1"/>
      <name val="Comic Sans MS"/>
    </font>
    <font>
      <b/>
      <sz val="10"/>
      <color theme="1"/>
      <name val="Calibri"/>
    </font>
    <font>
      <b/>
      <sz val="10"/>
      <color rgb="FF0000FF"/>
      <name val="Calibri"/>
    </font>
    <font>
      <sz val="10"/>
      <color rgb="FFFF0000"/>
      <name val="Calibri"/>
    </font>
    <font>
      <b/>
      <sz val="10"/>
      <color rgb="FFFF0000"/>
      <name val="Calibri"/>
    </font>
    <font>
      <b/>
      <sz val="10"/>
      <color rgb="FF0066CC"/>
      <name val="Calibri"/>
    </font>
    <font>
      <sz val="10"/>
      <color rgb="FF0066CC"/>
      <name val="Calibri"/>
    </font>
    <font>
      <sz val="10"/>
      <color rgb="FF000000"/>
      <name val="Calibri"/>
    </font>
    <font>
      <b/>
      <sz val="10"/>
      <color rgb="FF000000"/>
      <name val="Calibri"/>
    </font>
    <font>
      <sz val="10"/>
      <color theme="1"/>
      <name val="Arial"/>
    </font>
    <font>
      <b/>
      <sz val="10"/>
      <color theme="1"/>
      <name val="Arial"/>
    </font>
    <font>
      <sz val="10"/>
      <color rgb="FFFF0000"/>
      <name val="Arial"/>
    </font>
    <font>
      <b/>
      <sz val="10"/>
      <color rgb="FFFF0000"/>
      <name val="Arial"/>
    </font>
    <font>
      <b/>
      <sz val="8"/>
      <color theme="1"/>
      <name val="Arial"/>
    </font>
    <font>
      <b/>
      <sz val="11"/>
      <color rgb="FF993366"/>
      <name val="Calibri"/>
    </font>
    <font>
      <b/>
      <sz val="11"/>
      <color rgb="FF993300"/>
      <name val="Calibri"/>
    </font>
    <font>
      <sz val="8"/>
      <color theme="1"/>
      <name val="Calibri"/>
    </font>
    <font>
      <i/>
      <sz val="26"/>
      <color theme="1"/>
      <name val="Engravers mt"/>
    </font>
    <font>
      <b/>
      <sz val="10"/>
      <color theme="1"/>
      <name val="Open Sans"/>
    </font>
    <font>
      <b/>
      <sz val="10"/>
      <color rgb="FF0000FF"/>
      <name val="Open Sans"/>
    </font>
    <font>
      <sz val="10"/>
      <color rgb="FF0000FF"/>
      <name val="Open Sans"/>
    </font>
    <font>
      <sz val="10"/>
      <color theme="1"/>
      <name val="Open Sans"/>
    </font>
    <font>
      <sz val="10"/>
      <color rgb="FFFF0000"/>
      <name val="Open Sans"/>
    </font>
    <font>
      <b/>
      <sz val="10"/>
      <color rgb="FFFF0000"/>
      <name val="Open Sans"/>
    </font>
    <font>
      <b/>
      <sz val="10"/>
      <color rgb="FF993366"/>
      <name val="Open Sans"/>
    </font>
    <font>
      <sz val="10"/>
      <color rgb="FF993366"/>
      <name val="Open Sans"/>
    </font>
    <font>
      <b/>
      <sz val="8"/>
      <color theme="1"/>
      <name val="Open Sans"/>
    </font>
    <font>
      <b/>
      <sz val="16"/>
      <color rgb="FF000000"/>
      <name val="Calibri"/>
    </font>
    <font>
      <sz val="16"/>
      <color rgb="FF000000"/>
      <name val="Calibri"/>
    </font>
    <font>
      <sz val="16"/>
      <color rgb="FFFF0000"/>
      <name val="Calibri"/>
    </font>
    <font>
      <b/>
      <sz val="11"/>
      <color rgb="FF0000FF"/>
      <name val="Calibri"/>
    </font>
    <font>
      <sz val="11"/>
      <color rgb="FF0000FF"/>
      <name val="Calibri"/>
    </font>
    <font>
      <b/>
      <sz val="8"/>
      <color rgb="FFFF0000"/>
      <name val="Arial"/>
    </font>
    <font>
      <sz val="7"/>
      <color rgb="FFFFFFFF"/>
      <name val="Arial"/>
    </font>
    <font>
      <sz val="7"/>
      <color rgb="FF000000"/>
      <name val="Comic Sans MS"/>
    </font>
    <font>
      <sz val="7"/>
      <color rgb="FF000000"/>
      <name val="Arial"/>
    </font>
    <font>
      <sz val="14"/>
      <color rgb="FF000000"/>
      <name val="Calibri"/>
    </font>
    <font>
      <sz val="14"/>
      <color rgb="FF000000"/>
      <name val="Comic Sans MS"/>
    </font>
    <font>
      <sz val="8"/>
      <color rgb="FF000000"/>
      <name val="Comic Sans MS"/>
    </font>
    <font>
      <b/>
      <sz val="8"/>
      <color rgb="FF000000"/>
      <name val="Arial"/>
    </font>
    <font>
      <sz val="12"/>
      <color theme="1"/>
      <name val="Arial"/>
    </font>
    <font>
      <sz val="11"/>
      <color rgb="FF000000"/>
      <name val="Calibri"/>
    </font>
    <font>
      <b/>
      <sz val="11"/>
      <color rgb="FF000000"/>
      <name val="Calibri"/>
    </font>
    <font>
      <sz val="10"/>
      <color rgb="FF000000"/>
      <name val="Arial"/>
    </font>
    <font>
      <sz val="8"/>
      <color theme="1"/>
      <name val="Comic Sans MS"/>
    </font>
    <font>
      <b/>
      <sz val="7"/>
      <color theme="1"/>
      <name val="Comic Sans MS"/>
    </font>
    <font>
      <b/>
      <sz val="7"/>
      <color theme="1"/>
      <name val="Arial"/>
    </font>
    <font>
      <u/>
      <sz val="8"/>
      <color theme="10"/>
      <name val="Arial"/>
    </font>
    <font>
      <b/>
      <sz val="7"/>
      <color rgb="FF000000"/>
      <name val="Comic Sans MS"/>
    </font>
    <font>
      <b/>
      <sz val="14"/>
      <color theme="1"/>
      <name val="Comic Sans MS"/>
    </font>
    <font>
      <b/>
      <sz val="8"/>
      <color theme="1"/>
      <name val="Comic Sans MS"/>
    </font>
    <font>
      <sz val="9"/>
      <color theme="1"/>
      <name val="Calibri"/>
    </font>
    <font>
      <b/>
      <sz val="9"/>
      <color theme="1"/>
      <name val="Calibri"/>
    </font>
    <font>
      <sz val="7"/>
      <color theme="1"/>
      <name val="Comic Sans MS"/>
    </font>
    <font>
      <sz val="9"/>
      <color theme="1"/>
      <name val="Times New Roman"/>
    </font>
    <font>
      <b/>
      <sz val="12"/>
      <color theme="1"/>
      <name val="Arial"/>
    </font>
    <font>
      <sz val="8"/>
      <color theme="1"/>
      <name val="Times New Roman"/>
    </font>
    <font>
      <b/>
      <sz val="8"/>
      <color theme="1"/>
      <name val="Times New Roman"/>
    </font>
    <font>
      <sz val="10"/>
      <color theme="1"/>
      <name val="Times New Roman"/>
    </font>
    <font>
      <b/>
      <sz val="10"/>
      <color theme="1"/>
      <name val="Times New Roman"/>
    </font>
    <font>
      <sz val="8"/>
      <color rgb="FFFF0000"/>
      <name val="Times New Roman"/>
    </font>
    <font>
      <b/>
      <sz val="8"/>
      <color rgb="FFFF0000"/>
      <name val="Times New Roman"/>
    </font>
    <font>
      <sz val="11"/>
      <color rgb="FFFF0000"/>
      <name val="Calibri"/>
    </font>
    <font>
      <b/>
      <sz val="11"/>
      <color rgb="FF00CCFF"/>
      <name val="Calibri"/>
    </font>
    <font>
      <b/>
      <sz val="11"/>
      <color rgb="FF008000"/>
      <name val="Calibri"/>
    </font>
    <font>
      <b/>
      <sz val="11"/>
      <color rgb="FFFF6600"/>
      <name val="Calibri"/>
    </font>
    <font>
      <b/>
      <sz val="11"/>
      <color rgb="FF808080"/>
      <name val="Calibri"/>
    </font>
    <font>
      <sz val="11"/>
      <color rgb="FF800080"/>
      <name val="Calibri"/>
    </font>
    <font>
      <sz val="11"/>
      <color rgb="FFFF6600"/>
      <name val="Calibri"/>
    </font>
    <font>
      <sz val="11"/>
      <color rgb="FF808080"/>
      <name val="Calibri"/>
    </font>
    <font>
      <sz val="11"/>
      <color rgb="FF993300"/>
      <name val="Calibri"/>
    </font>
    <font>
      <b/>
      <sz val="7"/>
      <color rgb="FFFF0000"/>
      <name val="Comic Sans MS"/>
    </font>
    <font>
      <sz val="7"/>
      <color rgb="FFFF0000"/>
      <name val="Comic Sans MS"/>
    </font>
    <font>
      <sz val="10"/>
      <color rgb="FFFFFFFF"/>
      <name val="Calibri"/>
    </font>
    <font>
      <b/>
      <sz val="8"/>
      <color theme="1"/>
      <name val="Calibri"/>
    </font>
    <font>
      <b/>
      <sz val="7"/>
      <color theme="1"/>
      <name val="Calibri"/>
    </font>
    <font>
      <sz val="7"/>
      <color theme="1"/>
      <name val="Calibri"/>
    </font>
    <font>
      <b/>
      <i/>
      <sz val="7"/>
      <color theme="1"/>
      <name val="Calibri"/>
    </font>
    <font>
      <b/>
      <sz val="14"/>
      <color rgb="FF000080"/>
      <name val="Calibri"/>
    </font>
    <font>
      <i/>
      <sz val="8"/>
      <color theme="1"/>
      <name val="Calibri"/>
    </font>
    <font>
      <b/>
      <sz val="14"/>
      <color rgb="FF000080"/>
      <name val="Comic Sans MS"/>
    </font>
    <font>
      <sz val="14"/>
      <color theme="1"/>
      <name val="Arial"/>
    </font>
    <font>
      <b/>
      <sz val="12"/>
      <color rgb="FF000000"/>
      <name val="Comic Sans MS"/>
    </font>
    <font>
      <sz val="12"/>
      <color theme="1"/>
      <name val="Comic Sans MS"/>
    </font>
    <font>
      <sz val="7"/>
      <color theme="1"/>
      <name val="@batang"/>
    </font>
    <font>
      <b/>
      <sz val="10"/>
      <color theme="1"/>
      <name val="Comic Sans MS"/>
    </font>
    <font>
      <sz val="10"/>
      <color theme="1"/>
      <name val="Comic Sans MS"/>
    </font>
    <font>
      <sz val="7"/>
      <color rgb="FFFFFFFF"/>
      <name val="Comic Sans MS"/>
    </font>
    <font>
      <sz val="10"/>
      <color rgb="FFFFFFFF"/>
      <name val="Arial"/>
    </font>
    <font>
      <b/>
      <sz val="8"/>
      <color rgb="FFFF0000"/>
      <name val="Calibri"/>
    </font>
    <font>
      <sz val="8"/>
      <color rgb="FF000000"/>
      <name val="Calibri"/>
    </font>
    <font>
      <sz val="8"/>
      <color rgb="FFFF0000"/>
      <name val="Calibri"/>
    </font>
    <font>
      <sz val="8"/>
      <color rgb="FFFFFFFF"/>
      <name val="Calibri"/>
    </font>
    <font>
      <i/>
      <sz val="9"/>
      <color theme="1"/>
      <name val="Calibri"/>
    </font>
    <font>
      <sz val="16"/>
      <color rgb="FF000080"/>
      <name val="Comic Sans MS"/>
    </font>
    <font>
      <i/>
      <sz val="10"/>
      <color theme="1"/>
      <name val="Calibri"/>
    </font>
    <font>
      <b/>
      <i/>
      <sz val="10"/>
      <color theme="1"/>
      <name val="Calibri"/>
    </font>
    <font>
      <b/>
      <vertAlign val="subscript"/>
      <sz val="11"/>
      <color theme="1"/>
      <name val="Calibri"/>
    </font>
    <font>
      <vertAlign val="subscript"/>
      <sz val="11"/>
      <color theme="1"/>
      <name val="Calibri"/>
    </font>
    <font>
      <vertAlign val="subscript"/>
      <sz val="14"/>
      <color theme="1"/>
      <name val="Comic Sans MS"/>
    </font>
    <font>
      <b/>
      <vertAlign val="subscript"/>
      <sz val="10"/>
      <color theme="1"/>
      <name val="Calibri"/>
    </font>
    <font>
      <vertAlign val="subscript"/>
      <sz val="10"/>
      <color theme="1"/>
      <name val="Calibri"/>
    </font>
    <font>
      <b/>
      <vertAlign val="subscript"/>
      <sz val="10"/>
      <color rgb="FF0066CC"/>
      <name val="Calibri"/>
    </font>
    <font>
      <vertAlign val="subscript"/>
      <sz val="10"/>
      <color rgb="FF000000"/>
      <name val="Calibri"/>
    </font>
    <font>
      <b/>
      <vertAlign val="subscript"/>
      <sz val="10"/>
      <color theme="1"/>
      <name val="Arial"/>
    </font>
    <font>
      <vertAlign val="subscript"/>
      <sz val="10"/>
      <color theme="1"/>
      <name val="Arial"/>
    </font>
    <font>
      <vertAlign val="subscript"/>
      <sz val="10"/>
      <color rgb="FFFF0000"/>
      <name val="Arial"/>
    </font>
    <font>
      <b/>
      <vertAlign val="subscript"/>
      <sz val="10"/>
      <color rgb="FFFF0000"/>
      <name val="Arial"/>
    </font>
    <font>
      <b/>
      <vertAlign val="subscript"/>
      <sz val="8"/>
      <color theme="1"/>
      <name val="Arial"/>
    </font>
    <font>
      <vertAlign val="superscript"/>
      <sz val="11"/>
      <color theme="1"/>
      <name val="Calibri"/>
    </font>
    <font>
      <vertAlign val="subscript"/>
      <sz val="10"/>
      <color theme="1"/>
      <name val="MS Sans Serif"/>
    </font>
    <font>
      <b/>
      <vertAlign val="subscript"/>
      <sz val="8"/>
      <color theme="1"/>
      <name val="MS Sans Serif"/>
    </font>
    <font>
      <b/>
      <vertAlign val="subscript"/>
      <sz val="10"/>
      <color theme="1"/>
      <name val="MS Sans Serif"/>
    </font>
    <font>
      <b/>
      <sz val="10"/>
      <color theme="1"/>
      <name val="MS Sans Serif"/>
    </font>
    <font>
      <b/>
      <sz val="16"/>
      <color rgb="FF0000FF"/>
      <name val="Calibri"/>
    </font>
    <font>
      <vertAlign val="subscript"/>
      <sz val="8"/>
      <color theme="1"/>
      <name val="Arial"/>
    </font>
    <font>
      <b/>
      <vertAlign val="subscript"/>
      <sz val="11"/>
      <color rgb="FF0000FF"/>
      <name val="Calibri"/>
    </font>
    <font>
      <b/>
      <vertAlign val="subscript"/>
      <sz val="8"/>
      <color rgb="FFFF0000"/>
      <name val="Arial"/>
    </font>
    <font>
      <b/>
      <vertAlign val="subscript"/>
      <sz val="8"/>
      <color rgb="FF000000"/>
      <name val="Arial"/>
    </font>
    <font>
      <vertAlign val="subscript"/>
      <sz val="11"/>
      <color rgb="FF000000"/>
      <name val="Calibri"/>
    </font>
    <font>
      <sz val="14"/>
      <color rgb="FFFF0000"/>
      <name val="Calibri"/>
    </font>
    <font>
      <vertAlign val="subscript"/>
      <sz val="14"/>
      <color rgb="FF000000"/>
      <name val="Comic Sans MS"/>
    </font>
    <font>
      <b/>
      <vertAlign val="subscript"/>
      <sz val="10"/>
      <color rgb="FF000000"/>
      <name val="Calibri"/>
    </font>
    <font>
      <b/>
      <vertAlign val="subscript"/>
      <sz val="14"/>
      <color theme="1"/>
      <name val="Comic Sans MS"/>
    </font>
    <font>
      <b/>
      <vertAlign val="subscript"/>
      <sz val="9"/>
      <color theme="1"/>
      <name val="Calibri"/>
    </font>
    <font>
      <b/>
      <vertAlign val="subscript"/>
      <sz val="11"/>
      <color rgb="FF008000"/>
      <name val="Calibri"/>
    </font>
    <font>
      <b/>
      <vertAlign val="subscript"/>
      <sz val="11"/>
      <color rgb="FFFF6600"/>
      <name val="Calibri"/>
    </font>
    <font>
      <b/>
      <vertAlign val="subscript"/>
      <sz val="11"/>
      <color rgb="FF808080"/>
      <name val="Calibri"/>
    </font>
    <font>
      <b/>
      <vertAlign val="subscript"/>
      <sz val="11"/>
      <color rgb="FFFF0000"/>
      <name val="Calibri"/>
    </font>
    <font>
      <b/>
      <vertAlign val="subscript"/>
      <sz val="11"/>
      <color rgb="FF993300"/>
      <name val="Calibri"/>
    </font>
    <font>
      <b/>
      <vertAlign val="subscript"/>
      <sz val="8"/>
      <color theme="1"/>
      <name val="Comic Sans MS"/>
    </font>
    <font>
      <vertAlign val="subscript"/>
      <sz val="8"/>
      <color theme="1"/>
      <name val="Comic Sans MS"/>
    </font>
    <font>
      <i/>
      <sz val="10"/>
      <color theme="1"/>
      <name val="Arial"/>
    </font>
    <font>
      <b/>
      <vertAlign val="subscript"/>
      <sz val="7"/>
      <color theme="1"/>
      <name val="Comic Sans MS"/>
    </font>
    <font>
      <vertAlign val="subscript"/>
      <sz val="7"/>
      <color theme="1"/>
      <name val="Comic Sans MS"/>
    </font>
    <font>
      <vertAlign val="subscript"/>
      <sz val="14"/>
      <color theme="1"/>
      <name val="Calibri"/>
    </font>
    <font>
      <b/>
      <vertAlign val="subscript"/>
      <sz val="7"/>
      <color theme="1"/>
      <name val="Calibri"/>
    </font>
    <font>
      <b/>
      <vertAlign val="superscript"/>
      <sz val="7"/>
      <color theme="1"/>
      <name val="Calibri"/>
    </font>
    <font>
      <b/>
      <vertAlign val="subscript"/>
      <sz val="8"/>
      <color theme="1"/>
      <name val="Calibri"/>
    </font>
    <font>
      <b/>
      <vertAlign val="subscript"/>
      <sz val="12"/>
      <color rgb="FF000000"/>
      <name val="Comic Sans MS"/>
    </font>
    <font>
      <vertAlign val="superscript"/>
      <sz val="7"/>
      <color theme="1"/>
      <name val="Comic Sans MS"/>
    </font>
    <font>
      <b/>
      <vertAlign val="subscript"/>
      <sz val="7"/>
      <color theme="1"/>
      <name val="Arial"/>
    </font>
    <font>
      <b/>
      <vertAlign val="superscript"/>
      <sz val="7"/>
      <color theme="1"/>
      <name val="Comic Sans MS"/>
    </font>
    <font>
      <vertAlign val="subscript"/>
      <sz val="12"/>
      <color theme="1"/>
      <name val="Comic Sans MS"/>
    </font>
    <font>
      <vertAlign val="subscript"/>
      <sz val="8"/>
      <color theme="1"/>
      <name val="Calibri"/>
    </font>
    <font>
      <b/>
      <vertAlign val="subscript"/>
      <sz val="8"/>
      <color rgb="FFFF0000"/>
      <name val="Calibri"/>
    </font>
    <font>
      <i/>
      <vertAlign val="subscript"/>
      <sz val="10"/>
      <color theme="1"/>
      <name val="Calibri"/>
    </font>
    <font>
      <sz val="8"/>
      <color theme="1"/>
      <name val="Arial"/>
      <family val="2"/>
    </font>
    <font>
      <b/>
      <sz val="14"/>
      <color theme="1"/>
      <name val="Calibri"/>
      <family val="2"/>
    </font>
    <font>
      <sz val="14"/>
      <color theme="1"/>
      <name val="Calibri"/>
      <family val="2"/>
    </font>
    <font>
      <i/>
      <sz val="26"/>
      <color theme="1"/>
      <name val="Engravers MT"/>
      <family val="1"/>
    </font>
    <font>
      <sz val="8"/>
      <color theme="1"/>
      <name val="Calibri"/>
      <family val="2"/>
    </font>
    <font>
      <sz val="8"/>
      <name val="Arial"/>
      <family val="2"/>
    </font>
    <font>
      <sz val="7"/>
      <color theme="1"/>
      <name val="Arial"/>
      <family val="2"/>
    </font>
    <font>
      <sz val="7"/>
      <name val="Arial"/>
      <family val="2"/>
    </font>
    <font>
      <b/>
      <sz val="11"/>
      <color rgb="FFFFFFFF"/>
      <name val="Calibri"/>
      <family val="2"/>
    </font>
    <font>
      <b/>
      <vertAlign val="subscript"/>
      <sz val="11"/>
      <color rgb="FFFFFFFF"/>
      <name val="Calibri"/>
      <family val="2"/>
    </font>
    <font>
      <sz val="8"/>
      <name val="Calibri"/>
      <family val="2"/>
    </font>
    <font>
      <b/>
      <sz val="11"/>
      <color theme="1"/>
      <name val="Calibri"/>
      <family val="2"/>
    </font>
    <font>
      <b/>
      <vertAlign val="subscript"/>
      <sz val="11"/>
      <color theme="1"/>
      <name val="Calibri"/>
      <family val="2"/>
    </font>
    <font>
      <b/>
      <vertAlign val="superscript"/>
      <sz val="11"/>
      <color theme="1"/>
      <name val="Calibri"/>
      <family val="2"/>
    </font>
    <font>
      <sz val="11"/>
      <color theme="1"/>
      <name val="Calibri"/>
      <family val="2"/>
    </font>
    <font>
      <i/>
      <sz val="11"/>
      <color theme="1"/>
      <name val="Calibri"/>
      <family val="2"/>
    </font>
    <font>
      <vertAlign val="subscript"/>
      <sz val="11"/>
      <color theme="1"/>
      <name val="Calibri"/>
      <family val="2"/>
    </font>
    <font>
      <sz val="11"/>
      <name val="Calibri"/>
      <family val="2"/>
    </font>
    <font>
      <b/>
      <sz val="11"/>
      <name val="Calibri"/>
      <family val="2"/>
    </font>
    <font>
      <vertAlign val="superscript"/>
      <sz val="11"/>
      <name val="Calibri"/>
      <family val="2"/>
    </font>
    <font>
      <sz val="14"/>
      <name val="Comic Sans MS"/>
      <family val="4"/>
    </font>
    <font>
      <sz val="8"/>
      <color theme="1"/>
      <name val="Calibri"/>
      <family val="2"/>
      <scheme val="major"/>
    </font>
    <font>
      <sz val="8"/>
      <name val="Calibri"/>
      <family val="2"/>
      <scheme val="major"/>
    </font>
    <font>
      <b/>
      <sz val="11"/>
      <color theme="1"/>
      <name val="Calibri"/>
      <family val="2"/>
      <scheme val="major"/>
    </font>
    <font>
      <sz val="11"/>
      <name val="Calibri"/>
      <family val="2"/>
      <scheme val="major"/>
    </font>
    <font>
      <b/>
      <sz val="8"/>
      <name val="Calibri"/>
      <family val="2"/>
    </font>
    <font>
      <sz val="10"/>
      <color theme="1"/>
      <name val="Arial"/>
      <family val="2"/>
    </font>
    <font>
      <sz val="10"/>
      <color rgb="FF000000"/>
      <name val="Arial"/>
      <family val="2"/>
    </font>
    <font>
      <sz val="8"/>
      <color rgb="FF000000"/>
      <name val="Arial"/>
      <family val="2"/>
    </font>
    <font>
      <b/>
      <sz val="11"/>
      <color rgb="FF000000"/>
      <name val="Calibri"/>
      <family val="2"/>
      <scheme val="major"/>
    </font>
    <font>
      <b/>
      <vertAlign val="subscript"/>
      <sz val="11"/>
      <color theme="1"/>
      <name val="Calibri"/>
      <family val="2"/>
      <scheme val="major"/>
    </font>
    <font>
      <b/>
      <sz val="11"/>
      <color rgb="FF00CCFF"/>
      <name val="Calibri"/>
      <family val="2"/>
      <scheme val="major"/>
    </font>
    <font>
      <b/>
      <vertAlign val="subscript"/>
      <sz val="11"/>
      <color rgb="FF00CCFF"/>
      <name val="Calibri"/>
      <family val="2"/>
      <scheme val="major"/>
    </font>
    <font>
      <b/>
      <sz val="11"/>
      <name val="Calibri"/>
      <family val="2"/>
      <scheme val="major"/>
    </font>
    <font>
      <b/>
      <vertAlign val="subscript"/>
      <sz val="11"/>
      <name val="Calibri"/>
      <family val="2"/>
      <scheme val="major"/>
    </font>
    <font>
      <b/>
      <sz val="11"/>
      <color rgb="FF800080"/>
      <name val="Calibri"/>
      <family val="2"/>
      <scheme val="major"/>
    </font>
    <font>
      <b/>
      <sz val="9"/>
      <name val="Arial"/>
      <family val="2"/>
    </font>
    <font>
      <b/>
      <sz val="10"/>
      <color theme="1"/>
      <name val="Arial"/>
      <family val="2"/>
    </font>
    <font>
      <b/>
      <sz val="9"/>
      <color theme="1"/>
      <name val="Arial"/>
      <family val="2"/>
    </font>
    <font>
      <b/>
      <vertAlign val="subscript"/>
      <sz val="9"/>
      <color theme="1"/>
      <name val="Arial"/>
      <family val="2"/>
    </font>
    <font>
      <b/>
      <vertAlign val="subscript"/>
      <sz val="9"/>
      <name val="Arial"/>
      <family val="2"/>
    </font>
    <font>
      <sz val="10"/>
      <name val="Arial"/>
      <family val="2"/>
    </font>
    <font>
      <b/>
      <sz val="10"/>
      <name val="Arial"/>
      <family val="2"/>
    </font>
    <font>
      <b/>
      <sz val="8"/>
      <name val="Arial"/>
      <family val="2"/>
    </font>
    <font>
      <b/>
      <sz val="8"/>
      <color theme="1"/>
      <name val="Arial"/>
      <family val="2"/>
    </font>
    <font>
      <vertAlign val="subscript"/>
      <sz val="10"/>
      <color theme="1"/>
      <name val="Arial"/>
      <family val="2"/>
    </font>
    <font>
      <b/>
      <vertAlign val="subscript"/>
      <sz val="10"/>
      <color theme="1"/>
      <name val="Arial"/>
      <family val="2"/>
    </font>
    <font>
      <b/>
      <sz val="10"/>
      <color rgb="FFFF0000"/>
      <name val="Arial"/>
      <family val="2"/>
    </font>
    <font>
      <b/>
      <sz val="10"/>
      <color rgb="FFFF6600"/>
      <name val="Arial"/>
      <family val="2"/>
    </font>
    <font>
      <b/>
      <vertAlign val="subscript"/>
      <sz val="10"/>
      <color rgb="FFFF6600"/>
      <name val="Arial"/>
      <family val="2"/>
    </font>
    <font>
      <b/>
      <sz val="10"/>
      <color rgb="FF000000"/>
      <name val="Arial"/>
      <family val="2"/>
    </font>
    <font>
      <b/>
      <vertAlign val="subscript"/>
      <sz val="10"/>
      <color rgb="FFFF0000"/>
      <name val="Arial"/>
      <family val="2"/>
    </font>
  </fonts>
  <fills count="53">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333333"/>
        <bgColor rgb="FF333333"/>
      </patternFill>
    </fill>
    <fill>
      <patternFill patternType="solid">
        <fgColor rgb="FFFFFF99"/>
        <bgColor rgb="FFFFFF99"/>
      </patternFill>
    </fill>
    <fill>
      <patternFill patternType="solid">
        <fgColor rgb="FFC0C0C0"/>
        <bgColor rgb="FFC0C0C0"/>
      </patternFill>
    </fill>
    <fill>
      <patternFill patternType="solid">
        <fgColor rgb="FF808080"/>
        <bgColor rgb="FF808080"/>
      </patternFill>
    </fill>
    <fill>
      <patternFill patternType="solid">
        <fgColor rgb="FF969696"/>
        <bgColor rgb="FF969696"/>
      </patternFill>
    </fill>
    <fill>
      <patternFill patternType="solid">
        <fgColor rgb="FFFFFFCC"/>
        <bgColor rgb="FFFFFFCC"/>
      </patternFill>
    </fill>
    <fill>
      <patternFill patternType="solid">
        <fgColor rgb="FFCC99FF"/>
        <bgColor rgb="FFCC99FF"/>
      </patternFill>
    </fill>
    <fill>
      <patternFill patternType="solid">
        <fgColor rgb="FFFFCC00"/>
        <bgColor rgb="FFFFCC00"/>
      </patternFill>
    </fill>
    <fill>
      <patternFill patternType="solid">
        <fgColor rgb="FF339966"/>
        <bgColor rgb="FF339966"/>
      </patternFill>
    </fill>
    <fill>
      <patternFill patternType="solid">
        <fgColor rgb="FF99CC00"/>
        <bgColor rgb="FF99CC00"/>
      </patternFill>
    </fill>
    <fill>
      <patternFill patternType="solid">
        <fgColor rgb="FFFF99CC"/>
        <bgColor rgb="FFFF99CC"/>
      </patternFill>
    </fill>
    <fill>
      <patternFill patternType="solid">
        <fgColor rgb="FFFF0000"/>
        <bgColor rgb="FFFF0000"/>
      </patternFill>
    </fill>
    <fill>
      <patternFill patternType="solid">
        <fgColor rgb="FFCCFFFF"/>
        <bgColor rgb="FFCCFFFF"/>
      </patternFill>
    </fill>
    <fill>
      <patternFill patternType="solid">
        <fgColor rgb="FFCCFFCC"/>
        <bgColor rgb="FFCCFFCC"/>
      </patternFill>
    </fill>
    <fill>
      <patternFill patternType="solid">
        <fgColor rgb="FF008000"/>
        <bgColor rgb="FF008000"/>
      </patternFill>
    </fill>
    <fill>
      <patternFill patternType="solid">
        <fgColor rgb="FFFFCC99"/>
        <bgColor rgb="FFFFCC99"/>
      </patternFill>
    </fill>
    <fill>
      <patternFill patternType="solid">
        <fgColor rgb="FF99CCFF"/>
        <bgColor rgb="FF99CCFF"/>
      </patternFill>
    </fill>
    <fill>
      <patternFill patternType="solid">
        <fgColor rgb="FFFF00FF"/>
        <bgColor rgb="FFFF00FF"/>
      </patternFill>
    </fill>
    <fill>
      <patternFill patternType="solid">
        <fgColor rgb="FF33CCCC"/>
        <bgColor rgb="FF33CCCC"/>
      </patternFill>
    </fill>
    <fill>
      <patternFill patternType="solid">
        <fgColor rgb="FFCFE2F3"/>
        <bgColor rgb="FFCFE2F3"/>
      </patternFill>
    </fill>
    <fill>
      <patternFill patternType="solid">
        <fgColor rgb="FF00FF00"/>
        <bgColor rgb="FF00FF00"/>
      </patternFill>
    </fill>
    <fill>
      <patternFill patternType="solid">
        <fgColor rgb="FFFFE599"/>
        <bgColor rgb="FFFFE599"/>
      </patternFill>
    </fill>
    <fill>
      <patternFill patternType="solid">
        <fgColor rgb="FFF4CCCC"/>
        <bgColor rgb="FFF4CCCC"/>
      </patternFill>
    </fill>
    <fill>
      <patternFill patternType="solid">
        <fgColor rgb="FFF9CB9C"/>
        <bgColor rgb="FFF9CB9C"/>
      </patternFill>
    </fill>
    <fill>
      <patternFill patternType="solid">
        <fgColor rgb="FFF3F3F3"/>
        <bgColor rgb="FFF3F3F3"/>
      </patternFill>
    </fill>
    <fill>
      <patternFill patternType="solid">
        <fgColor rgb="FFEFEFEF"/>
        <bgColor rgb="FFEFEFEF"/>
      </patternFill>
    </fill>
    <fill>
      <patternFill patternType="solid">
        <fgColor rgb="FF800080"/>
        <bgColor rgb="FF800080"/>
      </patternFill>
    </fill>
    <fill>
      <patternFill patternType="solid">
        <fgColor rgb="FF00CCFF"/>
        <bgColor rgb="FF00CCFF"/>
      </patternFill>
    </fill>
    <fill>
      <patternFill patternType="solid">
        <fgColor rgb="FF808000"/>
        <bgColor rgb="FF808000"/>
      </patternFill>
    </fill>
    <fill>
      <patternFill patternType="solid">
        <fgColor rgb="FFFFFFCC"/>
        <bgColor rgb="FFFFFF00"/>
      </patternFill>
    </fill>
    <fill>
      <patternFill patternType="solid">
        <fgColor rgb="FFFFFFCC"/>
        <bgColor rgb="FFFFD966"/>
      </patternFill>
    </fill>
    <fill>
      <patternFill patternType="solid">
        <fgColor rgb="FFFFFFCC"/>
        <bgColor rgb="FFA4C2F4"/>
      </patternFill>
    </fill>
    <fill>
      <patternFill patternType="solid">
        <fgColor rgb="FFFFFFCC"/>
        <bgColor indexed="64"/>
      </patternFill>
    </fill>
    <fill>
      <patternFill patternType="solid">
        <fgColor rgb="FFFFFFCC"/>
        <bgColor rgb="FFFFFF99"/>
      </patternFill>
    </fill>
    <fill>
      <patternFill patternType="solid">
        <fgColor rgb="FFFFFFCC"/>
        <bgColor rgb="FF99CCFF"/>
      </patternFill>
    </fill>
    <fill>
      <patternFill patternType="solid">
        <fgColor rgb="FFFFFFCC"/>
        <bgColor rgb="FFFFFFFF"/>
      </patternFill>
    </fill>
    <fill>
      <patternFill patternType="solid">
        <fgColor rgb="FF33CCCC"/>
        <bgColor rgb="FF00B0F0"/>
      </patternFill>
    </fill>
    <fill>
      <patternFill patternType="solid">
        <fgColor rgb="FF33CCCC"/>
        <bgColor indexed="64"/>
      </patternFill>
    </fill>
    <fill>
      <patternFill patternType="solid">
        <fgColor rgb="FFCC99FF"/>
        <bgColor rgb="FFB2A1C7"/>
      </patternFill>
    </fill>
    <fill>
      <patternFill patternType="solid">
        <fgColor rgb="FFCC99FF"/>
        <bgColor indexed="64"/>
      </patternFill>
    </fill>
    <fill>
      <patternFill patternType="solid">
        <fgColor rgb="FFCC99FF"/>
        <bgColor rgb="FFB4A7D6"/>
      </patternFill>
    </fill>
    <fill>
      <patternFill patternType="solid">
        <fgColor rgb="FFCC99FF"/>
        <bgColor rgb="FF99CC00"/>
      </patternFill>
    </fill>
    <fill>
      <patternFill patternType="solid">
        <fgColor rgb="FFCC99FF"/>
        <bgColor rgb="FF99CCFF"/>
      </patternFill>
    </fill>
    <fill>
      <patternFill patternType="solid">
        <fgColor rgb="FFCC99FF"/>
        <bgColor rgb="FFFFFF99"/>
      </patternFill>
    </fill>
    <fill>
      <patternFill patternType="solid">
        <fgColor rgb="FF33CCCC"/>
        <bgColor rgb="FFFFFF00"/>
      </patternFill>
    </fill>
    <fill>
      <patternFill patternType="solid">
        <fgColor rgb="FF33CCCC"/>
        <bgColor rgb="FF6FA8DC"/>
      </patternFill>
    </fill>
    <fill>
      <patternFill patternType="solid">
        <fgColor rgb="FF33CCCC"/>
        <bgColor rgb="FF6D9EEB"/>
      </patternFill>
    </fill>
    <fill>
      <patternFill patternType="solid">
        <fgColor rgb="FF33CCCC"/>
        <bgColor rgb="FFFFFF99"/>
      </patternFill>
    </fill>
    <fill>
      <patternFill patternType="solid">
        <fgColor rgb="FF33CCCC"/>
        <bgColor rgb="FF99CCFF"/>
      </patternFill>
    </fill>
  </fills>
  <borders count="352">
    <border>
      <left/>
      <right/>
      <top/>
      <bottom/>
      <diagonal/>
    </border>
    <border>
      <left/>
      <right style="thin">
        <color rgb="FFC0C0C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C0C0C0"/>
      </right>
      <top style="medium">
        <color rgb="FF000000"/>
      </top>
      <bottom style="thin">
        <color rgb="FF000000"/>
      </bottom>
      <diagonal/>
    </border>
    <border>
      <left style="medium">
        <color rgb="FF000000"/>
      </left>
      <right style="medium">
        <color rgb="FF000000"/>
      </right>
      <top/>
      <bottom/>
      <diagonal/>
    </border>
    <border>
      <left/>
      <right style="medium">
        <color rgb="FFC0C0C0"/>
      </right>
      <top/>
      <bottom style="thin">
        <color rgb="FF000000"/>
      </bottom>
      <diagonal/>
    </border>
    <border>
      <left style="medium">
        <color rgb="FFC0C0C0"/>
      </left>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C0C0C0"/>
      </left>
      <right/>
      <top style="thin">
        <color rgb="FF000000"/>
      </top>
      <bottom style="thin">
        <color rgb="FFC0C0C0"/>
      </bottom>
      <diagonal/>
    </border>
    <border>
      <left style="thin">
        <color rgb="FFC0C0C0"/>
      </left>
      <right/>
      <top style="thin">
        <color rgb="FFC0C0C0"/>
      </top>
      <bottom style="thin">
        <color rgb="FFC0C0C0"/>
      </bottom>
      <diagonal/>
    </border>
    <border>
      <left style="thin">
        <color rgb="FFC0C0C0"/>
      </left>
      <right/>
      <top style="thin">
        <color rgb="FFC0C0C0"/>
      </top>
      <bottom style="thin">
        <color rgb="FF000000"/>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thick">
        <color rgb="FF000000"/>
      </right>
      <top style="medium">
        <color rgb="FF000000"/>
      </top>
      <bottom/>
      <diagonal/>
    </border>
    <border>
      <left style="medium">
        <color rgb="FF000000"/>
      </left>
      <right/>
      <top/>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medium">
        <color rgb="FF000000"/>
      </left>
      <right style="thick">
        <color rgb="FF000000"/>
      </right>
      <top/>
      <bottom style="medium">
        <color rgb="FF000000"/>
      </bottom>
      <diagonal/>
    </border>
    <border>
      <left/>
      <right style="thick">
        <color rgb="FF000000"/>
      </right>
      <top style="medium">
        <color rgb="FF000000"/>
      </top>
      <bottom/>
      <diagonal/>
    </border>
    <border>
      <left/>
      <right style="thick">
        <color rgb="FF000000"/>
      </right>
      <top/>
      <bottom/>
      <diagonal/>
    </border>
    <border>
      <left/>
      <right style="thick">
        <color rgb="FF000000"/>
      </right>
      <top/>
      <bottom/>
      <diagonal/>
    </border>
    <border>
      <left style="medium">
        <color rgb="FF000000"/>
      </left>
      <right/>
      <top/>
      <bottom style="thick">
        <color rgb="FF000000"/>
      </bottom>
      <diagonal/>
    </border>
    <border>
      <left/>
      <right style="thick">
        <color rgb="FF000000"/>
      </right>
      <top/>
      <bottom style="thick">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diagonal/>
    </border>
    <border>
      <left/>
      <right style="medium">
        <color rgb="FF000000"/>
      </right>
      <top style="medium">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top style="double">
        <color rgb="FF000000"/>
      </top>
      <bottom/>
      <diagonal/>
    </border>
    <border>
      <left style="double">
        <color rgb="FF000000"/>
      </left>
      <right/>
      <top/>
      <bottom/>
      <diagonal/>
    </border>
    <border>
      <left style="double">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uble">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double">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style="double">
        <color rgb="FF000000"/>
      </left>
      <right/>
      <top style="medium">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bottom/>
      <diagonal/>
    </border>
    <border>
      <left/>
      <right/>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ck">
        <color rgb="FF000000"/>
      </left>
      <right/>
      <top/>
      <bottom/>
      <diagonal/>
    </border>
    <border>
      <left style="thick">
        <color rgb="FFFF0000"/>
      </left>
      <right/>
      <top style="thick">
        <color rgb="FFFF0000"/>
      </top>
      <bottom style="thick">
        <color rgb="FF000000"/>
      </bottom>
      <diagonal/>
    </border>
    <border>
      <left/>
      <right/>
      <top style="thick">
        <color rgb="FFFF0000"/>
      </top>
      <bottom style="thick">
        <color rgb="FF000000"/>
      </bottom>
      <diagonal/>
    </border>
    <border>
      <left/>
      <right style="thick">
        <color rgb="FFFF0000"/>
      </right>
      <top style="thick">
        <color rgb="FFFF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ck">
        <color rgb="FFFF0000"/>
      </left>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FF0000"/>
      </right>
      <top style="thick">
        <color rgb="FF000000"/>
      </top>
      <bottom style="thin">
        <color rgb="FF000000"/>
      </bottom>
      <diagonal/>
    </border>
    <border>
      <left style="thick">
        <color rgb="FFFF0000"/>
      </left>
      <right style="thin">
        <color rgb="FF000000"/>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FF0000"/>
      </left>
      <right/>
      <top/>
      <bottom/>
      <diagonal/>
    </border>
    <border>
      <left style="thin">
        <color rgb="FF000000"/>
      </left>
      <right style="thick">
        <color rgb="FFFF0000"/>
      </right>
      <top style="thin">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style="thick">
        <color rgb="FFFF0000"/>
      </left>
      <right style="thick">
        <color rgb="FFFF0000"/>
      </right>
      <top/>
      <bottom style="thick">
        <color rgb="FFFF0000"/>
      </bottom>
      <diagonal/>
    </border>
    <border>
      <left/>
      <right/>
      <top style="thin">
        <color rgb="FF00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C0C0C0"/>
      </left>
      <right style="thin">
        <color rgb="FFC0C0C0"/>
      </right>
      <top style="thin">
        <color rgb="FFC0C0C0"/>
      </top>
      <bottom style="thin">
        <color rgb="FFC0C0C0"/>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top style="medium">
        <color rgb="FF000000"/>
      </top>
      <bottom/>
      <diagonal/>
    </border>
    <border>
      <left style="thick">
        <color rgb="FFFF0000"/>
      </left>
      <right/>
      <top style="medium">
        <color rgb="FF000000"/>
      </top>
      <bottom/>
      <diagonal/>
    </border>
    <border>
      <left/>
      <right style="thick">
        <color rgb="FFFF0000"/>
      </right>
      <top style="medium">
        <color rgb="FF000000"/>
      </top>
      <bottom/>
      <diagonal/>
    </border>
    <border>
      <left style="thick">
        <color rgb="FF000000"/>
      </left>
      <right/>
      <top/>
      <bottom style="medium">
        <color rgb="FF000000"/>
      </bottom>
      <diagonal/>
    </border>
    <border>
      <left style="thick">
        <color rgb="FFFF0000"/>
      </left>
      <right/>
      <top/>
      <bottom style="medium">
        <color rgb="FF000000"/>
      </bottom>
      <diagonal/>
    </border>
    <border>
      <left/>
      <right style="thick">
        <color rgb="FFFF0000"/>
      </right>
      <top/>
      <bottom style="medium">
        <color rgb="FF000000"/>
      </bottom>
      <diagonal/>
    </border>
    <border>
      <left style="thick">
        <color rgb="FFFF0000"/>
      </left>
      <right style="thin">
        <color rgb="FF000000"/>
      </right>
      <top/>
      <bottom style="thin">
        <color rgb="FF000000"/>
      </bottom>
      <diagonal/>
    </border>
    <border>
      <left style="thin">
        <color rgb="FF000000"/>
      </left>
      <right style="thick">
        <color rgb="FFFF0000"/>
      </right>
      <top/>
      <bottom style="thin">
        <color rgb="FF000000"/>
      </bottom>
      <diagonal/>
    </border>
    <border>
      <left style="thick">
        <color rgb="FFFF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ck">
        <color rgb="FFFF0000"/>
      </right>
      <top style="medium">
        <color rgb="FF000000"/>
      </top>
      <bottom style="thin">
        <color rgb="FF000000"/>
      </bottom>
      <diagonal/>
    </border>
    <border>
      <left/>
      <right style="thick">
        <color rgb="FFFF0000"/>
      </right>
      <top/>
      <bottom/>
      <diagonal/>
    </border>
    <border>
      <left style="thin">
        <color rgb="FF000000"/>
      </left>
      <right/>
      <top style="thin">
        <color rgb="FF000000"/>
      </top>
      <bottom style="thin">
        <color rgb="FF000000"/>
      </bottom>
      <diagonal/>
    </border>
    <border>
      <left style="double">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medium">
        <color rgb="FF000000"/>
      </right>
      <top style="medium">
        <color rgb="FF000000"/>
      </top>
      <bottom style="thin">
        <color rgb="FF000000"/>
      </bottom>
      <diagonal/>
    </border>
    <border>
      <left style="medium">
        <color rgb="FF000000"/>
      </left>
      <right style="double">
        <color rgb="FF000000"/>
      </right>
      <top style="medium">
        <color rgb="FF000000"/>
      </top>
      <bottom style="thin">
        <color rgb="FF000000"/>
      </bottom>
      <diagonal/>
    </border>
    <border>
      <left style="double">
        <color rgb="FF000000"/>
      </left>
      <right style="medium">
        <color rgb="FF000000"/>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style="double">
        <color rgb="FF000000"/>
      </left>
      <right/>
      <top/>
      <bottom style="thin">
        <color rgb="FF000000"/>
      </bottom>
      <diagonal/>
    </border>
    <border>
      <left/>
      <right style="double">
        <color rgb="FF000000"/>
      </right>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diagonal/>
    </border>
    <border>
      <left/>
      <right style="double">
        <color rgb="FF000000"/>
      </right>
      <top style="thin">
        <color rgb="FF000000"/>
      </top>
      <bottom/>
      <diagonal/>
    </border>
    <border>
      <left style="double">
        <color rgb="FF000000"/>
      </left>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medium">
        <color rgb="FF000000"/>
      </right>
      <top/>
      <bottom/>
      <diagonal/>
    </border>
    <border>
      <left style="medium">
        <color rgb="FF000000"/>
      </left>
      <right style="double">
        <color rgb="FF000000"/>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top style="medium">
        <color rgb="FF000000"/>
      </top>
      <bottom/>
      <diagonal/>
    </border>
    <border>
      <left/>
      <right style="double">
        <color rgb="FF000000"/>
      </right>
      <top style="medium">
        <color rgb="FF000000"/>
      </top>
      <bottom/>
      <diagonal/>
    </border>
    <border>
      <left style="double">
        <color rgb="FF000000"/>
      </left>
      <right/>
      <top/>
      <bottom style="medium">
        <color rgb="FF000000"/>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double">
        <color rgb="FF000000"/>
      </left>
      <right style="medium">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style="medium">
        <color rgb="FF000000"/>
      </top>
      <bottom style="medium">
        <color rgb="FF000000"/>
      </bottom>
      <diagonal/>
    </border>
    <border>
      <left/>
      <right style="double">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diagonal/>
    </border>
    <border>
      <left style="double">
        <color rgb="FF000000"/>
      </left>
      <right style="medium">
        <color rgb="FF000000"/>
      </right>
      <top/>
      <bottom style="thick">
        <color rgb="FF000000"/>
      </bottom>
      <diagonal/>
    </border>
    <border>
      <left style="medium">
        <color rgb="FF000000"/>
      </left>
      <right style="double">
        <color rgb="FF000000"/>
      </right>
      <top/>
      <bottom style="thick">
        <color rgb="FF000000"/>
      </bottom>
      <diagonal/>
    </border>
    <border>
      <left style="double">
        <color rgb="FF000000"/>
      </left>
      <right style="medium">
        <color rgb="FF000000"/>
      </right>
      <top/>
      <bottom style="thin">
        <color rgb="FF000000"/>
      </bottom>
      <diagonal/>
    </border>
    <border>
      <left style="medium">
        <color rgb="FF000000"/>
      </left>
      <right style="double">
        <color rgb="FF000000"/>
      </right>
      <top/>
      <bottom style="thin">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medium">
        <color rgb="FF000000"/>
      </right>
      <top/>
      <bottom style="double">
        <color rgb="FF000000"/>
      </bottom>
      <diagonal/>
    </border>
    <border>
      <left/>
      <right style="medium">
        <color rgb="FF000000"/>
      </right>
      <top/>
      <bottom style="medium">
        <color rgb="FF000000"/>
      </bottom>
      <diagonal/>
    </border>
    <border>
      <left style="thin">
        <color rgb="FF000000"/>
      </left>
      <right style="double">
        <color rgb="FF000000"/>
      </right>
      <top style="thin">
        <color rgb="FF000000"/>
      </top>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top/>
      <bottom style="thick">
        <color rgb="FF000000"/>
      </bottom>
      <diagonal/>
    </border>
    <border>
      <left/>
      <right style="double">
        <color rgb="FF000000"/>
      </right>
      <top/>
      <bottom style="thick">
        <color rgb="FF000000"/>
      </bottom>
      <diagonal/>
    </border>
    <border>
      <left style="thin">
        <color rgb="FF000000"/>
      </left>
      <right style="thin">
        <color rgb="FF000000"/>
      </right>
      <top style="thick">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double">
        <color rgb="FF000000"/>
      </right>
      <top/>
      <bottom style="double">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ck">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diagonal/>
    </border>
    <border>
      <left style="double">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top style="medium">
        <color rgb="FF000000"/>
      </top>
      <bottom style="medium">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style="thick">
        <color rgb="FF000000"/>
      </left>
      <right/>
      <top style="thick">
        <color rgb="FF000000"/>
      </top>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right style="thin">
        <color rgb="FF000000"/>
      </right>
      <top style="medium">
        <color rgb="FF000000"/>
      </top>
      <bottom style="medium">
        <color rgb="FF000000"/>
      </bottom>
      <diagonal/>
    </border>
    <border>
      <left/>
      <right style="medium">
        <color rgb="FF000000"/>
      </right>
      <top/>
      <bottom/>
      <diagonal/>
    </border>
    <border>
      <left style="thin">
        <color rgb="FF000000"/>
      </left>
      <right/>
      <top style="thin">
        <color rgb="FF000000"/>
      </top>
      <bottom style="medium">
        <color rgb="FF000000"/>
      </bottom>
      <diagonal/>
    </border>
    <border>
      <left style="thin">
        <color rgb="FF000000"/>
      </left>
      <right style="medium">
        <color rgb="FF000000"/>
      </right>
      <top style="thick">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ck">
        <color rgb="FF000000"/>
      </left>
      <right/>
      <top style="thin">
        <color rgb="FF000000"/>
      </top>
      <bottom style="thin">
        <color rgb="FF000000"/>
      </bottom>
      <diagonal/>
    </border>
    <border>
      <left style="thick">
        <color rgb="FF000000"/>
      </left>
      <right/>
      <top style="thin">
        <color rgb="FF000000"/>
      </top>
      <bottom style="medium">
        <color rgb="FF000000"/>
      </bottom>
      <diagonal/>
    </border>
    <border>
      <left style="thick">
        <color rgb="FF000000"/>
      </left>
      <right/>
      <top style="medium">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rgb="FF000000"/>
      </left>
      <right style="medium">
        <color indexed="64"/>
      </right>
      <top style="medium">
        <color indexed="64"/>
      </top>
      <bottom style="thin">
        <color rgb="FF000000"/>
      </bottom>
      <diagonal/>
    </border>
    <border>
      <left style="medium">
        <color indexed="64"/>
      </left>
      <right/>
      <top/>
      <bottom/>
      <diagonal/>
    </border>
    <border>
      <left style="medium">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bottom/>
      <diagonal/>
    </border>
    <border>
      <left style="medium">
        <color indexed="64"/>
      </left>
      <right style="medium">
        <color rgb="FFC0C0C0"/>
      </right>
      <top/>
      <bottom style="thin">
        <color rgb="FF000000"/>
      </bottom>
      <diagonal/>
    </border>
    <border>
      <left style="medium">
        <color indexed="64"/>
      </left>
      <right style="thin">
        <color rgb="FFC0C0C0"/>
      </right>
      <top style="thin">
        <color rgb="FF000000"/>
      </top>
      <bottom style="thin">
        <color rgb="FFC0C0C0"/>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000000"/>
      </bottom>
      <diagonal/>
    </border>
    <border>
      <left style="medium">
        <color indexed="64"/>
      </left>
      <right/>
      <top/>
      <bottom style="thin">
        <color rgb="FF000000"/>
      </bottom>
      <diagonal/>
    </border>
    <border>
      <left style="medium">
        <color indexed="64"/>
      </left>
      <right style="thin">
        <color rgb="FFC0C0C0"/>
      </right>
      <top style="thin">
        <color rgb="FF000000"/>
      </top>
      <bottom style="medium">
        <color indexed="64"/>
      </bottom>
      <diagonal/>
    </border>
    <border>
      <left style="thin">
        <color rgb="FFC0C0C0"/>
      </left>
      <right/>
      <top style="thin">
        <color rgb="FF000000"/>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style="thin">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bottom style="thin">
        <color rgb="FF000000"/>
      </bottom>
      <diagonal/>
    </border>
    <border>
      <left style="medium">
        <color indexed="64"/>
      </left>
      <right style="medium">
        <color rgb="FF000000"/>
      </right>
      <top style="thin">
        <color rgb="FF000000"/>
      </top>
      <bottom/>
      <diagonal/>
    </border>
    <border>
      <left style="medium">
        <color rgb="FF000000"/>
      </left>
      <right style="medium">
        <color indexed="64"/>
      </right>
      <top style="thin">
        <color rgb="FF000000"/>
      </top>
      <bottom/>
      <diagonal/>
    </border>
    <border>
      <left style="medium">
        <color indexed="64"/>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79">
    <xf numFmtId="0" fontId="0" fillId="0" borderId="0" xfId="0" applyFont="1" applyAlignment="1"/>
    <xf numFmtId="0" fontId="1" fillId="0" borderId="0" xfId="0" applyFont="1"/>
    <xf numFmtId="0" fontId="3" fillId="0" borderId="0" xfId="0" applyFont="1"/>
    <xf numFmtId="0" fontId="3" fillId="0" borderId="1" xfId="0" applyFont="1" applyBorder="1"/>
    <xf numFmtId="164" fontId="4" fillId="0" borderId="0" xfId="0" applyNumberFormat="1" applyFont="1"/>
    <xf numFmtId="0" fontId="9" fillId="0" borderId="0" xfId="0" applyFont="1"/>
    <xf numFmtId="39" fontId="3" fillId="0" borderId="14" xfId="0" applyNumberFormat="1" applyFont="1" applyBorder="1" applyAlignment="1">
      <alignment horizontal="center"/>
    </xf>
    <xf numFmtId="10" fontId="4" fillId="0" borderId="0" xfId="0" applyNumberFormat="1" applyFont="1"/>
    <xf numFmtId="0" fontId="3" fillId="0" borderId="19" xfId="0" applyFont="1" applyBorder="1"/>
    <xf numFmtId="0" fontId="12" fillId="0" borderId="0" xfId="0" applyFont="1"/>
    <xf numFmtId="0" fontId="10" fillId="0" borderId="0" xfId="0" applyFont="1"/>
    <xf numFmtId="0" fontId="13" fillId="0" borderId="0" xfId="0" applyFont="1"/>
    <xf numFmtId="0" fontId="14" fillId="7" borderId="21" xfId="0" applyFont="1" applyFill="1" applyBorder="1"/>
    <xf numFmtId="0" fontId="10" fillId="7" borderId="21" xfId="0" applyFont="1" applyFill="1" applyBorder="1"/>
    <xf numFmtId="0" fontId="10" fillId="8" borderId="22" xfId="0" applyFont="1" applyFill="1" applyBorder="1" applyAlignment="1">
      <alignment horizontal="center"/>
    </xf>
    <xf numFmtId="0" fontId="13" fillId="8" borderId="23" xfId="0" applyFont="1" applyFill="1" applyBorder="1" applyAlignment="1">
      <alignment horizontal="center"/>
    </xf>
    <xf numFmtId="165" fontId="13" fillId="8" borderId="23" xfId="0" applyNumberFormat="1" applyFont="1" applyFill="1" applyBorder="1" applyAlignment="1">
      <alignment horizontal="center"/>
    </xf>
    <xf numFmtId="0" fontId="13" fillId="8" borderId="24" xfId="0" applyFont="1" applyFill="1" applyBorder="1" applyAlignment="1">
      <alignment horizontal="center"/>
    </xf>
    <xf numFmtId="0" fontId="10" fillId="8" borderId="25" xfId="0" applyFont="1" applyFill="1" applyBorder="1" applyAlignment="1">
      <alignment horizontal="center"/>
    </xf>
    <xf numFmtId="0" fontId="13" fillId="8" borderId="11" xfId="0" applyFont="1" applyFill="1" applyBorder="1" applyAlignment="1">
      <alignment horizontal="center"/>
    </xf>
    <xf numFmtId="0" fontId="13" fillId="8" borderId="26" xfId="0" applyFont="1" applyFill="1" applyBorder="1" applyAlignment="1">
      <alignment horizontal="center"/>
    </xf>
    <xf numFmtId="0" fontId="10" fillId="0" borderId="27" xfId="0" applyFont="1" applyBorder="1"/>
    <xf numFmtId="0" fontId="10" fillId="0" borderId="18" xfId="0" applyFont="1" applyBorder="1"/>
    <xf numFmtId="166" fontId="15" fillId="0" borderId="18" xfId="0" applyNumberFormat="1" applyFont="1" applyBorder="1"/>
    <xf numFmtId="0" fontId="10" fillId="0" borderId="28" xfId="0" applyFont="1" applyBorder="1"/>
    <xf numFmtId="0" fontId="10" fillId="0" borderId="29" xfId="0" applyFont="1" applyBorder="1"/>
    <xf numFmtId="0" fontId="13" fillId="0" borderId="30" xfId="0" applyFont="1" applyBorder="1"/>
    <xf numFmtId="0" fontId="10" fillId="0" borderId="30" xfId="0" applyFont="1" applyBorder="1"/>
    <xf numFmtId="166" fontId="10" fillId="0" borderId="30" xfId="0" applyNumberFormat="1" applyFont="1" applyBorder="1"/>
    <xf numFmtId="0" fontId="10" fillId="0" borderId="31" xfId="0" applyFont="1" applyBorder="1"/>
    <xf numFmtId="166" fontId="15" fillId="0" borderId="30" xfId="0" applyNumberFormat="1" applyFont="1" applyBorder="1"/>
    <xf numFmtId="0" fontId="10" fillId="0" borderId="32" xfId="0" applyFont="1" applyBorder="1"/>
    <xf numFmtId="0" fontId="10" fillId="0" borderId="18" xfId="0" applyFont="1" applyBorder="1" applyAlignment="1">
      <alignment horizontal="center"/>
    </xf>
    <xf numFmtId="166" fontId="15" fillId="0" borderId="18" xfId="0" applyNumberFormat="1" applyFont="1" applyBorder="1" applyAlignment="1">
      <alignment horizontal="center"/>
    </xf>
    <xf numFmtId="166" fontId="10" fillId="0" borderId="18" xfId="0" applyNumberFormat="1" applyFont="1" applyBorder="1" applyAlignment="1">
      <alignment horizontal="center"/>
    </xf>
    <xf numFmtId="0" fontId="10" fillId="0" borderId="33" xfId="0" applyFont="1" applyBorder="1" applyAlignment="1">
      <alignment horizontal="center"/>
    </xf>
    <xf numFmtId="166" fontId="10" fillId="0" borderId="18" xfId="0" applyNumberFormat="1" applyFont="1" applyBorder="1"/>
    <xf numFmtId="166" fontId="10" fillId="0" borderId="28" xfId="0" applyNumberFormat="1" applyFont="1" applyBorder="1"/>
    <xf numFmtId="0" fontId="10" fillId="0" borderId="34" xfId="0" applyFont="1" applyBorder="1"/>
    <xf numFmtId="0" fontId="10" fillId="0" borderId="35" xfId="0" applyFont="1" applyBorder="1"/>
    <xf numFmtId="0" fontId="10" fillId="0" borderId="35" xfId="0" applyFont="1" applyBorder="1" applyAlignment="1">
      <alignment horizontal="center"/>
    </xf>
    <xf numFmtId="166" fontId="15" fillId="0" borderId="35" xfId="0" applyNumberFormat="1" applyFont="1" applyBorder="1" applyAlignment="1">
      <alignment horizontal="center"/>
    </xf>
    <xf numFmtId="166" fontId="10" fillId="0" borderId="35" xfId="0" applyNumberFormat="1" applyFont="1" applyBorder="1" applyAlignment="1">
      <alignment horizontal="center"/>
    </xf>
    <xf numFmtId="0" fontId="10" fillId="0" borderId="36" xfId="0" applyFont="1" applyBorder="1" applyAlignment="1">
      <alignment horizontal="center"/>
    </xf>
    <xf numFmtId="166" fontId="10" fillId="0" borderId="32" xfId="0" applyNumberFormat="1" applyFont="1" applyBorder="1"/>
    <xf numFmtId="0" fontId="13" fillId="0" borderId="18" xfId="0" applyFont="1" applyBorder="1"/>
    <xf numFmtId="43" fontId="10" fillId="0" borderId="18" xfId="0" applyNumberFormat="1" applyFont="1" applyBorder="1" applyAlignment="1">
      <alignment horizontal="center"/>
    </xf>
    <xf numFmtId="0" fontId="10" fillId="0" borderId="30" xfId="0" applyFont="1" applyBorder="1" applyAlignment="1">
      <alignment horizontal="center"/>
    </xf>
    <xf numFmtId="166" fontId="10" fillId="0" borderId="30" xfId="0" applyNumberFormat="1" applyFont="1" applyBorder="1" applyAlignment="1">
      <alignment horizontal="center"/>
    </xf>
    <xf numFmtId="0" fontId="10" fillId="0" borderId="31" xfId="0" applyFont="1" applyBorder="1" applyAlignment="1">
      <alignment horizontal="center"/>
    </xf>
    <xf numFmtId="166" fontId="15" fillId="0" borderId="30" xfId="0" applyNumberFormat="1" applyFont="1" applyBorder="1" applyAlignment="1">
      <alignment horizontal="center"/>
    </xf>
    <xf numFmtId="43" fontId="15" fillId="0" borderId="18" xfId="0" applyNumberFormat="1" applyFont="1" applyBorder="1" applyAlignment="1">
      <alignment horizontal="center"/>
    </xf>
    <xf numFmtId="167" fontId="15" fillId="0" borderId="18" xfId="0" applyNumberFormat="1" applyFont="1" applyBorder="1" applyAlignment="1">
      <alignment horizontal="center"/>
    </xf>
    <xf numFmtId="166" fontId="15" fillId="0" borderId="0" xfId="0" applyNumberFormat="1" applyFont="1"/>
    <xf numFmtId="166" fontId="10" fillId="0" borderId="0" xfId="0" applyNumberFormat="1" applyFont="1"/>
    <xf numFmtId="0" fontId="13" fillId="8" borderId="11" xfId="0" applyFont="1" applyFill="1" applyBorder="1"/>
    <xf numFmtId="43" fontId="13" fillId="8" borderId="11" xfId="0" applyNumberFormat="1" applyFont="1" applyFill="1" applyBorder="1"/>
    <xf numFmtId="166" fontId="13" fillId="8" borderId="11" xfId="0" applyNumberFormat="1" applyFont="1" applyFill="1" applyBorder="1"/>
    <xf numFmtId="166" fontId="13" fillId="8" borderId="26" xfId="0" applyNumberFormat="1" applyFont="1" applyFill="1" applyBorder="1"/>
    <xf numFmtId="0" fontId="10" fillId="8" borderId="11" xfId="0" applyFont="1" applyFill="1" applyBorder="1"/>
    <xf numFmtId="166" fontId="10" fillId="8" borderId="11" xfId="0" applyNumberFormat="1" applyFont="1" applyFill="1" applyBorder="1"/>
    <xf numFmtId="167" fontId="10" fillId="8" borderId="11" xfId="0" applyNumberFormat="1" applyFont="1" applyFill="1" applyBorder="1"/>
    <xf numFmtId="167" fontId="10" fillId="8" borderId="26" xfId="0" applyNumberFormat="1" applyFont="1" applyFill="1" applyBorder="1"/>
    <xf numFmtId="0" fontId="10" fillId="0" borderId="37" xfId="0" applyFont="1" applyBorder="1"/>
    <xf numFmtId="0" fontId="10" fillId="0" borderId="38" xfId="0" applyFont="1" applyBorder="1"/>
    <xf numFmtId="43" fontId="10" fillId="0" borderId="38" xfId="0" applyNumberFormat="1" applyFont="1" applyBorder="1"/>
    <xf numFmtId="43" fontId="10" fillId="0" borderId="39" xfId="0" applyNumberFormat="1" applyFont="1" applyBorder="1"/>
    <xf numFmtId="3" fontId="15" fillId="0" borderId="18" xfId="0" applyNumberFormat="1" applyFont="1" applyBorder="1"/>
    <xf numFmtId="166" fontId="13" fillId="0" borderId="18" xfId="0" applyNumberFormat="1" applyFont="1" applyBorder="1"/>
    <xf numFmtId="43" fontId="13" fillId="0" borderId="18" xfId="0" applyNumberFormat="1" applyFont="1" applyBorder="1" applyAlignment="1">
      <alignment horizontal="center"/>
    </xf>
    <xf numFmtId="2" fontId="10" fillId="0" borderId="28" xfId="0" applyNumberFormat="1" applyFont="1" applyBorder="1" applyAlignment="1">
      <alignment horizontal="center"/>
    </xf>
    <xf numFmtId="0" fontId="16" fillId="0" borderId="18" xfId="0" applyFont="1" applyBorder="1"/>
    <xf numFmtId="43" fontId="13" fillId="0" borderId="18" xfId="0" applyNumberFormat="1" applyFont="1" applyBorder="1"/>
    <xf numFmtId="39" fontId="16" fillId="0" borderId="18" xfId="0" applyNumberFormat="1" applyFont="1" applyBorder="1" applyAlignment="1">
      <alignment horizontal="center"/>
    </xf>
    <xf numFmtId="2" fontId="16" fillId="0" borderId="28" xfId="0" applyNumberFormat="1" applyFont="1" applyBorder="1" applyAlignment="1">
      <alignment horizontal="center"/>
    </xf>
    <xf numFmtId="166" fontId="15" fillId="0" borderId="35" xfId="0" applyNumberFormat="1" applyFont="1" applyBorder="1"/>
    <xf numFmtId="166" fontId="10" fillId="0" borderId="35" xfId="0" applyNumberFormat="1" applyFont="1" applyBorder="1"/>
    <xf numFmtId="3" fontId="13" fillId="0" borderId="35" xfId="0" applyNumberFormat="1" applyFont="1" applyBorder="1"/>
    <xf numFmtId="43" fontId="10" fillId="0" borderId="35" xfId="0" applyNumberFormat="1" applyFont="1" applyBorder="1"/>
    <xf numFmtId="39" fontId="10" fillId="0" borderId="35" xfId="0" applyNumberFormat="1" applyFont="1" applyBorder="1"/>
    <xf numFmtId="0" fontId="10" fillId="0" borderId="40" xfId="0" applyFont="1" applyBorder="1"/>
    <xf numFmtId="43" fontId="10" fillId="0" borderId="18" xfId="0" applyNumberFormat="1" applyFont="1" applyBorder="1"/>
    <xf numFmtId="167" fontId="10" fillId="0" borderId="18" xfId="0" applyNumberFormat="1" applyFont="1" applyBorder="1"/>
    <xf numFmtId="168" fontId="10" fillId="0" borderId="18" xfId="0" applyNumberFormat="1" applyFont="1" applyBorder="1"/>
    <xf numFmtId="43" fontId="15" fillId="0" borderId="18" xfId="0" applyNumberFormat="1" applyFont="1" applyBorder="1"/>
    <xf numFmtId="39" fontId="15" fillId="0" borderId="18" xfId="0" applyNumberFormat="1" applyFont="1" applyBorder="1"/>
    <xf numFmtId="0" fontId="15" fillId="0" borderId="28" xfId="0" applyFont="1" applyBorder="1"/>
    <xf numFmtId="166" fontId="16" fillId="0" borderId="18" xfId="0" applyNumberFormat="1" applyFont="1" applyBorder="1"/>
    <xf numFmtId="43" fontId="10" fillId="0" borderId="30" xfId="0" applyNumberFormat="1" applyFont="1" applyBorder="1"/>
    <xf numFmtId="2" fontId="16" fillId="0" borderId="18" xfId="0" applyNumberFormat="1" applyFont="1" applyBorder="1"/>
    <xf numFmtId="2" fontId="16" fillId="0" borderId="28" xfId="0" applyNumberFormat="1" applyFont="1" applyBorder="1"/>
    <xf numFmtId="43" fontId="15" fillId="0" borderId="28" xfId="0" applyNumberFormat="1" applyFont="1" applyBorder="1"/>
    <xf numFmtId="43" fontId="16" fillId="0" borderId="18" xfId="0" applyNumberFormat="1" applyFont="1" applyBorder="1"/>
    <xf numFmtId="43" fontId="16" fillId="0" borderId="28" xfId="0" applyNumberFormat="1" applyFont="1" applyBorder="1"/>
    <xf numFmtId="43" fontId="10" fillId="0" borderId="28" xfId="0" applyNumberFormat="1" applyFont="1" applyBorder="1"/>
    <xf numFmtId="0" fontId="13" fillId="0" borderId="18" xfId="0" applyFont="1" applyBorder="1" applyAlignment="1">
      <alignment horizontal="center"/>
    </xf>
    <xf numFmtId="168" fontId="16" fillId="0" borderId="18" xfId="0" applyNumberFormat="1" applyFont="1" applyBorder="1"/>
    <xf numFmtId="2" fontId="15" fillId="0" borderId="28" xfId="0" applyNumberFormat="1" applyFont="1" applyBorder="1" applyAlignment="1">
      <alignment horizontal="center"/>
    </xf>
    <xf numFmtId="167" fontId="15" fillId="0" borderId="18" xfId="0" applyNumberFormat="1" applyFont="1" applyBorder="1"/>
    <xf numFmtId="169" fontId="16" fillId="0" borderId="18" xfId="0" applyNumberFormat="1" applyFont="1" applyBorder="1"/>
    <xf numFmtId="167" fontId="15" fillId="0" borderId="30" xfId="0" applyNumberFormat="1" applyFont="1" applyBorder="1"/>
    <xf numFmtId="166" fontId="13" fillId="0" borderId="30" xfId="0" applyNumberFormat="1" applyFont="1" applyBorder="1"/>
    <xf numFmtId="166" fontId="16" fillId="0" borderId="30" xfId="0" applyNumberFormat="1" applyFont="1" applyBorder="1"/>
    <xf numFmtId="169" fontId="16" fillId="0" borderId="30" xfId="0" applyNumberFormat="1" applyFont="1" applyBorder="1"/>
    <xf numFmtId="2" fontId="10" fillId="0" borderId="28" xfId="0" applyNumberFormat="1" applyFont="1" applyBorder="1"/>
    <xf numFmtId="39" fontId="16" fillId="0" borderId="18" xfId="0" applyNumberFormat="1" applyFont="1" applyBorder="1"/>
    <xf numFmtId="39" fontId="16" fillId="0" borderId="28" xfId="0" applyNumberFormat="1" applyFont="1" applyBorder="1"/>
    <xf numFmtId="43" fontId="13" fillId="0" borderId="30" xfId="0" applyNumberFormat="1" applyFont="1" applyBorder="1"/>
    <xf numFmtId="165" fontId="16" fillId="0" borderId="28" xfId="0" applyNumberFormat="1" applyFont="1" applyBorder="1"/>
    <xf numFmtId="38" fontId="10" fillId="0" borderId="18" xfId="0" applyNumberFormat="1" applyFont="1" applyBorder="1"/>
    <xf numFmtId="38" fontId="10" fillId="0" borderId="30" xfId="0" applyNumberFormat="1" applyFont="1" applyBorder="1"/>
    <xf numFmtId="3" fontId="10" fillId="0" borderId="18" xfId="0" applyNumberFormat="1" applyFont="1" applyBorder="1"/>
    <xf numFmtId="1" fontId="10" fillId="0" borderId="18" xfId="0" applyNumberFormat="1" applyFont="1" applyBorder="1"/>
    <xf numFmtId="2" fontId="15" fillId="0" borderId="18" xfId="0" applyNumberFormat="1" applyFont="1" applyBorder="1"/>
    <xf numFmtId="2" fontId="15" fillId="0" borderId="28" xfId="0" applyNumberFormat="1" applyFont="1" applyBorder="1"/>
    <xf numFmtId="2" fontId="10" fillId="0" borderId="18" xfId="0" applyNumberFormat="1" applyFont="1" applyBorder="1"/>
    <xf numFmtId="0" fontId="16" fillId="0" borderId="28" xfId="0" applyFont="1" applyBorder="1"/>
    <xf numFmtId="170" fontId="15" fillId="0" borderId="18" xfId="0" applyNumberFormat="1" applyFont="1" applyBorder="1"/>
    <xf numFmtId="171" fontId="15" fillId="0" borderId="28" xfId="0" applyNumberFormat="1" applyFont="1" applyBorder="1"/>
    <xf numFmtId="0" fontId="15" fillId="0" borderId="18" xfId="0" applyFont="1" applyBorder="1"/>
    <xf numFmtId="172" fontId="15" fillId="0" borderId="28" xfId="0" applyNumberFormat="1" applyFont="1" applyBorder="1"/>
    <xf numFmtId="173" fontId="15" fillId="0" borderId="18" xfId="0" applyNumberFormat="1" applyFont="1" applyBorder="1"/>
    <xf numFmtId="173" fontId="15" fillId="0" borderId="28" xfId="0" applyNumberFormat="1" applyFont="1" applyBorder="1"/>
    <xf numFmtId="0" fontId="10" fillId="0" borderId="41" xfId="0" applyFont="1" applyBorder="1"/>
    <xf numFmtId="0" fontId="10" fillId="0" borderId="42" xfId="0" applyFont="1" applyBorder="1"/>
    <xf numFmtId="2" fontId="15" fillId="0" borderId="42" xfId="0" applyNumberFormat="1" applyFont="1" applyBorder="1"/>
    <xf numFmtId="0" fontId="10" fillId="0" borderId="33" xfId="0" applyFont="1" applyBorder="1"/>
    <xf numFmtId="0" fontId="10" fillId="8" borderId="21" xfId="0" applyFont="1" applyFill="1" applyBorder="1"/>
    <xf numFmtId="43" fontId="10" fillId="8" borderId="11" xfId="0" applyNumberFormat="1" applyFont="1" applyFill="1" applyBorder="1"/>
    <xf numFmtId="43" fontId="10" fillId="8" borderId="43" xfId="0" applyNumberFormat="1" applyFont="1" applyFill="1" applyBorder="1"/>
    <xf numFmtId="43" fontId="10" fillId="8" borderId="21" xfId="0" applyNumberFormat="1" applyFont="1" applyFill="1" applyBorder="1"/>
    <xf numFmtId="0" fontId="10" fillId="0" borderId="44" xfId="0" applyFont="1" applyBorder="1"/>
    <xf numFmtId="0" fontId="10" fillId="0" borderId="45" xfId="0" applyFont="1" applyBorder="1"/>
    <xf numFmtId="173" fontId="10" fillId="0" borderId="18" xfId="0" applyNumberFormat="1" applyFont="1" applyBorder="1"/>
    <xf numFmtId="2" fontId="10" fillId="0" borderId="28" xfId="0" applyNumberFormat="1" applyFont="1" applyBorder="1" applyAlignment="1">
      <alignment horizontal="right"/>
    </xf>
    <xf numFmtId="43" fontId="10" fillId="0" borderId="30" xfId="0" applyNumberFormat="1" applyFont="1" applyBorder="1" applyAlignment="1">
      <alignment horizontal="center"/>
    </xf>
    <xf numFmtId="173" fontId="10" fillId="0" borderId="30" xfId="0" applyNumberFormat="1" applyFont="1" applyBorder="1"/>
    <xf numFmtId="173" fontId="13" fillId="0" borderId="18" xfId="0" applyNumberFormat="1" applyFont="1" applyBorder="1" applyAlignment="1">
      <alignment horizontal="right"/>
    </xf>
    <xf numFmtId="173" fontId="10" fillId="0" borderId="18" xfId="0" applyNumberFormat="1" applyFont="1" applyBorder="1" applyAlignment="1">
      <alignment horizontal="right"/>
    </xf>
    <xf numFmtId="43" fontId="10" fillId="8" borderId="26" xfId="0" applyNumberFormat="1" applyFont="1" applyFill="1" applyBorder="1"/>
    <xf numFmtId="0" fontId="10" fillId="0" borderId="39" xfId="0" applyFont="1" applyBorder="1"/>
    <xf numFmtId="0" fontId="16" fillId="0" borderId="18" xfId="0" applyFont="1" applyBorder="1" applyAlignment="1">
      <alignment horizontal="center"/>
    </xf>
    <xf numFmtId="3" fontId="16" fillId="0" borderId="18" xfId="0" applyNumberFormat="1" applyFont="1" applyBorder="1"/>
    <xf numFmtId="43" fontId="10" fillId="0" borderId="35" xfId="0" applyNumberFormat="1" applyFont="1" applyBorder="1" applyAlignment="1">
      <alignment horizontal="center"/>
    </xf>
    <xf numFmtId="39" fontId="10" fillId="0" borderId="35" xfId="0" applyNumberFormat="1" applyFont="1" applyBorder="1" applyAlignment="1">
      <alignment horizontal="center"/>
    </xf>
    <xf numFmtId="0" fontId="10" fillId="0" borderId="40" xfId="0" applyFont="1" applyBorder="1" applyAlignment="1">
      <alignment horizontal="center"/>
    </xf>
    <xf numFmtId="3" fontId="13" fillId="0" borderId="18" xfId="0" applyNumberFormat="1" applyFont="1" applyBorder="1"/>
    <xf numFmtId="39" fontId="10" fillId="0" borderId="18" xfId="0" applyNumberFormat="1" applyFont="1" applyBorder="1" applyAlignment="1">
      <alignment horizontal="center"/>
    </xf>
    <xf numFmtId="0" fontId="10" fillId="0" borderId="28" xfId="0" applyFont="1" applyBorder="1" applyAlignment="1">
      <alignment horizontal="center"/>
    </xf>
    <xf numFmtId="0" fontId="10" fillId="0" borderId="32" xfId="0" applyFont="1" applyBorder="1" applyAlignment="1">
      <alignment horizontal="center"/>
    </xf>
    <xf numFmtId="43" fontId="10" fillId="0" borderId="28" xfId="0" applyNumberFormat="1" applyFont="1" applyBorder="1" applyAlignment="1">
      <alignment horizontal="center"/>
    </xf>
    <xf numFmtId="166" fontId="16" fillId="0" borderId="18" xfId="0" applyNumberFormat="1" applyFont="1" applyBorder="1" applyAlignment="1">
      <alignment horizontal="center"/>
    </xf>
    <xf numFmtId="43" fontId="16" fillId="0" borderId="18" xfId="0" applyNumberFormat="1" applyFont="1" applyBorder="1" applyAlignment="1">
      <alignment horizontal="center"/>
    </xf>
    <xf numFmtId="166" fontId="13" fillId="0" borderId="18" xfId="0" applyNumberFormat="1" applyFont="1" applyBorder="1" applyAlignment="1">
      <alignment horizontal="center"/>
    </xf>
    <xf numFmtId="170" fontId="13" fillId="0" borderId="18" xfId="0" applyNumberFormat="1" applyFont="1" applyBorder="1" applyAlignment="1">
      <alignment horizontal="center"/>
    </xf>
    <xf numFmtId="169" fontId="16" fillId="0" borderId="18" xfId="0" applyNumberFormat="1" applyFont="1" applyBorder="1" applyAlignment="1">
      <alignment horizontal="center"/>
    </xf>
    <xf numFmtId="166" fontId="16" fillId="0" borderId="30" xfId="0" applyNumberFormat="1" applyFont="1" applyBorder="1" applyAlignment="1">
      <alignment horizontal="center"/>
    </xf>
    <xf numFmtId="169" fontId="16" fillId="0" borderId="30" xfId="0" applyNumberFormat="1" applyFont="1" applyBorder="1" applyAlignment="1">
      <alignment horizontal="center"/>
    </xf>
    <xf numFmtId="166" fontId="13" fillId="0" borderId="30" xfId="0" applyNumberFormat="1" applyFont="1" applyBorder="1" applyAlignment="1">
      <alignment horizontal="center"/>
    </xf>
    <xf numFmtId="43" fontId="13" fillId="0" borderId="30" xfId="0" applyNumberFormat="1" applyFont="1" applyBorder="1" applyAlignment="1">
      <alignment horizontal="center"/>
    </xf>
    <xf numFmtId="2" fontId="16" fillId="0" borderId="18" xfId="0" applyNumberFormat="1" applyFont="1" applyBorder="1" applyAlignment="1">
      <alignment horizontal="center"/>
    </xf>
    <xf numFmtId="165" fontId="16" fillId="0" borderId="28" xfId="0" applyNumberFormat="1" applyFont="1" applyBorder="1" applyAlignment="1">
      <alignment horizontal="center"/>
    </xf>
    <xf numFmtId="0" fontId="16" fillId="0" borderId="28" xfId="0" applyFont="1" applyBorder="1" applyAlignment="1">
      <alignment horizontal="center"/>
    </xf>
    <xf numFmtId="11" fontId="10" fillId="0" borderId="18" xfId="0" applyNumberFormat="1" applyFont="1" applyBorder="1"/>
    <xf numFmtId="2" fontId="10" fillId="0" borderId="18" xfId="0" applyNumberFormat="1" applyFont="1" applyBorder="1" applyAlignment="1">
      <alignment horizontal="center"/>
    </xf>
    <xf numFmtId="0" fontId="15" fillId="0" borderId="18" xfId="0" applyFont="1" applyBorder="1" applyAlignment="1">
      <alignment horizontal="center"/>
    </xf>
    <xf numFmtId="2" fontId="15" fillId="0" borderId="18" xfId="0" applyNumberFormat="1" applyFont="1" applyBorder="1" applyAlignment="1">
      <alignment horizontal="center"/>
    </xf>
    <xf numFmtId="170" fontId="15" fillId="0" borderId="18" xfId="0" applyNumberFormat="1" applyFont="1" applyBorder="1" applyAlignment="1">
      <alignment horizontal="center"/>
    </xf>
    <xf numFmtId="170" fontId="15" fillId="0" borderId="28" xfId="0" applyNumberFormat="1" applyFont="1" applyBorder="1" applyAlignment="1">
      <alignment horizontal="center"/>
    </xf>
    <xf numFmtId="166" fontId="10" fillId="0" borderId="32" xfId="0" applyNumberFormat="1" applyFont="1" applyBorder="1" applyAlignment="1">
      <alignment horizontal="center"/>
    </xf>
    <xf numFmtId="166" fontId="10" fillId="0" borderId="28" xfId="0" applyNumberFormat="1" applyFont="1" applyBorder="1" applyAlignment="1">
      <alignment horizontal="center"/>
    </xf>
    <xf numFmtId="39" fontId="15" fillId="0" borderId="18" xfId="0" applyNumberFormat="1" applyFont="1" applyBorder="1" applyAlignment="1">
      <alignment horizontal="center"/>
    </xf>
    <xf numFmtId="39" fontId="15" fillId="0" borderId="28" xfId="0" applyNumberFormat="1" applyFont="1" applyBorder="1" applyAlignment="1">
      <alignment horizontal="center"/>
    </xf>
    <xf numFmtId="43" fontId="10" fillId="8" borderId="11" xfId="0" applyNumberFormat="1" applyFont="1" applyFill="1" applyBorder="1" applyAlignment="1">
      <alignment horizontal="center"/>
    </xf>
    <xf numFmtId="0" fontId="17" fillId="0" borderId="0" xfId="0" applyFont="1"/>
    <xf numFmtId="0" fontId="18" fillId="0" borderId="0" xfId="0" applyFont="1"/>
    <xf numFmtId="0" fontId="19" fillId="0" borderId="0" xfId="0" applyFont="1"/>
    <xf numFmtId="0" fontId="13" fillId="0" borderId="46" xfId="0" applyFont="1" applyBorder="1"/>
    <xf numFmtId="0" fontId="13" fillId="0" borderId="47" xfId="0" applyFont="1" applyBorder="1"/>
    <xf numFmtId="0" fontId="13" fillId="0" borderId="48" xfId="0" applyFont="1" applyBorder="1"/>
    <xf numFmtId="0" fontId="13" fillId="0" borderId="49" xfId="0" applyFont="1" applyBorder="1"/>
    <xf numFmtId="0" fontId="13" fillId="0" borderId="5" xfId="0" applyFont="1" applyBorder="1"/>
    <xf numFmtId="0" fontId="13" fillId="0" borderId="50" xfId="0" applyFont="1" applyBorder="1"/>
    <xf numFmtId="0" fontId="10" fillId="0" borderId="50" xfId="0" applyFont="1" applyBorder="1"/>
    <xf numFmtId="0" fontId="10" fillId="0" borderId="49" xfId="0" applyFont="1" applyBorder="1"/>
    <xf numFmtId="166" fontId="10" fillId="0" borderId="5" xfId="0" applyNumberFormat="1" applyFont="1" applyBorder="1"/>
    <xf numFmtId="0" fontId="10" fillId="0" borderId="5" xfId="0" applyFont="1" applyBorder="1"/>
    <xf numFmtId="0" fontId="13" fillId="6" borderId="51" xfId="0" applyFont="1" applyFill="1" applyBorder="1"/>
    <xf numFmtId="43" fontId="10" fillId="6" borderId="52" xfId="0" applyNumberFormat="1" applyFont="1" applyFill="1" applyBorder="1" applyAlignment="1">
      <alignment horizontal="center"/>
    </xf>
    <xf numFmtId="43" fontId="10" fillId="6" borderId="53" xfId="0" applyNumberFormat="1" applyFont="1" applyFill="1" applyBorder="1" applyAlignment="1">
      <alignment horizontal="center"/>
    </xf>
    <xf numFmtId="0" fontId="13" fillId="0" borderId="54" xfId="0" applyFont="1" applyBorder="1"/>
    <xf numFmtId="0" fontId="10" fillId="0" borderId="55" xfId="0" applyFont="1" applyBorder="1"/>
    <xf numFmtId="0" fontId="10" fillId="0" borderId="56" xfId="0" applyFont="1" applyBorder="1"/>
    <xf numFmtId="0" fontId="10" fillId="0" borderId="46" xfId="0" applyFont="1" applyBorder="1"/>
    <xf numFmtId="0" fontId="10" fillId="0" borderId="47" xfId="0" applyFont="1" applyBorder="1"/>
    <xf numFmtId="0" fontId="13" fillId="0" borderId="47" xfId="0" applyFont="1" applyBorder="1" applyAlignment="1">
      <alignment horizontal="center"/>
    </xf>
    <xf numFmtId="0" fontId="13" fillId="0" borderId="48" xfId="0" applyFont="1" applyBorder="1" applyAlignment="1">
      <alignment horizontal="center"/>
    </xf>
    <xf numFmtId="0" fontId="20" fillId="0" borderId="5" xfId="0" applyFont="1" applyBorder="1" applyAlignment="1">
      <alignment horizontal="center"/>
    </xf>
    <xf numFmtId="0" fontId="5" fillId="2" borderId="5" xfId="0" applyFont="1" applyFill="1" applyBorder="1" applyAlignment="1"/>
    <xf numFmtId="43" fontId="10" fillId="0" borderId="5" xfId="0" applyNumberFormat="1" applyFont="1" applyBorder="1"/>
    <xf numFmtId="0" fontId="7" fillId="2" borderId="5" xfId="0" applyFont="1" applyFill="1" applyBorder="1" applyAlignment="1"/>
    <xf numFmtId="0" fontId="7" fillId="2" borderId="5" xfId="0" applyFont="1" applyFill="1" applyBorder="1" applyAlignment="1">
      <alignment horizontal="right"/>
    </xf>
    <xf numFmtId="3" fontId="7" fillId="2" borderId="5" xfId="0" applyNumberFormat="1" applyFont="1" applyFill="1" applyBorder="1" applyAlignment="1">
      <alignment horizontal="right"/>
    </xf>
    <xf numFmtId="43" fontId="13" fillId="6" borderId="49" xfId="0" applyNumberFormat="1" applyFont="1" applyFill="1" applyBorder="1"/>
    <xf numFmtId="43" fontId="10" fillId="6" borderId="5" xfId="0" applyNumberFormat="1" applyFont="1" applyFill="1" applyBorder="1"/>
    <xf numFmtId="43" fontId="10" fillId="6" borderId="50" xfId="0" applyNumberFormat="1" applyFont="1" applyFill="1" applyBorder="1"/>
    <xf numFmtId="0" fontId="10" fillId="0" borderId="54" xfId="0" applyFont="1" applyBorder="1"/>
    <xf numFmtId="167" fontId="10" fillId="0" borderId="5" xfId="0" applyNumberFormat="1" applyFont="1" applyBorder="1"/>
    <xf numFmtId="0" fontId="19" fillId="0" borderId="55" xfId="0" applyFont="1" applyBorder="1"/>
    <xf numFmtId="0" fontId="13" fillId="0" borderId="55" xfId="0" applyFont="1" applyBorder="1" applyAlignment="1">
      <alignment horizontal="center"/>
    </xf>
    <xf numFmtId="172" fontId="20" fillId="0" borderId="56" xfId="0" applyNumberFormat="1" applyFont="1" applyBorder="1"/>
    <xf numFmtId="0" fontId="13" fillId="0" borderId="0" xfId="0" applyFont="1" applyAlignment="1">
      <alignment horizontal="center"/>
    </xf>
    <xf numFmtId="172" fontId="20" fillId="0" borderId="0" xfId="0" applyNumberFormat="1" applyFont="1"/>
    <xf numFmtId="0" fontId="13" fillId="0" borderId="5" xfId="0" applyFont="1" applyBorder="1" applyAlignment="1">
      <alignment horizontal="center"/>
    </xf>
    <xf numFmtId="0" fontId="13" fillId="0" borderId="50" xfId="0" applyFont="1" applyBorder="1" applyAlignment="1">
      <alignment horizontal="center"/>
    </xf>
    <xf numFmtId="43" fontId="10" fillId="0" borderId="5" xfId="0" applyNumberFormat="1" applyFont="1" applyBorder="1" applyAlignment="1">
      <alignment horizontal="center"/>
    </xf>
    <xf numFmtId="2" fontId="10" fillId="0" borderId="5" xfId="0" applyNumberFormat="1" applyFont="1" applyBorder="1" applyAlignment="1">
      <alignment horizontal="center"/>
    </xf>
    <xf numFmtId="2" fontId="10" fillId="0" borderId="50" xfId="0" applyNumberFormat="1" applyFont="1" applyBorder="1"/>
    <xf numFmtId="0" fontId="10" fillId="0" borderId="5" xfId="0" applyFont="1" applyBorder="1" applyAlignment="1">
      <alignment horizontal="center"/>
    </xf>
    <xf numFmtId="0" fontId="10" fillId="8" borderId="54" xfId="0" applyFont="1" applyFill="1" applyBorder="1"/>
    <xf numFmtId="0" fontId="10" fillId="8" borderId="55" xfId="0" applyFont="1" applyFill="1" applyBorder="1"/>
    <xf numFmtId="172" fontId="13" fillId="8" borderId="55" xfId="0" applyNumberFormat="1" applyFont="1" applyFill="1" applyBorder="1" applyAlignment="1">
      <alignment horizontal="center"/>
    </xf>
    <xf numFmtId="172" fontId="13" fillId="8" borderId="56" xfId="0" applyNumberFormat="1" applyFont="1" applyFill="1" applyBorder="1"/>
    <xf numFmtId="0" fontId="5" fillId="0" borderId="0" xfId="0" applyFont="1"/>
    <xf numFmtId="0" fontId="21" fillId="0" borderId="0" xfId="0" applyFont="1"/>
    <xf numFmtId="0" fontId="21" fillId="8" borderId="22" xfId="0" applyFont="1" applyFill="1" applyBorder="1" applyAlignment="1">
      <alignment horizontal="center"/>
    </xf>
    <xf numFmtId="0" fontId="22" fillId="8" borderId="23" xfId="0" applyFont="1" applyFill="1" applyBorder="1" applyAlignment="1">
      <alignment horizontal="center"/>
    </xf>
    <xf numFmtId="165" fontId="22" fillId="8" borderId="23" xfId="0" applyNumberFormat="1" applyFont="1" applyFill="1" applyBorder="1" applyAlignment="1">
      <alignment horizontal="center"/>
    </xf>
    <xf numFmtId="0" fontId="22" fillId="8" borderId="24" xfId="0" applyFont="1" applyFill="1" applyBorder="1" applyAlignment="1">
      <alignment horizontal="center"/>
    </xf>
    <xf numFmtId="0" fontId="21" fillId="8" borderId="25" xfId="0" applyFont="1" applyFill="1" applyBorder="1" applyAlignment="1">
      <alignment horizontal="center"/>
    </xf>
    <xf numFmtId="0" fontId="22" fillId="8" borderId="11" xfId="0" applyFont="1" applyFill="1" applyBorder="1" applyAlignment="1">
      <alignment horizontal="center"/>
    </xf>
    <xf numFmtId="0" fontId="22" fillId="8" borderId="26" xfId="0" applyFont="1" applyFill="1" applyBorder="1" applyAlignment="1">
      <alignment horizontal="center"/>
    </xf>
    <xf numFmtId="0" fontId="21" fillId="0" borderId="27" xfId="0" applyFont="1" applyBorder="1"/>
    <xf numFmtId="0" fontId="21" fillId="0" borderId="18" xfId="0" applyFont="1" applyBorder="1"/>
    <xf numFmtId="166" fontId="23" fillId="0" borderId="18" xfId="0" applyNumberFormat="1" applyFont="1" applyBorder="1"/>
    <xf numFmtId="0" fontId="21" fillId="0" borderId="28" xfId="0" applyFont="1" applyBorder="1"/>
    <xf numFmtId="0" fontId="21" fillId="0" borderId="29" xfId="0" applyFont="1" applyBorder="1"/>
    <xf numFmtId="0" fontId="22" fillId="0" borderId="30" xfId="0" applyFont="1" applyBorder="1"/>
    <xf numFmtId="0" fontId="21" fillId="0" borderId="30" xfId="0" applyFont="1" applyBorder="1"/>
    <xf numFmtId="166" fontId="21" fillId="0" borderId="30" xfId="0" applyNumberFormat="1" applyFont="1" applyBorder="1"/>
    <xf numFmtId="166" fontId="23" fillId="0" borderId="30" xfId="0" applyNumberFormat="1" applyFont="1" applyBorder="1"/>
    <xf numFmtId="0" fontId="21" fillId="0" borderId="32" xfId="0" applyFont="1" applyBorder="1"/>
    <xf numFmtId="166" fontId="21" fillId="0" borderId="18" xfId="0" applyNumberFormat="1" applyFont="1" applyBorder="1"/>
    <xf numFmtId="166" fontId="22" fillId="0" borderId="18" xfId="0" applyNumberFormat="1" applyFont="1" applyBorder="1"/>
    <xf numFmtId="43" fontId="22" fillId="0" borderId="18" xfId="0" applyNumberFormat="1" applyFont="1" applyBorder="1" applyAlignment="1">
      <alignment horizontal="center"/>
    </xf>
    <xf numFmtId="3" fontId="23" fillId="0" borderId="18" xfId="0" applyNumberFormat="1" applyFont="1" applyBorder="1"/>
    <xf numFmtId="3" fontId="22" fillId="0" borderId="18" xfId="0" applyNumberFormat="1" applyFont="1" applyBorder="1"/>
    <xf numFmtId="166" fontId="24" fillId="0" borderId="18" xfId="0" applyNumberFormat="1" applyFont="1" applyBorder="1"/>
    <xf numFmtId="43" fontId="24" fillId="0" borderId="18" xfId="0" applyNumberFormat="1" applyFont="1" applyBorder="1" applyAlignment="1">
      <alignment horizontal="center"/>
    </xf>
    <xf numFmtId="2" fontId="24" fillId="0" borderId="28" xfId="0" applyNumberFormat="1" applyFont="1" applyBorder="1" applyAlignment="1">
      <alignment horizontal="center"/>
    </xf>
    <xf numFmtId="2" fontId="21" fillId="0" borderId="28" xfId="0" applyNumberFormat="1" applyFont="1" applyBorder="1" applyAlignment="1">
      <alignment horizontal="center"/>
    </xf>
    <xf numFmtId="0" fontId="24" fillId="0" borderId="18" xfId="0" applyFont="1" applyBorder="1"/>
    <xf numFmtId="43" fontId="22" fillId="0" borderId="18" xfId="0" applyNumberFormat="1" applyFont="1" applyBorder="1"/>
    <xf numFmtId="39" fontId="24" fillId="0" borderId="18" xfId="0" applyNumberFormat="1" applyFont="1" applyBorder="1" applyAlignment="1">
      <alignment horizontal="center"/>
    </xf>
    <xf numFmtId="0" fontId="24" fillId="0" borderId="18" xfId="0" applyFont="1" applyBorder="1" applyAlignment="1">
      <alignment horizontal="center"/>
    </xf>
    <xf numFmtId="3" fontId="24" fillId="0" borderId="18" xfId="0" applyNumberFormat="1" applyFont="1" applyBorder="1"/>
    <xf numFmtId="0" fontId="21" fillId="0" borderId="34" xfId="0" applyFont="1" applyBorder="1"/>
    <xf numFmtId="0" fontId="21" fillId="0" borderId="35" xfId="0" applyFont="1" applyBorder="1"/>
    <xf numFmtId="166" fontId="23" fillId="0" borderId="35" xfId="0" applyNumberFormat="1" applyFont="1" applyBorder="1"/>
    <xf numFmtId="166" fontId="21" fillId="0" borderId="35" xfId="0" applyNumberFormat="1" applyFont="1" applyBorder="1"/>
    <xf numFmtId="3" fontId="22" fillId="0" borderId="35" xfId="0" applyNumberFormat="1" applyFont="1" applyBorder="1"/>
    <xf numFmtId="43" fontId="21" fillId="0" borderId="35" xfId="0" applyNumberFormat="1" applyFont="1" applyBorder="1"/>
    <xf numFmtId="39" fontId="21" fillId="0" borderId="35" xfId="0" applyNumberFormat="1" applyFont="1" applyBorder="1"/>
    <xf numFmtId="0" fontId="21" fillId="0" borderId="40" xfId="0" applyFont="1" applyBorder="1"/>
    <xf numFmtId="43" fontId="21" fillId="0" borderId="18" xfId="0" applyNumberFormat="1" applyFont="1" applyBorder="1"/>
    <xf numFmtId="0" fontId="22" fillId="0" borderId="18" xfId="0" applyFont="1" applyBorder="1"/>
    <xf numFmtId="0" fontId="22" fillId="0" borderId="0" xfId="0" applyFont="1"/>
    <xf numFmtId="167" fontId="21" fillId="0" borderId="18" xfId="0" applyNumberFormat="1" applyFont="1" applyBorder="1"/>
    <xf numFmtId="0" fontId="21" fillId="0" borderId="18" xfId="0" applyFont="1" applyBorder="1" applyAlignment="1">
      <alignment horizontal="center"/>
    </xf>
    <xf numFmtId="168" fontId="21" fillId="0" borderId="18" xfId="0" applyNumberFormat="1" applyFont="1" applyBorder="1"/>
    <xf numFmtId="43" fontId="23" fillId="0" borderId="18" xfId="0" applyNumberFormat="1" applyFont="1" applyBorder="1"/>
    <xf numFmtId="170" fontId="22" fillId="0" borderId="18" xfId="0" applyNumberFormat="1" applyFont="1" applyBorder="1"/>
    <xf numFmtId="39" fontId="23" fillId="0" borderId="18" xfId="0" applyNumberFormat="1" applyFont="1" applyBorder="1"/>
    <xf numFmtId="0" fontId="23" fillId="0" borderId="28" xfId="0" applyFont="1" applyBorder="1"/>
    <xf numFmtId="0" fontId="21" fillId="0" borderId="5" xfId="0" applyFont="1" applyBorder="1"/>
    <xf numFmtId="43" fontId="24" fillId="0" borderId="18" xfId="0" applyNumberFormat="1" applyFont="1" applyBorder="1"/>
    <xf numFmtId="0" fontId="24" fillId="0" borderId="28" xfId="0" applyFont="1" applyBorder="1"/>
    <xf numFmtId="11" fontId="21" fillId="0" borderId="5" xfId="0" applyNumberFormat="1" applyFont="1" applyBorder="1"/>
    <xf numFmtId="2" fontId="24" fillId="0" borderId="28" xfId="0" applyNumberFormat="1" applyFont="1" applyBorder="1"/>
    <xf numFmtId="0" fontId="21" fillId="0" borderId="30" xfId="0" applyFont="1" applyBorder="1" applyAlignment="1">
      <alignment horizontal="center"/>
    </xf>
    <xf numFmtId="43" fontId="21" fillId="0" borderId="30" xfId="0" applyNumberFormat="1" applyFont="1" applyBorder="1"/>
    <xf numFmtId="2" fontId="24" fillId="0" borderId="18" xfId="0" applyNumberFormat="1" applyFont="1" applyBorder="1"/>
    <xf numFmtId="43" fontId="23" fillId="0" borderId="28" xfId="0" applyNumberFormat="1" applyFont="1" applyBorder="1"/>
    <xf numFmtId="43" fontId="24" fillId="0" borderId="28" xfId="0" applyNumberFormat="1" applyFont="1" applyBorder="1"/>
    <xf numFmtId="0" fontId="23" fillId="0" borderId="0" xfId="0" applyFont="1"/>
    <xf numFmtId="43" fontId="21" fillId="0" borderId="28" xfId="0" applyNumberFormat="1" applyFont="1" applyBorder="1"/>
    <xf numFmtId="0" fontId="21" fillId="0" borderId="57" xfId="0" applyFont="1" applyBorder="1"/>
    <xf numFmtId="0" fontId="22" fillId="0" borderId="58" xfId="0" applyFont="1" applyBorder="1"/>
    <xf numFmtId="0" fontId="22" fillId="0" borderId="59" xfId="0" applyFont="1" applyBorder="1"/>
    <xf numFmtId="0" fontId="21" fillId="0" borderId="60" xfId="0" applyFont="1" applyBorder="1"/>
    <xf numFmtId="0" fontId="22" fillId="0" borderId="61" xfId="0" applyFont="1" applyBorder="1" applyAlignment="1">
      <alignment horizontal="center"/>
    </xf>
    <xf numFmtId="0" fontId="22" fillId="0" borderId="62" xfId="0" applyFont="1" applyBorder="1" applyAlignment="1">
      <alignment horizontal="center"/>
    </xf>
    <xf numFmtId="0" fontId="21" fillId="0" borderId="63" xfId="0" applyFont="1" applyBorder="1"/>
    <xf numFmtId="0" fontId="21" fillId="0" borderId="64" xfId="0" applyFont="1" applyBorder="1"/>
    <xf numFmtId="11" fontId="21" fillId="0" borderId="64" xfId="0" applyNumberFormat="1" applyFont="1" applyBorder="1"/>
    <xf numFmtId="11" fontId="21" fillId="0" borderId="65" xfId="0" applyNumberFormat="1" applyFont="1" applyBorder="1"/>
    <xf numFmtId="0" fontId="21" fillId="0" borderId="66" xfId="0" applyFont="1" applyBorder="1"/>
    <xf numFmtId="11" fontId="21" fillId="0" borderId="67" xfId="0" applyNumberFormat="1" applyFont="1" applyBorder="1"/>
    <xf numFmtId="2" fontId="21" fillId="0" borderId="61" xfId="0" applyNumberFormat="1" applyFont="1" applyBorder="1"/>
    <xf numFmtId="11" fontId="21" fillId="0" borderId="61" xfId="0" applyNumberFormat="1" applyFont="1" applyBorder="1"/>
    <xf numFmtId="11" fontId="21" fillId="0" borderId="62" xfId="0" applyNumberFormat="1" applyFont="1" applyBorder="1"/>
    <xf numFmtId="0" fontId="22" fillId="0" borderId="18" xfId="0" applyFont="1" applyBorder="1" applyAlignment="1">
      <alignment horizontal="center"/>
    </xf>
    <xf numFmtId="168" fontId="24" fillId="0" borderId="18" xfId="0" applyNumberFormat="1" applyFont="1" applyBorder="1"/>
    <xf numFmtId="0" fontId="21" fillId="0" borderId="68" xfId="0" applyFont="1" applyBorder="1"/>
    <xf numFmtId="2" fontId="23" fillId="0" borderId="28" xfId="0" applyNumberFormat="1" applyFont="1" applyBorder="1" applyAlignment="1">
      <alignment horizontal="center"/>
    </xf>
    <xf numFmtId="167" fontId="23" fillId="0" borderId="18" xfId="0" applyNumberFormat="1" applyFont="1" applyBorder="1"/>
    <xf numFmtId="2" fontId="23" fillId="0" borderId="28" xfId="0" applyNumberFormat="1" applyFont="1" applyBorder="1"/>
    <xf numFmtId="2" fontId="23" fillId="0" borderId="18" xfId="0" applyNumberFormat="1" applyFont="1" applyBorder="1"/>
    <xf numFmtId="174" fontId="21" fillId="0" borderId="18" xfId="0" applyNumberFormat="1" applyFont="1" applyBorder="1"/>
    <xf numFmtId="169" fontId="24" fillId="0" borderId="18" xfId="0" applyNumberFormat="1" applyFont="1" applyBorder="1"/>
    <xf numFmtId="167" fontId="23" fillId="0" borderId="30" xfId="0" applyNumberFormat="1" applyFont="1" applyBorder="1"/>
    <xf numFmtId="166" fontId="22" fillId="0" borderId="30" xfId="0" applyNumberFormat="1" applyFont="1" applyBorder="1"/>
    <xf numFmtId="166" fontId="24" fillId="0" borderId="30" xfId="0" applyNumberFormat="1" applyFont="1" applyBorder="1"/>
    <xf numFmtId="169" fontId="24" fillId="0" borderId="30" xfId="0" applyNumberFormat="1" applyFont="1" applyBorder="1"/>
    <xf numFmtId="2" fontId="21" fillId="0" borderId="28" xfId="0" applyNumberFormat="1" applyFont="1" applyBorder="1"/>
    <xf numFmtId="39" fontId="24" fillId="0" borderId="18" xfId="0" applyNumberFormat="1" applyFont="1" applyBorder="1"/>
    <xf numFmtId="39" fontId="24" fillId="0" borderId="28" xfId="0" applyNumberFormat="1" applyFont="1" applyBorder="1"/>
    <xf numFmtId="43" fontId="22" fillId="0" borderId="30" xfId="0" applyNumberFormat="1" applyFont="1" applyBorder="1"/>
    <xf numFmtId="165" fontId="24" fillId="0" borderId="28" xfId="0" applyNumberFormat="1" applyFont="1" applyBorder="1"/>
    <xf numFmtId="38" fontId="21" fillId="0" borderId="18" xfId="0" applyNumberFormat="1" applyFont="1" applyBorder="1"/>
    <xf numFmtId="38" fontId="21" fillId="0" borderId="30" xfId="0" applyNumberFormat="1" applyFont="1" applyBorder="1"/>
    <xf numFmtId="3" fontId="21" fillId="0" borderId="18" xfId="0" applyNumberFormat="1" applyFont="1" applyBorder="1"/>
    <xf numFmtId="1" fontId="21" fillId="0" borderId="18" xfId="0" applyNumberFormat="1" applyFont="1" applyBorder="1"/>
    <xf numFmtId="11" fontId="21" fillId="0" borderId="18" xfId="0" applyNumberFormat="1" applyFont="1" applyBorder="1"/>
    <xf numFmtId="2" fontId="21" fillId="0" borderId="18" xfId="0" applyNumberFormat="1" applyFont="1" applyBorder="1"/>
    <xf numFmtId="0" fontId="23" fillId="0" borderId="18" xfId="0" applyFont="1" applyBorder="1"/>
    <xf numFmtId="170" fontId="23" fillId="0" borderId="18" xfId="0" applyNumberFormat="1" applyFont="1" applyBorder="1"/>
    <xf numFmtId="171" fontId="23" fillId="0" borderId="28" xfId="0" applyNumberFormat="1" applyFont="1" applyBorder="1"/>
    <xf numFmtId="173" fontId="21" fillId="0" borderId="18" xfId="0" applyNumberFormat="1" applyFont="1" applyBorder="1"/>
    <xf numFmtId="170" fontId="23" fillId="0" borderId="28" xfId="0" applyNumberFormat="1" applyFont="1" applyBorder="1"/>
    <xf numFmtId="172" fontId="23" fillId="0" borderId="28" xfId="0" applyNumberFormat="1" applyFont="1" applyBorder="1"/>
    <xf numFmtId="173" fontId="23" fillId="0" borderId="18" xfId="0" applyNumberFormat="1" applyFont="1" applyBorder="1"/>
    <xf numFmtId="173" fontId="23" fillId="0" borderId="28" xfId="0" applyNumberFormat="1" applyFont="1" applyBorder="1"/>
    <xf numFmtId="0" fontId="21" fillId="0" borderId="62" xfId="0" applyFont="1" applyBorder="1"/>
    <xf numFmtId="43" fontId="21" fillId="0" borderId="0" xfId="0" applyNumberFormat="1" applyFont="1"/>
    <xf numFmtId="166" fontId="21" fillId="0" borderId="28" xfId="0" applyNumberFormat="1" applyFont="1" applyBorder="1"/>
    <xf numFmtId="166" fontId="21" fillId="0" borderId="32" xfId="0" applyNumberFormat="1" applyFont="1" applyBorder="1"/>
    <xf numFmtId="39" fontId="23" fillId="0" borderId="28" xfId="0" applyNumberFormat="1" applyFont="1" applyBorder="1"/>
    <xf numFmtId="0" fontId="21" fillId="0" borderId="37" xfId="0" applyFont="1" applyBorder="1"/>
    <xf numFmtId="0" fontId="21" fillId="0" borderId="38" xfId="0" applyFont="1" applyBorder="1"/>
    <xf numFmtId="0" fontId="21" fillId="0" borderId="39" xfId="0" applyFont="1" applyBorder="1"/>
    <xf numFmtId="0" fontId="21" fillId="0" borderId="0" xfId="0" quotePrefix="1" applyFont="1"/>
    <xf numFmtId="166" fontId="22" fillId="0" borderId="0" xfId="0" applyNumberFormat="1" applyFont="1"/>
    <xf numFmtId="173" fontId="21" fillId="0" borderId="0" xfId="0" applyNumberFormat="1" applyFont="1"/>
    <xf numFmtId="0" fontId="25" fillId="0" borderId="69" xfId="0" applyFont="1" applyBorder="1"/>
    <xf numFmtId="43" fontId="22" fillId="0" borderId="70" xfId="0" applyNumberFormat="1" applyFont="1" applyBorder="1"/>
    <xf numFmtId="0" fontId="22" fillId="0" borderId="70" xfId="0" applyFont="1" applyBorder="1"/>
    <xf numFmtId="43" fontId="22" fillId="0" borderId="71" xfId="0" applyNumberFormat="1" applyFont="1" applyBorder="1"/>
    <xf numFmtId="0" fontId="8" fillId="0" borderId="0" xfId="0" applyFont="1" applyAlignment="1">
      <alignment horizontal="center"/>
    </xf>
    <xf numFmtId="0" fontId="8" fillId="0" borderId="0" xfId="0" applyFont="1"/>
    <xf numFmtId="0" fontId="8" fillId="9" borderId="21" xfId="0" applyFont="1" applyFill="1" applyBorder="1" applyAlignment="1">
      <alignment horizontal="center"/>
    </xf>
    <xf numFmtId="0" fontId="8" fillId="0" borderId="57" xfId="0" applyFont="1" applyBorder="1"/>
    <xf numFmtId="0" fontId="3" fillId="0" borderId="58" xfId="0" applyFont="1" applyBorder="1" applyAlignment="1">
      <alignment horizontal="center"/>
    </xf>
    <xf numFmtId="175" fontId="3" fillId="0" borderId="59" xfId="0" applyNumberFormat="1" applyFont="1" applyBorder="1"/>
    <xf numFmtId="0" fontId="8" fillId="0" borderId="66" xfId="0" applyFont="1" applyBorder="1"/>
    <xf numFmtId="0" fontId="3" fillId="0" borderId="5" xfId="0" applyFont="1" applyBorder="1" applyAlignment="1">
      <alignment horizontal="center"/>
    </xf>
    <xf numFmtId="173" fontId="3" fillId="0" borderId="67" xfId="0" applyNumberFormat="1" applyFont="1" applyBorder="1"/>
    <xf numFmtId="176" fontId="3" fillId="0" borderId="67" xfId="0" applyNumberFormat="1" applyFont="1" applyBorder="1"/>
    <xf numFmtId="0" fontId="3" fillId="0" borderId="60" xfId="0" applyFont="1" applyBorder="1"/>
    <xf numFmtId="0" fontId="8" fillId="0" borderId="61" xfId="0" applyFont="1" applyBorder="1" applyAlignment="1">
      <alignment horizontal="center"/>
    </xf>
    <xf numFmtId="0" fontId="8" fillId="0" borderId="62" xfId="0" applyFont="1" applyBorder="1" applyAlignment="1">
      <alignment horizontal="center"/>
    </xf>
    <xf numFmtId="0" fontId="3" fillId="0" borderId="31" xfId="0" applyFont="1" applyBorder="1"/>
    <xf numFmtId="0" fontId="3" fillId="0" borderId="72" xfId="0" applyFont="1" applyBorder="1"/>
    <xf numFmtId="0" fontId="8" fillId="0" borderId="8" xfId="0" applyFont="1" applyBorder="1" applyAlignment="1">
      <alignment horizontal="center"/>
    </xf>
    <xf numFmtId="0" fontId="8" fillId="0" borderId="8" xfId="0" applyFont="1" applyBorder="1"/>
    <xf numFmtId="0" fontId="8" fillId="0" borderId="74" xfId="0" applyFont="1" applyBorder="1" applyAlignment="1">
      <alignment horizontal="center"/>
    </xf>
    <xf numFmtId="0" fontId="3" fillId="0" borderId="33" xfId="0" applyFont="1" applyBorder="1"/>
    <xf numFmtId="0" fontId="3" fillId="0" borderId="75" xfId="0" applyFont="1" applyBorder="1"/>
    <xf numFmtId="0" fontId="8" fillId="10" borderId="14" xfId="0" applyFont="1" applyFill="1" applyBorder="1" applyAlignment="1">
      <alignment horizontal="center"/>
    </xf>
    <xf numFmtId="0" fontId="8" fillId="10" borderId="76" xfId="0" applyFont="1" applyFill="1" applyBorder="1" applyAlignment="1">
      <alignment horizontal="center"/>
    </xf>
    <xf numFmtId="0" fontId="3" fillId="0" borderId="14" xfId="0" applyFont="1" applyBorder="1" applyAlignment="1">
      <alignment horizontal="center"/>
    </xf>
    <xf numFmtId="0" fontId="3" fillId="0" borderId="14" xfId="0" applyFont="1" applyBorder="1"/>
    <xf numFmtId="0" fontId="3" fillId="0" borderId="77" xfId="0" applyFont="1" applyBorder="1"/>
    <xf numFmtId="0" fontId="3" fillId="0" borderId="36" xfId="0" applyFont="1" applyBorder="1"/>
    <xf numFmtId="0" fontId="3" fillId="0" borderId="78" xfId="0" applyFont="1" applyBorder="1" applyAlignment="1">
      <alignment horizontal="center"/>
    </xf>
    <xf numFmtId="0" fontId="3" fillId="0" borderId="79" xfId="0" applyFont="1" applyBorder="1" applyAlignment="1">
      <alignment horizontal="center"/>
    </xf>
    <xf numFmtId="0" fontId="8" fillId="6" borderId="80" xfId="0" applyFont="1" applyFill="1" applyBorder="1"/>
    <xf numFmtId="0" fontId="8" fillId="8" borderId="81" xfId="0" applyFont="1" applyFill="1" applyBorder="1" applyAlignment="1">
      <alignment horizontal="right"/>
    </xf>
    <xf numFmtId="166" fontId="8" fillId="8" borderId="8" xfId="0" applyNumberFormat="1" applyFont="1" applyFill="1" applyBorder="1"/>
    <xf numFmtId="165" fontId="3" fillId="8" borderId="82" xfId="0" applyNumberFormat="1" applyFont="1" applyFill="1" applyBorder="1" applyAlignment="1">
      <alignment horizontal="center"/>
    </xf>
    <xf numFmtId="166" fontId="3" fillId="8" borderId="8" xfId="0" applyNumberFormat="1" applyFont="1" applyFill="1" applyBorder="1"/>
    <xf numFmtId="166" fontId="3" fillId="8" borderId="81" xfId="0" applyNumberFormat="1" applyFont="1" applyFill="1" applyBorder="1"/>
    <xf numFmtId="0" fontId="3" fillId="6" borderId="80" xfId="0" applyFont="1" applyFill="1" applyBorder="1"/>
    <xf numFmtId="0" fontId="8" fillId="6" borderId="76" xfId="0" applyFont="1" applyFill="1" applyBorder="1" applyAlignment="1">
      <alignment horizontal="right"/>
    </xf>
    <xf numFmtId="166" fontId="8" fillId="6" borderId="14" xfId="0" applyNumberFormat="1" applyFont="1" applyFill="1" applyBorder="1"/>
    <xf numFmtId="166" fontId="8" fillId="6" borderId="76" xfId="0" applyNumberFormat="1" applyFont="1" applyFill="1" applyBorder="1"/>
    <xf numFmtId="166" fontId="3" fillId="6" borderId="14" xfId="0" applyNumberFormat="1" applyFont="1" applyFill="1" applyBorder="1"/>
    <xf numFmtId="166" fontId="3" fillId="6" borderId="76" xfId="0" applyNumberFormat="1" applyFont="1" applyFill="1" applyBorder="1"/>
    <xf numFmtId="0" fontId="3" fillId="11" borderId="83" xfId="0" applyFont="1" applyFill="1" applyBorder="1"/>
    <xf numFmtId="0" fontId="8" fillId="11" borderId="21" xfId="0" applyFont="1" applyFill="1" applyBorder="1" applyAlignment="1">
      <alignment horizontal="right"/>
    </xf>
    <xf numFmtId="166" fontId="26" fillId="11" borderId="84" xfId="0" applyNumberFormat="1" applyFont="1" applyFill="1" applyBorder="1"/>
    <xf numFmtId="39" fontId="27" fillId="11" borderId="84" xfId="0" applyNumberFormat="1" applyFont="1" applyFill="1" applyBorder="1"/>
    <xf numFmtId="166" fontId="27" fillId="11" borderId="84" xfId="0" applyNumberFormat="1" applyFont="1" applyFill="1" applyBorder="1"/>
    <xf numFmtId="39" fontId="26" fillId="11" borderId="84" xfId="0" applyNumberFormat="1" applyFont="1" applyFill="1" applyBorder="1"/>
    <xf numFmtId="166" fontId="3" fillId="11" borderId="84" xfId="0" applyNumberFormat="1" applyFont="1" applyFill="1" applyBorder="1"/>
    <xf numFmtId="166" fontId="26" fillId="11" borderId="85" xfId="0" applyNumberFormat="1" applyFont="1" applyFill="1" applyBorder="1"/>
    <xf numFmtId="0" fontId="3" fillId="0" borderId="68" xfId="0" applyFont="1" applyBorder="1"/>
    <xf numFmtId="0" fontId="8" fillId="0" borderId="68" xfId="0" applyFont="1" applyBorder="1" applyAlignment="1">
      <alignment horizontal="right"/>
    </xf>
    <xf numFmtId="166" fontId="3" fillId="0" borderId="68" xfId="0" applyNumberFormat="1" applyFont="1" applyBorder="1"/>
    <xf numFmtId="166" fontId="26" fillId="0" borderId="68" xfId="0" applyNumberFormat="1" applyFont="1" applyBorder="1"/>
    <xf numFmtId="166" fontId="3" fillId="0" borderId="30" xfId="0" applyNumberFormat="1" applyFont="1" applyBorder="1"/>
    <xf numFmtId="0" fontId="3" fillId="0" borderId="86" xfId="0" applyFont="1" applyBorder="1"/>
    <xf numFmtId="166" fontId="3" fillId="0" borderId="72" xfId="0" applyNumberFormat="1" applyFont="1" applyBorder="1"/>
    <xf numFmtId="0" fontId="8" fillId="12" borderId="14" xfId="0" applyFont="1" applyFill="1" applyBorder="1"/>
    <xf numFmtId="43" fontId="3" fillId="12" borderId="80" xfId="0" applyNumberFormat="1" applyFont="1" applyFill="1" applyBorder="1" applyAlignment="1">
      <alignment horizontal="left"/>
    </xf>
    <xf numFmtId="39" fontId="3" fillId="12" borderId="14" xfId="0" applyNumberFormat="1" applyFont="1" applyFill="1" applyBorder="1" applyAlignment="1">
      <alignment horizontal="center"/>
    </xf>
    <xf numFmtId="43" fontId="3" fillId="12" borderId="14" xfId="0" applyNumberFormat="1" applyFont="1" applyFill="1" applyBorder="1" applyAlignment="1">
      <alignment horizontal="left"/>
    </xf>
    <xf numFmtId="43" fontId="3" fillId="12" borderId="76" xfId="0" applyNumberFormat="1" applyFont="1" applyFill="1" applyBorder="1" applyAlignment="1">
      <alignment horizontal="left"/>
    </xf>
    <xf numFmtId="0" fontId="8" fillId="8" borderId="83" xfId="0" applyFont="1" applyFill="1" applyBorder="1"/>
    <xf numFmtId="0" fontId="8" fillId="0" borderId="87" xfId="0" applyFont="1" applyBorder="1"/>
    <xf numFmtId="43" fontId="3" fillId="0" borderId="87" xfId="0" applyNumberFormat="1" applyFont="1" applyBorder="1" applyAlignment="1">
      <alignment horizontal="left"/>
    </xf>
    <xf numFmtId="43" fontId="3" fillId="0" borderId="14" xfId="0" applyNumberFormat="1" applyFont="1" applyBorder="1" applyAlignment="1">
      <alignment horizontal="left"/>
    </xf>
    <xf numFmtId="43" fontId="3" fillId="0" borderId="77" xfId="0" applyNumberFormat="1" applyFont="1" applyBorder="1" applyAlignment="1">
      <alignment horizontal="left"/>
    </xf>
    <xf numFmtId="0" fontId="8" fillId="0" borderId="88" xfId="0" applyFont="1" applyBorder="1"/>
    <xf numFmtId="43" fontId="3" fillId="0" borderId="88" xfId="0" applyNumberFormat="1" applyFont="1" applyBorder="1" applyAlignment="1">
      <alignment horizontal="left"/>
    </xf>
    <xf numFmtId="39" fontId="3" fillId="0" borderId="20" xfId="0" applyNumberFormat="1" applyFont="1" applyBorder="1" applyAlignment="1">
      <alignment horizontal="center"/>
    </xf>
    <xf numFmtId="43" fontId="3" fillId="0" borderId="20" xfId="0" applyNumberFormat="1" applyFont="1" applyBorder="1" applyAlignment="1">
      <alignment horizontal="left"/>
    </xf>
    <xf numFmtId="43" fontId="3" fillId="0" borderId="89" xfId="0" applyNumberFormat="1" applyFont="1" applyBorder="1" applyAlignment="1">
      <alignment horizontal="left"/>
    </xf>
    <xf numFmtId="0" fontId="3" fillId="0" borderId="8" xfId="0" applyFont="1" applyBorder="1"/>
    <xf numFmtId="43" fontId="3" fillId="0" borderId="8" xfId="0" applyNumberFormat="1" applyFont="1" applyBorder="1" applyAlignment="1">
      <alignment horizontal="left"/>
    </xf>
    <xf numFmtId="39" fontId="3" fillId="0" borderId="8" xfId="0" applyNumberFormat="1" applyFont="1" applyBorder="1" applyAlignment="1">
      <alignment horizontal="center"/>
    </xf>
    <xf numFmtId="0" fontId="3" fillId="0" borderId="90" xfId="0" applyFont="1" applyBorder="1"/>
    <xf numFmtId="0" fontId="8" fillId="0" borderId="14" xfId="0" applyFont="1" applyBorder="1"/>
    <xf numFmtId="0" fontId="8" fillId="0" borderId="20" xfId="0" applyFont="1" applyBorder="1"/>
    <xf numFmtId="43" fontId="3" fillId="0" borderId="33" xfId="0" applyNumberFormat="1" applyFont="1" applyBorder="1" applyAlignment="1">
      <alignment horizontal="left"/>
    </xf>
    <xf numFmtId="39" fontId="3" fillId="0" borderId="18" xfId="0" applyNumberFormat="1" applyFont="1" applyBorder="1" applyAlignment="1">
      <alignment horizontal="center"/>
    </xf>
    <xf numFmtId="43" fontId="3" fillId="0" borderId="18" xfId="0" applyNumberFormat="1" applyFont="1" applyBorder="1" applyAlignment="1">
      <alignment horizontal="left"/>
    </xf>
    <xf numFmtId="43" fontId="3" fillId="0" borderId="75" xfId="0" applyNumberFormat="1" applyFont="1" applyBorder="1" applyAlignment="1">
      <alignment horizontal="left"/>
    </xf>
    <xf numFmtId="0" fontId="8" fillId="12" borderId="8" xfId="0" applyFont="1" applyFill="1" applyBorder="1"/>
    <xf numFmtId="43" fontId="3" fillId="12" borderId="8" xfId="0" applyNumberFormat="1" applyFont="1" applyFill="1" applyBorder="1" applyAlignment="1">
      <alignment horizontal="left"/>
    </xf>
    <xf numFmtId="39" fontId="3" fillId="12" borderId="8" xfId="0" applyNumberFormat="1" applyFont="1" applyFill="1" applyBorder="1" applyAlignment="1">
      <alignment horizontal="center"/>
    </xf>
    <xf numFmtId="166" fontId="3" fillId="0" borderId="0" xfId="0" applyNumberFormat="1" applyFont="1"/>
    <xf numFmtId="0" fontId="3" fillId="0" borderId="6" xfId="0" applyFont="1" applyBorder="1"/>
    <xf numFmtId="0" fontId="3" fillId="0" borderId="7" xfId="0" applyFont="1" applyBorder="1"/>
    <xf numFmtId="166" fontId="3" fillId="0" borderId="7" xfId="0" applyNumberFormat="1" applyFont="1" applyBorder="1"/>
    <xf numFmtId="166" fontId="3" fillId="0" borderId="91" xfId="0" applyNumberFormat="1" applyFont="1" applyBorder="1"/>
    <xf numFmtId="0" fontId="8" fillId="6" borderId="92" xfId="0" applyFont="1" applyFill="1" applyBorder="1"/>
    <xf numFmtId="0" fontId="8" fillId="6" borderId="93" xfId="0" applyFont="1" applyFill="1" applyBorder="1"/>
    <xf numFmtId="0" fontId="8" fillId="6" borderId="94" xfId="0" applyFont="1" applyFill="1" applyBorder="1"/>
    <xf numFmtId="0" fontId="8" fillId="0" borderId="95" xfId="0" applyFont="1" applyBorder="1"/>
    <xf numFmtId="0" fontId="8" fillId="6" borderId="96" xfId="0" applyFont="1" applyFill="1" applyBorder="1"/>
    <xf numFmtId="0" fontId="8" fillId="6" borderId="97" xfId="0" applyFont="1" applyFill="1" applyBorder="1"/>
    <xf numFmtId="0" fontId="8" fillId="6" borderId="98" xfId="0" applyFont="1" applyFill="1" applyBorder="1"/>
    <xf numFmtId="0" fontId="4" fillId="0" borderId="99" xfId="0" applyFont="1" applyBorder="1"/>
    <xf numFmtId="0" fontId="4" fillId="0" borderId="58" xfId="0" applyFont="1" applyBorder="1"/>
    <xf numFmtId="0" fontId="4" fillId="0" borderId="100" xfId="0" applyFont="1" applyBorder="1"/>
    <xf numFmtId="0" fontId="3" fillId="0" borderId="49" xfId="0" applyFont="1" applyBorder="1"/>
    <xf numFmtId="166" fontId="3" fillId="0" borderId="5" xfId="0" applyNumberFormat="1" applyFont="1" applyBorder="1"/>
    <xf numFmtId="172" fontId="3" fillId="0" borderId="2" xfId="0" applyNumberFormat="1" applyFont="1" applyBorder="1"/>
    <xf numFmtId="172" fontId="3" fillId="0" borderId="95" xfId="0" applyNumberFormat="1" applyFont="1" applyBorder="1"/>
    <xf numFmtId="0" fontId="3" fillId="0" borderId="5" xfId="0" applyFont="1" applyBorder="1"/>
    <xf numFmtId="0" fontId="3" fillId="0" borderId="101" xfId="0" applyFont="1" applyBorder="1"/>
    <xf numFmtId="0" fontId="8" fillId="0" borderId="102" xfId="0" applyFont="1" applyBorder="1"/>
    <xf numFmtId="166" fontId="8" fillId="0" borderId="102" xfId="0" applyNumberFormat="1" applyFont="1" applyBorder="1"/>
    <xf numFmtId="172" fontId="8" fillId="0" borderId="103" xfId="0" applyNumberFormat="1" applyFont="1" applyBorder="1"/>
    <xf numFmtId="2" fontId="8" fillId="0" borderId="95" xfId="0" applyNumberFormat="1" applyFont="1" applyBorder="1"/>
    <xf numFmtId="0" fontId="8" fillId="6" borderId="104" xfId="0" applyFont="1" applyFill="1" applyBorder="1"/>
    <xf numFmtId="166" fontId="8" fillId="6" borderId="70" xfId="0" applyNumberFormat="1" applyFont="1" applyFill="1" applyBorder="1"/>
    <xf numFmtId="172" fontId="8" fillId="6" borderId="105" xfId="0" applyNumberFormat="1" applyFont="1" applyFill="1" applyBorder="1"/>
    <xf numFmtId="172" fontId="8" fillId="0" borderId="95" xfId="0" applyNumberFormat="1" applyFont="1" applyBorder="1"/>
    <xf numFmtId="0" fontId="3" fillId="0" borderId="106" xfId="0" applyFont="1" applyBorder="1"/>
    <xf numFmtId="0" fontId="3" fillId="0" borderId="107" xfId="0" applyFont="1" applyBorder="1"/>
    <xf numFmtId="0" fontId="3" fillId="0" borderId="108" xfId="0" applyFont="1" applyBorder="1"/>
    <xf numFmtId="0" fontId="3" fillId="0" borderId="95" xfId="0" applyFont="1" applyBorder="1"/>
    <xf numFmtId="0" fontId="3" fillId="0" borderId="109" xfId="0" applyFont="1" applyBorder="1"/>
    <xf numFmtId="0" fontId="3" fillId="0" borderId="110" xfId="0" applyFont="1" applyBorder="1"/>
    <xf numFmtId="0" fontId="4" fillId="0" borderId="0" xfId="0" applyFont="1"/>
    <xf numFmtId="0" fontId="4" fillId="0" borderId="111" xfId="0" applyFont="1" applyBorder="1"/>
    <xf numFmtId="0" fontId="28" fillId="0" borderId="0" xfId="0" applyFont="1"/>
    <xf numFmtId="0" fontId="3" fillId="0" borderId="112" xfId="0" applyFont="1" applyBorder="1"/>
    <xf numFmtId="43" fontId="3" fillId="0" borderId="5" xfId="0" applyNumberFormat="1" applyFont="1" applyBorder="1"/>
    <xf numFmtId="0" fontId="3" fillId="0" borderId="50" xfId="0" applyFont="1" applyBorder="1"/>
    <xf numFmtId="2" fontId="3" fillId="0" borderId="95" xfId="0" applyNumberFormat="1" applyFont="1" applyBorder="1"/>
    <xf numFmtId="39" fontId="3" fillId="0" borderId="5" xfId="0" applyNumberFormat="1" applyFont="1" applyBorder="1"/>
    <xf numFmtId="0" fontId="4" fillId="0" borderId="113" xfId="0" applyFont="1" applyBorder="1"/>
    <xf numFmtId="0" fontId="4" fillId="0" borderId="55" xfId="0" applyFont="1" applyBorder="1"/>
    <xf numFmtId="0" fontId="4" fillId="0" borderId="56" xfId="0" applyFont="1" applyBorder="1"/>
    <xf numFmtId="2" fontId="3" fillId="0" borderId="5" xfId="0" applyNumberFormat="1" applyFont="1" applyBorder="1" applyAlignment="1">
      <alignment horizontal="center"/>
    </xf>
    <xf numFmtId="172" fontId="3" fillId="0" borderId="50" xfId="0" applyNumberFormat="1" applyFont="1" applyBorder="1" applyAlignment="1">
      <alignment horizontal="center"/>
    </xf>
    <xf numFmtId="0" fontId="4" fillId="0" borderId="54" xfId="0" applyFont="1" applyBorder="1"/>
    <xf numFmtId="0" fontId="12" fillId="0" borderId="0" xfId="0" applyFont="1" applyAlignment="1">
      <alignment vertical="top"/>
    </xf>
    <xf numFmtId="0" fontId="0" fillId="0" borderId="0" xfId="0" applyFont="1"/>
    <xf numFmtId="0" fontId="29" fillId="0" borderId="0" xfId="0" applyFont="1"/>
    <xf numFmtId="0" fontId="30" fillId="3" borderId="114" xfId="0" applyFont="1" applyFill="1" applyBorder="1"/>
    <xf numFmtId="0" fontId="4" fillId="3" borderId="115" xfId="0" applyFont="1" applyFill="1" applyBorder="1"/>
    <xf numFmtId="0" fontId="4" fillId="3" borderId="116" xfId="0" applyFont="1" applyFill="1" applyBorder="1"/>
    <xf numFmtId="0" fontId="30" fillId="0" borderId="0" xfId="0" applyFont="1"/>
    <xf numFmtId="0" fontId="4" fillId="0" borderId="57" xfId="0" applyFont="1" applyBorder="1"/>
    <xf numFmtId="0" fontId="30" fillId="0" borderId="58" xfId="0" applyFont="1" applyBorder="1"/>
    <xf numFmtId="0" fontId="30" fillId="0" borderId="117" xfId="0" applyFont="1" applyBorder="1"/>
    <xf numFmtId="0" fontId="30" fillId="0" borderId="59" xfId="0" applyFont="1" applyBorder="1"/>
    <xf numFmtId="0" fontId="4" fillId="0" borderId="66" xfId="0" applyFont="1" applyBorder="1"/>
    <xf numFmtId="0" fontId="4" fillId="0" borderId="5" xfId="0" applyFont="1" applyBorder="1"/>
    <xf numFmtId="0" fontId="4" fillId="0" borderId="2" xfId="0" applyFont="1" applyBorder="1"/>
    <xf numFmtId="0" fontId="4" fillId="0" borderId="3" xfId="0" applyFont="1" applyBorder="1"/>
    <xf numFmtId="0" fontId="4" fillId="0" borderId="67" xfId="0" applyFont="1" applyBorder="1"/>
    <xf numFmtId="0" fontId="21" fillId="0" borderId="66" xfId="0" quotePrefix="1" applyFont="1" applyBorder="1" applyAlignment="1">
      <alignment horizontal="left"/>
    </xf>
    <xf numFmtId="3" fontId="4" fillId="0" borderId="5" xfId="0" applyNumberFormat="1" applyFont="1" applyBorder="1"/>
    <xf numFmtId="3" fontId="4" fillId="0" borderId="2" xfId="0" applyNumberFormat="1" applyFont="1" applyBorder="1"/>
    <xf numFmtId="3" fontId="21" fillId="0" borderId="3" xfId="0" applyNumberFormat="1" applyFont="1" applyBorder="1" applyAlignment="1">
      <alignment horizontal="right"/>
    </xf>
    <xf numFmtId="3" fontId="4" fillId="0" borderId="3" xfId="0" applyNumberFormat="1" applyFont="1" applyBorder="1"/>
    <xf numFmtId="166" fontId="4" fillId="0" borderId="5" xfId="0" applyNumberFormat="1" applyFont="1" applyBorder="1"/>
    <xf numFmtId="166" fontId="4" fillId="0" borderId="2" xfId="0" applyNumberFormat="1" applyFont="1" applyBorder="1"/>
    <xf numFmtId="166" fontId="4" fillId="0" borderId="67" xfId="0" applyNumberFormat="1" applyFont="1" applyBorder="1"/>
    <xf numFmtId="0" fontId="21" fillId="0" borderId="60" xfId="0" quotePrefix="1" applyFont="1" applyBorder="1" applyAlignment="1">
      <alignment horizontal="left"/>
    </xf>
    <xf numFmtId="3" fontId="4" fillId="0" borderId="61" xfId="0" applyNumberFormat="1" applyFont="1" applyBorder="1"/>
    <xf numFmtId="3" fontId="4" fillId="0" borderId="118" xfId="0" applyNumberFormat="1" applyFont="1" applyBorder="1"/>
    <xf numFmtId="3" fontId="21" fillId="0" borderId="119" xfId="0" applyNumberFormat="1" applyFont="1" applyBorder="1" applyAlignment="1">
      <alignment horizontal="right"/>
    </xf>
    <xf numFmtId="3" fontId="4" fillId="0" borderId="119" xfId="0" applyNumberFormat="1" applyFont="1" applyBorder="1"/>
    <xf numFmtId="166" fontId="4" fillId="0" borderId="61" xfId="0" applyNumberFormat="1" applyFont="1" applyBorder="1"/>
    <xf numFmtId="37" fontId="4" fillId="0" borderId="61" xfId="0" applyNumberFormat="1" applyFont="1" applyBorder="1"/>
    <xf numFmtId="166" fontId="4" fillId="0" borderId="62" xfId="0" applyNumberFormat="1" applyFont="1" applyBorder="1"/>
    <xf numFmtId="0" fontId="31" fillId="0" borderId="0" xfId="0" applyFont="1"/>
    <xf numFmtId="0" fontId="32" fillId="0" borderId="0" xfId="0" applyFont="1"/>
    <xf numFmtId="0" fontId="30" fillId="3" borderId="116" xfId="0" applyFont="1" applyFill="1" applyBorder="1"/>
    <xf numFmtId="3" fontId="21" fillId="0" borderId="5" xfId="0" applyNumberFormat="1" applyFont="1" applyBorder="1"/>
    <xf numFmtId="166" fontId="21" fillId="0" borderId="5" xfId="0" applyNumberFormat="1" applyFont="1" applyBorder="1"/>
    <xf numFmtId="166" fontId="21" fillId="0" borderId="67" xfId="0" applyNumberFormat="1" applyFont="1" applyBorder="1"/>
    <xf numFmtId="0" fontId="4" fillId="0" borderId="120" xfId="0" applyFont="1" applyBorder="1"/>
    <xf numFmtId="0" fontId="4" fillId="0" borderId="102" xfId="0" applyFont="1" applyBorder="1"/>
    <xf numFmtId="3" fontId="21" fillId="0" borderId="102" xfId="0" applyNumberFormat="1" applyFont="1" applyBorder="1"/>
    <xf numFmtId="3" fontId="21" fillId="0" borderId="61" xfId="0" applyNumberFormat="1" applyFont="1" applyBorder="1"/>
    <xf numFmtId="166" fontId="21" fillId="0" borderId="61" xfId="0" applyNumberFormat="1" applyFont="1" applyBorder="1"/>
    <xf numFmtId="166" fontId="21" fillId="0" borderId="62" xfId="0" applyNumberFormat="1" applyFont="1" applyBorder="1"/>
    <xf numFmtId="0" fontId="4" fillId="6" borderId="69" xfId="0" applyFont="1" applyFill="1" applyBorder="1"/>
    <xf numFmtId="3" fontId="21" fillId="6" borderId="70" xfId="0" applyNumberFormat="1" applyFont="1" applyFill="1" applyBorder="1"/>
    <xf numFmtId="166" fontId="4" fillId="6" borderId="70" xfId="0" applyNumberFormat="1" applyFont="1" applyFill="1" applyBorder="1"/>
    <xf numFmtId="166" fontId="21" fillId="6" borderId="70" xfId="0" applyNumberFormat="1" applyFont="1" applyFill="1" applyBorder="1"/>
    <xf numFmtId="166" fontId="21" fillId="6" borderId="71" xfId="0" applyNumberFormat="1" applyFont="1" applyFill="1" applyBorder="1"/>
    <xf numFmtId="0" fontId="33" fillId="3" borderId="115" xfId="0" applyFont="1" applyFill="1" applyBorder="1"/>
    <xf numFmtId="0" fontId="33" fillId="3" borderId="116" xfId="0" applyFont="1" applyFill="1" applyBorder="1"/>
    <xf numFmtId="0" fontId="34" fillId="0" borderId="0" xfId="0" applyFont="1"/>
    <xf numFmtId="3" fontId="21" fillId="0" borderId="0" xfId="0" applyNumberFormat="1" applyFont="1"/>
    <xf numFmtId="0" fontId="35" fillId="0" borderId="0" xfId="0" applyFont="1"/>
    <xf numFmtId="0" fontId="4" fillId="0" borderId="60" xfId="0" applyFont="1" applyBorder="1"/>
    <xf numFmtId="43" fontId="4" fillId="0" borderId="61" xfId="0" applyNumberFormat="1" applyFont="1" applyBorder="1"/>
    <xf numFmtId="0" fontId="25" fillId="3" borderId="115" xfId="0" applyFont="1" applyFill="1" applyBorder="1"/>
    <xf numFmtId="0" fontId="25" fillId="3" borderId="116" xfId="0" applyFont="1" applyFill="1" applyBorder="1"/>
    <xf numFmtId="43" fontId="4" fillId="0" borderId="0" xfId="0" applyNumberFormat="1" applyFont="1"/>
    <xf numFmtId="0" fontId="25" fillId="3" borderId="114" xfId="0" applyFont="1" applyFill="1" applyBorder="1"/>
    <xf numFmtId="0" fontId="36" fillId="3" borderId="116" xfId="0" applyFont="1" applyFill="1" applyBorder="1"/>
    <xf numFmtId="0" fontId="37" fillId="0" borderId="0" xfId="0" applyFont="1"/>
    <xf numFmtId="0" fontId="22" fillId="0" borderId="121" xfId="0" applyFont="1" applyBorder="1"/>
    <xf numFmtId="0" fontId="22" fillId="0" borderId="122" xfId="0" applyFont="1" applyBorder="1"/>
    <xf numFmtId="0" fontId="4" fillId="0" borderId="123" xfId="0" applyFont="1" applyBorder="1"/>
    <xf numFmtId="166" fontId="4" fillId="0" borderId="0" xfId="0" applyNumberFormat="1" applyFont="1"/>
    <xf numFmtId="166" fontId="4" fillId="0" borderId="64" xfId="0" applyNumberFormat="1" applyFont="1" applyBorder="1"/>
    <xf numFmtId="166" fontId="4" fillId="0" borderId="124" xfId="0" applyNumberFormat="1" applyFont="1" applyBorder="1"/>
    <xf numFmtId="0" fontId="4" fillId="0" borderId="88" xfId="0" applyFont="1" applyBorder="1"/>
    <xf numFmtId="43" fontId="4" fillId="0" borderId="60" xfId="0" applyNumberFormat="1" applyFont="1" applyBorder="1"/>
    <xf numFmtId="43" fontId="4" fillId="0" borderId="62" xfId="0" applyNumberFormat="1" applyFont="1" applyBorder="1"/>
    <xf numFmtId="0" fontId="30" fillId="8" borderId="114" xfId="0" applyFont="1" applyFill="1" applyBorder="1"/>
    <xf numFmtId="0" fontId="4" fillId="8" borderId="115" xfId="0" applyFont="1" applyFill="1" applyBorder="1"/>
    <xf numFmtId="0" fontId="4" fillId="8" borderId="116" xfId="0" applyFont="1" applyFill="1" applyBorder="1"/>
    <xf numFmtId="3" fontId="4" fillId="0" borderId="0" xfId="0" applyNumberFormat="1" applyFont="1" applyAlignment="1">
      <alignment horizontal="center"/>
    </xf>
    <xf numFmtId="0" fontId="25" fillId="6" borderId="57" xfId="0" applyFont="1" applyFill="1" applyBorder="1"/>
    <xf numFmtId="0" fontId="38" fillId="6" borderId="58" xfId="0" applyFont="1" applyFill="1" applyBorder="1"/>
    <xf numFmtId="0" fontId="38" fillId="6" borderId="125" xfId="0" applyFont="1" applyFill="1" applyBorder="1"/>
    <xf numFmtId="0" fontId="38" fillId="6" borderId="126" xfId="0" applyFont="1" applyFill="1" applyBorder="1"/>
    <xf numFmtId="0" fontId="38" fillId="6" borderId="59" xfId="0" applyFont="1" applyFill="1" applyBorder="1"/>
    <xf numFmtId="0" fontId="38" fillId="13" borderId="66" xfId="0" applyFont="1" applyFill="1" applyBorder="1" applyAlignment="1">
      <alignment wrapText="1"/>
    </xf>
    <xf numFmtId="165" fontId="22" fillId="0" borderId="5" xfId="0" applyNumberFormat="1" applyFont="1" applyBorder="1" applyAlignment="1">
      <alignment horizontal="right"/>
    </xf>
    <xf numFmtId="165" fontId="25" fillId="0" borderId="2" xfId="0" applyNumberFormat="1" applyFont="1" applyBorder="1"/>
    <xf numFmtId="0" fontId="25" fillId="0" borderId="5" xfId="0" applyFont="1" applyBorder="1"/>
    <xf numFmtId="165" fontId="25" fillId="0" borderId="67" xfId="0" applyNumberFormat="1" applyFont="1" applyBorder="1"/>
    <xf numFmtId="0" fontId="4" fillId="0" borderId="127" xfId="0" applyFont="1" applyBorder="1"/>
    <xf numFmtId="0" fontId="4" fillId="0" borderId="65" xfId="0" applyFont="1" applyBorder="1"/>
    <xf numFmtId="2" fontId="25" fillId="0" borderId="5" xfId="0" applyNumberFormat="1" applyFont="1" applyBorder="1"/>
    <xf numFmtId="0" fontId="4" fillId="12" borderId="5" xfId="0" applyFont="1" applyFill="1" applyBorder="1"/>
    <xf numFmtId="43" fontId="25" fillId="0" borderId="5" xfId="0" applyNumberFormat="1" applyFont="1" applyBorder="1"/>
    <xf numFmtId="2" fontId="25" fillId="0" borderId="2" xfId="0" applyNumberFormat="1" applyFont="1" applyBorder="1"/>
    <xf numFmtId="0" fontId="4" fillId="12" borderId="128" xfId="0" applyFont="1" applyFill="1" applyBorder="1"/>
    <xf numFmtId="166" fontId="25" fillId="0" borderId="67" xfId="0" applyNumberFormat="1" applyFont="1" applyBorder="1"/>
    <xf numFmtId="43" fontId="4" fillId="0" borderId="102" xfId="0" applyNumberFormat="1" applyFont="1" applyBorder="1"/>
    <xf numFmtId="0" fontId="4" fillId="12" borderId="52" xfId="0" applyFont="1" applyFill="1" applyBorder="1"/>
    <xf numFmtId="43" fontId="4" fillId="0" borderId="103" xfId="0" applyNumberFormat="1" applyFont="1" applyBorder="1"/>
    <xf numFmtId="177" fontId="4" fillId="0" borderId="129" xfId="0" applyNumberFormat="1" applyFont="1" applyBorder="1"/>
    <xf numFmtId="0" fontId="4" fillId="0" borderId="36" xfId="0" applyFont="1" applyBorder="1"/>
    <xf numFmtId="0" fontId="4" fillId="0" borderId="19" xfId="0" applyFont="1" applyBorder="1"/>
    <xf numFmtId="0" fontId="4" fillId="0" borderId="130" xfId="0" applyFont="1" applyBorder="1"/>
    <xf numFmtId="0" fontId="4" fillId="0" borderId="131" xfId="0" applyFont="1" applyBorder="1"/>
    <xf numFmtId="0" fontId="4" fillId="0" borderId="61" xfId="0" applyFont="1" applyBorder="1"/>
    <xf numFmtId="177" fontId="4" fillId="0" borderId="0" xfId="0" applyNumberFormat="1" applyFont="1"/>
    <xf numFmtId="0" fontId="4" fillId="0" borderId="0" xfId="0" quotePrefix="1" applyFont="1"/>
    <xf numFmtId="0" fontId="41" fillId="0" borderId="137" xfId="0" applyFont="1" applyBorder="1" applyAlignment="1">
      <alignment horizontal="center"/>
    </xf>
    <xf numFmtId="0" fontId="4" fillId="0" borderId="5" xfId="0" applyFont="1" applyBorder="1" applyAlignment="1">
      <alignment horizontal="center"/>
    </xf>
    <xf numFmtId="0" fontId="4" fillId="0" borderId="138" xfId="0" applyFont="1" applyBorder="1"/>
    <xf numFmtId="0" fontId="4" fillId="0" borderId="137" xfId="0" applyFont="1" applyBorder="1"/>
    <xf numFmtId="0" fontId="42" fillId="0" borderId="138" xfId="0" applyFont="1" applyBorder="1" applyAlignment="1">
      <alignment horizontal="center" shrinkToFit="1"/>
    </xf>
    <xf numFmtId="0" fontId="4" fillId="0" borderId="57" xfId="0" applyFont="1" applyBorder="1" applyAlignment="1">
      <alignment horizontal="center"/>
    </xf>
    <xf numFmtId="0" fontId="43" fillId="0" borderId="58" xfId="0" applyFont="1" applyBorder="1" applyAlignment="1">
      <alignment horizontal="center"/>
    </xf>
    <xf numFmtId="0" fontId="4" fillId="0" borderId="59" xfId="0" applyFont="1" applyBorder="1" applyAlignment="1">
      <alignment horizontal="center"/>
    </xf>
    <xf numFmtId="0" fontId="4" fillId="0" borderId="137" xfId="0" applyFont="1" applyBorder="1" applyAlignment="1">
      <alignment horizontal="center"/>
    </xf>
    <xf numFmtId="0" fontId="42" fillId="0" borderId="138" xfId="0" applyFont="1" applyBorder="1" applyAlignment="1">
      <alignment horizontal="center"/>
    </xf>
    <xf numFmtId="11" fontId="4" fillId="0" borderId="5" xfId="0" applyNumberFormat="1" applyFont="1" applyBorder="1"/>
    <xf numFmtId="2" fontId="4" fillId="0" borderId="138" xfId="0" applyNumberFormat="1" applyFont="1" applyBorder="1"/>
    <xf numFmtId="0" fontId="4" fillId="6" borderId="66" xfId="0" applyFont="1" applyFill="1" applyBorder="1" applyAlignment="1">
      <alignment horizontal="center"/>
    </xf>
    <xf numFmtId="0" fontId="4" fillId="6" borderId="5" xfId="0" applyFont="1" applyFill="1" applyBorder="1"/>
    <xf numFmtId="0" fontId="4" fillId="6" borderId="67" xfId="0" applyFont="1" applyFill="1" applyBorder="1"/>
    <xf numFmtId="0" fontId="25" fillId="8" borderId="137" xfId="0" applyFont="1" applyFill="1" applyBorder="1"/>
    <xf numFmtId="11" fontId="25" fillId="8" borderId="5" xfId="0" applyNumberFormat="1" applyFont="1" applyFill="1" applyBorder="1"/>
    <xf numFmtId="2" fontId="42" fillId="8" borderId="138" xfId="0" applyNumberFormat="1" applyFont="1" applyFill="1" applyBorder="1"/>
    <xf numFmtId="0" fontId="4" fillId="0" borderId="67" xfId="0" applyFont="1" applyBorder="1" applyAlignment="1">
      <alignment horizontal="center"/>
    </xf>
    <xf numFmtId="11" fontId="4" fillId="0" borderId="138" xfId="0" applyNumberFormat="1" applyFont="1" applyBorder="1"/>
    <xf numFmtId="0" fontId="44" fillId="0" borderId="137" xfId="0" applyFont="1" applyBorder="1"/>
    <xf numFmtId="11" fontId="44" fillId="0" borderId="5" xfId="0" applyNumberFormat="1" applyFont="1" applyBorder="1"/>
    <xf numFmtId="2" fontId="44" fillId="0" borderId="138" xfId="0" applyNumberFormat="1" applyFont="1" applyBorder="1"/>
    <xf numFmtId="0" fontId="4" fillId="0" borderId="129" xfId="0" applyFont="1" applyBorder="1"/>
    <xf numFmtId="0" fontId="4" fillId="0" borderId="139" xfId="0" applyFont="1" applyBorder="1"/>
    <xf numFmtId="0" fontId="4" fillId="0" borderId="140" xfId="0" applyFont="1" applyBorder="1"/>
    <xf numFmtId="0" fontId="4" fillId="0" borderId="141" xfId="0" applyFont="1" applyBorder="1"/>
    <xf numFmtId="0" fontId="43" fillId="6" borderId="69" xfId="0" applyFont="1" applyFill="1" applyBorder="1"/>
    <xf numFmtId="43" fontId="4" fillId="6" borderId="70" xfId="0" applyNumberFormat="1" applyFont="1" applyFill="1" applyBorder="1"/>
    <xf numFmtId="0" fontId="4" fillId="6" borderId="71" xfId="0" applyFont="1" applyFill="1" applyBorder="1" applyAlignment="1">
      <alignment horizontal="center"/>
    </xf>
    <xf numFmtId="0" fontId="4" fillId="2" borderId="142" xfId="0" applyFont="1" applyFill="1" applyBorder="1"/>
    <xf numFmtId="166" fontId="43" fillId="2" borderId="143" xfId="0" applyNumberFormat="1" applyFont="1" applyFill="1" applyBorder="1"/>
    <xf numFmtId="0" fontId="43" fillId="2" borderId="144" xfId="0" applyFont="1" applyFill="1" applyBorder="1" applyAlignment="1">
      <alignment horizontal="center"/>
    </xf>
    <xf numFmtId="0" fontId="3" fillId="6" borderId="52" xfId="0" applyFont="1" applyFill="1" applyBorder="1"/>
    <xf numFmtId="0" fontId="3" fillId="0" borderId="5" xfId="0" applyFont="1" applyBorder="1" applyAlignment="1">
      <alignment horizontal="left"/>
    </xf>
    <xf numFmtId="3" fontId="3" fillId="0" borderId="5" xfId="0" applyNumberFormat="1" applyFont="1" applyBorder="1" applyAlignment="1">
      <alignment horizontal="center"/>
    </xf>
    <xf numFmtId="0" fontId="12" fillId="0" borderId="145" xfId="0" applyFont="1" applyBorder="1"/>
    <xf numFmtId="166" fontId="45" fillId="2" borderId="146" xfId="0" applyNumberFormat="1" applyFont="1" applyFill="1" applyBorder="1"/>
    <xf numFmtId="0" fontId="46" fillId="0" borderId="147" xfId="0" applyFont="1" applyBorder="1" applyAlignment="1">
      <alignment horizontal="center"/>
    </xf>
    <xf numFmtId="0" fontId="47" fillId="0" borderId="147" xfId="0" applyFont="1" applyBorder="1"/>
    <xf numFmtId="178" fontId="47" fillId="0" borderId="147" xfId="0" applyNumberFormat="1" applyFont="1" applyBorder="1"/>
    <xf numFmtId="0" fontId="0" fillId="0" borderId="147" xfId="0" applyFont="1" applyBorder="1" applyAlignment="1">
      <alignment horizontal="center"/>
    </xf>
    <xf numFmtId="166" fontId="47" fillId="0" borderId="147" xfId="0" applyNumberFormat="1" applyFont="1" applyBorder="1"/>
    <xf numFmtId="173" fontId="7" fillId="0" borderId="147" xfId="0" applyNumberFormat="1" applyFont="1" applyBorder="1"/>
    <xf numFmtId="0" fontId="46" fillId="0" borderId="147" xfId="0" applyFont="1" applyBorder="1"/>
    <xf numFmtId="0" fontId="4" fillId="0" borderId="147" xfId="0" applyFont="1" applyBorder="1"/>
    <xf numFmtId="0" fontId="4" fillId="0" borderId="148" xfId="0" applyFont="1" applyBorder="1"/>
    <xf numFmtId="0" fontId="4" fillId="0" borderId="149" xfId="0" applyFont="1" applyBorder="1"/>
    <xf numFmtId="0" fontId="4" fillId="0" borderId="42" xfId="0" applyFont="1" applyBorder="1"/>
    <xf numFmtId="0" fontId="48" fillId="14" borderId="150" xfId="0" applyFont="1" applyFill="1" applyBorder="1"/>
    <xf numFmtId="0" fontId="0" fillId="14" borderId="21" xfId="0" applyFont="1" applyFill="1" applyBorder="1"/>
    <xf numFmtId="0" fontId="49" fillId="14" borderId="21" xfId="0" applyFont="1" applyFill="1" applyBorder="1"/>
    <xf numFmtId="0" fontId="50" fillId="0" borderId="149" xfId="0" applyFont="1" applyBorder="1"/>
    <xf numFmtId="0" fontId="50" fillId="0" borderId="0" xfId="0" applyFont="1"/>
    <xf numFmtId="0" fontId="51" fillId="0" borderId="0" xfId="0" applyFont="1" applyAlignment="1">
      <alignment horizontal="center"/>
    </xf>
    <xf numFmtId="0" fontId="25" fillId="0" borderId="0" xfId="0" applyFont="1" applyAlignment="1">
      <alignment horizontal="center"/>
    </xf>
    <xf numFmtId="0" fontId="19" fillId="0" borderId="145" xfId="0" applyFont="1" applyBorder="1"/>
    <xf numFmtId="0" fontId="20" fillId="0" borderId="147" xfId="0" applyFont="1" applyBorder="1" applyAlignment="1">
      <alignment horizontal="center"/>
    </xf>
    <xf numFmtId="0" fontId="0" fillId="12" borderId="151" xfId="0" applyFont="1" applyFill="1" applyBorder="1"/>
    <xf numFmtId="0" fontId="0" fillId="12" borderId="152" xfId="0" applyFont="1" applyFill="1" applyBorder="1"/>
    <xf numFmtId="0" fontId="51" fillId="12" borderId="152" xfId="0" applyFont="1" applyFill="1" applyBorder="1" applyAlignment="1">
      <alignment horizontal="center"/>
    </xf>
    <xf numFmtId="0" fontId="4" fillId="12" borderId="152" xfId="0" applyFont="1" applyFill="1" applyBorder="1"/>
    <xf numFmtId="0" fontId="4" fillId="12" borderId="153" xfId="0" applyFont="1" applyFill="1" applyBorder="1"/>
    <xf numFmtId="0" fontId="4" fillId="12" borderId="151" xfId="0" applyFont="1" applyFill="1" applyBorder="1"/>
    <xf numFmtId="0" fontId="51" fillId="12" borderId="152" xfId="0" applyFont="1" applyFill="1" applyBorder="1" applyAlignment="1">
      <alignment horizontal="left"/>
    </xf>
    <xf numFmtId="0" fontId="20" fillId="0" borderId="154" xfId="0" applyFont="1" applyBorder="1"/>
    <xf numFmtId="0" fontId="20" fillId="0" borderId="155" xfId="0" applyFont="1" applyBorder="1" applyAlignment="1">
      <alignment horizontal="center"/>
    </xf>
    <xf numFmtId="0" fontId="19" fillId="0" borderId="156" xfId="0" applyFont="1" applyBorder="1"/>
    <xf numFmtId="0" fontId="25" fillId="0" borderId="157" xfId="0" applyFont="1" applyBorder="1" applyAlignment="1">
      <alignment horizontal="center" wrapText="1"/>
    </xf>
    <xf numFmtId="0" fontId="10" fillId="0" borderId="157" xfId="0" applyFont="1" applyBorder="1"/>
    <xf numFmtId="0" fontId="25" fillId="0" borderId="158" xfId="0" applyFont="1" applyBorder="1" applyAlignment="1">
      <alignment horizontal="center" wrapText="1"/>
    </xf>
    <xf numFmtId="0" fontId="10" fillId="0" borderId="155" xfId="0" applyFont="1" applyBorder="1"/>
    <xf numFmtId="0" fontId="25" fillId="0" borderId="159" xfId="0" applyFont="1" applyBorder="1" applyAlignment="1">
      <alignment horizontal="center" wrapText="1"/>
    </xf>
    <xf numFmtId="0" fontId="25" fillId="0" borderId="0" xfId="0" applyFont="1" applyAlignment="1">
      <alignment horizontal="center" wrapText="1"/>
    </xf>
    <xf numFmtId="0" fontId="10" fillId="0" borderId="160" xfId="0" applyFont="1" applyBorder="1"/>
    <xf numFmtId="166" fontId="15" fillId="0" borderId="161" xfId="0" applyNumberFormat="1" applyFont="1" applyBorder="1"/>
    <xf numFmtId="0" fontId="25" fillId="0" borderId="162" xfId="0" applyFont="1" applyBorder="1" applyAlignment="1">
      <alignment horizontal="center" wrapText="1"/>
    </xf>
    <xf numFmtId="179" fontId="4" fillId="5" borderId="5" xfId="0" applyNumberFormat="1" applyFont="1" applyFill="1" applyBorder="1"/>
    <xf numFmtId="180" fontId="4" fillId="5" borderId="5" xfId="0" applyNumberFormat="1" applyFont="1" applyFill="1" applyBorder="1"/>
    <xf numFmtId="181" fontId="10" fillId="0" borderId="5" xfId="0" applyNumberFormat="1" applyFont="1" applyBorder="1"/>
    <xf numFmtId="0" fontId="19" fillId="0" borderId="5" xfId="0" quotePrefix="1" applyFont="1" applyBorder="1" applyAlignment="1">
      <alignment horizontal="center"/>
    </xf>
    <xf numFmtId="173" fontId="4" fillId="0" borderId="5" xfId="0" applyNumberFormat="1" applyFont="1" applyBorder="1"/>
    <xf numFmtId="43" fontId="4" fillId="0" borderId="163" xfId="0" applyNumberFormat="1" applyFont="1" applyBorder="1"/>
    <xf numFmtId="182" fontId="4" fillId="5" borderId="164" xfId="0" applyNumberFormat="1" applyFont="1" applyFill="1" applyBorder="1"/>
    <xf numFmtId="183" fontId="10" fillId="0" borderId="5" xfId="0" applyNumberFormat="1" applyFont="1" applyBorder="1"/>
    <xf numFmtId="183" fontId="19" fillId="0" borderId="5" xfId="0" quotePrefix="1" applyNumberFormat="1" applyFont="1" applyBorder="1" applyAlignment="1">
      <alignment horizontal="center"/>
    </xf>
    <xf numFmtId="43" fontId="4" fillId="0" borderId="5" xfId="0" applyNumberFormat="1" applyFont="1" applyBorder="1"/>
    <xf numFmtId="39" fontId="4" fillId="0" borderId="0" xfId="0" applyNumberFormat="1" applyFont="1"/>
    <xf numFmtId="0" fontId="19" fillId="0" borderId="137" xfId="0" applyFont="1" applyBorder="1"/>
    <xf numFmtId="41" fontId="15" fillId="0" borderId="2" xfId="0" applyNumberFormat="1" applyFont="1" applyBorder="1"/>
    <xf numFmtId="0" fontId="10" fillId="0" borderId="162" xfId="0" applyFont="1" applyBorder="1"/>
    <xf numFmtId="182" fontId="4" fillId="5" borderId="5" xfId="0" applyNumberFormat="1" applyFont="1" applyFill="1" applyBorder="1"/>
    <xf numFmtId="41" fontId="10" fillId="0" borderId="2" xfId="0" applyNumberFormat="1" applyFont="1" applyBorder="1"/>
    <xf numFmtId="0" fontId="19" fillId="0" borderId="162" xfId="0" applyFont="1" applyBorder="1"/>
    <xf numFmtId="182" fontId="4" fillId="0" borderId="0" xfId="0" applyNumberFormat="1" applyFont="1"/>
    <xf numFmtId="0" fontId="25" fillId="0" borderId="165" xfId="0" applyFont="1" applyBorder="1" applyAlignment="1">
      <alignment horizontal="center" wrapText="1"/>
    </xf>
    <xf numFmtId="0" fontId="19" fillId="0" borderId="0" xfId="0" applyFont="1" applyAlignment="1">
      <alignment horizontal="center"/>
    </xf>
    <xf numFmtId="173" fontId="4" fillId="0" borderId="0" xfId="0" applyNumberFormat="1" applyFont="1"/>
    <xf numFmtId="175" fontId="44" fillId="0" borderId="166" xfId="0" applyNumberFormat="1" applyFont="1" applyBorder="1"/>
    <xf numFmtId="182" fontId="4" fillId="0" borderId="162" xfId="0" applyNumberFormat="1" applyFont="1" applyBorder="1"/>
    <xf numFmtId="0" fontId="25" fillId="0" borderId="167" xfId="0" applyFont="1" applyBorder="1" applyAlignment="1">
      <alignment horizontal="center" wrapText="1"/>
    </xf>
    <xf numFmtId="184" fontId="4" fillId="0" borderId="0" xfId="0" applyNumberFormat="1" applyFont="1"/>
    <xf numFmtId="184" fontId="44" fillId="0" borderId="166" xfId="0" applyNumberFormat="1" applyFont="1" applyBorder="1"/>
    <xf numFmtId="0" fontId="4" fillId="0" borderId="154" xfId="0" applyFont="1" applyBorder="1"/>
    <xf numFmtId="0" fontId="4" fillId="0" borderId="155" xfId="0" applyFont="1" applyBorder="1"/>
    <xf numFmtId="0" fontId="19" fillId="0" borderId="168" xfId="0" applyFont="1" applyBorder="1"/>
    <xf numFmtId="0" fontId="19" fillId="0" borderId="169" xfId="0" applyFont="1" applyBorder="1"/>
    <xf numFmtId="0" fontId="10" fillId="0" borderId="169" xfId="0" applyFont="1" applyBorder="1"/>
    <xf numFmtId="0" fontId="10" fillId="0" borderId="170" xfId="0" applyFont="1" applyBorder="1"/>
    <xf numFmtId="0" fontId="10" fillId="0" borderId="168" xfId="0" applyFont="1" applyBorder="1"/>
    <xf numFmtId="0" fontId="4" fillId="0" borderId="45" xfId="0" applyFont="1" applyBorder="1"/>
    <xf numFmtId="0" fontId="4" fillId="0" borderId="59" xfId="0" applyFont="1" applyBorder="1"/>
    <xf numFmtId="0" fontId="25" fillId="0" borderId="67" xfId="0" applyFont="1" applyBorder="1"/>
    <xf numFmtId="168" fontId="4" fillId="0" borderId="5" xfId="0" applyNumberFormat="1" applyFont="1" applyBorder="1"/>
    <xf numFmtId="168" fontId="4" fillId="0" borderId="67" xfId="0" applyNumberFormat="1" applyFont="1" applyBorder="1"/>
    <xf numFmtId="43" fontId="44" fillId="0" borderId="61" xfId="0" applyNumberFormat="1" applyFont="1" applyBorder="1"/>
    <xf numFmtId="168" fontId="44" fillId="0" borderId="61" xfId="0" applyNumberFormat="1" applyFont="1" applyBorder="1"/>
    <xf numFmtId="168" fontId="44" fillId="0" borderId="62" xfId="0" applyNumberFormat="1" applyFont="1" applyBorder="1"/>
    <xf numFmtId="0" fontId="52" fillId="0" borderId="0" xfId="0" applyFont="1"/>
    <xf numFmtId="0" fontId="53" fillId="6" borderId="5" xfId="0" applyFont="1" applyFill="1" applyBorder="1" applyAlignment="1">
      <alignment horizontal="center"/>
    </xf>
    <xf numFmtId="0" fontId="53" fillId="0" borderId="171" xfId="0" applyFont="1" applyBorder="1"/>
    <xf numFmtId="0" fontId="53" fillId="0" borderId="171" xfId="0" applyFont="1" applyBorder="1" applyAlignment="1">
      <alignment horizontal="right"/>
    </xf>
    <xf numFmtId="0" fontId="53" fillId="0" borderId="0" xfId="0" applyFont="1" applyAlignment="1">
      <alignment horizontal="right"/>
    </xf>
    <xf numFmtId="0" fontId="54" fillId="0" borderId="171" xfId="0" applyFont="1" applyBorder="1"/>
    <xf numFmtId="0" fontId="55" fillId="0" borderId="171" xfId="0" applyFont="1" applyBorder="1"/>
    <xf numFmtId="0" fontId="55" fillId="0" borderId="0" xfId="0" applyFont="1"/>
    <xf numFmtId="0" fontId="53" fillId="0" borderId="0" xfId="0" applyFont="1"/>
    <xf numFmtId="0" fontId="54" fillId="0" borderId="0" xfId="0" applyFont="1"/>
    <xf numFmtId="0" fontId="12" fillId="0" borderId="31" xfId="0" applyFont="1" applyBorder="1"/>
    <xf numFmtId="0" fontId="4" fillId="0" borderId="86" xfId="0" applyFont="1" applyBorder="1"/>
    <xf numFmtId="0" fontId="4" fillId="0" borderId="72" xfId="0" applyFont="1" applyBorder="1"/>
    <xf numFmtId="0" fontId="1" fillId="12" borderId="66" xfId="0" applyFont="1" applyFill="1" applyBorder="1"/>
    <xf numFmtId="0" fontId="1" fillId="12" borderId="5" xfId="0" applyFont="1" applyFill="1" applyBorder="1" applyAlignment="1">
      <alignment horizontal="center"/>
    </xf>
    <xf numFmtId="166" fontId="1" fillId="12" borderId="67" xfId="0" applyNumberFormat="1" applyFont="1" applyFill="1" applyBorder="1" applyAlignment="1">
      <alignment horizontal="center"/>
    </xf>
    <xf numFmtId="43" fontId="4" fillId="0" borderId="67" xfId="0" applyNumberFormat="1" applyFont="1" applyBorder="1"/>
    <xf numFmtId="4" fontId="4" fillId="0" borderId="0" xfId="0" applyNumberFormat="1" applyFont="1"/>
    <xf numFmtId="43" fontId="4" fillId="0" borderId="172" xfId="0" applyNumberFormat="1" applyFont="1" applyBorder="1"/>
    <xf numFmtId="0" fontId="19" fillId="0" borderId="33" xfId="0" applyFont="1" applyBorder="1"/>
    <xf numFmtId="166" fontId="4" fillId="0" borderId="102" xfId="0" applyNumberFormat="1" applyFont="1" applyBorder="1"/>
    <xf numFmtId="166" fontId="4" fillId="0" borderId="129" xfId="0" applyNumberFormat="1" applyFont="1" applyBorder="1"/>
    <xf numFmtId="0" fontId="15" fillId="0" borderId="33" xfId="0" applyFont="1" applyBorder="1"/>
    <xf numFmtId="0" fontId="3" fillId="6" borderId="173" xfId="0" applyFont="1" applyFill="1" applyBorder="1"/>
    <xf numFmtId="0" fontId="3" fillId="0" borderId="174" xfId="0" applyFont="1" applyBorder="1" applyAlignment="1">
      <alignment horizontal="left"/>
    </xf>
    <xf numFmtId="3" fontId="3" fillId="0" borderId="58" xfId="0" applyNumberFormat="1" applyFont="1" applyBorder="1" applyAlignment="1">
      <alignment horizontal="center"/>
    </xf>
    <xf numFmtId="0" fontId="3" fillId="0" borderId="58" xfId="0" applyFont="1" applyBorder="1"/>
    <xf numFmtId="0" fontId="3" fillId="0" borderId="59" xfId="0" applyFont="1" applyBorder="1"/>
    <xf numFmtId="0" fontId="3" fillId="0" borderId="175" xfId="0" applyFont="1" applyBorder="1" applyAlignment="1">
      <alignment horizontal="left"/>
    </xf>
    <xf numFmtId="3" fontId="3" fillId="0" borderId="61" xfId="0" applyNumberFormat="1" applyFont="1" applyBorder="1" applyAlignment="1">
      <alignment horizontal="center"/>
    </xf>
    <xf numFmtId="0" fontId="3" fillId="0" borderId="61" xfId="0" applyFont="1" applyBorder="1"/>
    <xf numFmtId="0" fontId="3" fillId="0" borderId="62" xfId="0" applyFont="1" applyBorder="1"/>
    <xf numFmtId="0" fontId="3" fillId="0" borderId="147" xfId="0" applyFont="1" applyBorder="1"/>
    <xf numFmtId="0" fontId="3" fillId="0" borderId="148" xfId="0" applyFont="1" applyBorder="1"/>
    <xf numFmtId="0" fontId="0" fillId="12" borderId="176" xfId="0" applyFont="1" applyFill="1" applyBorder="1"/>
    <xf numFmtId="0" fontId="0" fillId="12" borderId="177" xfId="0" applyFont="1" applyFill="1" applyBorder="1"/>
    <xf numFmtId="0" fontId="51" fillId="12" borderId="177" xfId="0" applyFont="1" applyFill="1" applyBorder="1" applyAlignment="1">
      <alignment horizontal="center"/>
    </xf>
    <xf numFmtId="0" fontId="0" fillId="12" borderId="178" xfId="0" applyFont="1" applyFill="1" applyBorder="1"/>
    <xf numFmtId="0" fontId="4" fillId="12" borderId="177" xfId="0" applyFont="1" applyFill="1" applyBorder="1"/>
    <xf numFmtId="0" fontId="4" fillId="12" borderId="178" xfId="0" applyFont="1" applyFill="1" applyBorder="1"/>
    <xf numFmtId="0" fontId="4" fillId="12" borderId="176" xfId="0" applyFont="1" applyFill="1" applyBorder="1"/>
    <xf numFmtId="0" fontId="51" fillId="12" borderId="177" xfId="0" applyFont="1" applyFill="1" applyBorder="1" applyAlignment="1">
      <alignment horizontal="left"/>
    </xf>
    <xf numFmtId="0" fontId="19" fillId="0" borderId="179" xfId="0" applyFont="1" applyBorder="1"/>
    <xf numFmtId="0" fontId="20" fillId="0" borderId="86" xfId="0" applyFont="1" applyBorder="1" applyAlignment="1">
      <alignment horizontal="center"/>
    </xf>
    <xf numFmtId="0" fontId="10" fillId="0" borderId="86" xfId="0" applyFont="1" applyBorder="1"/>
    <xf numFmtId="0" fontId="19" fillId="0" borderId="86" xfId="0" applyFont="1" applyBorder="1"/>
    <xf numFmtId="0" fontId="13" fillId="0" borderId="180" xfId="0" applyFont="1" applyBorder="1" applyAlignment="1">
      <alignment horizontal="center"/>
    </xf>
    <xf numFmtId="0" fontId="13" fillId="0" borderId="86" xfId="0" applyFont="1" applyBorder="1" applyAlignment="1">
      <alignment horizontal="center"/>
    </xf>
    <xf numFmtId="0" fontId="13" fillId="0" borderId="181" xfId="0" applyFont="1" applyBorder="1" applyAlignment="1">
      <alignment horizontal="center"/>
    </xf>
    <xf numFmtId="0" fontId="19" fillId="0" borderId="180" xfId="0" applyFont="1" applyBorder="1"/>
    <xf numFmtId="0" fontId="10" fillId="0" borderId="181" xfId="0" applyFont="1" applyBorder="1"/>
    <xf numFmtId="0" fontId="10" fillId="0" borderId="180" xfId="0" applyFont="1" applyBorder="1"/>
    <xf numFmtId="0" fontId="20" fillId="0" borderId="182" xfId="0" applyFont="1" applyBorder="1"/>
    <xf numFmtId="0" fontId="20" fillId="0" borderId="19" xfId="0" applyFont="1" applyBorder="1" applyAlignment="1">
      <alignment horizontal="center"/>
    </xf>
    <xf numFmtId="0" fontId="10" fillId="0" borderId="19" xfId="0" applyFont="1" applyBorder="1"/>
    <xf numFmtId="0" fontId="19" fillId="0" borderId="19" xfId="0" applyFont="1" applyBorder="1"/>
    <xf numFmtId="0" fontId="20" fillId="0" borderId="183" xfId="0" applyFont="1" applyBorder="1" applyAlignment="1">
      <alignment horizontal="center"/>
    </xf>
    <xf numFmtId="0" fontId="13" fillId="0" borderId="184" xfId="0" applyFont="1" applyBorder="1" applyAlignment="1">
      <alignment horizontal="center"/>
    </xf>
    <xf numFmtId="0" fontId="25" fillId="0" borderId="183" xfId="0" applyFont="1" applyBorder="1" applyAlignment="1">
      <alignment horizontal="center" wrapText="1"/>
    </xf>
    <xf numFmtId="0" fontId="25" fillId="0" borderId="19" xfId="0" applyFont="1" applyBorder="1" applyAlignment="1">
      <alignment horizontal="center" wrapText="1"/>
    </xf>
    <xf numFmtId="0" fontId="25" fillId="0" borderId="184" xfId="0" applyFont="1" applyBorder="1" applyAlignment="1">
      <alignment horizontal="center" wrapText="1"/>
    </xf>
    <xf numFmtId="0" fontId="19" fillId="0" borderId="149" xfId="0" applyFont="1" applyBorder="1"/>
    <xf numFmtId="166" fontId="19" fillId="14" borderId="143" xfId="0" applyNumberFormat="1" applyFont="1" applyFill="1" applyBorder="1"/>
    <xf numFmtId="2" fontId="19" fillId="0" borderId="64" xfId="0" applyNumberFormat="1" applyFont="1" applyBorder="1"/>
    <xf numFmtId="178" fontId="19" fillId="0" borderId="64" xfId="0" applyNumberFormat="1" applyFont="1" applyBorder="1"/>
    <xf numFmtId="0" fontId="19" fillId="0" borderId="0" xfId="0" quotePrefix="1" applyFont="1" applyAlignment="1">
      <alignment horizontal="center"/>
    </xf>
    <xf numFmtId="166" fontId="19" fillId="0" borderId="185" xfId="0" applyNumberFormat="1" applyFont="1" applyBorder="1"/>
    <xf numFmtId="173" fontId="10" fillId="0" borderId="64" xfId="0" applyNumberFormat="1" applyFont="1" applyBorder="1"/>
    <xf numFmtId="173" fontId="10" fillId="0" borderId="186" xfId="0" applyNumberFormat="1" applyFont="1" applyBorder="1"/>
    <xf numFmtId="43" fontId="4" fillId="5" borderId="187" xfId="0" applyNumberFormat="1" applyFont="1" applyFill="1" applyBorder="1"/>
    <xf numFmtId="182" fontId="4" fillId="5" borderId="188" xfId="0" applyNumberFormat="1" applyFont="1" applyFill="1" applyBorder="1" applyAlignment="1">
      <alignment horizontal="right"/>
    </xf>
    <xf numFmtId="181" fontId="10" fillId="0" borderId="58" xfId="0" applyNumberFormat="1" applyFont="1" applyBorder="1"/>
    <xf numFmtId="0" fontId="19" fillId="0" borderId="58" xfId="0" quotePrefix="1" applyFont="1" applyBorder="1" applyAlignment="1">
      <alignment horizontal="center"/>
    </xf>
    <xf numFmtId="173" fontId="4" fillId="0" borderId="58" xfId="0" applyNumberFormat="1" applyFont="1" applyBorder="1"/>
    <xf numFmtId="172" fontId="4" fillId="0" borderId="189" xfId="0" applyNumberFormat="1" applyFont="1" applyBorder="1"/>
    <xf numFmtId="182" fontId="4" fillId="5" borderId="187" xfId="0" applyNumberFormat="1" applyFont="1" applyFill="1" applyBorder="1"/>
    <xf numFmtId="185" fontId="10" fillId="0" borderId="0" xfId="0" applyNumberFormat="1" applyFont="1"/>
    <xf numFmtId="184" fontId="4" fillId="0" borderId="190" xfId="0" applyNumberFormat="1" applyFont="1" applyBorder="1"/>
    <xf numFmtId="166" fontId="19" fillId="14" borderId="5" xfId="0" applyNumberFormat="1" applyFont="1" applyFill="1" applyBorder="1"/>
    <xf numFmtId="2" fontId="10" fillId="0" borderId="5" xfId="0" applyNumberFormat="1" applyFont="1" applyBorder="1"/>
    <xf numFmtId="178" fontId="19" fillId="0" borderId="5" xfId="0" applyNumberFormat="1" applyFont="1" applyBorder="1"/>
    <xf numFmtId="166" fontId="19" fillId="0" borderId="164" xfId="0" applyNumberFormat="1" applyFont="1" applyBorder="1"/>
    <xf numFmtId="173" fontId="10" fillId="0" borderId="5" xfId="0" applyNumberFormat="1" applyFont="1" applyBorder="1"/>
    <xf numFmtId="173" fontId="10" fillId="0" borderId="163" xfId="0" applyNumberFormat="1" applyFont="1" applyBorder="1"/>
    <xf numFmtId="43" fontId="4" fillId="5" borderId="164" xfId="0" applyNumberFormat="1" applyFont="1" applyFill="1" applyBorder="1"/>
    <xf numFmtId="182" fontId="4" fillId="5" borderId="191" xfId="0" applyNumberFormat="1" applyFont="1" applyFill="1" applyBorder="1" applyAlignment="1">
      <alignment horizontal="right"/>
    </xf>
    <xf numFmtId="172" fontId="4" fillId="0" borderId="163" xfId="0" applyNumberFormat="1" applyFont="1" applyBorder="1"/>
    <xf numFmtId="41" fontId="10" fillId="0" borderId="0" xfId="0" applyNumberFormat="1" applyFont="1"/>
    <xf numFmtId="2" fontId="19" fillId="0" borderId="5" xfId="0" applyNumberFormat="1" applyFont="1" applyBorder="1"/>
    <xf numFmtId="181" fontId="10" fillId="0" borderId="0" xfId="0" applyNumberFormat="1" applyFont="1"/>
    <xf numFmtId="173" fontId="4" fillId="0" borderId="190" xfId="0" applyNumberFormat="1" applyFont="1" applyBorder="1"/>
    <xf numFmtId="39" fontId="4" fillId="0" borderId="149" xfId="0" applyNumberFormat="1" applyFont="1" applyBorder="1"/>
    <xf numFmtId="166" fontId="19" fillId="14" borderId="21" xfId="0" applyNumberFormat="1" applyFont="1" applyFill="1" applyBorder="1"/>
    <xf numFmtId="0" fontId="19" fillId="14" borderId="21" xfId="0" applyFont="1" applyFill="1" applyBorder="1"/>
    <xf numFmtId="178" fontId="19" fillId="14" borderId="21" xfId="0" applyNumberFormat="1" applyFont="1" applyFill="1" applyBorder="1"/>
    <xf numFmtId="166" fontId="19" fillId="0" borderId="162" xfId="0" applyNumberFormat="1" applyFont="1" applyBorder="1"/>
    <xf numFmtId="173" fontId="10" fillId="0" borderId="0" xfId="0" applyNumberFormat="1" applyFont="1"/>
    <xf numFmtId="173" fontId="13" fillId="6" borderId="163" xfId="0" applyNumberFormat="1" applyFont="1" applyFill="1" applyBorder="1"/>
    <xf numFmtId="172" fontId="28" fillId="0" borderId="0" xfId="0" applyNumberFormat="1" applyFont="1"/>
    <xf numFmtId="184" fontId="28" fillId="0" borderId="0" xfId="0" applyNumberFormat="1" applyFont="1"/>
    <xf numFmtId="0" fontId="19" fillId="0" borderId="169" xfId="0" applyFont="1" applyBorder="1" applyAlignment="1">
      <alignment horizontal="center"/>
    </xf>
    <xf numFmtId="0" fontId="19" fillId="0" borderId="169" xfId="0" applyFont="1" applyBorder="1" applyAlignment="1">
      <alignment horizontal="left"/>
    </xf>
    <xf numFmtId="173" fontId="19" fillId="0" borderId="170" xfId="0" applyNumberFormat="1" applyFont="1" applyBorder="1"/>
    <xf numFmtId="0" fontId="12" fillId="0" borderId="57" xfId="0" applyFont="1" applyBorder="1"/>
    <xf numFmtId="0" fontId="48" fillId="14" borderId="66" xfId="0" applyFont="1" applyFill="1" applyBorder="1"/>
    <xf numFmtId="0" fontId="0" fillId="14" borderId="5" xfId="0" applyFont="1" applyFill="1" applyBorder="1"/>
    <xf numFmtId="0" fontId="49" fillId="14" borderId="5" xfId="0" applyFont="1" applyFill="1" applyBorder="1"/>
    <xf numFmtId="0" fontId="50" fillId="0" borderId="66" xfId="0" applyFont="1" applyBorder="1"/>
    <xf numFmtId="0" fontId="0" fillId="0" borderId="5" xfId="0" applyFont="1" applyBorder="1"/>
    <xf numFmtId="0" fontId="50" fillId="0" borderId="5" xfId="0" applyFont="1" applyBorder="1"/>
    <xf numFmtId="0" fontId="0" fillId="12" borderId="5" xfId="0" applyFont="1" applyFill="1" applyBorder="1"/>
    <xf numFmtId="0" fontId="51" fillId="12" borderId="5" xfId="0" applyFont="1" applyFill="1" applyBorder="1" applyAlignment="1">
      <alignment horizontal="center"/>
    </xf>
    <xf numFmtId="0" fontId="51" fillId="12" borderId="5" xfId="0" applyFont="1" applyFill="1" applyBorder="1" applyAlignment="1">
      <alignment horizontal="left"/>
    </xf>
    <xf numFmtId="0" fontId="19" fillId="0" borderId="66" xfId="0" applyFont="1" applyBorder="1"/>
    <xf numFmtId="0" fontId="19" fillId="0" borderId="5" xfId="0" applyFont="1" applyBorder="1"/>
    <xf numFmtId="0" fontId="20" fillId="0" borderId="66" xfId="0" applyFont="1" applyBorder="1"/>
    <xf numFmtId="0" fontId="25" fillId="0" borderId="5" xfId="0" applyFont="1" applyBorder="1" applyAlignment="1">
      <alignment horizontal="center" wrapText="1"/>
    </xf>
    <xf numFmtId="41" fontId="10" fillId="0" borderId="5" xfId="0" applyNumberFormat="1" applyFont="1" applyBorder="1"/>
    <xf numFmtId="0" fontId="19" fillId="0" borderId="5" xfId="0" applyFont="1" applyBorder="1" applyAlignment="1">
      <alignment horizontal="center"/>
    </xf>
    <xf numFmtId="166" fontId="19" fillId="0" borderId="5" xfId="0" applyNumberFormat="1" applyFont="1" applyBorder="1"/>
    <xf numFmtId="185" fontId="10" fillId="0" borderId="5" xfId="0" applyNumberFormat="1" applyFont="1" applyBorder="1"/>
    <xf numFmtId="184" fontId="4" fillId="0" borderId="5" xfId="0" applyNumberFormat="1" applyFont="1" applyBorder="1"/>
    <xf numFmtId="172" fontId="4" fillId="0" borderId="5" xfId="0" applyNumberFormat="1" applyFont="1" applyBorder="1"/>
    <xf numFmtId="0" fontId="19" fillId="14" borderId="5" xfId="0" applyFont="1" applyFill="1" applyBorder="1"/>
    <xf numFmtId="178" fontId="19" fillId="14" borderId="5" xfId="0" applyNumberFormat="1" applyFont="1" applyFill="1" applyBorder="1"/>
    <xf numFmtId="173" fontId="13" fillId="6" borderId="5" xfId="0" applyNumberFormat="1" applyFont="1" applyFill="1" applyBorder="1"/>
    <xf numFmtId="173" fontId="28" fillId="0" borderId="0" xfId="0" applyNumberFormat="1" applyFont="1"/>
    <xf numFmtId="0" fontId="19" fillId="0" borderId="5" xfId="0" applyFont="1" applyBorder="1" applyAlignment="1">
      <alignment horizontal="left"/>
    </xf>
    <xf numFmtId="0" fontId="4" fillId="0" borderId="62" xfId="0" applyFont="1" applyBorder="1"/>
    <xf numFmtId="0" fontId="19" fillId="0" borderId="147" xfId="0" applyFont="1" applyBorder="1"/>
    <xf numFmtId="0" fontId="19" fillId="0" borderId="147" xfId="0" applyFont="1" applyBorder="1" applyAlignment="1">
      <alignment horizontal="center"/>
    </xf>
    <xf numFmtId="0" fontId="19" fillId="0" borderId="147" xfId="0" applyFont="1" applyBorder="1" applyAlignment="1">
      <alignment horizontal="left"/>
    </xf>
    <xf numFmtId="0" fontId="10" fillId="0" borderId="148" xfId="0" applyFont="1" applyBorder="1"/>
    <xf numFmtId="0" fontId="20" fillId="0" borderId="0" xfId="0" applyFont="1" applyAlignment="1">
      <alignment horizontal="center"/>
    </xf>
    <xf numFmtId="0" fontId="16" fillId="0" borderId="149" xfId="0" applyFont="1" applyBorder="1"/>
    <xf numFmtId="9" fontId="19" fillId="0" borderId="5" xfId="0" applyNumberFormat="1" applyFont="1" applyBorder="1"/>
    <xf numFmtId="0" fontId="19" fillId="0" borderId="154" xfId="0" applyFont="1" applyBorder="1"/>
    <xf numFmtId="166" fontId="19" fillId="0" borderId="155" xfId="0" applyNumberFormat="1" applyFont="1" applyBorder="1"/>
    <xf numFmtId="0" fontId="19" fillId="0" borderId="155" xfId="0" applyFont="1" applyBorder="1" applyAlignment="1">
      <alignment horizontal="center"/>
    </xf>
    <xf numFmtId="9" fontId="19" fillId="0" borderId="155" xfId="0" applyNumberFormat="1" applyFont="1" applyBorder="1"/>
    <xf numFmtId="2" fontId="19" fillId="0" borderId="155" xfId="0" applyNumberFormat="1" applyFont="1" applyBorder="1"/>
    <xf numFmtId="178" fontId="19" fillId="0" borderId="155" xfId="0" applyNumberFormat="1" applyFont="1" applyBorder="1"/>
    <xf numFmtId="173" fontId="10" fillId="0" borderId="155" xfId="0" applyNumberFormat="1" applyFont="1" applyBorder="1"/>
    <xf numFmtId="166" fontId="19" fillId="0" borderId="0" xfId="0" applyNumberFormat="1" applyFont="1"/>
    <xf numFmtId="9" fontId="19" fillId="0" borderId="0" xfId="0" applyNumberFormat="1" applyFont="1"/>
    <xf numFmtId="2" fontId="19" fillId="0" borderId="0" xfId="0" applyNumberFormat="1" applyFont="1"/>
    <xf numFmtId="178" fontId="19" fillId="0" borderId="0" xfId="0" applyNumberFormat="1" applyFont="1"/>
    <xf numFmtId="0" fontId="4" fillId="0" borderId="47" xfId="0" applyFont="1" applyBorder="1"/>
    <xf numFmtId="0" fontId="13" fillId="0" borderId="192" xfId="0" applyFont="1" applyBorder="1"/>
    <xf numFmtId="0" fontId="13" fillId="0" borderId="61" xfId="0" applyFont="1" applyBorder="1" applyAlignment="1">
      <alignment horizontal="center"/>
    </xf>
    <xf numFmtId="0" fontId="13" fillId="0" borderId="193" xfId="0" applyFont="1" applyBorder="1" applyAlignment="1">
      <alignment horizontal="center"/>
    </xf>
    <xf numFmtId="0" fontId="19" fillId="0" borderId="194" xfId="0" applyFont="1" applyBorder="1"/>
    <xf numFmtId="172" fontId="10" fillId="0" borderId="64" xfId="0" applyNumberFormat="1" applyFont="1" applyBorder="1" applyAlignment="1">
      <alignment horizontal="center"/>
    </xf>
    <xf numFmtId="172" fontId="4" fillId="0" borderId="64" xfId="0" applyNumberFormat="1" applyFont="1" applyBorder="1"/>
    <xf numFmtId="172" fontId="10" fillId="0" borderId="195" xfId="0" applyNumberFormat="1" applyFont="1" applyBorder="1" applyAlignment="1">
      <alignment horizontal="center"/>
    </xf>
    <xf numFmtId="181" fontId="10" fillId="0" borderId="0" xfId="0" applyNumberFormat="1" applyFont="1" applyAlignment="1">
      <alignment horizontal="center"/>
    </xf>
    <xf numFmtId="0" fontId="19" fillId="0" borderId="49" xfId="0" applyFont="1" applyBorder="1"/>
    <xf numFmtId="0" fontId="16" fillId="0" borderId="49" xfId="0" applyFont="1" applyBorder="1"/>
    <xf numFmtId="172" fontId="10" fillId="0" borderId="55" xfId="0" applyNumberFormat="1" applyFont="1" applyBorder="1" applyAlignment="1">
      <alignment horizontal="center"/>
    </xf>
    <xf numFmtId="172" fontId="10" fillId="0" borderId="55" xfId="0" applyNumberFormat="1" applyFont="1" applyBorder="1"/>
    <xf numFmtId="172" fontId="13" fillId="0" borderId="55" xfId="0" applyNumberFormat="1" applyFont="1" applyBorder="1"/>
    <xf numFmtId="172" fontId="21" fillId="0" borderId="55" xfId="0" applyNumberFormat="1" applyFont="1" applyBorder="1" applyAlignment="1">
      <alignment horizontal="center"/>
    </xf>
    <xf numFmtId="172" fontId="4" fillId="0" borderId="55" xfId="0" applyNumberFormat="1" applyFont="1" applyBorder="1"/>
    <xf numFmtId="172" fontId="13" fillId="6" borderId="56" xfId="0" applyNumberFormat="1" applyFont="1" applyFill="1" applyBorder="1" applyAlignment="1">
      <alignment horizontal="center"/>
    </xf>
    <xf numFmtId="43" fontId="13" fillId="0" borderId="0" xfId="0" applyNumberFormat="1" applyFont="1"/>
    <xf numFmtId="0" fontId="12" fillId="3" borderId="21" xfId="0" applyFont="1" applyFill="1" applyBorder="1"/>
    <xf numFmtId="0" fontId="4" fillId="3" borderId="21" xfId="0" applyFont="1" applyFill="1" applyBorder="1"/>
    <xf numFmtId="0" fontId="56" fillId="0" borderId="0" xfId="0" applyFont="1"/>
    <xf numFmtId="0" fontId="10" fillId="0" borderId="196" xfId="0" applyFont="1" applyBorder="1"/>
    <xf numFmtId="0" fontId="13" fillId="0" borderId="197" xfId="0" applyFont="1" applyBorder="1" applyAlignment="1">
      <alignment horizontal="center"/>
    </xf>
    <xf numFmtId="0" fontId="13" fillId="0" borderId="198" xfId="0" applyFont="1" applyBorder="1" applyAlignment="1">
      <alignment horizontal="center"/>
    </xf>
    <xf numFmtId="0" fontId="57" fillId="0" borderId="0" xfId="0" applyFont="1" applyAlignment="1">
      <alignment horizontal="center"/>
    </xf>
    <xf numFmtId="0" fontId="13" fillId="0" borderId="199" xfId="0" applyFont="1" applyBorder="1"/>
    <xf numFmtId="0" fontId="13" fillId="0" borderId="35" xfId="0" applyFont="1" applyBorder="1" applyAlignment="1">
      <alignment horizontal="center"/>
    </xf>
    <xf numFmtId="0" fontId="13" fillId="0" borderId="200" xfId="0" applyFont="1" applyBorder="1" applyAlignment="1">
      <alignment horizontal="center"/>
    </xf>
    <xf numFmtId="0" fontId="10" fillId="0" borderId="201" xfId="0" applyFont="1" applyBorder="1"/>
    <xf numFmtId="37" fontId="10" fillId="0" borderId="8" xfId="0" applyNumberFormat="1" applyFont="1" applyBorder="1"/>
    <xf numFmtId="2" fontId="10" fillId="0" borderId="8" xfId="0" applyNumberFormat="1" applyFont="1" applyBorder="1"/>
    <xf numFmtId="178" fontId="10" fillId="0" borderId="8" xfId="0" applyNumberFormat="1" applyFont="1" applyBorder="1"/>
    <xf numFmtId="39" fontId="10" fillId="0" borderId="8" xfId="0" applyNumberFormat="1" applyFont="1" applyBorder="1"/>
    <xf numFmtId="183" fontId="10" fillId="0" borderId="202" xfId="0" applyNumberFormat="1" applyFont="1" applyBorder="1"/>
    <xf numFmtId="0" fontId="4" fillId="0" borderId="0" xfId="0" applyFont="1" applyAlignment="1">
      <alignment horizontal="center"/>
    </xf>
    <xf numFmtId="173" fontId="7" fillId="0" borderId="0" xfId="0" applyNumberFormat="1" applyFont="1"/>
    <xf numFmtId="0" fontId="10" fillId="0" borderId="203" xfId="0" applyFont="1" applyBorder="1"/>
    <xf numFmtId="166" fontId="10" fillId="0" borderId="14" xfId="0" applyNumberFormat="1" applyFont="1" applyBorder="1"/>
    <xf numFmtId="2" fontId="10" fillId="0" borderId="14" xfId="0" applyNumberFormat="1" applyFont="1" applyBorder="1"/>
    <xf numFmtId="178" fontId="10" fillId="0" borderId="14" xfId="0" applyNumberFormat="1" applyFont="1" applyBorder="1"/>
    <xf numFmtId="43" fontId="10" fillId="0" borderId="14" xfId="0" applyNumberFormat="1" applyFont="1" applyBorder="1"/>
    <xf numFmtId="183" fontId="10" fillId="0" borderId="204" xfId="0" applyNumberFormat="1" applyFont="1" applyBorder="1"/>
    <xf numFmtId="0" fontId="10" fillId="0" borderId="205" xfId="0" applyFont="1" applyBorder="1"/>
    <xf numFmtId="166" fontId="10" fillId="0" borderId="78" xfId="0" applyNumberFormat="1" applyFont="1" applyBorder="1"/>
    <xf numFmtId="2" fontId="10" fillId="0" borderId="78" xfId="0" applyNumberFormat="1" applyFont="1" applyBorder="1"/>
    <xf numFmtId="178" fontId="10" fillId="0" borderId="78" xfId="0" applyNumberFormat="1" applyFont="1" applyBorder="1"/>
    <xf numFmtId="43" fontId="10" fillId="0" borderId="78" xfId="0" applyNumberFormat="1" applyFont="1" applyBorder="1"/>
    <xf numFmtId="183" fontId="10" fillId="0" borderId="206" xfId="0" applyNumberFormat="1" applyFont="1" applyBorder="1"/>
    <xf numFmtId="0" fontId="10" fillId="0" borderId="207" xfId="0" applyFont="1" applyBorder="1"/>
    <xf numFmtId="0" fontId="10" fillId="0" borderId="208" xfId="0" applyFont="1" applyBorder="1"/>
    <xf numFmtId="0" fontId="4" fillId="0" borderId="208" xfId="0" applyFont="1" applyBorder="1"/>
    <xf numFmtId="0" fontId="13" fillId="6" borderId="208" xfId="0" applyFont="1" applyFill="1" applyBorder="1"/>
    <xf numFmtId="183" fontId="13" fillId="0" borderId="209" xfId="0" applyNumberFormat="1" applyFont="1" applyBorder="1"/>
    <xf numFmtId="0" fontId="49" fillId="3" borderId="21" xfId="0" applyFont="1" applyFill="1" applyBorder="1"/>
    <xf numFmtId="0" fontId="10" fillId="0" borderId="210" xfId="0" applyFont="1" applyBorder="1"/>
    <xf numFmtId="175" fontId="10" fillId="0" borderId="8" xfId="0" applyNumberFormat="1" applyFont="1" applyBorder="1"/>
    <xf numFmtId="186" fontId="10" fillId="0" borderId="8" xfId="0" applyNumberFormat="1" applyFont="1" applyBorder="1"/>
    <xf numFmtId="166" fontId="10" fillId="0" borderId="8" xfId="0" applyNumberFormat="1" applyFont="1" applyBorder="1"/>
    <xf numFmtId="186" fontId="10" fillId="0" borderId="211" xfId="0" applyNumberFormat="1" applyFont="1" applyBorder="1" applyAlignment="1">
      <alignment horizontal="center"/>
    </xf>
    <xf numFmtId="166" fontId="7" fillId="0" borderId="0" xfId="0" applyNumberFormat="1" applyFont="1" applyAlignment="1">
      <alignment horizontal="center"/>
    </xf>
    <xf numFmtId="172" fontId="7" fillId="0" borderId="0" xfId="0" applyNumberFormat="1" applyFont="1"/>
    <xf numFmtId="0" fontId="10" fillId="0" borderId="112" xfId="0" applyFont="1" applyBorder="1"/>
    <xf numFmtId="175" fontId="10" fillId="0" borderId="14" xfId="0" applyNumberFormat="1" applyFont="1" applyBorder="1"/>
    <xf numFmtId="168" fontId="10" fillId="0" borderId="14" xfId="0" applyNumberFormat="1" applyFont="1" applyBorder="1"/>
    <xf numFmtId="168" fontId="10" fillId="0" borderId="212" xfId="0" applyNumberFormat="1" applyFont="1" applyBorder="1" applyAlignment="1">
      <alignment horizontal="center"/>
    </xf>
    <xf numFmtId="0" fontId="10" fillId="0" borderId="213" xfId="0" applyFont="1" applyBorder="1"/>
    <xf numFmtId="175" fontId="10" fillId="0" borderId="78" xfId="0" applyNumberFormat="1" applyFont="1" applyBorder="1"/>
    <xf numFmtId="168" fontId="10" fillId="0" borderId="78" xfId="0" applyNumberFormat="1" applyFont="1" applyBorder="1"/>
    <xf numFmtId="168" fontId="10" fillId="0" borderId="214" xfId="0" applyNumberFormat="1" applyFont="1" applyBorder="1" applyAlignment="1">
      <alignment horizontal="center"/>
    </xf>
    <xf numFmtId="0" fontId="10" fillId="0" borderId="215" xfId="0" applyFont="1" applyBorder="1"/>
    <xf numFmtId="168" fontId="13" fillId="0" borderId="216" xfId="0" applyNumberFormat="1" applyFont="1" applyBorder="1"/>
    <xf numFmtId="173" fontId="58" fillId="0" borderId="0" xfId="0" applyNumberFormat="1" applyFont="1"/>
    <xf numFmtId="172" fontId="58" fillId="0" borderId="0" xfId="0" applyNumberFormat="1" applyFont="1"/>
    <xf numFmtId="169" fontId="10" fillId="0" borderId="8" xfId="0" applyNumberFormat="1" applyFont="1" applyBorder="1"/>
    <xf numFmtId="186" fontId="10" fillId="0" borderId="211" xfId="0" applyNumberFormat="1" applyFont="1" applyBorder="1"/>
    <xf numFmtId="167" fontId="10" fillId="0" borderId="14" xfId="0" applyNumberFormat="1" applyFont="1" applyBorder="1"/>
    <xf numFmtId="168" fontId="10" fillId="0" borderId="212" xfId="0" applyNumberFormat="1" applyFont="1" applyBorder="1"/>
    <xf numFmtId="167" fontId="10" fillId="0" borderId="78" xfId="0" applyNumberFormat="1" applyFont="1" applyBorder="1"/>
    <xf numFmtId="168" fontId="10" fillId="0" borderId="214" xfId="0" applyNumberFormat="1" applyFont="1" applyBorder="1"/>
    <xf numFmtId="0" fontId="13" fillId="6" borderId="208" xfId="0" applyFont="1" applyFill="1" applyBorder="1" applyAlignment="1">
      <alignment horizontal="center"/>
    </xf>
    <xf numFmtId="0" fontId="12" fillId="10" borderId="21" xfId="0" applyFont="1" applyFill="1" applyBorder="1"/>
    <xf numFmtId="0" fontId="4" fillId="10" borderId="21" xfId="0" applyFont="1" applyFill="1" applyBorder="1"/>
    <xf numFmtId="0" fontId="49" fillId="10" borderId="21" xfId="0" applyFont="1" applyFill="1" applyBorder="1"/>
    <xf numFmtId="0" fontId="10" fillId="0" borderId="217" xfId="0" applyFont="1" applyBorder="1"/>
    <xf numFmtId="0" fontId="13" fillId="0" borderId="218" xfId="0" applyFont="1" applyBorder="1" applyAlignment="1">
      <alignment horizontal="center"/>
    </xf>
    <xf numFmtId="0" fontId="10" fillId="0" borderId="8" xfId="0" applyFont="1" applyBorder="1"/>
    <xf numFmtId="181" fontId="10" fillId="0" borderId="8" xfId="0" applyNumberFormat="1" applyFont="1" applyBorder="1"/>
    <xf numFmtId="181" fontId="10" fillId="0" borderId="8" xfId="0" applyNumberFormat="1" applyFont="1" applyBorder="1" applyAlignment="1">
      <alignment horizontal="center"/>
    </xf>
    <xf numFmtId="181" fontId="10" fillId="0" borderId="211" xfId="0" applyNumberFormat="1" applyFont="1" applyBorder="1" applyAlignment="1">
      <alignment horizontal="center"/>
    </xf>
    <xf numFmtId="168" fontId="7" fillId="0" borderId="0" xfId="0" applyNumberFormat="1" applyFont="1"/>
    <xf numFmtId="0" fontId="10" fillId="0" borderId="14" xfId="0" applyFont="1" applyBorder="1"/>
    <xf numFmtId="181" fontId="10" fillId="0" borderId="14" xfId="0" applyNumberFormat="1" applyFont="1" applyBorder="1"/>
    <xf numFmtId="181" fontId="10" fillId="0" borderId="14" xfId="0" applyNumberFormat="1" applyFont="1" applyBorder="1" applyAlignment="1">
      <alignment horizontal="center"/>
    </xf>
    <xf numFmtId="181" fontId="10" fillId="0" borderId="212" xfId="0" applyNumberFormat="1" applyFont="1" applyBorder="1" applyAlignment="1">
      <alignment horizontal="center"/>
    </xf>
    <xf numFmtId="0" fontId="10" fillId="0" borderId="78" xfId="0" applyFont="1" applyBorder="1"/>
    <xf numFmtId="181" fontId="13" fillId="0" borderId="78" xfId="0" applyNumberFormat="1" applyFont="1" applyBorder="1"/>
    <xf numFmtId="181" fontId="10" fillId="0" borderId="78" xfId="0" applyNumberFormat="1" applyFont="1" applyBorder="1" applyAlignment="1">
      <alignment horizontal="center"/>
    </xf>
    <xf numFmtId="181" fontId="10" fillId="0" borderId="214" xfId="0" applyNumberFormat="1" applyFont="1" applyBorder="1" applyAlignment="1">
      <alignment horizontal="center"/>
    </xf>
    <xf numFmtId="43" fontId="13" fillId="0" borderId="216" xfId="0" applyNumberFormat="1" applyFont="1" applyBorder="1"/>
    <xf numFmtId="168" fontId="25" fillId="0" borderId="0" xfId="0" applyNumberFormat="1" applyFont="1"/>
    <xf numFmtId="0" fontId="12" fillId="3" borderId="219" xfId="0" applyFont="1" applyFill="1" applyBorder="1"/>
    <xf numFmtId="0" fontId="4" fillId="3" borderId="220" xfId="0" applyFont="1" applyFill="1" applyBorder="1"/>
    <xf numFmtId="0" fontId="12" fillId="3" borderId="220" xfId="0" applyFont="1" applyFill="1" applyBorder="1"/>
    <xf numFmtId="0" fontId="12" fillId="0" borderId="109" xfId="0" applyFont="1" applyBorder="1"/>
    <xf numFmtId="0" fontId="4" fillId="0" borderId="109" xfId="0" applyFont="1" applyBorder="1"/>
    <xf numFmtId="0" fontId="4" fillId="0" borderId="221" xfId="0" applyFont="1" applyBorder="1"/>
    <xf numFmtId="0" fontId="4" fillId="0" borderId="95" xfId="0" applyFont="1" applyBorder="1"/>
    <xf numFmtId="0" fontId="4" fillId="0" borderId="222" xfId="0" applyFont="1" applyBorder="1"/>
    <xf numFmtId="0" fontId="10" fillId="0" borderId="223" xfId="0" applyFont="1" applyBorder="1"/>
    <xf numFmtId="0" fontId="13" fillId="0" borderId="8" xfId="0" applyFont="1" applyBorder="1" applyAlignment="1">
      <alignment horizontal="center"/>
    </xf>
    <xf numFmtId="0" fontId="13" fillId="0" borderId="224" xfId="0" applyFont="1" applyBorder="1" applyAlignment="1">
      <alignment horizontal="center"/>
    </xf>
    <xf numFmtId="0" fontId="13" fillId="0" borderId="225" xfId="0" applyFont="1" applyBorder="1"/>
    <xf numFmtId="0" fontId="13" fillId="0" borderId="78" xfId="0" applyFont="1" applyBorder="1" applyAlignment="1">
      <alignment horizontal="center"/>
    </xf>
    <xf numFmtId="0" fontId="13" fillId="0" borderId="226" xfId="0" applyFont="1" applyBorder="1" applyAlignment="1">
      <alignment horizontal="center"/>
    </xf>
    <xf numFmtId="43" fontId="10" fillId="0" borderId="8" xfId="0" applyNumberFormat="1" applyFont="1" applyBorder="1"/>
    <xf numFmtId="172" fontId="10" fillId="0" borderId="227" xfId="0" applyNumberFormat="1" applyFont="1" applyBorder="1"/>
    <xf numFmtId="172" fontId="10" fillId="0" borderId="212" xfId="0" applyNumberFormat="1" applyFont="1" applyBorder="1"/>
    <xf numFmtId="0" fontId="10" fillId="0" borderId="228" xfId="0" applyFont="1" applyBorder="1"/>
    <xf numFmtId="172" fontId="10" fillId="0" borderId="229" xfId="0" applyNumberFormat="1" applyFont="1" applyBorder="1"/>
    <xf numFmtId="0" fontId="10" fillId="0" borderId="230" xfId="0" applyFont="1" applyBorder="1"/>
    <xf numFmtId="0" fontId="10" fillId="0" borderId="68" xfId="0" applyFont="1" applyBorder="1"/>
    <xf numFmtId="0" fontId="13" fillId="6" borderId="68" xfId="0" applyFont="1" applyFill="1" applyBorder="1" applyAlignment="1">
      <alignment horizontal="center"/>
    </xf>
    <xf numFmtId="172" fontId="13" fillId="0" borderId="231" xfId="0" applyNumberFormat="1" applyFont="1" applyBorder="1"/>
    <xf numFmtId="0" fontId="13" fillId="0" borderId="30" xfId="0" applyFont="1" applyBorder="1" applyAlignment="1">
      <alignment horizontal="center"/>
    </xf>
    <xf numFmtId="0" fontId="10" fillId="0" borderId="111" xfId="0" applyFont="1" applyBorder="1"/>
    <xf numFmtId="166" fontId="10" fillId="0" borderId="232" xfId="0" applyNumberFormat="1" applyFont="1" applyBorder="1"/>
    <xf numFmtId="175" fontId="10" fillId="0" borderId="232" xfId="0" applyNumberFormat="1" applyFont="1" applyBorder="1"/>
    <xf numFmtId="167" fontId="10" fillId="0" borderId="232" xfId="0" applyNumberFormat="1" applyFont="1" applyBorder="1"/>
    <xf numFmtId="0" fontId="7" fillId="0" borderId="0" xfId="0" applyFont="1" applyAlignment="1">
      <alignment horizontal="center"/>
    </xf>
    <xf numFmtId="172" fontId="10" fillId="0" borderId="214" xfId="0" applyNumberFormat="1" applyFont="1" applyBorder="1"/>
    <xf numFmtId="166" fontId="10" fillId="0" borderId="208" xfId="0" applyNumberFormat="1" applyFont="1" applyBorder="1"/>
    <xf numFmtId="172" fontId="13" fillId="0" borderId="216" xfId="0" applyNumberFormat="1" applyFont="1" applyBorder="1"/>
    <xf numFmtId="0" fontId="10" fillId="0" borderId="233" xfId="0" applyFont="1" applyBorder="1"/>
    <xf numFmtId="0" fontId="13" fillId="0" borderId="234" xfId="0" applyFont="1" applyBorder="1" applyAlignment="1">
      <alignment horizontal="center"/>
    </xf>
    <xf numFmtId="43" fontId="10" fillId="0" borderId="8" xfId="0" applyNumberFormat="1" applyFont="1" applyBorder="1" applyAlignment="1">
      <alignment horizontal="center"/>
    </xf>
    <xf numFmtId="0" fontId="10" fillId="0" borderId="227" xfId="0" applyFont="1" applyBorder="1"/>
    <xf numFmtId="43" fontId="10" fillId="0" borderId="14" xfId="0" applyNumberFormat="1" applyFont="1" applyBorder="1" applyAlignment="1">
      <alignment horizontal="center"/>
    </xf>
    <xf numFmtId="0" fontId="10" fillId="0" borderId="212" xfId="0" applyFont="1" applyBorder="1"/>
    <xf numFmtId="43" fontId="10" fillId="0" borderId="78" xfId="0" applyNumberFormat="1" applyFont="1" applyBorder="1" applyAlignment="1">
      <alignment horizontal="center"/>
    </xf>
    <xf numFmtId="0" fontId="10" fillId="0" borderId="214" xfId="0" applyFont="1" applyBorder="1"/>
    <xf numFmtId="0" fontId="13" fillId="0" borderId="216" xfId="0" applyFont="1" applyBorder="1"/>
    <xf numFmtId="0" fontId="12" fillId="10" borderId="235" xfId="0" applyFont="1" applyFill="1" applyBorder="1"/>
    <xf numFmtId="0" fontId="4" fillId="10" borderId="236" xfId="0" applyFont="1" applyFill="1" applyBorder="1"/>
    <xf numFmtId="0" fontId="4" fillId="10" borderId="237" xfId="0" applyFont="1" applyFill="1" applyBorder="1"/>
    <xf numFmtId="0" fontId="10" fillId="0" borderId="238" xfId="0" applyFont="1" applyBorder="1"/>
    <xf numFmtId="0" fontId="10" fillId="0" borderId="197" xfId="0" applyFont="1" applyBorder="1"/>
    <xf numFmtId="0" fontId="13" fillId="0" borderId="221" xfId="0" applyFont="1" applyBorder="1" applyAlignment="1">
      <alignment horizontal="center"/>
    </xf>
    <xf numFmtId="0" fontId="10" fillId="0" borderId="95" xfId="0" applyFont="1" applyBorder="1"/>
    <xf numFmtId="0" fontId="13" fillId="0" borderId="222" xfId="0" applyFont="1" applyBorder="1" applyAlignment="1">
      <alignment horizontal="center"/>
    </xf>
    <xf numFmtId="185" fontId="10" fillId="0" borderId="232" xfId="0" applyNumberFormat="1" applyFont="1" applyBorder="1"/>
    <xf numFmtId="0" fontId="10" fillId="0" borderId="232" xfId="0" applyFont="1" applyBorder="1" applyAlignment="1">
      <alignment horizontal="center"/>
    </xf>
    <xf numFmtId="172" fontId="10" fillId="0" borderId="211" xfId="0" applyNumberFormat="1" applyFont="1" applyBorder="1"/>
    <xf numFmtId="185" fontId="10" fillId="0" borderId="14" xfId="0" applyNumberFormat="1" applyFont="1" applyBorder="1"/>
    <xf numFmtId="0" fontId="10" fillId="0" borderId="14" xfId="0" applyFont="1" applyBorder="1" applyAlignment="1">
      <alignment horizontal="center"/>
    </xf>
    <xf numFmtId="0" fontId="10" fillId="0" borderId="78" xfId="0" applyFont="1" applyBorder="1" applyAlignment="1">
      <alignment horizontal="center"/>
    </xf>
    <xf numFmtId="185" fontId="10" fillId="0" borderId="78" xfId="0" applyNumberFormat="1" applyFont="1" applyBorder="1"/>
    <xf numFmtId="0" fontId="59" fillId="0" borderId="0" xfId="0" applyFont="1"/>
    <xf numFmtId="0" fontId="0" fillId="3" borderId="21" xfId="0" applyFont="1" applyFill="1" applyBorder="1"/>
    <xf numFmtId="0" fontId="19" fillId="0" borderId="196" xfId="0" applyFont="1" applyBorder="1"/>
    <xf numFmtId="0" fontId="20" fillId="0" borderId="197" xfId="0" applyFont="1" applyBorder="1" applyAlignment="1">
      <alignment horizontal="center"/>
    </xf>
    <xf numFmtId="0" fontId="19" fillId="0" borderId="197" xfId="0" applyFont="1" applyBorder="1"/>
    <xf numFmtId="0" fontId="19" fillId="0" borderId="198" xfId="0" applyFont="1" applyBorder="1"/>
    <xf numFmtId="0" fontId="19" fillId="0" borderId="217" xfId="0" applyFont="1" applyBorder="1"/>
    <xf numFmtId="0" fontId="20" fillId="0" borderId="18" xfId="0" applyFont="1" applyBorder="1" applyAlignment="1">
      <alignment horizontal="center"/>
    </xf>
    <xf numFmtId="0" fontId="19" fillId="0" borderId="18" xfId="0" applyFont="1" applyBorder="1"/>
    <xf numFmtId="0" fontId="20" fillId="0" borderId="239" xfId="0" applyFont="1" applyBorder="1"/>
    <xf numFmtId="0" fontId="20" fillId="0" borderId="38" xfId="0" applyFont="1" applyBorder="1" applyAlignment="1">
      <alignment horizontal="center"/>
    </xf>
    <xf numFmtId="0" fontId="13" fillId="0" borderId="240" xfId="0" applyFont="1" applyBorder="1" applyAlignment="1">
      <alignment horizontal="center"/>
    </xf>
    <xf numFmtId="0" fontId="60" fillId="0" borderId="0" xfId="0" applyFont="1" applyAlignment="1">
      <alignment horizontal="center"/>
    </xf>
    <xf numFmtId="0" fontId="19" fillId="0" borderId="241" xfId="0" applyFont="1" applyBorder="1"/>
    <xf numFmtId="166" fontId="19" fillId="0" borderId="232" xfId="0" applyNumberFormat="1" applyFont="1" applyBorder="1"/>
    <xf numFmtId="9" fontId="19" fillId="0" borderId="232" xfId="0" applyNumberFormat="1" applyFont="1" applyBorder="1" applyAlignment="1">
      <alignment horizontal="center"/>
    </xf>
    <xf numFmtId="166" fontId="19" fillId="0" borderId="232" xfId="0" applyNumberFormat="1" applyFont="1" applyBorder="1" applyAlignment="1">
      <alignment horizontal="center"/>
    </xf>
    <xf numFmtId="2" fontId="19" fillId="0" borderId="232" xfId="0" applyNumberFormat="1" applyFont="1" applyBorder="1" applyAlignment="1">
      <alignment horizontal="center"/>
    </xf>
    <xf numFmtId="178" fontId="19" fillId="0" borderId="232" xfId="0" applyNumberFormat="1" applyFont="1" applyBorder="1" applyAlignment="1">
      <alignment horizontal="center"/>
    </xf>
    <xf numFmtId="43" fontId="10" fillId="0" borderId="232" xfId="0" applyNumberFormat="1" applyFont="1" applyBorder="1"/>
    <xf numFmtId="168" fontId="10" fillId="0" borderId="242" xfId="0" applyNumberFormat="1" applyFont="1" applyBorder="1"/>
    <xf numFmtId="0" fontId="0" fillId="0" borderId="0" xfId="0" applyFont="1" applyAlignment="1">
      <alignment horizontal="center"/>
    </xf>
    <xf numFmtId="1" fontId="0" fillId="0" borderId="0" xfId="0" applyNumberFormat="1" applyFont="1" applyAlignment="1">
      <alignment horizontal="center"/>
    </xf>
    <xf numFmtId="0" fontId="19" fillId="0" borderId="203" xfId="0" applyFont="1" applyBorder="1"/>
    <xf numFmtId="166" fontId="19" fillId="3" borderId="14" xfId="0" applyNumberFormat="1" applyFont="1" applyFill="1" applyBorder="1"/>
    <xf numFmtId="166" fontId="19" fillId="0" borderId="14" xfId="0" applyNumberFormat="1" applyFont="1" applyBorder="1"/>
    <xf numFmtId="9" fontId="19" fillId="0" borderId="14" xfId="0" applyNumberFormat="1" applyFont="1" applyBorder="1" applyAlignment="1">
      <alignment horizontal="center"/>
    </xf>
    <xf numFmtId="166" fontId="19" fillId="0" borderId="14" xfId="0" applyNumberFormat="1" applyFont="1" applyBorder="1" applyAlignment="1">
      <alignment horizontal="center"/>
    </xf>
    <xf numFmtId="2" fontId="19" fillId="0" borderId="14" xfId="0" applyNumberFormat="1" applyFont="1" applyBorder="1" applyAlignment="1">
      <alignment horizontal="center"/>
    </xf>
    <xf numFmtId="178" fontId="19" fillId="0" borderId="14" xfId="0" applyNumberFormat="1" applyFont="1" applyBorder="1" applyAlignment="1">
      <alignment horizontal="center"/>
    </xf>
    <xf numFmtId="168" fontId="10" fillId="0" borderId="204" xfId="0" applyNumberFormat="1" applyFont="1" applyBorder="1"/>
    <xf numFmtId="0" fontId="19" fillId="0" borderId="203" xfId="0" applyFont="1" applyBorder="1" applyAlignment="1">
      <alignment wrapText="1"/>
    </xf>
    <xf numFmtId="2" fontId="10" fillId="0" borderId="14" xfId="0" applyNumberFormat="1" applyFont="1" applyBorder="1" applyAlignment="1">
      <alignment horizontal="center"/>
    </xf>
    <xf numFmtId="166" fontId="19" fillId="15" borderId="14" xfId="0" applyNumberFormat="1" applyFont="1" applyFill="1" applyBorder="1"/>
    <xf numFmtId="168" fontId="10" fillId="0" borderId="206" xfId="0" applyNumberFormat="1" applyFont="1" applyBorder="1"/>
    <xf numFmtId="0" fontId="19" fillId="0" borderId="14" xfId="0" applyFont="1" applyBorder="1"/>
    <xf numFmtId="0" fontId="20" fillId="6" borderId="68" xfId="0" applyFont="1" applyFill="1" applyBorder="1"/>
    <xf numFmtId="168" fontId="20" fillId="0" borderId="243" xfId="0" applyNumberFormat="1" applyFont="1" applyBorder="1"/>
    <xf numFmtId="0" fontId="10" fillId="0" borderId="244" xfId="0" applyFont="1" applyBorder="1"/>
    <xf numFmtId="0" fontId="10" fillId="0" borderId="245" xfId="0" applyFont="1" applyBorder="1"/>
    <xf numFmtId="0" fontId="10" fillId="0" borderId="246" xfId="0" applyFont="1" applyBorder="1"/>
    <xf numFmtId="0" fontId="10" fillId="0" borderId="247" xfId="0" applyFont="1" applyBorder="1"/>
    <xf numFmtId="0" fontId="10" fillId="0" borderId="248" xfId="0" applyFont="1" applyBorder="1"/>
    <xf numFmtId="0" fontId="20" fillId="0" borderId="249" xfId="0" applyFont="1" applyBorder="1" applyAlignment="1">
      <alignment horizontal="center"/>
    </xf>
    <xf numFmtId="0" fontId="19" fillId="0" borderId="249" xfId="0" applyFont="1" applyBorder="1"/>
    <xf numFmtId="0" fontId="19" fillId="0" borderId="250" xfId="0" applyFont="1" applyBorder="1"/>
    <xf numFmtId="0" fontId="10" fillId="0" borderId="251" xfId="0" applyFont="1" applyBorder="1"/>
    <xf numFmtId="0" fontId="20" fillId="0" borderId="127" xfId="0" applyFont="1" applyBorder="1" applyAlignment="1">
      <alignment horizontal="center"/>
    </xf>
    <xf numFmtId="0" fontId="13" fillId="0" borderId="127" xfId="0" applyFont="1" applyBorder="1" applyAlignment="1">
      <alignment horizontal="center"/>
    </xf>
    <xf numFmtId="0" fontId="13" fillId="0" borderId="252" xfId="0" applyFont="1" applyBorder="1" applyAlignment="1">
      <alignment horizontal="center"/>
    </xf>
    <xf numFmtId="0" fontId="13" fillId="0" borderId="194" xfId="0" applyFont="1" applyBorder="1"/>
    <xf numFmtId="0" fontId="20" fillId="0" borderId="64" xfId="0" applyFont="1" applyBorder="1" applyAlignment="1">
      <alignment horizontal="center"/>
    </xf>
    <xf numFmtId="0" fontId="13" fillId="0" borderId="64" xfId="0" applyFont="1" applyBorder="1" applyAlignment="1">
      <alignment horizontal="center"/>
    </xf>
    <xf numFmtId="0" fontId="13" fillId="0" borderId="195" xfId="0" applyFont="1" applyBorder="1" applyAlignment="1">
      <alignment horizontal="center"/>
    </xf>
    <xf numFmtId="175" fontId="19" fillId="0" borderId="5" xfId="0" applyNumberFormat="1" applyFont="1" applyBorder="1" applyAlignment="1">
      <alignment horizontal="center"/>
    </xf>
    <xf numFmtId="167" fontId="19" fillId="0" borderId="5" xfId="0" applyNumberFormat="1" applyFont="1" applyBorder="1"/>
    <xf numFmtId="168" fontId="10" fillId="0" borderId="50" xfId="0" applyNumberFormat="1" applyFont="1" applyBorder="1"/>
    <xf numFmtId="166" fontId="19" fillId="3" borderId="5" xfId="0" applyNumberFormat="1" applyFont="1" applyFill="1" applyBorder="1"/>
    <xf numFmtId="0" fontId="19" fillId="0" borderId="49" xfId="0" applyFont="1" applyBorder="1" applyAlignment="1">
      <alignment wrapText="1"/>
    </xf>
    <xf numFmtId="166" fontId="19" fillId="15" borderId="5" xfId="0" applyNumberFormat="1" applyFont="1" applyFill="1" applyBorder="1"/>
    <xf numFmtId="166" fontId="19" fillId="0" borderId="5" xfId="0" applyNumberFormat="1" applyFont="1" applyBorder="1" applyAlignment="1">
      <alignment horizontal="center"/>
    </xf>
    <xf numFmtId="0" fontId="13" fillId="6" borderId="5" xfId="0" applyFont="1" applyFill="1" applyBorder="1" applyAlignment="1">
      <alignment horizontal="center"/>
    </xf>
    <xf numFmtId="168" fontId="13" fillId="0" borderId="50" xfId="0" applyNumberFormat="1" applyFont="1" applyBorder="1"/>
    <xf numFmtId="0" fontId="20" fillId="0" borderId="199" xfId="0" applyFont="1" applyBorder="1"/>
    <xf numFmtId="0" fontId="20" fillId="0" borderId="35" xfId="0" applyFont="1" applyBorder="1" applyAlignment="1">
      <alignment horizontal="center"/>
    </xf>
    <xf numFmtId="0" fontId="19" fillId="0" borderId="201" xfId="0" applyFont="1" applyBorder="1"/>
    <xf numFmtId="166" fontId="19" fillId="2" borderId="8" xfId="0" applyNumberFormat="1" applyFont="1" applyFill="1" applyBorder="1" applyAlignment="1">
      <alignment horizontal="center"/>
    </xf>
    <xf numFmtId="175" fontId="19" fillId="0" borderId="8" xfId="0" applyNumberFormat="1" applyFont="1" applyBorder="1" applyAlignment="1">
      <alignment horizontal="center"/>
    </xf>
    <xf numFmtId="168" fontId="19" fillId="0" borderId="8" xfId="0" applyNumberFormat="1" applyFont="1" applyBorder="1" applyAlignment="1">
      <alignment horizontal="center"/>
    </xf>
    <xf numFmtId="166" fontId="19" fillId="0" borderId="8" xfId="0" applyNumberFormat="1" applyFont="1" applyBorder="1"/>
    <xf numFmtId="168" fontId="10" fillId="0" borderId="202" xfId="0" applyNumberFormat="1" applyFont="1" applyBorder="1"/>
    <xf numFmtId="166" fontId="19" fillId="2" borderId="14" xfId="0" applyNumberFormat="1" applyFont="1" applyFill="1" applyBorder="1" applyAlignment="1">
      <alignment horizontal="center"/>
    </xf>
    <xf numFmtId="175" fontId="19" fillId="0" borderId="14" xfId="0" applyNumberFormat="1" applyFont="1" applyBorder="1" applyAlignment="1">
      <alignment horizontal="center"/>
    </xf>
    <xf numFmtId="168" fontId="19" fillId="0" borderId="14" xfId="0" applyNumberFormat="1" applyFont="1" applyBorder="1" applyAlignment="1">
      <alignment horizontal="center"/>
    </xf>
    <xf numFmtId="0" fontId="13" fillId="6" borderId="14" xfId="0" applyFont="1" applyFill="1" applyBorder="1" applyAlignment="1">
      <alignment horizontal="center"/>
    </xf>
    <xf numFmtId="168" fontId="13" fillId="0" borderId="204" xfId="0" applyNumberFormat="1" applyFont="1" applyBorder="1"/>
    <xf numFmtId="0" fontId="19" fillId="0" borderId="253" xfId="0" applyFont="1" applyBorder="1"/>
    <xf numFmtId="0" fontId="19" fillId="0" borderId="246" xfId="0" applyFont="1" applyBorder="1"/>
    <xf numFmtId="0" fontId="19" fillId="0" borderId="247" xfId="0" applyFont="1" applyBorder="1"/>
    <xf numFmtId="0" fontId="0" fillId="10" borderId="21" xfId="0" applyFont="1" applyFill="1" applyBorder="1"/>
    <xf numFmtId="0" fontId="20" fillId="0" borderId="198" xfId="0" applyFont="1" applyBorder="1" applyAlignment="1">
      <alignment horizontal="center"/>
    </xf>
    <xf numFmtId="168" fontId="19" fillId="0" borderId="8" xfId="0" applyNumberFormat="1" applyFont="1" applyBorder="1"/>
    <xf numFmtId="168" fontId="19" fillId="0" borderId="14" xfId="0" applyNumberFormat="1" applyFont="1" applyBorder="1"/>
    <xf numFmtId="168" fontId="19" fillId="0" borderId="78" xfId="0" applyNumberFormat="1" applyFont="1" applyBorder="1"/>
    <xf numFmtId="168" fontId="13" fillId="6" borderId="68" xfId="0" applyNumberFormat="1" applyFont="1" applyFill="1" applyBorder="1" applyAlignment="1">
      <alignment horizontal="center"/>
    </xf>
    <xf numFmtId="168" fontId="13" fillId="0" borderId="243" xfId="0" applyNumberFormat="1" applyFont="1" applyBorder="1"/>
    <xf numFmtId="0" fontId="61" fillId="0" borderId="0" xfId="0" applyFont="1"/>
    <xf numFmtId="0" fontId="62" fillId="0" borderId="0" xfId="0" applyFont="1"/>
    <xf numFmtId="0" fontId="63" fillId="0" borderId="0" xfId="0" applyFont="1"/>
    <xf numFmtId="0" fontId="63" fillId="0" borderId="33" xfId="0" applyFont="1" applyBorder="1"/>
    <xf numFmtId="0" fontId="64" fillId="0" borderId="0" xfId="0" applyFont="1" applyAlignment="1">
      <alignment horizontal="center" vertical="center" wrapText="1"/>
    </xf>
    <xf numFmtId="0" fontId="64" fillId="0" borderId="0" xfId="0" applyFont="1" applyAlignment="1">
      <alignment horizontal="center"/>
    </xf>
    <xf numFmtId="0" fontId="64" fillId="0" borderId="0" xfId="0" applyFont="1" applyAlignment="1">
      <alignment horizontal="center" wrapText="1"/>
    </xf>
    <xf numFmtId="0" fontId="63" fillId="0" borderId="75" xfId="0" applyFont="1" applyBorder="1"/>
    <xf numFmtId="166" fontId="63" fillId="0" borderId="5" xfId="0" applyNumberFormat="1" applyFont="1" applyBorder="1"/>
    <xf numFmtId="0" fontId="63" fillId="0" borderId="0" xfId="0" applyFont="1" applyAlignment="1">
      <alignment horizontal="center"/>
    </xf>
    <xf numFmtId="172" fontId="63" fillId="0" borderId="5" xfId="0" applyNumberFormat="1" applyFont="1" applyBorder="1"/>
    <xf numFmtId="0" fontId="63" fillId="0" borderId="0" xfId="0" quotePrefix="1" applyFont="1" applyAlignment="1">
      <alignment horizontal="center"/>
    </xf>
    <xf numFmtId="166" fontId="63" fillId="0" borderId="5" xfId="0" applyNumberFormat="1" applyFont="1" applyBorder="1" applyAlignment="1">
      <alignment horizontal="right"/>
    </xf>
    <xf numFmtId="0" fontId="4" fillId="0" borderId="254" xfId="0" applyFont="1" applyBorder="1"/>
    <xf numFmtId="0" fontId="12" fillId="0" borderId="33" xfId="0" applyFont="1" applyBorder="1"/>
    <xf numFmtId="0" fontId="4" fillId="0" borderId="75" xfId="0" applyFont="1" applyBorder="1"/>
    <xf numFmtId="0" fontId="64" fillId="0" borderId="0" xfId="0" applyFont="1"/>
    <xf numFmtId="0" fontId="64" fillId="0" borderId="75" xfId="0" applyFont="1" applyBorder="1" applyAlignment="1">
      <alignment horizontal="center" wrapText="1"/>
    </xf>
    <xf numFmtId="0" fontId="63" fillId="0" borderId="33" xfId="0" applyFont="1" applyBorder="1" applyAlignment="1">
      <alignment horizontal="left"/>
    </xf>
    <xf numFmtId="165" fontId="63" fillId="0" borderId="5" xfId="0" applyNumberFormat="1" applyFont="1" applyBorder="1"/>
    <xf numFmtId="166" fontId="63" fillId="0" borderId="67" xfId="0" applyNumberFormat="1" applyFont="1" applyBorder="1"/>
    <xf numFmtId="43" fontId="63" fillId="0" borderId="5" xfId="0" applyNumberFormat="1" applyFont="1" applyBorder="1"/>
    <xf numFmtId="0" fontId="63" fillId="0" borderId="0" xfId="0" applyFont="1" applyAlignment="1">
      <alignment wrapText="1"/>
    </xf>
    <xf numFmtId="0" fontId="63" fillId="0" borderId="33" xfId="0" applyFont="1" applyBorder="1" applyAlignment="1">
      <alignment horizontal="center"/>
    </xf>
    <xf numFmtId="0" fontId="64" fillId="0" borderId="0" xfId="0" applyFont="1" applyAlignment="1">
      <alignment horizontal="center" vertical="center"/>
    </xf>
    <xf numFmtId="0" fontId="63" fillId="0" borderId="0" xfId="0" applyFont="1" applyAlignment="1">
      <alignment vertical="center"/>
    </xf>
    <xf numFmtId="0" fontId="64" fillId="0" borderId="75" xfId="0" applyFont="1" applyBorder="1" applyAlignment="1">
      <alignment horizontal="center" vertical="center" wrapText="1"/>
    </xf>
    <xf numFmtId="166" fontId="7" fillId="0" borderId="5" xfId="0" applyNumberFormat="1" applyFont="1" applyBorder="1" applyAlignment="1">
      <alignment horizontal="right"/>
    </xf>
    <xf numFmtId="0" fontId="65" fillId="0" borderId="0" xfId="0" applyFont="1" applyAlignment="1">
      <alignment horizontal="center"/>
    </xf>
    <xf numFmtId="172" fontId="7" fillId="0" borderId="5" xfId="0" applyNumberFormat="1" applyFont="1" applyBorder="1"/>
    <xf numFmtId="0" fontId="4" fillId="0" borderId="0" xfId="0" quotePrefix="1" applyFont="1" applyAlignment="1">
      <alignment horizontal="center"/>
    </xf>
    <xf numFmtId="166" fontId="7" fillId="0" borderId="5" xfId="0" applyNumberFormat="1" applyFont="1" applyBorder="1"/>
    <xf numFmtId="166" fontId="7" fillId="0" borderId="67" xfId="0" applyNumberFormat="1" applyFont="1" applyBorder="1"/>
    <xf numFmtId="0" fontId="56" fillId="0" borderId="46" xfId="0" applyFont="1" applyBorder="1"/>
    <xf numFmtId="0" fontId="62" fillId="0" borderId="48" xfId="0" applyFont="1" applyBorder="1"/>
    <xf numFmtId="0" fontId="56" fillId="16" borderId="49" xfId="0" applyFont="1" applyFill="1" applyBorder="1"/>
    <xf numFmtId="166" fontId="56" fillId="16" borderId="50" xfId="0" applyNumberFormat="1" applyFont="1" applyFill="1" applyBorder="1"/>
    <xf numFmtId="0" fontId="56" fillId="0" borderId="49" xfId="0" applyFont="1" applyBorder="1" applyAlignment="1">
      <alignment horizontal="left"/>
    </xf>
    <xf numFmtId="166" fontId="56" fillId="0" borderId="50" xfId="0" applyNumberFormat="1" applyFont="1" applyBorder="1"/>
    <xf numFmtId="0" fontId="56" fillId="17" borderId="49" xfId="0" applyFont="1" applyFill="1" applyBorder="1"/>
    <xf numFmtId="166" fontId="56" fillId="17" borderId="50" xfId="0" applyNumberFormat="1" applyFont="1" applyFill="1" applyBorder="1"/>
    <xf numFmtId="0" fontId="56" fillId="10" borderId="49" xfId="0" applyFont="1" applyFill="1" applyBorder="1"/>
    <xf numFmtId="166" fontId="56" fillId="10" borderId="50" xfId="0" applyNumberFormat="1" applyFont="1" applyFill="1" applyBorder="1"/>
    <xf numFmtId="0" fontId="56" fillId="0" borderId="49" xfId="0" applyFont="1" applyBorder="1" applyAlignment="1">
      <alignment horizontal="left" wrapText="1"/>
    </xf>
    <xf numFmtId="0" fontId="62" fillId="5" borderId="54" xfId="0" applyFont="1" applyFill="1" applyBorder="1"/>
    <xf numFmtId="166" fontId="56" fillId="5" borderId="56" xfId="0" applyNumberFormat="1" applyFont="1" applyFill="1" applyBorder="1"/>
    <xf numFmtId="0" fontId="4" fillId="0" borderId="238" xfId="0" applyFont="1" applyBorder="1"/>
    <xf numFmtId="0" fontId="25" fillId="0" borderId="47" xfId="0" applyFont="1" applyBorder="1" applyAlignment="1">
      <alignment horizontal="center" vertical="top" wrapText="1"/>
    </xf>
    <xf numFmtId="0" fontId="25" fillId="0" borderId="48" xfId="0" applyFont="1" applyBorder="1" applyAlignment="1">
      <alignment horizontal="center" vertical="top" wrapText="1"/>
    </xf>
    <xf numFmtId="0" fontId="66" fillId="0" borderId="49" xfId="0" applyFont="1" applyBorder="1" applyAlignment="1">
      <alignment vertical="top" wrapText="1"/>
    </xf>
    <xf numFmtId="0" fontId="25" fillId="0" borderId="102" xfId="0" applyFont="1" applyBorder="1" applyAlignment="1">
      <alignment horizontal="center" vertical="top" wrapText="1"/>
    </xf>
    <xf numFmtId="0" fontId="25" fillId="0" borderId="255" xfId="0" applyFont="1" applyBorder="1" applyAlignment="1">
      <alignment horizontal="center" vertical="top" wrapText="1"/>
    </xf>
    <xf numFmtId="0" fontId="67" fillId="0" borderId="0" xfId="0" quotePrefix="1" applyFont="1"/>
    <xf numFmtId="0" fontId="22" fillId="6" borderId="256" xfId="0" applyFont="1" applyFill="1" applyBorder="1"/>
    <xf numFmtId="0" fontId="68" fillId="6" borderId="157" xfId="0" applyFont="1" applyFill="1" applyBorder="1" applyAlignment="1">
      <alignment wrapText="1"/>
    </xf>
    <xf numFmtId="0" fontId="68" fillId="6" borderId="257" xfId="0" applyFont="1" applyFill="1" applyBorder="1" applyAlignment="1">
      <alignment wrapText="1"/>
    </xf>
    <xf numFmtId="0" fontId="67" fillId="0" borderId="0" xfId="0" applyFont="1"/>
    <xf numFmtId="0" fontId="22" fillId="0" borderId="194" xfId="0" applyFont="1" applyBorder="1"/>
    <xf numFmtId="0" fontId="68" fillId="0" borderId="64" xfId="0" applyFont="1" applyBorder="1" applyAlignment="1">
      <alignment wrapText="1"/>
    </xf>
    <xf numFmtId="0" fontId="68" fillId="0" borderId="195" xfId="0" applyFont="1" applyBorder="1" applyAlignment="1">
      <alignment wrapText="1"/>
    </xf>
    <xf numFmtId="0" fontId="4" fillId="0" borderId="49" xfId="0" applyFont="1" applyBorder="1" applyAlignment="1">
      <alignment wrapText="1"/>
    </xf>
    <xf numFmtId="187" fontId="68" fillId="0" borderId="5" xfId="0" applyNumberFormat="1" applyFont="1" applyBorder="1" applyAlignment="1">
      <alignment wrapText="1"/>
    </xf>
    <xf numFmtId="0" fontId="4" fillId="0" borderId="5" xfId="0" applyFont="1" applyBorder="1" applyAlignment="1">
      <alignment horizontal="center" vertical="top" wrapText="1"/>
    </xf>
    <xf numFmtId="188" fontId="68" fillId="0" borderId="5" xfId="0" applyNumberFormat="1" applyFont="1" applyBorder="1" applyAlignment="1">
      <alignment wrapText="1"/>
    </xf>
    <xf numFmtId="189" fontId="68" fillId="0" borderId="5" xfId="0" applyNumberFormat="1" applyFont="1" applyBorder="1" applyAlignment="1">
      <alignment wrapText="1"/>
    </xf>
    <xf numFmtId="189" fontId="68" fillId="0" borderId="50" xfId="0" applyNumberFormat="1" applyFont="1" applyBorder="1" applyAlignment="1">
      <alignment wrapText="1"/>
    </xf>
    <xf numFmtId="187" fontId="68" fillId="0" borderId="50" xfId="0" applyNumberFormat="1" applyFont="1" applyBorder="1" applyAlignment="1">
      <alignment wrapText="1"/>
    </xf>
    <xf numFmtId="0" fontId="4" fillId="0" borderId="49" xfId="0" applyFont="1" applyBorder="1" applyAlignment="1">
      <alignment horizontal="left" wrapText="1"/>
    </xf>
    <xf numFmtId="190" fontId="69" fillId="0" borderId="5" xfId="0" applyNumberFormat="1" applyFont="1" applyBorder="1" applyAlignment="1">
      <alignment wrapText="1"/>
    </xf>
    <xf numFmtId="189" fontId="69" fillId="18" borderId="5" xfId="0" applyNumberFormat="1" applyFont="1" applyFill="1" applyBorder="1" applyAlignment="1">
      <alignment wrapText="1"/>
    </xf>
    <xf numFmtId="189" fontId="68" fillId="18" borderId="5" xfId="0" applyNumberFormat="1" applyFont="1" applyFill="1" applyBorder="1" applyAlignment="1">
      <alignment wrapText="1"/>
    </xf>
    <xf numFmtId="189" fontId="68" fillId="18" borderId="50" xfId="0" applyNumberFormat="1" applyFont="1" applyFill="1" applyBorder="1" applyAlignment="1">
      <alignment wrapText="1"/>
    </xf>
    <xf numFmtId="2" fontId="68" fillId="0" borderId="5" xfId="0" applyNumberFormat="1" applyFont="1" applyBorder="1" applyAlignment="1">
      <alignment wrapText="1"/>
    </xf>
    <xf numFmtId="191" fontId="68" fillId="0" borderId="5" xfId="0" applyNumberFormat="1" applyFont="1" applyBorder="1" applyAlignment="1">
      <alignment wrapText="1"/>
    </xf>
    <xf numFmtId="188" fontId="68" fillId="0" borderId="50" xfId="0" applyNumberFormat="1" applyFont="1" applyBorder="1" applyAlignment="1">
      <alignment wrapText="1"/>
    </xf>
    <xf numFmtId="166" fontId="70" fillId="0" borderId="5" xfId="0" applyNumberFormat="1" applyFont="1" applyBorder="1"/>
    <xf numFmtId="191" fontId="68" fillId="0" borderId="50" xfId="0" applyNumberFormat="1" applyFont="1" applyBorder="1" applyAlignment="1">
      <alignment wrapText="1"/>
    </xf>
    <xf numFmtId="0" fontId="4" fillId="0" borderId="101" xfId="0" applyFont="1" applyBorder="1" applyAlignment="1">
      <alignment wrapText="1"/>
    </xf>
    <xf numFmtId="187" fontId="68" fillId="0" borderId="102" xfId="0" applyNumberFormat="1" applyFont="1" applyBorder="1" applyAlignment="1">
      <alignment wrapText="1"/>
    </xf>
    <xf numFmtId="188" fontId="68" fillId="0" borderId="102" xfId="0" applyNumberFormat="1" applyFont="1" applyBorder="1" applyAlignment="1">
      <alignment wrapText="1"/>
    </xf>
    <xf numFmtId="166" fontId="70" fillId="0" borderId="102" xfId="0" applyNumberFormat="1" applyFont="1" applyBorder="1"/>
    <xf numFmtId="189" fontId="68" fillId="0" borderId="102" xfId="0" applyNumberFormat="1" applyFont="1" applyBorder="1" applyAlignment="1">
      <alignment wrapText="1"/>
    </xf>
    <xf numFmtId="189" fontId="68" fillId="0" borderId="255" xfId="0" applyNumberFormat="1" applyFont="1" applyBorder="1" applyAlignment="1">
      <alignment wrapText="1"/>
    </xf>
    <xf numFmtId="0" fontId="25" fillId="19" borderId="258" xfId="0" applyFont="1" applyFill="1" applyBorder="1" applyAlignment="1">
      <alignment horizontal="left" wrapText="1"/>
    </xf>
    <xf numFmtId="187" fontId="68" fillId="19" borderId="259" xfId="0" applyNumberFormat="1" applyFont="1" applyFill="1" applyBorder="1" applyAlignment="1">
      <alignment wrapText="1"/>
    </xf>
    <xf numFmtId="188" fontId="68" fillId="19" borderId="259" xfId="0" applyNumberFormat="1" applyFont="1" applyFill="1" applyBorder="1" applyAlignment="1">
      <alignment wrapText="1"/>
    </xf>
    <xf numFmtId="166" fontId="71" fillId="19" borderId="259" xfId="0" applyNumberFormat="1" applyFont="1" applyFill="1" applyBorder="1"/>
    <xf numFmtId="189" fontId="69" fillId="19" borderId="259" xfId="0" applyNumberFormat="1" applyFont="1" applyFill="1" applyBorder="1" applyAlignment="1">
      <alignment wrapText="1"/>
    </xf>
    <xf numFmtId="189" fontId="69" fillId="19" borderId="260" xfId="0" applyNumberFormat="1" applyFont="1" applyFill="1" applyBorder="1" applyAlignment="1">
      <alignment wrapText="1"/>
    </xf>
    <xf numFmtId="0" fontId="4" fillId="0" borderId="251" xfId="0" applyFont="1" applyBorder="1" applyAlignment="1">
      <alignment wrapText="1"/>
    </xf>
    <xf numFmtId="187" fontId="68" fillId="0" borderId="127" xfId="0" applyNumberFormat="1" applyFont="1" applyBorder="1" applyAlignment="1">
      <alignment wrapText="1"/>
    </xf>
    <xf numFmtId="188" fontId="68" fillId="0" borderId="127" xfId="0" applyNumberFormat="1" applyFont="1" applyBorder="1" applyAlignment="1">
      <alignment wrapText="1"/>
    </xf>
    <xf numFmtId="166" fontId="70" fillId="0" borderId="127" xfId="0" applyNumberFormat="1" applyFont="1" applyBorder="1"/>
    <xf numFmtId="189" fontId="68" fillId="0" borderId="127" xfId="0" applyNumberFormat="1" applyFont="1" applyBorder="1" applyAlignment="1">
      <alignment wrapText="1"/>
    </xf>
    <xf numFmtId="189" fontId="68" fillId="0" borderId="252" xfId="0" applyNumberFormat="1" applyFont="1" applyBorder="1" applyAlignment="1">
      <alignment wrapText="1"/>
    </xf>
    <xf numFmtId="0" fontId="25" fillId="3" borderId="104" xfId="0" applyFont="1" applyFill="1" applyBorder="1" applyAlignment="1">
      <alignment horizontal="left" wrapText="1"/>
    </xf>
    <xf numFmtId="187" fontId="68" fillId="3" borderId="70" xfId="0" applyNumberFormat="1" applyFont="1" applyFill="1" applyBorder="1" applyAlignment="1">
      <alignment wrapText="1"/>
    </xf>
    <xf numFmtId="188" fontId="68" fillId="3" borderId="70" xfId="0" applyNumberFormat="1" applyFont="1" applyFill="1" applyBorder="1" applyAlignment="1">
      <alignment wrapText="1"/>
    </xf>
    <xf numFmtId="187" fontId="69" fillId="3" borderId="70" xfId="0" applyNumberFormat="1" applyFont="1" applyFill="1" applyBorder="1" applyAlignment="1">
      <alignment wrapText="1"/>
    </xf>
    <xf numFmtId="189" fontId="68" fillId="3" borderId="70" xfId="0" applyNumberFormat="1" applyFont="1" applyFill="1" applyBorder="1" applyAlignment="1">
      <alignment wrapText="1"/>
    </xf>
    <xf numFmtId="189" fontId="68" fillId="3" borderId="261" xfId="0" applyNumberFormat="1" applyFont="1" applyFill="1" applyBorder="1" applyAlignment="1">
      <alignment wrapText="1"/>
    </xf>
    <xf numFmtId="191" fontId="68" fillId="0" borderId="127" xfId="0" applyNumberFormat="1" applyFont="1" applyBorder="1" applyAlignment="1">
      <alignment wrapText="1"/>
    </xf>
    <xf numFmtId="188" fontId="68" fillId="0" borderId="252" xfId="0" applyNumberFormat="1" applyFont="1" applyBorder="1" applyAlignment="1">
      <alignment wrapText="1"/>
    </xf>
    <xf numFmtId="0" fontId="25" fillId="12" borderId="104" xfId="0" applyFont="1" applyFill="1" applyBorder="1" applyAlignment="1">
      <alignment horizontal="left"/>
    </xf>
    <xf numFmtId="187" fontId="69" fillId="12" borderId="70" xfId="0" applyNumberFormat="1" applyFont="1" applyFill="1" applyBorder="1" applyAlignment="1">
      <alignment wrapText="1"/>
    </xf>
    <xf numFmtId="188" fontId="69" fillId="12" borderId="70" xfId="0" applyNumberFormat="1" applyFont="1" applyFill="1" applyBorder="1" applyAlignment="1">
      <alignment wrapText="1"/>
    </xf>
    <xf numFmtId="191" fontId="68" fillId="12" borderId="70" xfId="0" applyNumberFormat="1" applyFont="1" applyFill="1" applyBorder="1" applyAlignment="1">
      <alignment wrapText="1"/>
    </xf>
    <xf numFmtId="188" fontId="68" fillId="12" borderId="261" xfId="0" applyNumberFormat="1" applyFont="1" applyFill="1" applyBorder="1" applyAlignment="1">
      <alignment wrapText="1"/>
    </xf>
    <xf numFmtId="0" fontId="25" fillId="0" borderId="194" xfId="0" applyFont="1" applyBorder="1" applyAlignment="1">
      <alignment horizontal="center" wrapText="1"/>
    </xf>
    <xf numFmtId="187" fontId="69" fillId="0" borderId="64" xfId="0" applyNumberFormat="1" applyFont="1" applyBorder="1" applyAlignment="1">
      <alignment wrapText="1"/>
    </xf>
    <xf numFmtId="188" fontId="69" fillId="0" borderId="64" xfId="0" applyNumberFormat="1" applyFont="1" applyBorder="1" applyAlignment="1">
      <alignment wrapText="1"/>
    </xf>
    <xf numFmtId="191" fontId="68" fillId="0" borderId="64" xfId="0" applyNumberFormat="1" applyFont="1" applyBorder="1" applyAlignment="1">
      <alignment wrapText="1"/>
    </xf>
    <xf numFmtId="188" fontId="68" fillId="0" borderId="195" xfId="0" applyNumberFormat="1" applyFont="1" applyBorder="1" applyAlignment="1">
      <alignment wrapText="1"/>
    </xf>
    <xf numFmtId="0" fontId="25" fillId="6" borderId="49" xfId="0" applyFont="1" applyFill="1" applyBorder="1" applyAlignment="1">
      <alignment horizontal="left" wrapText="1"/>
    </xf>
    <xf numFmtId="187" fontId="69" fillId="6" borderId="5" xfId="0" applyNumberFormat="1" applyFont="1" applyFill="1" applyBorder="1" applyAlignment="1">
      <alignment wrapText="1"/>
    </xf>
    <xf numFmtId="188" fontId="69" fillId="6" borderId="5" xfId="0" applyNumberFormat="1" applyFont="1" applyFill="1" applyBorder="1" applyAlignment="1">
      <alignment wrapText="1"/>
    </xf>
    <xf numFmtId="191" fontId="68" fillId="6" borderId="5" xfId="0" applyNumberFormat="1" applyFont="1" applyFill="1" applyBorder="1" applyAlignment="1">
      <alignment wrapText="1"/>
    </xf>
    <xf numFmtId="188" fontId="68" fillId="6" borderId="50" xfId="0" applyNumberFormat="1" applyFont="1" applyFill="1" applyBorder="1" applyAlignment="1">
      <alignment wrapText="1"/>
    </xf>
    <xf numFmtId="0" fontId="25" fillId="0" borderId="251" xfId="0" applyFont="1" applyBorder="1" applyAlignment="1">
      <alignment horizontal="left" wrapText="1"/>
    </xf>
    <xf numFmtId="187" fontId="69" fillId="0" borderId="127" xfId="0" applyNumberFormat="1" applyFont="1" applyBorder="1" applyAlignment="1">
      <alignment wrapText="1"/>
    </xf>
    <xf numFmtId="188" fontId="69" fillId="0" borderId="127" xfId="0" applyNumberFormat="1" applyFont="1" applyBorder="1" applyAlignment="1">
      <alignment wrapText="1"/>
    </xf>
    <xf numFmtId="0" fontId="25" fillId="0" borderId="104" xfId="0" applyFont="1" applyBorder="1" applyAlignment="1">
      <alignment wrapText="1"/>
    </xf>
    <xf numFmtId="187" fontId="68" fillId="0" borderId="70" xfId="0" applyNumberFormat="1" applyFont="1" applyBorder="1" applyAlignment="1">
      <alignment wrapText="1"/>
    </xf>
    <xf numFmtId="189" fontId="68" fillId="0" borderId="70" xfId="0" applyNumberFormat="1" applyFont="1" applyBorder="1" applyAlignment="1">
      <alignment wrapText="1"/>
    </xf>
    <xf numFmtId="189" fontId="69" fillId="0" borderId="70" xfId="0" applyNumberFormat="1" applyFont="1" applyBorder="1" applyAlignment="1">
      <alignment wrapText="1"/>
    </xf>
    <xf numFmtId="168" fontId="69" fillId="0" borderId="70" xfId="0" applyNumberFormat="1" applyFont="1" applyBorder="1"/>
    <xf numFmtId="168" fontId="69" fillId="0" borderId="261" xfId="0" applyNumberFormat="1" applyFont="1" applyBorder="1" applyAlignment="1">
      <alignment wrapText="1"/>
    </xf>
    <xf numFmtId="0" fontId="25" fillId="0" borderId="251" xfId="0" applyFont="1" applyBorder="1" applyAlignment="1">
      <alignment wrapText="1"/>
    </xf>
    <xf numFmtId="0" fontId="25" fillId="20" borderId="104" xfId="0" applyFont="1" applyFill="1" applyBorder="1" applyAlignment="1">
      <alignment horizontal="left" wrapText="1"/>
    </xf>
    <xf numFmtId="187" fontId="68" fillId="20" borderId="70" xfId="0" applyNumberFormat="1" applyFont="1" applyFill="1" applyBorder="1" applyAlignment="1">
      <alignment wrapText="1"/>
    </xf>
    <xf numFmtId="188" fontId="69" fillId="20" borderId="70" xfId="0" applyNumberFormat="1" applyFont="1" applyFill="1" applyBorder="1" applyAlignment="1">
      <alignment wrapText="1"/>
    </xf>
    <xf numFmtId="191" fontId="68" fillId="20" borderId="70" xfId="0" applyNumberFormat="1" applyFont="1" applyFill="1" applyBorder="1" applyAlignment="1">
      <alignment wrapText="1"/>
    </xf>
    <xf numFmtId="188" fontId="68" fillId="20" borderId="261" xfId="0" applyNumberFormat="1" applyFont="1" applyFill="1" applyBorder="1" applyAlignment="1">
      <alignment wrapText="1"/>
    </xf>
    <xf numFmtId="0" fontId="25" fillId="7" borderId="262" xfId="0" applyFont="1" applyFill="1" applyBorder="1" applyAlignment="1">
      <alignment horizontal="left" wrapText="1"/>
    </xf>
    <xf numFmtId="187" fontId="68" fillId="7" borderId="128" xfId="0" applyNumberFormat="1" applyFont="1" applyFill="1" applyBorder="1" applyAlignment="1">
      <alignment wrapText="1"/>
    </xf>
    <xf numFmtId="187" fontId="69" fillId="7" borderId="128" xfId="0" applyNumberFormat="1" applyFont="1" applyFill="1" applyBorder="1" applyAlignment="1">
      <alignment wrapText="1"/>
    </xf>
    <xf numFmtId="188" fontId="69" fillId="7" borderId="128" xfId="0" applyNumberFormat="1" applyFont="1" applyFill="1" applyBorder="1" applyAlignment="1">
      <alignment wrapText="1"/>
    </xf>
    <xf numFmtId="191" fontId="68" fillId="7" borderId="128" xfId="0" applyNumberFormat="1" applyFont="1" applyFill="1" applyBorder="1" applyAlignment="1">
      <alignment wrapText="1"/>
    </xf>
    <xf numFmtId="188" fontId="68" fillId="7" borderId="263" xfId="0" applyNumberFormat="1" applyFont="1" applyFill="1" applyBorder="1" applyAlignment="1">
      <alignment wrapText="1"/>
    </xf>
    <xf numFmtId="0" fontId="4" fillId="0" borderId="194" xfId="0" applyFont="1" applyBorder="1" applyAlignment="1">
      <alignment wrapText="1"/>
    </xf>
    <xf numFmtId="0" fontId="25" fillId="3" borderId="258" xfId="0" applyFont="1" applyFill="1" applyBorder="1" applyAlignment="1">
      <alignment horizontal="left" wrapText="1"/>
    </xf>
    <xf numFmtId="0" fontId="25" fillId="12" borderId="104" xfId="0" applyFont="1" applyFill="1" applyBorder="1" applyAlignment="1">
      <alignment horizontal="left" wrapText="1"/>
    </xf>
    <xf numFmtId="0" fontId="25" fillId="0" borderId="251" xfId="0" applyFont="1" applyBorder="1" applyAlignment="1">
      <alignment horizontal="center" wrapText="1"/>
    </xf>
    <xf numFmtId="0" fontId="4" fillId="0" borderId="264" xfId="0" applyFont="1" applyBorder="1"/>
    <xf numFmtId="0" fontId="4" fillId="0" borderId="265" xfId="0" applyFont="1" applyBorder="1"/>
    <xf numFmtId="0" fontId="22" fillId="8" borderId="256" xfId="0" applyFont="1" applyFill="1" applyBorder="1"/>
    <xf numFmtId="0" fontId="25" fillId="8" borderId="157" xfId="0" applyFont="1" applyFill="1" applyBorder="1" applyAlignment="1">
      <alignment horizontal="center" vertical="top" wrapText="1"/>
    </xf>
    <xf numFmtId="0" fontId="4" fillId="8" borderId="266" xfId="0" applyFont="1" applyFill="1" applyBorder="1"/>
    <xf numFmtId="0" fontId="25" fillId="8" borderId="257" xfId="0" applyFont="1" applyFill="1" applyBorder="1" applyAlignment="1">
      <alignment horizontal="center" vertical="top" wrapText="1"/>
    </xf>
    <xf numFmtId="0" fontId="66" fillId="0" borderId="49" xfId="0" applyFont="1" applyBorder="1" applyAlignment="1">
      <alignment horizontal="center" vertical="top" wrapText="1"/>
    </xf>
    <xf numFmtId="0" fontId="25" fillId="0" borderId="5" xfId="0" applyFont="1" applyBorder="1" applyAlignment="1">
      <alignment horizontal="center" vertical="top" wrapText="1"/>
    </xf>
    <xf numFmtId="0" fontId="25" fillId="0" borderId="50" xfId="0" applyFont="1" applyBorder="1" applyAlignment="1">
      <alignment horizontal="center" vertical="top" wrapText="1"/>
    </xf>
    <xf numFmtId="0" fontId="25" fillId="6" borderId="49" xfId="0" applyFont="1" applyFill="1" applyBorder="1" applyAlignment="1">
      <alignment wrapText="1"/>
    </xf>
    <xf numFmtId="0" fontId="68" fillId="6" borderId="5" xfId="0" applyFont="1" applyFill="1" applyBorder="1" applyAlignment="1">
      <alignment wrapText="1"/>
    </xf>
    <xf numFmtId="0" fontId="68" fillId="6" borderId="50" xfId="0" applyFont="1" applyFill="1" applyBorder="1" applyAlignment="1">
      <alignment wrapText="1"/>
    </xf>
    <xf numFmtId="0" fontId="25" fillId="0" borderId="49" xfId="0" applyFont="1" applyBorder="1" applyAlignment="1">
      <alignment wrapText="1"/>
    </xf>
    <xf numFmtId="0" fontId="68" fillId="0" borderId="5" xfId="0" applyFont="1" applyBorder="1" applyAlignment="1">
      <alignment wrapText="1"/>
    </xf>
    <xf numFmtId="0" fontId="68" fillId="0" borderId="50" xfId="0" applyFont="1" applyBorder="1" applyAlignment="1">
      <alignment wrapText="1"/>
    </xf>
    <xf numFmtId="187" fontId="72" fillId="0" borderId="5" xfId="0" applyNumberFormat="1" applyFont="1" applyBorder="1" applyAlignment="1">
      <alignment wrapText="1"/>
    </xf>
    <xf numFmtId="188" fontId="68" fillId="0" borderId="255" xfId="0" applyNumberFormat="1" applyFont="1" applyBorder="1" applyAlignment="1">
      <alignment wrapText="1"/>
    </xf>
    <xf numFmtId="0" fontId="25" fillId="19" borderId="104" xfId="0" applyFont="1" applyFill="1" applyBorder="1" applyAlignment="1">
      <alignment horizontal="left" wrapText="1"/>
    </xf>
    <xf numFmtId="187" fontId="68" fillId="19" borderId="70" xfId="0" applyNumberFormat="1" applyFont="1" applyFill="1" applyBorder="1" applyAlignment="1">
      <alignment wrapText="1"/>
    </xf>
    <xf numFmtId="0" fontId="4" fillId="19" borderId="70" xfId="0" applyFont="1" applyFill="1" applyBorder="1"/>
    <xf numFmtId="188" fontId="69" fillId="19" borderId="70" xfId="0" applyNumberFormat="1" applyFont="1" applyFill="1" applyBorder="1" applyAlignment="1">
      <alignment wrapText="1"/>
    </xf>
    <xf numFmtId="43" fontId="71" fillId="19" borderId="70" xfId="0" applyNumberFormat="1" applyFont="1" applyFill="1" applyBorder="1"/>
    <xf numFmtId="189" fontId="69" fillId="19" borderId="261" xfId="0" applyNumberFormat="1" applyFont="1" applyFill="1" applyBorder="1" applyAlignment="1">
      <alignment wrapText="1"/>
    </xf>
    <xf numFmtId="187" fontId="68" fillId="0" borderId="64" xfId="0" applyNumberFormat="1" applyFont="1" applyBorder="1" applyAlignment="1">
      <alignment wrapText="1"/>
    </xf>
    <xf numFmtId="0" fontId="4" fillId="0" borderId="64" xfId="0" applyFont="1" applyBorder="1"/>
    <xf numFmtId="188" fontId="69" fillId="0" borderId="195" xfId="0" applyNumberFormat="1" applyFont="1" applyBorder="1" applyAlignment="1">
      <alignment wrapText="1"/>
    </xf>
    <xf numFmtId="0" fontId="25" fillId="6" borderId="51" xfId="0" applyFont="1" applyFill="1" applyBorder="1" applyAlignment="1">
      <alignment wrapText="1"/>
    </xf>
    <xf numFmtId="187" fontId="68" fillId="6" borderId="52" xfId="0" applyNumberFormat="1" applyFont="1" applyFill="1" applyBorder="1" applyAlignment="1">
      <alignment wrapText="1"/>
    </xf>
    <xf numFmtId="0" fontId="4" fillId="6" borderId="21" xfId="0" applyFont="1" applyFill="1" applyBorder="1"/>
    <xf numFmtId="189" fontId="69" fillId="6" borderId="52" xfId="0" applyNumberFormat="1" applyFont="1" applyFill="1" applyBorder="1" applyAlignment="1">
      <alignment wrapText="1"/>
    </xf>
    <xf numFmtId="187" fontId="69" fillId="6" borderId="52" xfId="0" applyNumberFormat="1" applyFont="1" applyFill="1" applyBorder="1" applyAlignment="1">
      <alignment wrapText="1"/>
    </xf>
    <xf numFmtId="188" fontId="69" fillId="6" borderId="53" xfId="0" applyNumberFormat="1" applyFont="1" applyFill="1" applyBorder="1" applyAlignment="1">
      <alignment wrapText="1"/>
    </xf>
    <xf numFmtId="189" fontId="69" fillId="0" borderId="127" xfId="0" applyNumberFormat="1" applyFont="1" applyBorder="1" applyAlignment="1">
      <alignment wrapText="1"/>
    </xf>
    <xf numFmtId="188" fontId="69" fillId="0" borderId="252" xfId="0" applyNumberFormat="1" applyFont="1" applyBorder="1" applyAlignment="1">
      <alignment wrapText="1"/>
    </xf>
    <xf numFmtId="0" fontId="4" fillId="0" borderId="104" xfId="0" applyFont="1" applyBorder="1" applyAlignment="1">
      <alignment horizontal="left" wrapText="1"/>
    </xf>
    <xf numFmtId="187" fontId="72" fillId="0" borderId="70" xfId="0" applyNumberFormat="1" applyFont="1" applyBorder="1" applyAlignment="1">
      <alignment wrapText="1"/>
    </xf>
    <xf numFmtId="0" fontId="4" fillId="0" borderId="70" xfId="0" applyFont="1" applyBorder="1"/>
    <xf numFmtId="189" fontId="73" fillId="0" borderId="70" xfId="0" applyNumberFormat="1" applyFont="1" applyBorder="1" applyAlignment="1">
      <alignment wrapText="1"/>
    </xf>
    <xf numFmtId="191" fontId="73" fillId="0" borderId="70" xfId="0" applyNumberFormat="1" applyFont="1" applyBorder="1" applyAlignment="1">
      <alignment wrapText="1"/>
    </xf>
    <xf numFmtId="191" fontId="73" fillId="0" borderId="261" xfId="0" applyNumberFormat="1" applyFont="1" applyBorder="1" applyAlignment="1">
      <alignment wrapText="1"/>
    </xf>
    <xf numFmtId="0" fontId="25" fillId="3" borderId="104" xfId="0" applyFont="1" applyFill="1" applyBorder="1" applyAlignment="1">
      <alignment horizontal="left"/>
    </xf>
    <xf numFmtId="0" fontId="4" fillId="5" borderId="70" xfId="0" applyFont="1" applyFill="1" applyBorder="1"/>
    <xf numFmtId="187" fontId="73" fillId="3" borderId="70" xfId="0" applyNumberFormat="1" applyFont="1" applyFill="1" applyBorder="1" applyAlignment="1">
      <alignment wrapText="1"/>
    </xf>
    <xf numFmtId="189" fontId="73" fillId="3" borderId="70" xfId="0" applyNumberFormat="1" applyFont="1" applyFill="1" applyBorder="1" applyAlignment="1">
      <alignment wrapText="1"/>
    </xf>
    <xf numFmtId="189" fontId="73" fillId="3" borderId="261" xfId="0" applyNumberFormat="1" applyFont="1" applyFill="1" applyBorder="1" applyAlignment="1">
      <alignment wrapText="1"/>
    </xf>
    <xf numFmtId="0" fontId="25" fillId="0" borderId="251" xfId="0" applyFont="1" applyBorder="1" applyAlignment="1">
      <alignment horizontal="left"/>
    </xf>
    <xf numFmtId="0" fontId="25" fillId="19" borderId="104" xfId="0" applyFont="1" applyFill="1" applyBorder="1" applyAlignment="1">
      <alignment horizontal="center" wrapText="1"/>
    </xf>
    <xf numFmtId="189" fontId="69" fillId="19" borderId="70" xfId="0" applyNumberFormat="1" applyFont="1" applyFill="1" applyBorder="1" applyAlignment="1">
      <alignment wrapText="1"/>
    </xf>
    <xf numFmtId="0" fontId="25" fillId="12" borderId="104" xfId="0" applyFont="1" applyFill="1" applyBorder="1"/>
    <xf numFmtId="187" fontId="68" fillId="12" borderId="70" xfId="0" applyNumberFormat="1" applyFont="1" applyFill="1" applyBorder="1" applyAlignment="1">
      <alignment wrapText="1"/>
    </xf>
    <xf numFmtId="0" fontId="4" fillId="12" borderId="70" xfId="0" applyFont="1" applyFill="1" applyBorder="1"/>
    <xf numFmtId="188" fontId="69" fillId="12" borderId="261" xfId="0" applyNumberFormat="1" applyFont="1" applyFill="1" applyBorder="1" applyAlignment="1">
      <alignment wrapText="1"/>
    </xf>
    <xf numFmtId="0" fontId="25" fillId="20" borderId="104" xfId="0" applyFont="1" applyFill="1" applyBorder="1"/>
    <xf numFmtId="0" fontId="4" fillId="20" borderId="70" xfId="0" applyFont="1" applyFill="1" applyBorder="1"/>
    <xf numFmtId="189" fontId="69" fillId="20" borderId="70" xfId="0" applyNumberFormat="1" applyFont="1" applyFill="1" applyBorder="1" applyAlignment="1">
      <alignment wrapText="1"/>
    </xf>
    <xf numFmtId="189" fontId="69" fillId="20" borderId="261" xfId="0" applyNumberFormat="1" applyFont="1" applyFill="1" applyBorder="1" applyAlignment="1">
      <alignment wrapText="1"/>
    </xf>
    <xf numFmtId="0" fontId="25" fillId="0" borderId="251" xfId="0" applyFont="1" applyBorder="1"/>
    <xf numFmtId="189" fontId="69" fillId="0" borderId="252" xfId="0" applyNumberFormat="1" applyFont="1" applyBorder="1" applyAlignment="1">
      <alignment wrapText="1"/>
    </xf>
    <xf numFmtId="0" fontId="25" fillId="7" borderId="262" xfId="0" applyFont="1" applyFill="1" applyBorder="1"/>
    <xf numFmtId="0" fontId="4" fillId="7" borderId="21" xfId="0" applyFont="1" applyFill="1" applyBorder="1"/>
    <xf numFmtId="189" fontId="69" fillId="7" borderId="128" xfId="0" applyNumberFormat="1" applyFont="1" applyFill="1" applyBorder="1" applyAlignment="1">
      <alignment wrapText="1"/>
    </xf>
    <xf numFmtId="189" fontId="69" fillId="7" borderId="263" xfId="0" applyNumberFormat="1" applyFont="1" applyFill="1" applyBorder="1" applyAlignment="1">
      <alignment wrapText="1"/>
    </xf>
    <xf numFmtId="187" fontId="68" fillId="5" borderId="70" xfId="0" applyNumberFormat="1" applyFont="1" applyFill="1" applyBorder="1" applyAlignment="1">
      <alignment wrapText="1"/>
    </xf>
    <xf numFmtId="187" fontId="73" fillId="5" borderId="70" xfId="0" applyNumberFormat="1" applyFont="1" applyFill="1" applyBorder="1" applyAlignment="1">
      <alignment wrapText="1"/>
    </xf>
    <xf numFmtId="189" fontId="73" fillId="5" borderId="70" xfId="0" applyNumberFormat="1" applyFont="1" applyFill="1" applyBorder="1" applyAlignment="1">
      <alignment wrapText="1"/>
    </xf>
    <xf numFmtId="189" fontId="73" fillId="5" borderId="261" xfId="0" applyNumberFormat="1" applyFont="1" applyFill="1" applyBorder="1" applyAlignment="1">
      <alignment wrapText="1"/>
    </xf>
    <xf numFmtId="188" fontId="69" fillId="19" borderId="261" xfId="0" applyNumberFormat="1" applyFont="1" applyFill="1" applyBorder="1" applyAlignment="1">
      <alignment wrapText="1"/>
    </xf>
    <xf numFmtId="189" fontId="69" fillId="12" borderId="70" xfId="0" applyNumberFormat="1" applyFont="1" applyFill="1" applyBorder="1" applyAlignment="1">
      <alignment wrapText="1"/>
    </xf>
    <xf numFmtId="0" fontId="4" fillId="0" borderId="267" xfId="0" applyFont="1" applyBorder="1"/>
    <xf numFmtId="0" fontId="4" fillId="0" borderId="268" xfId="0" applyFont="1" applyBorder="1"/>
    <xf numFmtId="0" fontId="4" fillId="0" borderId="269" xfId="0" applyFont="1" applyBorder="1"/>
    <xf numFmtId="0" fontId="25" fillId="8" borderId="270" xfId="0" applyFont="1" applyFill="1" applyBorder="1"/>
    <xf numFmtId="0" fontId="4" fillId="8" borderId="271" xfId="0" applyFont="1" applyFill="1" applyBorder="1"/>
    <xf numFmtId="166" fontId="25" fillId="8" borderId="272" xfId="0" applyNumberFormat="1" applyFont="1" applyFill="1" applyBorder="1"/>
    <xf numFmtId="0" fontId="25" fillId="0" borderId="95" xfId="0" applyFont="1" applyBorder="1"/>
    <xf numFmtId="43" fontId="25" fillId="0" borderId="0" xfId="0" applyNumberFormat="1" applyFont="1"/>
    <xf numFmtId="166" fontId="25" fillId="0" borderId="0" xfId="0" applyNumberFormat="1" applyFont="1"/>
    <xf numFmtId="0" fontId="4" fillId="0" borderId="110" xfId="0" applyFont="1" applyBorder="1"/>
    <xf numFmtId="0" fontId="4" fillId="0" borderId="273" xfId="0" applyFont="1" applyBorder="1"/>
    <xf numFmtId="49" fontId="4" fillId="0" borderId="0" xfId="0" applyNumberFormat="1" applyFont="1"/>
    <xf numFmtId="49" fontId="4" fillId="0" borderId="0" xfId="0" applyNumberFormat="1" applyFont="1" applyAlignment="1">
      <alignment horizontal="center"/>
    </xf>
    <xf numFmtId="49" fontId="23" fillId="0" borderId="0" xfId="0" applyNumberFormat="1" applyFont="1" applyAlignment="1">
      <alignment horizontal="center"/>
    </xf>
    <xf numFmtId="43" fontId="4" fillId="21" borderId="5" xfId="0" applyNumberFormat="1" applyFont="1" applyFill="1" applyBorder="1"/>
    <xf numFmtId="3" fontId="4" fillId="0" borderId="0" xfId="0" applyNumberFormat="1" applyFont="1"/>
    <xf numFmtId="2" fontId="4" fillId="0" borderId="0" xfId="0" applyNumberFormat="1" applyFont="1"/>
    <xf numFmtId="170" fontId="4" fillId="0" borderId="0" xfId="0" applyNumberFormat="1" applyFont="1"/>
    <xf numFmtId="11" fontId="4" fillId="0" borderId="0" xfId="0" applyNumberFormat="1" applyFont="1"/>
    <xf numFmtId="43" fontId="22" fillId="0" borderId="0" xfId="0" applyNumberFormat="1" applyFont="1"/>
    <xf numFmtId="0" fontId="3" fillId="0" borderId="157" xfId="0" applyFont="1" applyBorder="1"/>
    <xf numFmtId="0" fontId="3" fillId="0" borderId="138" xfId="0" applyFont="1" applyBorder="1"/>
    <xf numFmtId="0" fontId="3" fillId="0" borderId="141" xfId="0" applyFont="1" applyBorder="1"/>
    <xf numFmtId="0" fontId="3" fillId="0" borderId="0" xfId="0" applyFont="1" applyAlignment="1">
      <alignment textRotation="90"/>
    </xf>
    <xf numFmtId="0" fontId="4" fillId="0" borderId="0" xfId="0" applyFont="1" applyAlignment="1">
      <alignment textRotation="90"/>
    </xf>
    <xf numFmtId="0" fontId="3" fillId="15" borderId="8" xfId="0" applyFont="1" applyFill="1" applyBorder="1" applyAlignment="1">
      <alignment horizontal="center"/>
    </xf>
    <xf numFmtId="0" fontId="3" fillId="18" borderId="8" xfId="0" applyFont="1" applyFill="1" applyBorder="1" applyAlignment="1">
      <alignment horizontal="center"/>
    </xf>
    <xf numFmtId="0" fontId="3" fillId="13" borderId="8" xfId="0" applyFont="1" applyFill="1" applyBorder="1" applyAlignment="1">
      <alignment horizontal="center"/>
    </xf>
    <xf numFmtId="0" fontId="75" fillId="0" borderId="8" xfId="0" applyFont="1" applyBorder="1" applyAlignment="1">
      <alignment horizontal="center"/>
    </xf>
    <xf numFmtId="0" fontId="8" fillId="15" borderId="8" xfId="0" applyFont="1" applyFill="1" applyBorder="1" applyAlignment="1">
      <alignment horizontal="center"/>
    </xf>
    <xf numFmtId="0" fontId="8" fillId="18" borderId="8" xfId="0" applyFont="1" applyFill="1" applyBorder="1" applyAlignment="1">
      <alignment horizontal="center"/>
    </xf>
    <xf numFmtId="0" fontId="8" fillId="13" borderId="8" xfId="0" applyFont="1" applyFill="1" applyBorder="1" applyAlignment="1">
      <alignment horizontal="center"/>
    </xf>
    <xf numFmtId="0" fontId="76" fillId="0" borderId="8" xfId="0" applyFont="1" applyBorder="1"/>
    <xf numFmtId="0" fontId="79" fillId="0" borderId="8" xfId="0" applyFont="1" applyBorder="1"/>
    <xf numFmtId="0" fontId="80" fillId="0" borderId="8" xfId="0" applyFont="1" applyBorder="1"/>
    <xf numFmtId="0" fontId="81" fillId="0" borderId="8" xfId="0" applyFont="1" applyBorder="1"/>
    <xf numFmtId="0" fontId="74" fillId="0" borderId="8" xfId="0" applyFont="1" applyBorder="1"/>
    <xf numFmtId="0" fontId="82" fillId="0" borderId="8" xfId="0" applyFont="1" applyBorder="1"/>
    <xf numFmtId="3" fontId="3" fillId="0" borderId="0" xfId="0" applyNumberFormat="1" applyFont="1"/>
    <xf numFmtId="0" fontId="25" fillId="0" borderId="58" xfId="0" applyFont="1" applyBorder="1"/>
    <xf numFmtId="0" fontId="4" fillId="0" borderId="46" xfId="0" applyFont="1" applyBorder="1"/>
    <xf numFmtId="0" fontId="4" fillId="0" borderId="48" xfId="0" applyFont="1" applyBorder="1"/>
    <xf numFmtId="0" fontId="4" fillId="6" borderId="66" xfId="0" applyFont="1" applyFill="1" applyBorder="1"/>
    <xf numFmtId="0" fontId="25" fillId="6" borderId="49" xfId="0" applyFont="1" applyFill="1" applyBorder="1"/>
    <xf numFmtId="0" fontId="4" fillId="0" borderId="50" xfId="0" applyFont="1" applyBorder="1"/>
    <xf numFmtId="0" fontId="25" fillId="6" borderId="66" xfId="0" applyFont="1" applyFill="1" applyBorder="1"/>
    <xf numFmtId="0" fontId="4" fillId="0" borderId="49" xfId="0" applyFont="1" applyBorder="1"/>
    <xf numFmtId="166" fontId="25" fillId="0" borderId="5" xfId="0" applyNumberFormat="1" applyFont="1" applyBorder="1"/>
    <xf numFmtId="170" fontId="4" fillId="0" borderId="5" xfId="0" applyNumberFormat="1" applyFont="1" applyBorder="1"/>
    <xf numFmtId="43" fontId="4" fillId="6" borderId="5" xfId="0" applyNumberFormat="1" applyFont="1" applyFill="1" applyBorder="1"/>
    <xf numFmtId="43" fontId="25" fillId="6" borderId="5" xfId="0" applyNumberFormat="1" applyFont="1" applyFill="1" applyBorder="1"/>
    <xf numFmtId="166" fontId="4" fillId="6" borderId="5" xfId="0" applyNumberFormat="1" applyFont="1" applyFill="1" applyBorder="1"/>
    <xf numFmtId="166" fontId="25" fillId="6" borderId="5" xfId="0" applyNumberFormat="1" applyFont="1" applyFill="1" applyBorder="1"/>
    <xf numFmtId="170" fontId="25" fillId="6" borderId="5" xfId="0" applyNumberFormat="1" applyFont="1" applyFill="1" applyBorder="1"/>
    <xf numFmtId="0" fontId="4" fillId="6" borderId="49" xfId="0" applyFont="1" applyFill="1" applyBorder="1"/>
    <xf numFmtId="0" fontId="4" fillId="20" borderId="66" xfId="0" applyFont="1" applyFill="1" applyBorder="1"/>
    <xf numFmtId="43" fontId="4" fillId="20" borderId="5" xfId="0" applyNumberFormat="1" applyFont="1" applyFill="1" applyBorder="1"/>
    <xf numFmtId="43" fontId="25" fillId="20" borderId="5" xfId="0" applyNumberFormat="1" applyFont="1" applyFill="1" applyBorder="1"/>
    <xf numFmtId="0" fontId="4" fillId="20" borderId="67" xfId="0" applyFont="1" applyFill="1" applyBorder="1"/>
    <xf numFmtId="168" fontId="4" fillId="20" borderId="5" xfId="0" applyNumberFormat="1" applyFont="1" applyFill="1" applyBorder="1"/>
    <xf numFmtId="11" fontId="4" fillId="20" borderId="5" xfId="0" applyNumberFormat="1" applyFont="1" applyFill="1" applyBorder="1"/>
    <xf numFmtId="2" fontId="25" fillId="20" borderId="5" xfId="0" applyNumberFormat="1" applyFont="1" applyFill="1" applyBorder="1"/>
    <xf numFmtId="170" fontId="4" fillId="20" borderId="5" xfId="0" applyNumberFormat="1" applyFont="1" applyFill="1" applyBorder="1"/>
    <xf numFmtId="0" fontId="4" fillId="20" borderId="49" xfId="0" applyFont="1" applyFill="1" applyBorder="1" applyAlignment="1"/>
    <xf numFmtId="2" fontId="4" fillId="0" borderId="5" xfId="0" applyNumberFormat="1" applyFont="1" applyBorder="1"/>
    <xf numFmtId="0" fontId="4" fillId="0" borderId="101" xfId="0" applyFont="1" applyBorder="1"/>
    <xf numFmtId="0" fontId="4" fillId="0" borderId="255" xfId="0" applyFont="1" applyBorder="1"/>
    <xf numFmtId="0" fontId="4" fillId="21" borderId="142" xfId="0" applyFont="1" applyFill="1" applyBorder="1"/>
    <xf numFmtId="0" fontId="4" fillId="21" borderId="21" xfId="0" applyFont="1" applyFill="1" applyBorder="1"/>
    <xf numFmtId="0" fontId="25" fillId="21" borderId="21" xfId="0" applyFont="1" applyFill="1" applyBorder="1"/>
    <xf numFmtId="0" fontId="4" fillId="21" borderId="144" xfId="0" applyFont="1" applyFill="1" applyBorder="1"/>
    <xf numFmtId="0" fontId="4" fillId="21" borderId="66" xfId="0" applyFont="1" applyFill="1" applyBorder="1"/>
    <xf numFmtId="43" fontId="25" fillId="21" borderId="5" xfId="0" applyNumberFormat="1" applyFont="1" applyFill="1" applyBorder="1"/>
    <xf numFmtId="0" fontId="4" fillId="21" borderId="67" xfId="0" applyFont="1" applyFill="1" applyBorder="1"/>
    <xf numFmtId="2" fontId="4" fillId="21" borderId="5" xfId="0" applyNumberFormat="1" applyFont="1" applyFill="1" applyBorder="1"/>
    <xf numFmtId="2" fontId="25" fillId="21" borderId="5" xfId="0" applyNumberFormat="1" applyFont="1" applyFill="1" applyBorder="1"/>
    <xf numFmtId="170" fontId="25" fillId="21" borderId="5" xfId="0" applyNumberFormat="1" applyFont="1" applyFill="1" applyBorder="1"/>
    <xf numFmtId="0" fontId="4" fillId="21" borderId="49" xfId="0" applyFont="1" applyFill="1" applyBorder="1" applyAlignment="1"/>
    <xf numFmtId="0" fontId="4" fillId="0" borderId="89" xfId="0" applyFont="1" applyBorder="1"/>
    <xf numFmtId="0" fontId="4" fillId="0" borderId="119" xfId="0" applyFont="1" applyBorder="1"/>
    <xf numFmtId="0" fontId="5" fillId="2" borderId="5" xfId="0" applyFont="1" applyFill="1" applyBorder="1" applyAlignment="1"/>
    <xf numFmtId="0" fontId="7" fillId="2" borderId="5" xfId="0" applyFont="1" applyFill="1" applyBorder="1" applyAlignment="1"/>
    <xf numFmtId="0" fontId="7" fillId="2" borderId="5" xfId="0" applyFont="1" applyFill="1" applyBorder="1" applyAlignment="1">
      <alignment horizontal="right"/>
    </xf>
    <xf numFmtId="0" fontId="4" fillId="0" borderId="277" xfId="0" applyFont="1" applyBorder="1"/>
    <xf numFmtId="0" fontId="9" fillId="0" borderId="277" xfId="0" quotePrefix="1" applyFont="1" applyBorder="1"/>
    <xf numFmtId="0" fontId="43" fillId="0" borderId="0" xfId="0" applyFont="1" applyAlignment="1">
      <alignment wrapText="1"/>
    </xf>
    <xf numFmtId="0" fontId="3" fillId="0" borderId="0" xfId="0" applyFont="1" applyAlignment="1">
      <alignment wrapText="1"/>
    </xf>
    <xf numFmtId="0" fontId="3" fillId="0" borderId="0" xfId="0" applyFont="1" applyAlignment="1">
      <alignment horizontal="left" wrapText="1"/>
    </xf>
    <xf numFmtId="0" fontId="3" fillId="0" borderId="160" xfId="0" applyFont="1" applyBorder="1"/>
    <xf numFmtId="0" fontId="8" fillId="0" borderId="275" xfId="0" applyFont="1" applyBorder="1" applyAlignment="1">
      <alignment horizontal="center"/>
    </xf>
    <xf numFmtId="0" fontId="8" fillId="0" borderId="137" xfId="0" applyFont="1" applyBorder="1"/>
    <xf numFmtId="0" fontId="8" fillId="0" borderId="138" xfId="0" applyFont="1" applyBorder="1" applyAlignment="1">
      <alignment horizontal="center"/>
    </xf>
    <xf numFmtId="0" fontId="8" fillId="0" borderId="5" xfId="0" applyFont="1" applyBorder="1"/>
    <xf numFmtId="0" fontId="3" fillId="0" borderId="137" xfId="0" applyFont="1" applyBorder="1" applyAlignment="1">
      <alignment horizontal="center"/>
    </xf>
    <xf numFmtId="0" fontId="8" fillId="0" borderId="137" xfId="0" applyFont="1" applyBorder="1" applyAlignment="1">
      <alignment horizontal="center"/>
    </xf>
    <xf numFmtId="0" fontId="3" fillId="0" borderId="139" xfId="0" applyFont="1" applyBorder="1" applyAlignment="1">
      <alignment horizontal="center"/>
    </xf>
    <xf numFmtId="0" fontId="3" fillId="0" borderId="140" xfId="0" applyFont="1" applyBorder="1" applyAlignment="1">
      <alignment horizontal="center"/>
    </xf>
    <xf numFmtId="0" fontId="56" fillId="0" borderId="0" xfId="0" applyFont="1" applyAlignment="1">
      <alignment horizontal="center"/>
    </xf>
    <xf numFmtId="166" fontId="62" fillId="0" borderId="0" xfId="0" applyNumberFormat="1" applyFont="1"/>
    <xf numFmtId="166" fontId="56" fillId="0" borderId="0" xfId="0" applyNumberFormat="1" applyFont="1" applyAlignment="1">
      <alignment horizontal="center"/>
    </xf>
    <xf numFmtId="192" fontId="62" fillId="0" borderId="0" xfId="0" applyNumberFormat="1" applyFont="1"/>
    <xf numFmtId="0" fontId="49" fillId="19" borderId="21" xfId="0" applyFont="1" applyFill="1" applyBorder="1"/>
    <xf numFmtId="0" fontId="56" fillId="19" borderId="21" xfId="0" applyFont="1" applyFill="1" applyBorder="1"/>
    <xf numFmtId="0" fontId="56" fillId="19" borderId="21" xfId="0" applyFont="1" applyFill="1" applyBorder="1" applyAlignment="1">
      <alignment horizontal="center"/>
    </xf>
    <xf numFmtId="0" fontId="56" fillId="0" borderId="238" xfId="0" applyFont="1" applyBorder="1"/>
    <xf numFmtId="0" fontId="62" fillId="0" borderId="109" xfId="0" applyFont="1" applyBorder="1" applyAlignment="1">
      <alignment horizontal="center"/>
    </xf>
    <xf numFmtId="0" fontId="62" fillId="0" borderId="221" xfId="0" applyFont="1" applyBorder="1" applyAlignment="1">
      <alignment horizontal="center"/>
    </xf>
    <xf numFmtId="0" fontId="56" fillId="0" borderId="95" xfId="0" applyFont="1" applyBorder="1"/>
    <xf numFmtId="0" fontId="56" fillId="0" borderId="0" xfId="0" applyFont="1" applyAlignment="1">
      <alignment horizontal="center" wrapText="1"/>
    </xf>
    <xf numFmtId="0" fontId="56" fillId="0" borderId="222" xfId="0" applyFont="1" applyBorder="1"/>
    <xf numFmtId="0" fontId="56" fillId="0" borderId="49" xfId="0" applyFont="1" applyBorder="1" applyAlignment="1">
      <alignment vertical="top" wrapText="1"/>
    </xf>
    <xf numFmtId="166" fontId="56" fillId="0" borderId="5" xfId="0" applyNumberFormat="1" applyFont="1" applyBorder="1"/>
    <xf numFmtId="2" fontId="56" fillId="0" borderId="5" xfId="0" applyNumberFormat="1" applyFont="1" applyBorder="1"/>
    <xf numFmtId="192" fontId="56" fillId="0" borderId="50" xfId="0" applyNumberFormat="1" applyFont="1" applyBorder="1"/>
    <xf numFmtId="0" fontId="62" fillId="0" borderId="49" xfId="0" applyFont="1" applyBorder="1"/>
    <xf numFmtId="0" fontId="56" fillId="0" borderId="2" xfId="0" applyFont="1" applyBorder="1"/>
    <xf numFmtId="0" fontId="56" fillId="0" borderId="4" xfId="0" applyFont="1" applyBorder="1"/>
    <xf numFmtId="166" fontId="62" fillId="0" borderId="5" xfId="0" applyNumberFormat="1" applyFont="1" applyBorder="1"/>
    <xf numFmtId="192" fontId="62" fillId="0" borderId="50" xfId="0" applyNumberFormat="1" applyFont="1" applyBorder="1"/>
    <xf numFmtId="0" fontId="4" fillId="0" borderId="0" xfId="0" applyFont="1" applyAlignment="1">
      <alignment wrapText="1"/>
    </xf>
    <xf numFmtId="0" fontId="49" fillId="17" borderId="21" xfId="0" applyFont="1" applyFill="1" applyBorder="1"/>
    <xf numFmtId="0" fontId="56" fillId="17" borderId="21" xfId="0" applyFont="1" applyFill="1" applyBorder="1"/>
    <xf numFmtId="0" fontId="65" fillId="0" borderId="238" xfId="0" applyFont="1" applyBorder="1"/>
    <xf numFmtId="0" fontId="57" fillId="0" borderId="249" xfId="0" applyFont="1" applyBorder="1" applyAlignment="1">
      <alignment horizontal="center"/>
    </xf>
    <xf numFmtId="0" fontId="57" fillId="0" borderId="250" xfId="0" applyFont="1" applyBorder="1" applyAlignment="1">
      <alignment horizontal="center"/>
    </xf>
    <xf numFmtId="0" fontId="57" fillId="6" borderId="278" xfId="0" applyFont="1" applyFill="1" applyBorder="1" applyAlignment="1">
      <alignment horizontal="left"/>
    </xf>
    <xf numFmtId="0" fontId="65" fillId="0" borderId="130" xfId="0" applyFont="1" applyBorder="1"/>
    <xf numFmtId="0" fontId="65" fillId="0" borderId="130" xfId="0" applyFont="1" applyBorder="1" applyAlignment="1">
      <alignment horizontal="center" wrapText="1"/>
    </xf>
    <xf numFmtId="0" fontId="83" fillId="0" borderId="130" xfId="0" applyFont="1" applyBorder="1"/>
    <xf numFmtId="0" fontId="83" fillId="0" borderId="279" xfId="0" applyFont="1" applyBorder="1"/>
    <xf numFmtId="0" fontId="83" fillId="0" borderId="0" xfId="0" applyFont="1"/>
    <xf numFmtId="0" fontId="57" fillId="0" borderId="95" xfId="0" applyFont="1" applyBorder="1" applyAlignment="1">
      <alignment horizontal="left"/>
    </xf>
    <xf numFmtId="0" fontId="65" fillId="0" borderId="127" xfId="0" applyFont="1" applyBorder="1"/>
    <xf numFmtId="0" fontId="84" fillId="0" borderId="127" xfId="0" applyFont="1" applyBorder="1"/>
    <xf numFmtId="0" fontId="84" fillId="0" borderId="252" xfId="0" applyFont="1" applyBorder="1"/>
    <xf numFmtId="0" fontId="84" fillId="0" borderId="0" xfId="0" applyFont="1"/>
    <xf numFmtId="0" fontId="65" fillId="0" borderId="112" xfId="0" applyFont="1" applyBorder="1" applyAlignment="1">
      <alignment horizontal="left" vertical="top" wrapText="1"/>
    </xf>
    <xf numFmtId="166" fontId="46" fillId="0" borderId="5" xfId="0" applyNumberFormat="1" applyFont="1" applyBorder="1"/>
    <xf numFmtId="2" fontId="65" fillId="0" borderId="5" xfId="0" applyNumberFormat="1" applyFont="1" applyBorder="1"/>
    <xf numFmtId="43" fontId="46" fillId="0" borderId="5" xfId="0" applyNumberFormat="1" applyFont="1" applyBorder="1"/>
    <xf numFmtId="167" fontId="46" fillId="0" borderId="50" xfId="0" applyNumberFormat="1" applyFont="1" applyBorder="1"/>
    <xf numFmtId="167" fontId="46" fillId="0" borderId="95" xfId="0" applyNumberFormat="1" applyFont="1" applyBorder="1"/>
    <xf numFmtId="0" fontId="65" fillId="0" borderId="95" xfId="0" applyFont="1" applyBorder="1"/>
    <xf numFmtId="166" fontId="46" fillId="0" borderId="127" xfId="0" applyNumberFormat="1" applyFont="1" applyBorder="1"/>
    <xf numFmtId="2" fontId="65" fillId="0" borderId="127" xfId="0" applyNumberFormat="1" applyFont="1" applyBorder="1"/>
    <xf numFmtId="167" fontId="46" fillId="0" borderId="252" xfId="0" applyNumberFormat="1" applyFont="1" applyBorder="1"/>
    <xf numFmtId="0" fontId="57" fillId="6" borderId="280" xfId="0" applyFont="1" applyFill="1" applyBorder="1" applyAlignment="1">
      <alignment horizontal="left"/>
    </xf>
    <xf numFmtId="166" fontId="46" fillId="0" borderId="70" xfId="0" applyNumberFormat="1" applyFont="1" applyBorder="1"/>
    <xf numFmtId="2" fontId="65" fillId="0" borderId="70" xfId="0" applyNumberFormat="1" applyFont="1" applyBorder="1"/>
    <xf numFmtId="167" fontId="46" fillId="0" borderId="261" xfId="0" applyNumberFormat="1" applyFont="1" applyBorder="1"/>
    <xf numFmtId="0" fontId="65" fillId="0" borderId="210" xfId="0" applyFont="1" applyBorder="1" applyAlignment="1">
      <alignment horizontal="left" vertical="top" wrapText="1"/>
    </xf>
    <xf numFmtId="166" fontId="46" fillId="0" borderId="64" xfId="0" applyNumberFormat="1" applyFont="1" applyBorder="1"/>
    <xf numFmtId="2" fontId="65" fillId="0" borderId="64" xfId="0" applyNumberFormat="1" applyFont="1" applyBorder="1"/>
    <xf numFmtId="167" fontId="46" fillId="0" borderId="195" xfId="0" applyNumberFormat="1" applyFont="1" applyBorder="1"/>
    <xf numFmtId="0" fontId="57" fillId="0" borderId="113" xfId="0" applyFont="1" applyBorder="1"/>
    <xf numFmtId="0" fontId="65" fillId="0" borderId="107" xfId="0" applyFont="1" applyBorder="1"/>
    <xf numFmtId="166" fontId="60" fillId="0" borderId="55" xfId="0" applyNumberFormat="1" applyFont="1" applyBorder="1"/>
    <xf numFmtId="167" fontId="60" fillId="0" borderId="56" xfId="0" applyNumberFormat="1" applyFont="1" applyBorder="1"/>
    <xf numFmtId="167" fontId="60" fillId="0" borderId="95" xfId="0" applyNumberFormat="1" applyFont="1" applyBorder="1"/>
    <xf numFmtId="0" fontId="49" fillId="16" borderId="21" xfId="0" applyFont="1" applyFill="1" applyBorder="1"/>
    <xf numFmtId="0" fontId="56" fillId="16" borderId="21" xfId="0" applyFont="1" applyFill="1" applyBorder="1" applyAlignment="1">
      <alignment horizontal="center"/>
    </xf>
    <xf numFmtId="0" fontId="56" fillId="16" borderId="21" xfId="0" applyFont="1" applyFill="1" applyBorder="1"/>
    <xf numFmtId="0" fontId="62" fillId="0" borderId="249" xfId="0" applyFont="1" applyBorder="1" applyAlignment="1">
      <alignment horizontal="center"/>
    </xf>
    <xf numFmtId="0" fontId="62" fillId="0" borderId="250" xfId="0" applyFont="1" applyBorder="1" applyAlignment="1">
      <alignment horizontal="center"/>
    </xf>
    <xf numFmtId="0" fontId="56" fillId="0" borderId="127" xfId="0" applyFont="1" applyBorder="1"/>
    <xf numFmtId="0" fontId="56" fillId="0" borderId="252" xfId="0" applyFont="1" applyBorder="1"/>
    <xf numFmtId="0" fontId="56" fillId="0" borderId="225" xfId="0" applyFont="1" applyBorder="1"/>
    <xf numFmtId="166" fontId="56" fillId="0" borderId="130" xfId="0" applyNumberFormat="1" applyFont="1" applyBorder="1"/>
    <xf numFmtId="166" fontId="56" fillId="0" borderId="279" xfId="0" applyNumberFormat="1" applyFont="1" applyBorder="1"/>
    <xf numFmtId="0" fontId="56" fillId="0" borderId="210" xfId="0" applyFont="1" applyBorder="1" applyAlignment="1">
      <alignment vertical="top" wrapText="1"/>
    </xf>
    <xf numFmtId="166" fontId="56" fillId="0" borderId="64" xfId="0" applyNumberFormat="1" applyFont="1" applyBorder="1"/>
    <xf numFmtId="172" fontId="56" fillId="0" borderId="64" xfId="0" applyNumberFormat="1" applyFont="1" applyBorder="1"/>
    <xf numFmtId="192" fontId="56" fillId="0" borderId="195" xfId="0" applyNumberFormat="1" applyFont="1" applyBorder="1"/>
    <xf numFmtId="0" fontId="56" fillId="0" borderId="112" xfId="0" applyFont="1" applyBorder="1" applyAlignment="1">
      <alignment vertical="top" wrapText="1"/>
    </xf>
    <xf numFmtId="165" fontId="56" fillId="0" borderId="5" xfId="0" applyNumberFormat="1" applyFont="1" applyBorder="1"/>
    <xf numFmtId="0" fontId="56" fillId="0" borderId="5" xfId="0" applyFont="1" applyBorder="1"/>
    <xf numFmtId="166" fontId="62" fillId="0" borderId="0" xfId="0" applyNumberFormat="1" applyFont="1" applyAlignment="1">
      <alignment horizontal="center"/>
    </xf>
    <xf numFmtId="0" fontId="4" fillId="0" borderId="107" xfId="0" applyFont="1" applyBorder="1"/>
    <xf numFmtId="0" fontId="4" fillId="0" borderId="281" xfId="0" applyFont="1" applyBorder="1"/>
    <xf numFmtId="0" fontId="4" fillId="0" borderId="31" xfId="0" applyFont="1" applyBorder="1"/>
    <xf numFmtId="0" fontId="22" fillId="0" borderId="30" xfId="0" applyFont="1" applyBorder="1" applyAlignment="1">
      <alignment horizontal="center"/>
    </xf>
    <xf numFmtId="0" fontId="22" fillId="0" borderId="31" xfId="0" applyFont="1" applyBorder="1" applyAlignment="1">
      <alignment horizontal="center"/>
    </xf>
    <xf numFmtId="0" fontId="22" fillId="0" borderId="86" xfId="0" applyFont="1" applyBorder="1"/>
    <xf numFmtId="0" fontId="22" fillId="0" borderId="72" xfId="0" applyFont="1" applyBorder="1"/>
    <xf numFmtId="0" fontId="22" fillId="0" borderId="33" xfId="0" applyFont="1" applyBorder="1" applyAlignment="1">
      <alignment horizontal="left"/>
    </xf>
    <xf numFmtId="0" fontId="4" fillId="0" borderId="18" xfId="0" applyFont="1" applyBorder="1"/>
    <xf numFmtId="0" fontId="22" fillId="0" borderId="0" xfId="0" applyFont="1" applyAlignment="1">
      <alignment horizontal="center"/>
    </xf>
    <xf numFmtId="0" fontId="4" fillId="0" borderId="35" xfId="0" applyFont="1" applyBorder="1"/>
    <xf numFmtId="0" fontId="4" fillId="0" borderId="19" xfId="0" applyFont="1" applyBorder="1" applyAlignment="1">
      <alignment horizontal="center"/>
    </xf>
    <xf numFmtId="0" fontId="21" fillId="0" borderId="6" xfId="0" applyFont="1" applyBorder="1"/>
    <xf numFmtId="166" fontId="21" fillId="0" borderId="68" xfId="0" applyNumberFormat="1" applyFont="1" applyBorder="1"/>
    <xf numFmtId="0" fontId="4" fillId="0" borderId="68" xfId="0" applyFont="1" applyBorder="1"/>
    <xf numFmtId="175" fontId="4" fillId="0" borderId="68" xfId="0" applyNumberFormat="1" applyFont="1" applyBorder="1"/>
    <xf numFmtId="9" fontId="4" fillId="0" borderId="91" xfId="0" applyNumberFormat="1" applyFont="1" applyBorder="1" applyAlignment="1">
      <alignment horizontal="center"/>
    </xf>
    <xf numFmtId="174" fontId="4" fillId="0" borderId="35" xfId="0" applyNumberFormat="1" applyFont="1" applyBorder="1"/>
    <xf numFmtId="193" fontId="4" fillId="0" borderId="19" xfId="0" applyNumberFormat="1" applyFont="1" applyBorder="1"/>
    <xf numFmtId="174" fontId="4" fillId="0" borderId="19" xfId="0" applyNumberFormat="1" applyFont="1" applyBorder="1"/>
    <xf numFmtId="174" fontId="22" fillId="0" borderId="254" xfId="0" applyNumberFormat="1" applyFont="1" applyBorder="1"/>
    <xf numFmtId="0" fontId="62" fillId="0" borderId="282" xfId="0" applyFont="1" applyBorder="1"/>
    <xf numFmtId="0" fontId="4" fillId="0" borderId="283" xfId="0" applyFont="1" applyBorder="1"/>
    <xf numFmtId="0" fontId="62" fillId="0" borderId="230" xfId="0" applyFont="1" applyBorder="1"/>
    <xf numFmtId="0" fontId="62" fillId="0" borderId="226" xfId="0" applyFont="1" applyBorder="1"/>
    <xf numFmtId="168" fontId="25" fillId="0" borderId="222" xfId="0" applyNumberFormat="1" applyFont="1" applyBorder="1"/>
    <xf numFmtId="0" fontId="56" fillId="0" borderId="95" xfId="0" applyFont="1" applyBorder="1" applyAlignment="1">
      <alignment horizontal="left"/>
    </xf>
    <xf numFmtId="168" fontId="4" fillId="0" borderId="222" xfId="0" applyNumberFormat="1" applyFont="1" applyBorder="1"/>
    <xf numFmtId="0" fontId="56" fillId="0" borderId="0" xfId="0" applyFont="1" applyAlignment="1">
      <alignment horizontal="left" vertical="top" wrapText="1"/>
    </xf>
    <xf numFmtId="0" fontId="7" fillId="0" borderId="0" xfId="0" applyFont="1"/>
    <xf numFmtId="0" fontId="2" fillId="0" borderId="0" xfId="0" applyFont="1"/>
    <xf numFmtId="0" fontId="85" fillId="0" borderId="0" xfId="0" applyFont="1"/>
    <xf numFmtId="0" fontId="86" fillId="0" borderId="57" xfId="0" applyFont="1" applyBorder="1" applyAlignment="1">
      <alignment horizontal="left"/>
    </xf>
    <xf numFmtId="0" fontId="86" fillId="0" borderId="58" xfId="0" applyFont="1" applyBorder="1" applyAlignment="1">
      <alignment horizontal="center" wrapText="1"/>
    </xf>
    <xf numFmtId="0" fontId="87" fillId="0" borderId="58" xfId="0" applyFont="1" applyBorder="1" applyAlignment="1">
      <alignment horizontal="center" wrapText="1"/>
    </xf>
    <xf numFmtId="0" fontId="86" fillId="0" borderId="58" xfId="0" applyFont="1" applyBorder="1"/>
    <xf numFmtId="0" fontId="5" fillId="0" borderId="58" xfId="0" applyFont="1" applyBorder="1"/>
    <xf numFmtId="0" fontId="87" fillId="0" borderId="59" xfId="0" applyFont="1" applyBorder="1" applyAlignment="1">
      <alignment horizontal="center" wrapText="1"/>
    </xf>
    <xf numFmtId="0" fontId="87" fillId="0" borderId="66" xfId="0" applyFont="1" applyBorder="1" applyAlignment="1">
      <alignment horizontal="left"/>
    </xf>
    <xf numFmtId="0" fontId="87" fillId="0" borderId="5" xfId="0" applyFont="1" applyBorder="1"/>
    <xf numFmtId="0" fontId="88" fillId="0" borderId="5" xfId="0" applyFont="1" applyBorder="1" applyAlignment="1">
      <alignment horizontal="center"/>
    </xf>
    <xf numFmtId="0" fontId="5" fillId="0" borderId="5" xfId="0" applyFont="1" applyBorder="1" applyAlignment="1">
      <alignment horizontal="center"/>
    </xf>
    <xf numFmtId="0" fontId="5" fillId="0" borderId="5" xfId="0" applyFont="1" applyBorder="1"/>
    <xf numFmtId="0" fontId="88" fillId="0" borderId="5" xfId="0" applyFont="1" applyBorder="1"/>
    <xf numFmtId="0" fontId="5" fillId="0" borderId="67" xfId="0" applyFont="1" applyBorder="1"/>
    <xf numFmtId="0" fontId="89" fillId="0" borderId="66" xfId="0" applyFont="1" applyBorder="1" applyAlignment="1">
      <alignment horizontal="left"/>
    </xf>
    <xf numFmtId="0" fontId="87" fillId="0" borderId="5" xfId="0" applyFont="1" applyBorder="1" applyAlignment="1">
      <alignment horizontal="left"/>
    </xf>
    <xf numFmtId="3" fontId="88" fillId="10" borderId="5" xfId="0" applyNumberFormat="1" applyFont="1" applyFill="1" applyBorder="1" applyAlignment="1">
      <alignment horizontal="center"/>
    </xf>
    <xf numFmtId="4" fontId="5" fillId="0" borderId="5" xfId="0" applyNumberFormat="1" applyFont="1" applyBorder="1" applyAlignment="1">
      <alignment horizontal="center"/>
    </xf>
    <xf numFmtId="4" fontId="88" fillId="0" borderId="5" xfId="0" applyNumberFormat="1" applyFont="1" applyBorder="1"/>
    <xf numFmtId="166" fontId="88" fillId="0" borderId="5" xfId="0" applyNumberFormat="1" applyFont="1" applyBorder="1"/>
    <xf numFmtId="166" fontId="88" fillId="0" borderId="67" xfId="0" applyNumberFormat="1" applyFont="1" applyBorder="1"/>
    <xf numFmtId="3" fontId="88" fillId="0" borderId="5" xfId="0" applyNumberFormat="1" applyFont="1" applyBorder="1" applyAlignment="1">
      <alignment horizontal="center"/>
    </xf>
    <xf numFmtId="172" fontId="88" fillId="0" borderId="5" xfId="0" applyNumberFormat="1" applyFont="1" applyBorder="1"/>
    <xf numFmtId="173" fontId="88" fillId="0" borderId="5" xfId="0" applyNumberFormat="1" applyFont="1" applyBorder="1"/>
    <xf numFmtId="173" fontId="88" fillId="0" borderId="67" xfId="0" applyNumberFormat="1" applyFont="1" applyBorder="1"/>
    <xf numFmtId="0" fontId="88" fillId="0" borderId="66" xfId="0" applyFont="1" applyBorder="1" applyAlignment="1">
      <alignment horizontal="left"/>
    </xf>
    <xf numFmtId="0" fontId="88" fillId="0" borderId="5" xfId="0" applyFont="1" applyBorder="1" applyAlignment="1">
      <alignment horizontal="left"/>
    </xf>
    <xf numFmtId="3" fontId="87" fillId="0" borderId="5" xfId="0" applyNumberFormat="1" applyFont="1" applyBorder="1" applyAlignment="1">
      <alignment horizontal="center" wrapText="1"/>
    </xf>
    <xf numFmtId="0" fontId="87" fillId="0" borderId="5" xfId="0" applyFont="1" applyBorder="1" applyAlignment="1">
      <alignment horizontal="center" wrapText="1"/>
    </xf>
    <xf numFmtId="0" fontId="89" fillId="6" borderId="66" xfId="0" applyFont="1" applyFill="1" applyBorder="1" applyAlignment="1">
      <alignment horizontal="left"/>
    </xf>
    <xf numFmtId="165" fontId="88" fillId="0" borderId="5" xfId="0" applyNumberFormat="1" applyFont="1" applyBorder="1" applyAlignment="1">
      <alignment horizontal="center"/>
    </xf>
    <xf numFmtId="37" fontId="88" fillId="10" borderId="5" xfId="0" applyNumberFormat="1" applyFont="1" applyFill="1" applyBorder="1" applyAlignment="1">
      <alignment horizontal="center"/>
    </xf>
    <xf numFmtId="166" fontId="88" fillId="0" borderId="5" xfId="0" applyNumberFormat="1" applyFont="1" applyBorder="1" applyAlignment="1">
      <alignment horizontal="right"/>
    </xf>
    <xf numFmtId="166" fontId="5" fillId="0" borderId="5" xfId="0" applyNumberFormat="1" applyFont="1" applyBorder="1" applyAlignment="1">
      <alignment horizontal="center"/>
    </xf>
    <xf numFmtId="0" fontId="5" fillId="0" borderId="66" xfId="0" applyFont="1" applyBorder="1"/>
    <xf numFmtId="165" fontId="5" fillId="0" borderId="5" xfId="0" applyNumberFormat="1" applyFont="1" applyBorder="1"/>
    <xf numFmtId="0" fontId="87" fillId="6" borderId="66" xfId="0" applyFont="1" applyFill="1" applyBorder="1" applyAlignment="1">
      <alignment horizontal="left"/>
    </xf>
    <xf numFmtId="165" fontId="87" fillId="0" borderId="5" xfId="0" applyNumberFormat="1" applyFont="1" applyBorder="1" applyAlignment="1">
      <alignment horizontal="center" wrapText="1"/>
    </xf>
    <xf numFmtId="0" fontId="87" fillId="0" borderId="67" xfId="0" applyFont="1" applyBorder="1" applyAlignment="1">
      <alignment horizontal="center" wrapText="1"/>
    </xf>
    <xf numFmtId="166" fontId="88" fillId="0" borderId="5" xfId="0" quotePrefix="1" applyNumberFormat="1" applyFont="1" applyBorder="1" applyAlignment="1">
      <alignment horizontal="right"/>
    </xf>
    <xf numFmtId="0" fontId="87" fillId="6" borderId="66" xfId="0" applyFont="1" applyFill="1" applyBorder="1"/>
    <xf numFmtId="0" fontId="87" fillId="0" borderId="5" xfId="0" applyFont="1" applyBorder="1" applyAlignment="1">
      <alignment vertical="center"/>
    </xf>
    <xf numFmtId="166" fontId="87" fillId="0" borderId="5" xfId="0" applyNumberFormat="1" applyFont="1" applyBorder="1" applyAlignment="1">
      <alignment horizontal="center"/>
    </xf>
    <xf numFmtId="43" fontId="5" fillId="0" borderId="5" xfId="0" applyNumberFormat="1" applyFont="1" applyBorder="1"/>
    <xf numFmtId="0" fontId="89" fillId="0" borderId="5" xfId="0" applyFont="1" applyBorder="1" applyAlignment="1">
      <alignment horizontal="left"/>
    </xf>
    <xf numFmtId="166" fontId="88" fillId="0" borderId="5" xfId="0" applyNumberFormat="1" applyFont="1" applyBorder="1" applyAlignment="1">
      <alignment horizontal="center"/>
    </xf>
    <xf numFmtId="3" fontId="5" fillId="0" borderId="5" xfId="0" applyNumberFormat="1" applyFont="1" applyBorder="1"/>
    <xf numFmtId="0" fontId="5" fillId="0" borderId="60" xfId="0" applyFont="1" applyBorder="1"/>
    <xf numFmtId="0" fontId="88" fillId="0" borderId="61" xfId="0" applyFont="1" applyBorder="1"/>
    <xf numFmtId="0" fontId="5" fillId="0" borderId="61" xfId="0" applyFont="1" applyBorder="1"/>
    <xf numFmtId="0" fontId="5" fillId="0" borderId="62" xfId="0" applyFont="1" applyBorder="1"/>
    <xf numFmtId="0" fontId="88" fillId="0" borderId="0" xfId="0" applyFont="1"/>
    <xf numFmtId="0" fontId="90" fillId="0" borderId="0" xfId="0" applyFont="1"/>
    <xf numFmtId="0" fontId="5" fillId="0" borderId="160" xfId="0" applyFont="1" applyBorder="1" applyAlignment="1">
      <alignment horizontal="left" vertical="top" wrapText="1"/>
    </xf>
    <xf numFmtId="0" fontId="5" fillId="0" borderId="157" xfId="0" applyFont="1" applyBorder="1"/>
    <xf numFmtId="0" fontId="87" fillId="0" borderId="157" xfId="0" applyFont="1" applyBorder="1" applyAlignment="1">
      <alignment horizontal="center" vertical="center" wrapText="1"/>
    </xf>
    <xf numFmtId="0" fontId="86" fillId="0" borderId="157" xfId="0" applyFont="1" applyBorder="1"/>
    <xf numFmtId="0" fontId="86" fillId="0" borderId="157" xfId="0" applyFont="1" applyBorder="1" applyAlignment="1">
      <alignment horizontal="center" wrapText="1"/>
    </xf>
    <xf numFmtId="0" fontId="5" fillId="0" borderId="157" xfId="0" applyFont="1" applyBorder="1" applyAlignment="1">
      <alignment vertical="center"/>
    </xf>
    <xf numFmtId="0" fontId="5" fillId="0" borderId="275" xfId="0" applyFont="1" applyBorder="1"/>
    <xf numFmtId="0" fontId="5" fillId="0" borderId="137" xfId="0" applyFont="1" applyBorder="1"/>
    <xf numFmtId="0" fontId="86" fillId="0" borderId="5" xfId="0" applyFont="1" applyBorder="1" applyAlignment="1">
      <alignment horizontal="center" vertical="center" wrapText="1"/>
    </xf>
    <xf numFmtId="10" fontId="5" fillId="0" borderId="5" xfId="0" applyNumberFormat="1" applyFont="1" applyBorder="1"/>
    <xf numFmtId="4" fontId="5" fillId="0" borderId="5" xfId="0" applyNumberFormat="1" applyFont="1" applyBorder="1"/>
    <xf numFmtId="0" fontId="5" fillId="0" borderId="138" xfId="0" applyFont="1" applyBorder="1"/>
    <xf numFmtId="0" fontId="5" fillId="0" borderId="139" xfId="0" applyFont="1" applyBorder="1"/>
    <xf numFmtId="0" fontId="86" fillId="0" borderId="140" xfId="0" applyFont="1" applyBorder="1" applyAlignment="1">
      <alignment horizontal="center" vertical="center" wrapText="1"/>
    </xf>
    <xf numFmtId="0" fontId="88" fillId="0" borderId="140" xfId="0" applyFont="1" applyBorder="1"/>
    <xf numFmtId="0" fontId="5" fillId="0" borderId="140" xfId="0" applyFont="1" applyBorder="1" applyAlignment="1">
      <alignment horizontal="center"/>
    </xf>
    <xf numFmtId="10" fontId="5" fillId="0" borderId="140" xfId="0" applyNumberFormat="1" applyFont="1" applyBorder="1"/>
    <xf numFmtId="4" fontId="5" fillId="0" borderId="140" xfId="0" applyNumberFormat="1" applyFont="1" applyBorder="1"/>
    <xf numFmtId="0" fontId="5" fillId="0" borderId="140" xfId="0" applyFont="1" applyBorder="1"/>
    <xf numFmtId="0" fontId="5" fillId="0" borderId="141" xfId="0" applyFont="1" applyBorder="1"/>
    <xf numFmtId="0" fontId="5" fillId="0" borderId="0" xfId="0" applyFont="1" applyAlignment="1">
      <alignment horizontal="left" vertical="top" wrapText="1"/>
    </xf>
    <xf numFmtId="0" fontId="86" fillId="0" borderId="6" xfId="0" applyFont="1" applyBorder="1"/>
    <xf numFmtId="0" fontId="88" fillId="0" borderId="72" xfId="0" applyFont="1" applyBorder="1"/>
    <xf numFmtId="0" fontId="86" fillId="0" borderId="91" xfId="0" applyFont="1" applyBorder="1"/>
    <xf numFmtId="0" fontId="5" fillId="0" borderId="33" xfId="0" applyFont="1" applyBorder="1"/>
    <xf numFmtId="192" fontId="5" fillId="0" borderId="75" xfId="0" applyNumberFormat="1" applyFont="1" applyBorder="1"/>
    <xf numFmtId="194" fontId="5" fillId="0" borderId="0" xfId="0" applyNumberFormat="1" applyFont="1"/>
    <xf numFmtId="175" fontId="5" fillId="0" borderId="0" xfId="0" applyNumberFormat="1" applyFont="1"/>
    <xf numFmtId="0" fontId="91" fillId="0" borderId="33" xfId="0" applyFont="1" applyBorder="1" applyAlignment="1">
      <alignment horizontal="left"/>
    </xf>
    <xf numFmtId="0" fontId="5" fillId="0" borderId="36" xfId="0" applyFont="1" applyBorder="1" applyAlignment="1">
      <alignment horizontal="left" vertical="top" wrapText="1"/>
    </xf>
    <xf numFmtId="0" fontId="88" fillId="0" borderId="254" xfId="0" applyFont="1" applyBorder="1"/>
    <xf numFmtId="166" fontId="5" fillId="0" borderId="75" xfId="0" applyNumberFormat="1" applyFont="1" applyBorder="1"/>
    <xf numFmtId="0" fontId="86" fillId="0" borderId="36" xfId="0" applyFont="1" applyBorder="1"/>
    <xf numFmtId="166" fontId="5" fillId="0" borderId="254" xfId="0" applyNumberFormat="1" applyFont="1" applyBorder="1"/>
    <xf numFmtId="0" fontId="86" fillId="0" borderId="254" xfId="0" applyFont="1" applyBorder="1"/>
    <xf numFmtId="43" fontId="5" fillId="0" borderId="0" xfId="0" applyNumberFormat="1" applyFont="1"/>
    <xf numFmtId="0" fontId="91" fillId="0" borderId="36" xfId="0" applyFont="1" applyBorder="1" applyAlignment="1">
      <alignment horizontal="left"/>
    </xf>
    <xf numFmtId="0" fontId="92" fillId="0" borderId="0" xfId="0" applyFont="1"/>
    <xf numFmtId="0" fontId="92" fillId="0" borderId="0" xfId="0" applyFont="1" applyAlignment="1">
      <alignment vertical="center"/>
    </xf>
    <xf numFmtId="0" fontId="93" fillId="0" borderId="0" xfId="0" applyFont="1"/>
    <xf numFmtId="0" fontId="87" fillId="0" borderId="149" xfId="0" applyFont="1" applyBorder="1" applyAlignment="1">
      <alignment horizontal="center" wrapText="1"/>
    </xf>
    <xf numFmtId="0" fontId="87" fillId="0" borderId="0" xfId="0" applyFont="1" applyAlignment="1">
      <alignment horizontal="center" wrapText="1"/>
    </xf>
    <xf numFmtId="0" fontId="86" fillId="0" borderId="0" xfId="0" applyFont="1" applyAlignment="1">
      <alignment horizontal="center" wrapText="1"/>
    </xf>
    <xf numFmtId="0" fontId="88" fillId="0" borderId="0" xfId="0" applyFont="1" applyAlignment="1">
      <alignment horizontal="center" wrapText="1"/>
    </xf>
    <xf numFmtId="0" fontId="87" fillId="0" borderId="42" xfId="0" applyFont="1" applyBorder="1" applyAlignment="1">
      <alignment horizontal="center" wrapText="1"/>
    </xf>
    <xf numFmtId="0" fontId="86" fillId="0" borderId="0" xfId="0" applyFont="1"/>
    <xf numFmtId="0" fontId="86" fillId="0" borderId="149" xfId="0" applyFont="1" applyBorder="1" applyAlignment="1">
      <alignment horizontal="center"/>
    </xf>
    <xf numFmtId="166" fontId="86" fillId="0" borderId="0" xfId="0" applyNumberFormat="1" applyFont="1"/>
    <xf numFmtId="0" fontId="86" fillId="0" borderId="0" xfId="0" applyFont="1" applyAlignment="1">
      <alignment horizontal="center"/>
    </xf>
    <xf numFmtId="172" fontId="86" fillId="0" borderId="0" xfId="0" applyNumberFormat="1" applyFont="1"/>
    <xf numFmtId="1" fontId="86" fillId="0" borderId="0" xfId="0" applyNumberFormat="1" applyFont="1"/>
    <xf numFmtId="167" fontId="86" fillId="0" borderId="0" xfId="0" applyNumberFormat="1" applyFont="1"/>
    <xf numFmtId="43" fontId="86" fillId="0" borderId="0" xfId="0" applyNumberFormat="1" applyFont="1"/>
    <xf numFmtId="10" fontId="86" fillId="0" borderId="0" xfId="0" applyNumberFormat="1" applyFont="1"/>
    <xf numFmtId="0" fontId="86" fillId="0" borderId="0" xfId="0" quotePrefix="1" applyFont="1" applyAlignment="1">
      <alignment horizontal="center"/>
    </xf>
    <xf numFmtId="174" fontId="86" fillId="0" borderId="0" xfId="0" applyNumberFormat="1" applyFont="1"/>
    <xf numFmtId="173" fontId="86" fillId="0" borderId="42" xfId="0" applyNumberFormat="1" applyFont="1" applyBorder="1"/>
    <xf numFmtId="0" fontId="94" fillId="6" borderId="286" xfId="0" applyFont="1" applyFill="1" applyBorder="1" applyAlignment="1">
      <alignment vertical="center"/>
    </xf>
    <xf numFmtId="0" fontId="4" fillId="6" borderId="146" xfId="0" applyFont="1" applyFill="1" applyBorder="1"/>
    <xf numFmtId="0" fontId="5" fillId="0" borderId="42" xfId="0" applyFont="1" applyBorder="1"/>
    <xf numFmtId="0" fontId="25" fillId="0" borderId="0" xfId="0" applyFont="1"/>
    <xf numFmtId="9" fontId="86" fillId="0" borderId="0" xfId="0" applyNumberFormat="1" applyFont="1"/>
    <xf numFmtId="170" fontId="86" fillId="0" borderId="0" xfId="0" applyNumberFormat="1" applyFont="1"/>
    <xf numFmtId="195" fontId="86" fillId="0" borderId="0" xfId="0" applyNumberFormat="1" applyFont="1"/>
    <xf numFmtId="2" fontId="86" fillId="0" borderId="0" xfId="0" applyNumberFormat="1" applyFont="1"/>
    <xf numFmtId="173" fontId="86" fillId="0" borderId="0" xfId="0" applyNumberFormat="1" applyFont="1"/>
    <xf numFmtId="0" fontId="86" fillId="0" borderId="42" xfId="0" applyFont="1" applyBorder="1"/>
    <xf numFmtId="0" fontId="5" fillId="0" borderId="154" xfId="0" applyFont="1" applyBorder="1"/>
    <xf numFmtId="0" fontId="5" fillId="0" borderId="155" xfId="0" applyFont="1" applyBorder="1"/>
    <xf numFmtId="0" fontId="5" fillId="0" borderId="45" xfId="0" applyFont="1" applyBorder="1"/>
    <xf numFmtId="0" fontId="57" fillId="0" borderId="0" xfId="0" applyFont="1" applyAlignment="1">
      <alignment horizontal="center" wrapText="1"/>
    </xf>
    <xf numFmtId="0" fontId="65" fillId="0" borderId="0" xfId="0" applyFont="1"/>
    <xf numFmtId="0" fontId="65" fillId="0" borderId="0" xfId="0" applyFont="1" applyAlignment="1">
      <alignment horizontal="center" wrapText="1"/>
    </xf>
    <xf numFmtId="0" fontId="57" fillId="0" borderId="42" xfId="0" applyFont="1" applyBorder="1" applyAlignment="1">
      <alignment horizontal="center" wrapText="1"/>
    </xf>
    <xf numFmtId="0" fontId="65" fillId="0" borderId="0" xfId="0" applyFont="1" applyAlignment="1">
      <alignment horizontal="center" vertical="top" wrapText="1"/>
    </xf>
    <xf numFmtId="0" fontId="65" fillId="0" borderId="0" xfId="0" applyFont="1" applyAlignment="1">
      <alignment horizontal="center" vertical="top"/>
    </xf>
    <xf numFmtId="0" fontId="65" fillId="0" borderId="42" xfId="0" applyFont="1" applyBorder="1" applyAlignment="1">
      <alignment horizontal="center" vertical="top"/>
    </xf>
    <xf numFmtId="166" fontId="86" fillId="0" borderId="0" xfId="0" quotePrefix="1" applyNumberFormat="1" applyFont="1" applyAlignment="1">
      <alignment horizontal="center"/>
    </xf>
    <xf numFmtId="173" fontId="86" fillId="0" borderId="0" xfId="0" quotePrefix="1" applyNumberFormat="1" applyFont="1" applyAlignment="1">
      <alignment horizontal="center"/>
    </xf>
    <xf numFmtId="173" fontId="86" fillId="0" borderId="0" xfId="0" applyNumberFormat="1" applyFont="1" applyAlignment="1">
      <alignment horizontal="center"/>
    </xf>
    <xf numFmtId="185" fontId="86" fillId="0" borderId="42" xfId="0" applyNumberFormat="1" applyFont="1" applyBorder="1"/>
    <xf numFmtId="0" fontId="86" fillId="0" borderId="154" xfId="0" applyFont="1" applyBorder="1" applyAlignment="1">
      <alignment horizontal="center"/>
    </xf>
    <xf numFmtId="166" fontId="86" fillId="0" borderId="155" xfId="0" applyNumberFormat="1" applyFont="1" applyBorder="1"/>
    <xf numFmtId="0" fontId="86" fillId="0" borderId="155" xfId="0" applyFont="1" applyBorder="1" applyAlignment="1">
      <alignment horizontal="center"/>
    </xf>
    <xf numFmtId="43" fontId="86" fillId="0" borderId="155" xfId="0" applyNumberFormat="1" applyFont="1" applyBorder="1"/>
    <xf numFmtId="9" fontId="86" fillId="0" borderId="155" xfId="0" applyNumberFormat="1" applyFont="1" applyBorder="1"/>
    <xf numFmtId="2" fontId="86" fillId="0" borderId="155" xfId="0" applyNumberFormat="1" applyFont="1" applyBorder="1"/>
    <xf numFmtId="167" fontId="86" fillId="0" borderId="155" xfId="0" applyNumberFormat="1" applyFont="1" applyBorder="1"/>
    <xf numFmtId="166" fontId="86" fillId="0" borderId="155" xfId="0" applyNumberFormat="1" applyFont="1" applyBorder="1" applyAlignment="1">
      <alignment horizontal="center"/>
    </xf>
    <xf numFmtId="173" fontId="86" fillId="0" borderId="155" xfId="0" applyNumberFormat="1" applyFont="1" applyBorder="1"/>
    <xf numFmtId="174" fontId="86" fillId="0" borderId="155" xfId="0" applyNumberFormat="1" applyFont="1" applyBorder="1"/>
    <xf numFmtId="173" fontId="86" fillId="0" borderId="155" xfId="0" applyNumberFormat="1" applyFont="1" applyBorder="1" applyAlignment="1">
      <alignment horizontal="center"/>
    </xf>
    <xf numFmtId="185" fontId="86" fillId="0" borderId="45" xfId="0" applyNumberFormat="1" applyFont="1" applyBorder="1"/>
    <xf numFmtId="0" fontId="5" fillId="6" borderId="146" xfId="0" applyFont="1" applyFill="1" applyBorder="1"/>
    <xf numFmtId="0" fontId="5" fillId="0" borderId="147" xfId="0" applyFont="1" applyBorder="1"/>
    <xf numFmtId="0" fontId="5" fillId="0" borderId="148" xfId="0" applyFont="1" applyBorder="1"/>
    <xf numFmtId="0" fontId="65" fillId="0" borderId="42" xfId="0" applyFont="1" applyBorder="1" applyAlignment="1">
      <alignment horizontal="center"/>
    </xf>
    <xf numFmtId="165" fontId="86" fillId="0" borderId="0" xfId="0" applyNumberFormat="1" applyFont="1"/>
    <xf numFmtId="166" fontId="86" fillId="0" borderId="0" xfId="0" applyNumberFormat="1" applyFont="1" applyAlignment="1">
      <alignment horizontal="left"/>
    </xf>
    <xf numFmtId="0" fontId="86" fillId="0" borderId="0" xfId="0" applyFont="1" applyAlignment="1">
      <alignment horizontal="right"/>
    </xf>
    <xf numFmtId="164" fontId="86" fillId="0" borderId="42" xfId="0" applyNumberFormat="1" applyFont="1" applyBorder="1"/>
    <xf numFmtId="0" fontId="62" fillId="0" borderId="19" xfId="0" applyFont="1" applyBorder="1"/>
    <xf numFmtId="185" fontId="56" fillId="0" borderId="0" xfId="0" applyNumberFormat="1" applyFont="1"/>
    <xf numFmtId="185" fontId="4" fillId="0" borderId="0" xfId="0" applyNumberFormat="1" applyFont="1"/>
    <xf numFmtId="185" fontId="50" fillId="0" borderId="0" xfId="0" applyNumberFormat="1" applyFont="1"/>
    <xf numFmtId="0" fontId="56" fillId="0" borderId="0" xfId="0" applyFont="1" applyAlignment="1">
      <alignment horizontal="left"/>
    </xf>
    <xf numFmtId="0" fontId="62" fillId="0" borderId="7" xfId="0" applyFont="1" applyBorder="1"/>
    <xf numFmtId="185" fontId="62" fillId="0" borderId="7" xfId="0" applyNumberFormat="1" applyFont="1" applyBorder="1"/>
    <xf numFmtId="196" fontId="4" fillId="0" borderId="0" xfId="0" applyNumberFormat="1" applyFont="1"/>
    <xf numFmtId="0" fontId="95" fillId="19" borderId="57" xfId="0" applyFont="1" applyFill="1" applyBorder="1"/>
    <xf numFmtId="0" fontId="4" fillId="19" borderId="58" xfId="0" applyFont="1" applyFill="1" applyBorder="1"/>
    <xf numFmtId="0" fontId="4" fillId="19" borderId="59" xfId="0" applyFont="1" applyFill="1" applyBorder="1"/>
    <xf numFmtId="0" fontId="58" fillId="6" borderId="5" xfId="0" applyFont="1" applyFill="1" applyBorder="1" applyAlignment="1">
      <alignment horizontal="center" wrapText="1"/>
    </xf>
    <xf numFmtId="0" fontId="22" fillId="6" borderId="5" xfId="0" applyFont="1" applyFill="1" applyBorder="1"/>
    <xf numFmtId="0" fontId="58" fillId="6" borderId="67" xfId="0" applyFont="1" applyFill="1" applyBorder="1" applyAlignment="1">
      <alignment horizontal="center" wrapText="1"/>
    </xf>
    <xf numFmtId="0" fontId="57" fillId="0" borderId="66" xfId="0" applyFont="1" applyBorder="1"/>
    <xf numFmtId="0" fontId="7" fillId="0" borderId="5" xfId="0" applyFont="1" applyBorder="1" applyAlignment="1">
      <alignment horizontal="center"/>
    </xf>
    <xf numFmtId="0" fontId="65" fillId="0" borderId="5" xfId="0" applyFont="1" applyBorder="1" applyAlignment="1">
      <alignment horizontal="center"/>
    </xf>
    <xf numFmtId="0" fontId="65" fillId="0" borderId="5" xfId="0" applyFont="1" applyBorder="1"/>
    <xf numFmtId="0" fontId="65" fillId="0" borderId="66" xfId="0" applyFont="1" applyBorder="1" applyAlignment="1">
      <alignment horizontal="left"/>
    </xf>
    <xf numFmtId="197" fontId="96" fillId="19" borderId="5" xfId="0" applyNumberFormat="1" applyFont="1" applyFill="1" applyBorder="1" applyAlignment="1">
      <alignment horizontal="center"/>
    </xf>
    <xf numFmtId="165" fontId="65" fillId="0" borderId="5" xfId="0" applyNumberFormat="1" applyFont="1" applyBorder="1" applyAlignment="1">
      <alignment horizontal="center"/>
    </xf>
    <xf numFmtId="166" fontId="65" fillId="0" borderId="5" xfId="0" applyNumberFormat="1" applyFont="1" applyBorder="1"/>
    <xf numFmtId="172" fontId="65" fillId="0" borderId="5" xfId="0" applyNumberFormat="1" applyFont="1" applyBorder="1"/>
    <xf numFmtId="173" fontId="65" fillId="0" borderId="5" xfId="0" applyNumberFormat="1" applyFont="1" applyBorder="1"/>
    <xf numFmtId="173" fontId="65" fillId="0" borderId="67" xfId="0" applyNumberFormat="1" applyFont="1" applyBorder="1"/>
    <xf numFmtId="197" fontId="7" fillId="19" borderId="5" xfId="0" applyNumberFormat="1" applyFont="1" applyFill="1" applyBorder="1" applyAlignment="1">
      <alignment horizontal="center"/>
    </xf>
    <xf numFmtId="3" fontId="7" fillId="0" borderId="5" xfId="0" applyNumberFormat="1" applyFont="1" applyBorder="1" applyAlignment="1">
      <alignment horizontal="center"/>
    </xf>
    <xf numFmtId="197" fontId="7" fillId="20" borderId="5" xfId="0" applyNumberFormat="1" applyFont="1" applyFill="1" applyBorder="1" applyAlignment="1">
      <alignment horizontal="center"/>
    </xf>
    <xf numFmtId="197" fontId="7" fillId="0" borderId="5" xfId="0" applyNumberFormat="1" applyFont="1" applyBorder="1" applyAlignment="1">
      <alignment horizontal="center"/>
    </xf>
    <xf numFmtId="0" fontId="57" fillId="6" borderId="60" xfId="0" applyFont="1" applyFill="1" applyBorder="1"/>
    <xf numFmtId="0" fontId="7" fillId="6" borderId="61" xfId="0" applyFont="1" applyFill="1" applyBorder="1" applyAlignment="1">
      <alignment horizontal="center"/>
    </xf>
    <xf numFmtId="0" fontId="65" fillId="6" borderId="61" xfId="0" applyFont="1" applyFill="1" applyBorder="1" applyAlignment="1">
      <alignment horizontal="center"/>
    </xf>
    <xf numFmtId="166" fontId="57" fillId="6" borderId="61" xfId="0" applyNumberFormat="1" applyFont="1" applyFill="1" applyBorder="1"/>
    <xf numFmtId="0" fontId="57" fillId="6" borderId="61" xfId="0" applyFont="1" applyFill="1" applyBorder="1" applyAlignment="1">
      <alignment horizontal="center"/>
    </xf>
    <xf numFmtId="172" fontId="57" fillId="6" borderId="61" xfId="0" applyNumberFormat="1" applyFont="1" applyFill="1" applyBorder="1"/>
    <xf numFmtId="173" fontId="57" fillId="6" borderId="61" xfId="0" applyNumberFormat="1" applyFont="1" applyFill="1" applyBorder="1"/>
    <xf numFmtId="0" fontId="4" fillId="6" borderId="61" xfId="0" applyFont="1" applyFill="1" applyBorder="1"/>
    <xf numFmtId="173" fontId="57" fillId="6" borderId="62" xfId="0" applyNumberFormat="1" applyFont="1" applyFill="1" applyBorder="1"/>
    <xf numFmtId="0" fontId="57" fillId="0" borderId="0" xfId="0" applyFont="1"/>
    <xf numFmtId="166" fontId="57" fillId="0" borderId="0" xfId="0" applyNumberFormat="1" applyFont="1"/>
    <xf numFmtId="172" fontId="57" fillId="0" borderId="0" xfId="0" applyNumberFormat="1" applyFont="1"/>
    <xf numFmtId="173" fontId="57" fillId="0" borderId="0" xfId="0" applyNumberFormat="1" applyFont="1"/>
    <xf numFmtId="0" fontId="57" fillId="0" borderId="19" xfId="0" applyFont="1" applyBorder="1"/>
    <xf numFmtId="0" fontId="7" fillId="0" borderId="19" xfId="0" applyFont="1" applyBorder="1" applyAlignment="1">
      <alignment horizontal="center"/>
    </xf>
    <xf numFmtId="0" fontId="65" fillId="0" borderId="19" xfId="0" applyFont="1" applyBorder="1" applyAlignment="1">
      <alignment horizontal="center"/>
    </xf>
    <xf numFmtId="166" fontId="57" fillId="0" borderId="19" xfId="0" applyNumberFormat="1" applyFont="1" applyBorder="1"/>
    <xf numFmtId="0" fontId="57" fillId="0" borderId="19" xfId="0" applyFont="1" applyBorder="1" applyAlignment="1">
      <alignment horizontal="center"/>
    </xf>
    <xf numFmtId="172" fontId="57" fillId="0" borderId="19" xfId="0" applyNumberFormat="1" applyFont="1" applyBorder="1"/>
    <xf numFmtId="173" fontId="57" fillId="0" borderId="19" xfId="0" applyNumberFormat="1" applyFont="1" applyBorder="1"/>
    <xf numFmtId="0" fontId="7" fillId="19" borderId="58" xfId="0" applyFont="1" applyFill="1" applyBorder="1" applyAlignment="1">
      <alignment horizontal="center"/>
    </xf>
    <xf numFmtId="0" fontId="65" fillId="19" borderId="58" xfId="0" applyFont="1" applyFill="1" applyBorder="1" applyAlignment="1">
      <alignment horizontal="center"/>
    </xf>
    <xf numFmtId="166" fontId="57" fillId="19" borderId="58" xfId="0" applyNumberFormat="1" applyFont="1" applyFill="1" applyBorder="1"/>
    <xf numFmtId="0" fontId="57" fillId="19" borderId="58" xfId="0" applyFont="1" applyFill="1" applyBorder="1" applyAlignment="1">
      <alignment horizontal="center"/>
    </xf>
    <xf numFmtId="172" fontId="57" fillId="19" borderId="58" xfId="0" applyNumberFormat="1" applyFont="1" applyFill="1" applyBorder="1"/>
    <xf numFmtId="173" fontId="57" fillId="19" borderId="58" xfId="0" applyNumberFormat="1" applyFont="1" applyFill="1" applyBorder="1"/>
    <xf numFmtId="0" fontId="22" fillId="0" borderId="60" xfId="0" applyFont="1" applyBorder="1"/>
    <xf numFmtId="0" fontId="57" fillId="6" borderId="61" xfId="0" applyFont="1" applyFill="1" applyBorder="1" applyAlignment="1">
      <alignment horizontal="center" vertical="center" wrapText="1"/>
    </xf>
    <xf numFmtId="0" fontId="97" fillId="6" borderId="61" xfId="0" applyFont="1" applyFill="1" applyBorder="1" applyAlignment="1">
      <alignment vertical="center"/>
    </xf>
    <xf numFmtId="0" fontId="58" fillId="6" borderId="61" xfId="0" applyFont="1" applyFill="1" applyBorder="1" applyAlignment="1">
      <alignment horizontal="center" wrapText="1"/>
    </xf>
    <xf numFmtId="0" fontId="57" fillId="6" borderId="62" xfId="0" applyFont="1" applyFill="1" applyBorder="1" applyAlignment="1">
      <alignment horizontal="center" vertical="center" wrapText="1"/>
    </xf>
    <xf numFmtId="0" fontId="58" fillId="0" borderId="63" xfId="0" applyFont="1" applyBorder="1"/>
    <xf numFmtId="0" fontId="57" fillId="0" borderId="64" xfId="0" applyFont="1" applyBorder="1" applyAlignment="1">
      <alignment horizontal="center" vertical="center" wrapText="1"/>
    </xf>
    <xf numFmtId="0" fontId="98" fillId="0" borderId="64" xfId="0" applyFont="1" applyBorder="1" applyAlignment="1">
      <alignment vertical="center"/>
    </xf>
    <xf numFmtId="0" fontId="98" fillId="0" borderId="64" xfId="0" applyFont="1" applyBorder="1" applyAlignment="1">
      <alignment horizontal="center" vertical="center"/>
    </xf>
    <xf numFmtId="0" fontId="65" fillId="0" borderId="64" xfId="0" applyFont="1" applyBorder="1" applyAlignment="1">
      <alignment horizontal="center"/>
    </xf>
    <xf numFmtId="173" fontId="83" fillId="0" borderId="64" xfId="0" applyNumberFormat="1" applyFont="1" applyBorder="1" applyAlignment="1">
      <alignment horizontal="center" vertical="center" wrapText="1"/>
    </xf>
    <xf numFmtId="0" fontId="65" fillId="0" borderId="64" xfId="0" applyFont="1" applyBorder="1" applyAlignment="1">
      <alignment horizontal="center" vertical="center" wrapText="1"/>
    </xf>
    <xf numFmtId="0" fontId="7" fillId="0" borderId="64" xfId="0" applyFont="1" applyBorder="1" applyAlignment="1">
      <alignment horizontal="center"/>
    </xf>
    <xf numFmtId="0" fontId="57" fillId="0" borderId="65" xfId="0" applyFont="1" applyBorder="1" applyAlignment="1">
      <alignment horizontal="center" vertical="center" wrapText="1"/>
    </xf>
    <xf numFmtId="197" fontId="65" fillId="19" borderId="5" xfId="0" applyNumberFormat="1" applyFont="1" applyFill="1" applyBorder="1" applyAlignment="1">
      <alignment horizontal="center"/>
    </xf>
    <xf numFmtId="3" fontId="65" fillId="0" borderId="5" xfId="0" applyNumberFormat="1" applyFont="1" applyBorder="1" applyAlignment="1">
      <alignment horizontal="center"/>
    </xf>
    <xf numFmtId="166" fontId="65" fillId="0" borderId="5" xfId="0" applyNumberFormat="1" applyFont="1" applyBorder="1" applyAlignment="1">
      <alignment horizontal="center"/>
    </xf>
    <xf numFmtId="2" fontId="65" fillId="0" borderId="5" xfId="0" applyNumberFormat="1" applyFont="1" applyBorder="1" applyAlignment="1">
      <alignment horizontal="center"/>
    </xf>
    <xf numFmtId="0" fontId="65" fillId="0" borderId="5" xfId="0" applyFont="1" applyBorder="1" applyAlignment="1">
      <alignment horizontal="center" vertical="center"/>
    </xf>
    <xf numFmtId="173" fontId="65" fillId="0" borderId="5" xfId="0" applyNumberFormat="1" applyFont="1" applyBorder="1" applyAlignment="1">
      <alignment horizontal="center" vertical="center"/>
    </xf>
    <xf numFmtId="166" fontId="7" fillId="0" borderId="5" xfId="0" applyNumberFormat="1" applyFont="1" applyBorder="1" applyAlignment="1">
      <alignment horizontal="center"/>
    </xf>
    <xf numFmtId="173" fontId="7" fillId="0" borderId="5" xfId="0" applyNumberFormat="1" applyFont="1" applyBorder="1" applyAlignment="1">
      <alignment horizontal="right"/>
    </xf>
    <xf numFmtId="173" fontId="7" fillId="0" borderId="67" xfId="0" applyNumberFormat="1" applyFont="1" applyBorder="1" applyAlignment="1">
      <alignment horizontal="right"/>
    </xf>
    <xf numFmtId="0" fontId="7" fillId="0" borderId="66" xfId="0" applyFont="1" applyBorder="1" applyAlignment="1">
      <alignment horizontal="left"/>
    </xf>
    <xf numFmtId="0" fontId="58" fillId="0" borderId="66" xfId="0" applyFont="1" applyBorder="1"/>
    <xf numFmtId="3" fontId="65" fillId="19" borderId="5" xfId="0" applyNumberFormat="1" applyFont="1" applyFill="1" applyBorder="1" applyAlignment="1">
      <alignment horizontal="center"/>
    </xf>
    <xf numFmtId="197" fontId="65" fillId="20" borderId="5" xfId="0" applyNumberFormat="1" applyFont="1" applyFill="1" applyBorder="1" applyAlignment="1">
      <alignment horizontal="center"/>
    </xf>
    <xf numFmtId="178" fontId="65" fillId="0" borderId="5" xfId="0" applyNumberFormat="1" applyFont="1" applyBorder="1" applyAlignment="1">
      <alignment horizontal="center"/>
    </xf>
    <xf numFmtId="173" fontId="65" fillId="0" borderId="5" xfId="0" applyNumberFormat="1" applyFont="1" applyBorder="1" applyAlignment="1">
      <alignment horizontal="center"/>
    </xf>
    <xf numFmtId="3" fontId="99" fillId="19" borderId="5" xfId="0" applyNumberFormat="1" applyFont="1" applyFill="1" applyBorder="1" applyAlignment="1">
      <alignment horizontal="center"/>
    </xf>
    <xf numFmtId="0" fontId="99" fillId="2" borderId="5" xfId="0" applyFont="1" applyFill="1" applyBorder="1" applyAlignment="1">
      <alignment horizontal="center"/>
    </xf>
    <xf numFmtId="3" fontId="99" fillId="2" borderId="5" xfId="0" applyNumberFormat="1" applyFont="1" applyFill="1" applyBorder="1" applyAlignment="1">
      <alignment horizontal="center"/>
    </xf>
    <xf numFmtId="166" fontId="99" fillId="2" borderId="5" xfId="0" applyNumberFormat="1" applyFont="1" applyFill="1" applyBorder="1" applyAlignment="1">
      <alignment horizontal="center"/>
    </xf>
    <xf numFmtId="2" fontId="99" fillId="2" borderId="5" xfId="0" applyNumberFormat="1" applyFont="1" applyFill="1" applyBorder="1" applyAlignment="1">
      <alignment horizontal="center"/>
    </xf>
    <xf numFmtId="173" fontId="99" fillId="2" borderId="5" xfId="0" applyNumberFormat="1" applyFont="1" applyFill="1" applyBorder="1" applyAlignment="1">
      <alignment horizontal="center" vertical="center"/>
    </xf>
    <xf numFmtId="166" fontId="45" fillId="2" borderId="5" xfId="0" applyNumberFormat="1" applyFont="1" applyFill="1" applyBorder="1" applyAlignment="1">
      <alignment horizontal="center"/>
    </xf>
    <xf numFmtId="173" fontId="45" fillId="2" borderId="5" xfId="0" applyNumberFormat="1" applyFont="1" applyFill="1" applyBorder="1" applyAlignment="1">
      <alignment horizontal="right"/>
    </xf>
    <xf numFmtId="173" fontId="45" fillId="2" borderId="67" xfId="0" applyNumberFormat="1" applyFont="1" applyFill="1" applyBorder="1" applyAlignment="1">
      <alignment horizontal="right"/>
    </xf>
    <xf numFmtId="0" fontId="21" fillId="6" borderId="61" xfId="0" applyFont="1" applyFill="1" applyBorder="1"/>
    <xf numFmtId="0" fontId="21" fillId="6" borderId="61" xfId="0" applyFont="1" applyFill="1" applyBorder="1" applyAlignment="1">
      <alignment horizontal="center"/>
    </xf>
    <xf numFmtId="166" fontId="57" fillId="6" borderId="61" xfId="0" applyNumberFormat="1" applyFont="1" applyFill="1" applyBorder="1" applyAlignment="1">
      <alignment horizontal="center"/>
    </xf>
    <xf numFmtId="166" fontId="58" fillId="6" borderId="61" xfId="0" applyNumberFormat="1" applyFont="1" applyFill="1" applyBorder="1" applyAlignment="1">
      <alignment horizontal="center"/>
    </xf>
    <xf numFmtId="173" fontId="58" fillId="6" borderId="61" xfId="0" applyNumberFormat="1" applyFont="1" applyFill="1" applyBorder="1" applyAlignment="1">
      <alignment horizontal="right"/>
    </xf>
    <xf numFmtId="173" fontId="58" fillId="6" borderId="62" xfId="0" applyNumberFormat="1" applyFont="1" applyFill="1" applyBorder="1" applyAlignment="1">
      <alignment horizontal="right"/>
    </xf>
    <xf numFmtId="0" fontId="21" fillId="0" borderId="0" xfId="0" applyFont="1" applyAlignment="1">
      <alignment horizontal="center"/>
    </xf>
    <xf numFmtId="166" fontId="57" fillId="0" borderId="0" xfId="0" applyNumberFormat="1" applyFont="1" applyAlignment="1">
      <alignment horizontal="center"/>
    </xf>
    <xf numFmtId="166" fontId="58" fillId="0" borderId="0" xfId="0" applyNumberFormat="1" applyFont="1" applyAlignment="1">
      <alignment horizontal="center"/>
    </xf>
    <xf numFmtId="173" fontId="58" fillId="0" borderId="0" xfId="0" applyNumberFormat="1" applyFont="1" applyAlignment="1">
      <alignment horizontal="right"/>
    </xf>
    <xf numFmtId="0" fontId="4" fillId="0" borderId="33" xfId="0" applyFont="1" applyBorder="1"/>
    <xf numFmtId="197" fontId="58" fillId="6" borderId="5" xfId="0" applyNumberFormat="1" applyFont="1" applyFill="1" applyBorder="1" applyAlignment="1">
      <alignment horizontal="center" wrapText="1"/>
    </xf>
    <xf numFmtId="0" fontId="97" fillId="6" borderId="5" xfId="0" applyFont="1" applyFill="1" applyBorder="1" applyAlignment="1">
      <alignment vertical="center"/>
    </xf>
    <xf numFmtId="0" fontId="22" fillId="6" borderId="5" xfId="0" applyFont="1" applyFill="1" applyBorder="1" applyAlignment="1">
      <alignment horizontal="center"/>
    </xf>
    <xf numFmtId="197" fontId="57" fillId="0" borderId="5" xfId="0" applyNumberFormat="1" applyFont="1" applyBorder="1" applyAlignment="1">
      <alignment horizontal="center" vertical="center" wrapText="1"/>
    </xf>
    <xf numFmtId="0" fontId="98" fillId="0" borderId="5" xfId="0" applyFont="1" applyBorder="1" applyAlignment="1">
      <alignment vertical="center"/>
    </xf>
    <xf numFmtId="0" fontId="57" fillId="0" borderId="5" xfId="0" applyFont="1" applyBorder="1"/>
    <xf numFmtId="0" fontId="62" fillId="0" borderId="5" xfId="0" applyFont="1" applyBorder="1"/>
    <xf numFmtId="0" fontId="21" fillId="0" borderId="5" xfId="0" applyFont="1" applyBorder="1" applyAlignment="1">
      <alignment horizontal="center"/>
    </xf>
    <xf numFmtId="43" fontId="21" fillId="0" borderId="5" xfId="0" applyNumberFormat="1" applyFont="1" applyBorder="1"/>
    <xf numFmtId="43" fontId="21" fillId="0" borderId="67" xfId="0" applyNumberFormat="1" applyFont="1" applyBorder="1"/>
    <xf numFmtId="192" fontId="65" fillId="0" borderId="5" xfId="0" applyNumberFormat="1" applyFont="1" applyBorder="1" applyAlignment="1">
      <alignment horizontal="center"/>
    </xf>
    <xf numFmtId="192" fontId="65" fillId="0" borderId="67" xfId="0" applyNumberFormat="1" applyFont="1" applyBorder="1" applyAlignment="1">
      <alignment horizontal="center"/>
    </xf>
    <xf numFmtId="197" fontId="65" fillId="0" borderId="5" xfId="0" applyNumberFormat="1" applyFont="1" applyBorder="1" applyAlignment="1">
      <alignment horizontal="center"/>
    </xf>
    <xf numFmtId="166" fontId="65" fillId="0" borderId="67" xfId="0" applyNumberFormat="1" applyFont="1" applyBorder="1" applyAlignment="1">
      <alignment horizontal="center"/>
    </xf>
    <xf numFmtId="197" fontId="99" fillId="2" borderId="5" xfId="0" applyNumberFormat="1" applyFont="1" applyFill="1" applyBorder="1" applyAlignment="1">
      <alignment horizontal="center"/>
    </xf>
    <xf numFmtId="0" fontId="100" fillId="2" borderId="5" xfId="0" applyFont="1" applyFill="1" applyBorder="1"/>
    <xf numFmtId="166" fontId="99" fillId="2" borderId="5" xfId="0" applyNumberFormat="1" applyFont="1" applyFill="1" applyBorder="1"/>
    <xf numFmtId="166" fontId="99" fillId="2" borderId="67" xfId="0" applyNumberFormat="1" applyFont="1" applyFill="1" applyBorder="1" applyAlignment="1">
      <alignment horizontal="center"/>
    </xf>
    <xf numFmtId="0" fontId="57" fillId="6" borderId="66" xfId="0" applyFont="1" applyFill="1" applyBorder="1"/>
    <xf numFmtId="3" fontId="21" fillId="6" borderId="5" xfId="0" applyNumberFormat="1" applyFont="1" applyFill="1" applyBorder="1" applyAlignment="1">
      <alignment horizontal="center"/>
    </xf>
    <xf numFmtId="0" fontId="21" fillId="6" borderId="5" xfId="0" applyFont="1" applyFill="1" applyBorder="1"/>
    <xf numFmtId="166" fontId="57" fillId="6" borderId="5" xfId="0" applyNumberFormat="1" applyFont="1" applyFill="1" applyBorder="1" applyAlignment="1">
      <alignment horizontal="center"/>
    </xf>
    <xf numFmtId="166" fontId="65" fillId="6" borderId="5" xfId="0" applyNumberFormat="1" applyFont="1" applyFill="1" applyBorder="1"/>
    <xf numFmtId="166" fontId="65" fillId="6" borderId="5" xfId="0" applyNumberFormat="1" applyFont="1" applyFill="1" applyBorder="1" applyAlignment="1">
      <alignment horizontal="center"/>
    </xf>
    <xf numFmtId="192" fontId="57" fillId="6" borderId="5" xfId="0" applyNumberFormat="1" applyFont="1" applyFill="1" applyBorder="1" applyAlignment="1">
      <alignment horizontal="center"/>
    </xf>
    <xf numFmtId="192" fontId="57" fillId="6" borderId="67" xfId="0" applyNumberFormat="1" applyFont="1" applyFill="1" applyBorder="1" applyAlignment="1">
      <alignment horizontal="center"/>
    </xf>
    <xf numFmtId="0" fontId="57" fillId="0" borderId="60" xfId="0" applyFont="1" applyBorder="1"/>
    <xf numFmtId="0" fontId="7" fillId="0" borderId="61" xfId="0" applyFont="1" applyBorder="1" applyAlignment="1">
      <alignment horizontal="center"/>
    </xf>
    <xf numFmtId="0" fontId="65" fillId="0" borderId="61" xfId="0" applyFont="1" applyBorder="1" applyAlignment="1">
      <alignment horizontal="center"/>
    </xf>
    <xf numFmtId="166" fontId="57" fillId="0" borderId="61" xfId="0" applyNumberFormat="1" applyFont="1" applyBorder="1"/>
    <xf numFmtId="0" fontId="57" fillId="0" borderId="61" xfId="0" applyFont="1" applyBorder="1" applyAlignment="1">
      <alignment horizontal="center"/>
    </xf>
    <xf numFmtId="172" fontId="57" fillId="0" borderId="61" xfId="0" applyNumberFormat="1" applyFont="1" applyBorder="1"/>
    <xf numFmtId="173" fontId="57" fillId="0" borderId="61" xfId="0" applyNumberFormat="1" applyFont="1" applyBorder="1"/>
    <xf numFmtId="0" fontId="95" fillId="19" borderId="114" xfId="0" applyFont="1" applyFill="1" applyBorder="1" applyAlignment="1">
      <alignment horizontal="left"/>
    </xf>
    <xf numFmtId="0" fontId="7" fillId="19" borderId="115" xfId="0" applyFont="1" applyFill="1" applyBorder="1" applyAlignment="1">
      <alignment horizontal="center"/>
    </xf>
    <xf numFmtId="0" fontId="65" fillId="19" borderId="115" xfId="0" applyFont="1" applyFill="1" applyBorder="1" applyAlignment="1">
      <alignment horizontal="center"/>
    </xf>
    <xf numFmtId="0" fontId="65" fillId="19" borderId="116" xfId="0" applyFont="1" applyFill="1" applyBorder="1" applyAlignment="1">
      <alignment horizontal="center"/>
    </xf>
    <xf numFmtId="166" fontId="57" fillId="19" borderId="115" xfId="0" applyNumberFormat="1" applyFont="1" applyFill="1" applyBorder="1"/>
    <xf numFmtId="0" fontId="57" fillId="19" borderId="115" xfId="0" applyFont="1" applyFill="1" applyBorder="1" applyAlignment="1">
      <alignment horizontal="center"/>
    </xf>
    <xf numFmtId="172" fontId="57" fillId="19" borderId="115" xfId="0" applyNumberFormat="1" applyFont="1" applyFill="1" applyBorder="1"/>
    <xf numFmtId="173" fontId="57" fillId="19" borderId="115" xfId="0" applyNumberFormat="1" applyFont="1" applyFill="1" applyBorder="1"/>
    <xf numFmtId="0" fontId="4" fillId="19" borderId="115" xfId="0" applyFont="1" applyFill="1" applyBorder="1"/>
    <xf numFmtId="0" fontId="4" fillId="19" borderId="116" xfId="0" applyFont="1" applyFill="1" applyBorder="1"/>
    <xf numFmtId="0" fontId="86" fillId="5" borderId="11" xfId="0" applyFont="1" applyFill="1" applyBorder="1"/>
    <xf numFmtId="0" fontId="5" fillId="0" borderId="19" xfId="0" applyFont="1" applyBorder="1"/>
    <xf numFmtId="166" fontId="5" fillId="0" borderId="19" xfId="0" applyNumberFormat="1" applyFont="1" applyBorder="1"/>
    <xf numFmtId="170" fontId="5" fillId="0" borderId="19" xfId="0" applyNumberFormat="1" applyFont="1" applyBorder="1"/>
    <xf numFmtId="0" fontId="5" fillId="0" borderId="254" xfId="0" applyFont="1" applyBorder="1"/>
    <xf numFmtId="0" fontId="101" fillId="6" borderId="69" xfId="0" applyFont="1" applyFill="1" applyBorder="1" applyAlignment="1">
      <alignment wrapText="1"/>
    </xf>
    <xf numFmtId="0" fontId="86" fillId="6" borderId="70" xfId="0" applyFont="1" applyFill="1" applyBorder="1" applyAlignment="1">
      <alignment horizontal="center" wrapText="1"/>
    </xf>
    <xf numFmtId="0" fontId="86" fillId="6" borderId="70" xfId="0" applyFont="1" applyFill="1" applyBorder="1"/>
    <xf numFmtId="0" fontId="86" fillId="6" borderId="70" xfId="0" applyFont="1" applyFill="1" applyBorder="1" applyAlignment="1">
      <alignment horizontal="center"/>
    </xf>
    <xf numFmtId="0" fontId="5" fillId="0" borderId="70" xfId="0" applyFont="1" applyBorder="1"/>
    <xf numFmtId="0" fontId="5" fillId="6" borderId="70" xfId="0" applyFont="1" applyFill="1" applyBorder="1"/>
    <xf numFmtId="0" fontId="5" fillId="6" borderId="70" xfId="0" applyFont="1" applyFill="1" applyBorder="1" applyAlignment="1">
      <alignment horizontal="center"/>
    </xf>
    <xf numFmtId="170" fontId="86" fillId="6" borderId="70" xfId="0" applyNumberFormat="1" applyFont="1" applyFill="1" applyBorder="1" applyAlignment="1">
      <alignment horizontal="center" wrapText="1"/>
    </xf>
    <xf numFmtId="0" fontId="86" fillId="6" borderId="71" xfId="0" applyFont="1" applyFill="1" applyBorder="1" applyAlignment="1">
      <alignment horizontal="center" wrapText="1"/>
    </xf>
    <xf numFmtId="0" fontId="5" fillId="0" borderId="57" xfId="0" applyFont="1" applyBorder="1" applyAlignment="1">
      <alignment vertical="center" wrapText="1"/>
    </xf>
    <xf numFmtId="0" fontId="5" fillId="0" borderId="58" xfId="0" quotePrefix="1" applyFont="1" applyBorder="1" applyAlignment="1">
      <alignment horizontal="left" wrapText="1"/>
    </xf>
    <xf numFmtId="166" fontId="5" fillId="12" borderId="58" xfId="0" applyNumberFormat="1" applyFont="1" applyFill="1" applyBorder="1" applyAlignment="1">
      <alignment horizontal="center" vertical="center" wrapText="1"/>
    </xf>
    <xf numFmtId="0" fontId="86" fillId="0" borderId="58" xfId="0" applyFont="1" applyBorder="1" applyAlignment="1">
      <alignment wrapText="1"/>
    </xf>
    <xf numFmtId="172" fontId="5" fillId="0" borderId="58" xfId="0" applyNumberFormat="1" applyFont="1" applyBorder="1"/>
    <xf numFmtId="166" fontId="5" fillId="0" borderId="58" xfId="0" applyNumberFormat="1" applyFont="1" applyBorder="1" applyAlignment="1">
      <alignment horizontal="center"/>
    </xf>
    <xf numFmtId="166" fontId="86" fillId="0" borderId="58" xfId="0" applyNumberFormat="1" applyFont="1" applyBorder="1" applyAlignment="1">
      <alignment horizontal="center" wrapText="1"/>
    </xf>
    <xf numFmtId="0" fontId="5" fillId="0" borderId="58" xfId="0" applyFont="1" applyBorder="1" applyAlignment="1">
      <alignment horizontal="center"/>
    </xf>
    <xf numFmtId="0" fontId="86" fillId="6" borderId="58" xfId="0" applyFont="1" applyFill="1" applyBorder="1" applyAlignment="1">
      <alignment horizontal="right"/>
    </xf>
    <xf numFmtId="170" fontId="86" fillId="0" borderId="58" xfId="0" applyNumberFormat="1" applyFont="1" applyBorder="1" applyAlignment="1">
      <alignment horizontal="center"/>
    </xf>
    <xf numFmtId="168" fontId="86" fillId="0" borderId="58" xfId="0" applyNumberFormat="1" applyFont="1" applyBorder="1" applyAlignment="1">
      <alignment horizontal="center"/>
    </xf>
    <xf numFmtId="168" fontId="86" fillId="6" borderId="59" xfId="0" applyNumberFormat="1" applyFont="1" applyFill="1" applyBorder="1" applyAlignment="1">
      <alignment horizontal="center"/>
    </xf>
    <xf numFmtId="0" fontId="5" fillId="0" borderId="5" xfId="0" quotePrefix="1" applyFont="1" applyBorder="1" applyAlignment="1">
      <alignment horizontal="left" wrapText="1"/>
    </xf>
    <xf numFmtId="0" fontId="5" fillId="0" borderId="5" xfId="0" applyFont="1" applyBorder="1" applyAlignment="1">
      <alignment horizontal="left" wrapText="1"/>
    </xf>
    <xf numFmtId="166" fontId="5" fillId="12" borderId="5" xfId="0" applyNumberFormat="1" applyFont="1" applyFill="1" applyBorder="1" applyAlignment="1">
      <alignment horizontal="center" vertical="center"/>
    </xf>
    <xf numFmtId="172" fontId="5" fillId="0" borderId="5" xfId="0" applyNumberFormat="1" applyFont="1" applyBorder="1"/>
    <xf numFmtId="0" fontId="86" fillId="6" borderId="5" xfId="0" applyFont="1" applyFill="1" applyBorder="1" applyAlignment="1">
      <alignment horizontal="right"/>
    </xf>
    <xf numFmtId="170" fontId="86" fillId="0" borderId="5" xfId="0" applyNumberFormat="1" applyFont="1" applyBorder="1" applyAlignment="1">
      <alignment horizontal="center"/>
    </xf>
    <xf numFmtId="168" fontId="86" fillId="0" borderId="5" xfId="0" applyNumberFormat="1" applyFont="1" applyBorder="1" applyAlignment="1">
      <alignment horizontal="center"/>
    </xf>
    <xf numFmtId="168" fontId="86" fillId="6" borderId="67" xfId="0" applyNumberFormat="1" applyFont="1" applyFill="1" applyBorder="1" applyAlignment="1">
      <alignment horizontal="center"/>
    </xf>
    <xf numFmtId="0" fontId="86" fillId="0" borderId="5" xfId="0" applyFont="1" applyBorder="1"/>
    <xf numFmtId="170" fontId="5" fillId="0" borderId="5" xfId="0" applyNumberFormat="1" applyFont="1" applyBorder="1"/>
    <xf numFmtId="166" fontId="5" fillId="12" borderId="5" xfId="0" applyNumberFormat="1" applyFont="1" applyFill="1" applyBorder="1" applyAlignment="1">
      <alignment horizontal="center" vertical="center" wrapText="1"/>
    </xf>
    <xf numFmtId="175" fontId="5" fillId="0" borderId="5" xfId="0" applyNumberFormat="1" applyFont="1" applyBorder="1"/>
    <xf numFmtId="0" fontId="5" fillId="0" borderId="66" xfId="0" applyFont="1" applyBorder="1" applyAlignment="1">
      <alignment wrapText="1"/>
    </xf>
    <xf numFmtId="0" fontId="5" fillId="0" borderId="5" xfId="0" applyFont="1" applyBorder="1" applyAlignment="1">
      <alignment vertical="top" wrapText="1"/>
    </xf>
    <xf numFmtId="0" fontId="86" fillId="6" borderId="60" xfId="0" applyFont="1" applyFill="1" applyBorder="1"/>
    <xf numFmtId="0" fontId="86" fillId="6" borderId="61" xfId="0" applyFont="1" applyFill="1" applyBorder="1"/>
    <xf numFmtId="0" fontId="5" fillId="6" borderId="61" xfId="0" applyFont="1" applyFill="1" applyBorder="1"/>
    <xf numFmtId="166" fontId="86" fillId="6" borderId="61" xfId="0" applyNumberFormat="1" applyFont="1" applyFill="1" applyBorder="1" applyAlignment="1">
      <alignment horizontal="center" vertical="center"/>
    </xf>
    <xf numFmtId="0" fontId="86" fillId="6" borderId="61" xfId="0" applyFont="1" applyFill="1" applyBorder="1" applyAlignment="1">
      <alignment horizontal="center" vertical="center"/>
    </xf>
    <xf numFmtId="166" fontId="86" fillId="6" borderId="61" xfId="0" applyNumberFormat="1" applyFont="1" applyFill="1" applyBorder="1" applyAlignment="1">
      <alignment horizontal="center" vertical="center" wrapText="1"/>
    </xf>
    <xf numFmtId="170" fontId="5" fillId="6" borderId="61" xfId="0" applyNumberFormat="1" applyFont="1" applyFill="1" applyBorder="1"/>
    <xf numFmtId="0" fontId="5" fillId="6" borderId="62" xfId="0" applyFont="1" applyFill="1" applyBorder="1"/>
    <xf numFmtId="166" fontId="86" fillId="0" borderId="0" xfId="0" applyNumberFormat="1" applyFont="1" applyAlignment="1">
      <alignment horizontal="center" vertical="center"/>
    </xf>
    <xf numFmtId="0" fontId="86" fillId="0" borderId="0" xfId="0" applyFont="1" applyAlignment="1">
      <alignment horizontal="center" vertical="center"/>
    </xf>
    <xf numFmtId="166" fontId="86" fillId="0" borderId="0" xfId="0" applyNumberFormat="1" applyFont="1" applyAlignment="1">
      <alignment horizontal="center" vertical="center" wrapText="1"/>
    </xf>
    <xf numFmtId="170" fontId="5" fillId="0" borderId="0" xfId="0" applyNumberFormat="1" applyFont="1"/>
    <xf numFmtId="0" fontId="86" fillId="5" borderId="98" xfId="0" applyFont="1" applyFill="1" applyBorder="1" applyAlignment="1">
      <alignment vertical="center"/>
    </xf>
    <xf numFmtId="1" fontId="86" fillId="5" borderId="287" xfId="0" applyNumberFormat="1" applyFont="1" applyFill="1" applyBorder="1" applyAlignment="1">
      <alignment horizontal="center"/>
    </xf>
    <xf numFmtId="166" fontId="5" fillId="0" borderId="0" xfId="0" applyNumberFormat="1" applyFont="1"/>
    <xf numFmtId="0" fontId="5" fillId="0" borderId="0" xfId="0" applyFont="1" applyAlignment="1">
      <alignment horizontal="center"/>
    </xf>
    <xf numFmtId="0" fontId="5" fillId="0" borderId="0" xfId="0" applyFont="1" applyAlignment="1">
      <alignment vertical="center"/>
    </xf>
    <xf numFmtId="0" fontId="86" fillId="6" borderId="57" xfId="0" applyFont="1" applyFill="1" applyBorder="1" applyAlignment="1">
      <alignment horizontal="left" vertical="center"/>
    </xf>
    <xf numFmtId="166" fontId="86" fillId="6" borderId="58" xfId="0" applyNumberFormat="1" applyFont="1" applyFill="1" applyBorder="1" applyAlignment="1">
      <alignment horizontal="center" vertical="center" wrapText="1"/>
    </xf>
    <xf numFmtId="166" fontId="86" fillId="6" borderId="59" xfId="0" applyNumberFormat="1" applyFont="1" applyFill="1" applyBorder="1" applyAlignment="1">
      <alignment horizontal="center" vertical="center" wrapText="1"/>
    </xf>
    <xf numFmtId="166" fontId="86" fillId="6" borderId="288" xfId="0" applyNumberFormat="1" applyFont="1" applyFill="1" applyBorder="1" applyAlignment="1">
      <alignment horizontal="center" vertical="center" wrapText="1"/>
    </xf>
    <xf numFmtId="0" fontId="86" fillId="6" borderId="58" xfId="0" applyFont="1" applyFill="1" applyBorder="1" applyAlignment="1">
      <alignment horizontal="center" vertical="center" wrapText="1"/>
    </xf>
    <xf numFmtId="0" fontId="5" fillId="6" borderId="58" xfId="0" applyFont="1" applyFill="1" applyBorder="1" applyAlignment="1">
      <alignment vertical="center"/>
    </xf>
    <xf numFmtId="0" fontId="5" fillId="6" borderId="58" xfId="0" applyFont="1" applyFill="1" applyBorder="1" applyAlignment="1">
      <alignment vertical="center" wrapText="1"/>
    </xf>
    <xf numFmtId="0" fontId="86" fillId="6" borderId="58" xfId="0" applyFont="1" applyFill="1" applyBorder="1" applyAlignment="1">
      <alignment horizontal="left" vertical="center" wrapText="1"/>
    </xf>
    <xf numFmtId="170" fontId="86" fillId="6" borderId="58" xfId="0" applyNumberFormat="1" applyFont="1" applyFill="1" applyBorder="1" applyAlignment="1">
      <alignment horizontal="center" vertical="center" wrapText="1"/>
    </xf>
    <xf numFmtId="0" fontId="86" fillId="6" borderId="59" xfId="0" applyFont="1" applyFill="1" applyBorder="1" applyAlignment="1">
      <alignment horizontal="center" vertical="center" wrapText="1"/>
    </xf>
    <xf numFmtId="0" fontId="86" fillId="0" borderId="66" xfId="0" applyFont="1" applyBorder="1" applyAlignment="1">
      <alignment horizontal="left" wrapText="1"/>
    </xf>
    <xf numFmtId="166" fontId="5" fillId="12" borderId="5" xfId="0" applyNumberFormat="1" applyFont="1" applyFill="1" applyBorder="1"/>
    <xf numFmtId="166" fontId="5" fillId="0" borderId="5" xfId="0" applyNumberFormat="1" applyFont="1" applyBorder="1"/>
    <xf numFmtId="166" fontId="102" fillId="0" borderId="67" xfId="0" applyNumberFormat="1" applyFont="1" applyBorder="1" applyAlignment="1">
      <alignment horizontal="center"/>
    </xf>
    <xf numFmtId="166" fontId="5" fillId="0" borderId="4" xfId="0" applyNumberFormat="1" applyFont="1" applyBorder="1"/>
    <xf numFmtId="9" fontId="5" fillId="0" borderId="5" xfId="0" applyNumberFormat="1" applyFont="1" applyBorder="1" applyAlignment="1">
      <alignment horizontal="center"/>
    </xf>
    <xf numFmtId="166" fontId="5" fillId="0" borderId="5" xfId="0" applyNumberFormat="1" applyFont="1" applyBorder="1" applyAlignment="1">
      <alignment horizontal="center" wrapText="1"/>
    </xf>
    <xf numFmtId="166" fontId="86" fillId="0" borderId="5" xfId="0" applyNumberFormat="1" applyFont="1" applyBorder="1" applyAlignment="1">
      <alignment horizontal="center"/>
    </xf>
    <xf numFmtId="0" fontId="5" fillId="0" borderId="5" xfId="0" applyFont="1" applyBorder="1" applyAlignment="1">
      <alignment horizontal="center" wrapText="1"/>
    </xf>
    <xf numFmtId="192" fontId="86" fillId="0" borderId="5" xfId="0" applyNumberFormat="1" applyFont="1" applyBorder="1" applyAlignment="1">
      <alignment horizontal="center"/>
    </xf>
    <xf numFmtId="192" fontId="5" fillId="0" borderId="5" xfId="0" applyNumberFormat="1" applyFont="1" applyBorder="1" applyAlignment="1">
      <alignment horizontal="center" wrapText="1"/>
    </xf>
    <xf numFmtId="168" fontId="86" fillId="6" borderId="5" xfId="0" applyNumberFormat="1" applyFont="1" applyFill="1" applyBorder="1" applyAlignment="1">
      <alignment horizontal="center"/>
    </xf>
    <xf numFmtId="0" fontId="5" fillId="6" borderId="5" xfId="0" applyFont="1" applyFill="1" applyBorder="1"/>
    <xf numFmtId="166" fontId="5" fillId="0" borderId="175" xfId="0" applyNumberFormat="1" applyFont="1" applyBorder="1" applyAlignment="1">
      <alignment horizontal="center"/>
    </xf>
    <xf numFmtId="9" fontId="5" fillId="0" borderId="61" xfId="0" applyNumberFormat="1" applyFont="1" applyBorder="1" applyAlignment="1">
      <alignment horizontal="center"/>
    </xf>
    <xf numFmtId="166" fontId="5" fillId="0" borderId="61" xfId="0" applyNumberFormat="1" applyFont="1" applyBorder="1" applyAlignment="1">
      <alignment horizontal="center" wrapText="1"/>
    </xf>
    <xf numFmtId="0" fontId="5" fillId="0" borderId="61" xfId="0" applyFont="1" applyBorder="1" applyAlignment="1">
      <alignment horizontal="center" wrapText="1"/>
    </xf>
    <xf numFmtId="0" fontId="5" fillId="0" borderId="66" xfId="0" applyFont="1" applyBorder="1" applyAlignment="1">
      <alignment horizontal="left"/>
    </xf>
    <xf numFmtId="166" fontId="5" fillId="0" borderId="0" xfId="0" applyNumberFormat="1" applyFont="1" applyAlignment="1">
      <alignment horizontal="center"/>
    </xf>
    <xf numFmtId="0" fontId="103" fillId="0" borderId="66" xfId="0" applyFont="1" applyBorder="1" applyAlignment="1">
      <alignment horizontal="left"/>
    </xf>
    <xf numFmtId="9" fontId="5" fillId="0" borderId="0" xfId="0" applyNumberFormat="1" applyFont="1" applyAlignment="1">
      <alignment horizontal="center"/>
    </xf>
    <xf numFmtId="0" fontId="91" fillId="0" borderId="66" xfId="0" applyFont="1" applyBorder="1"/>
    <xf numFmtId="9" fontId="5" fillId="0" borderId="5" xfId="0" applyNumberFormat="1" applyFont="1" applyBorder="1"/>
    <xf numFmtId="9" fontId="102" fillId="0" borderId="67" xfId="0" applyNumberFormat="1" applyFont="1" applyBorder="1"/>
    <xf numFmtId="166" fontId="103" fillId="0" borderId="5" xfId="0" applyNumberFormat="1" applyFont="1" applyBorder="1"/>
    <xf numFmtId="166" fontId="102" fillId="0" borderId="67" xfId="0" applyNumberFormat="1" applyFont="1" applyBorder="1"/>
    <xf numFmtId="166" fontId="5" fillId="0" borderId="67" xfId="0" applyNumberFormat="1" applyFont="1" applyBorder="1"/>
    <xf numFmtId="0" fontId="5" fillId="0" borderId="120" xfId="0" applyFont="1" applyBorder="1"/>
    <xf numFmtId="0" fontId="5" fillId="0" borderId="102" xfId="0" applyFont="1" applyBorder="1"/>
    <xf numFmtId="0" fontId="86" fillId="5" borderId="69" xfId="0" applyFont="1" applyFill="1" applyBorder="1" applyAlignment="1">
      <alignment vertical="center"/>
    </xf>
    <xf numFmtId="1" fontId="86" fillId="5" borderId="71" xfId="0" applyNumberFormat="1" applyFont="1" applyFill="1" applyBorder="1" applyAlignment="1">
      <alignment horizontal="center"/>
    </xf>
    <xf numFmtId="0" fontId="5" fillId="0" borderId="4" xfId="0" applyFont="1" applyBorder="1" applyAlignment="1">
      <alignment horizontal="center"/>
    </xf>
    <xf numFmtId="0" fontId="5" fillId="0" borderId="67" xfId="0" applyFont="1" applyBorder="1" applyAlignment="1">
      <alignment horizontal="center"/>
    </xf>
    <xf numFmtId="0" fontId="86" fillId="0" borderId="63" xfId="0" applyFont="1" applyBorder="1" applyAlignment="1">
      <alignment horizontal="left" vertical="center"/>
    </xf>
    <xf numFmtId="166" fontId="86" fillId="0" borderId="64" xfId="0" applyNumberFormat="1" applyFont="1" applyBorder="1" applyAlignment="1">
      <alignment horizontal="center" vertical="center" wrapText="1"/>
    </xf>
    <xf numFmtId="166" fontId="86" fillId="0" borderId="5" xfId="0" applyNumberFormat="1" applyFont="1" applyBorder="1" applyAlignment="1">
      <alignment horizontal="center" vertical="center" wrapText="1"/>
    </xf>
    <xf numFmtId="166" fontId="86" fillId="0" borderId="67" xfId="0" applyNumberFormat="1" applyFont="1" applyBorder="1" applyAlignment="1">
      <alignment horizontal="center" wrapText="1"/>
    </xf>
    <xf numFmtId="166" fontId="5" fillId="0" borderId="67" xfId="0" applyNumberFormat="1" applyFont="1" applyBorder="1" applyAlignment="1">
      <alignment horizontal="center"/>
    </xf>
    <xf numFmtId="0" fontId="91" fillId="0" borderId="60" xfId="0" applyFont="1" applyBorder="1"/>
    <xf numFmtId="166" fontId="5" fillId="0" borderId="61" xfId="0" applyNumberFormat="1" applyFont="1" applyBorder="1"/>
    <xf numFmtId="166" fontId="5" fillId="0" borderId="62" xfId="0" applyNumberFormat="1" applyFont="1" applyBorder="1"/>
    <xf numFmtId="0" fontId="95" fillId="19" borderId="289" xfId="0" applyFont="1" applyFill="1" applyBorder="1" applyAlignment="1">
      <alignment horizontal="left"/>
    </xf>
    <xf numFmtId="0" fontId="7" fillId="19" borderId="290" xfId="0" applyFont="1" applyFill="1" applyBorder="1" applyAlignment="1">
      <alignment horizontal="center"/>
    </xf>
    <xf numFmtId="0" fontId="65" fillId="19" borderId="290" xfId="0" applyFont="1" applyFill="1" applyBorder="1" applyAlignment="1">
      <alignment horizontal="center"/>
    </xf>
    <xf numFmtId="166" fontId="57" fillId="19" borderId="290" xfId="0" applyNumberFormat="1" applyFont="1" applyFill="1" applyBorder="1"/>
    <xf numFmtId="0" fontId="5" fillId="0" borderId="6" xfId="0" applyFont="1" applyBorder="1" applyAlignment="1">
      <alignment horizontal="left"/>
    </xf>
    <xf numFmtId="166" fontId="5" fillId="0" borderId="7" xfId="0" applyNumberFormat="1" applyFont="1" applyBorder="1"/>
    <xf numFmtId="0" fontId="5" fillId="0" borderId="7" xfId="0" applyFont="1" applyBorder="1" applyAlignment="1">
      <alignment horizontal="center"/>
    </xf>
    <xf numFmtId="0" fontId="5" fillId="0" borderId="7" xfId="0" applyFont="1" applyBorder="1"/>
    <xf numFmtId="0" fontId="5" fillId="6" borderId="114" xfId="0" applyFont="1" applyFill="1" applyBorder="1"/>
    <xf numFmtId="0" fontId="5" fillId="6" borderId="115" xfId="0" applyFont="1" applyFill="1" applyBorder="1"/>
    <xf numFmtId="0" fontId="86" fillId="6" borderId="115" xfId="0" applyFont="1" applyFill="1" applyBorder="1" applyAlignment="1">
      <alignment horizontal="center"/>
    </xf>
    <xf numFmtId="0" fontId="86" fillId="6" borderId="116" xfId="0" applyFont="1" applyFill="1" applyBorder="1" applyAlignment="1">
      <alignment horizontal="center"/>
    </xf>
    <xf numFmtId="0" fontId="86" fillId="0" borderId="7" xfId="0" applyFont="1" applyBorder="1" applyAlignment="1">
      <alignment horizontal="center"/>
    </xf>
    <xf numFmtId="0" fontId="86" fillId="6" borderId="69" xfId="0" applyFont="1" applyFill="1" applyBorder="1" applyAlignment="1">
      <alignment horizontal="center"/>
    </xf>
    <xf numFmtId="0" fontId="5" fillId="6" borderId="71" xfId="0" applyFont="1" applyFill="1" applyBorder="1"/>
    <xf numFmtId="0" fontId="5" fillId="0" borderId="91" xfId="0" applyFont="1" applyBorder="1"/>
    <xf numFmtId="198" fontId="4" fillId="0" borderId="0" xfId="0" applyNumberFormat="1" applyFont="1" applyAlignment="1">
      <alignment horizontal="left"/>
    </xf>
    <xf numFmtId="0" fontId="5" fillId="0" borderId="291" xfId="0" applyFont="1" applyBorder="1" applyAlignment="1">
      <alignment horizontal="center" wrapText="1"/>
    </xf>
    <xf numFmtId="166" fontId="86" fillId="0" borderId="121" xfId="0" applyNumberFormat="1" applyFont="1" applyBorder="1" applyAlignment="1">
      <alignment horizontal="center" wrapText="1"/>
    </xf>
    <xf numFmtId="0" fontId="86" fillId="0" borderId="121" xfId="0" applyFont="1" applyBorder="1" applyAlignment="1">
      <alignment horizontal="center" wrapText="1"/>
    </xf>
    <xf numFmtId="0" fontId="5" fillId="0" borderId="121" xfId="0" applyFont="1" applyBorder="1"/>
    <xf numFmtId="0" fontId="5" fillId="0" borderId="292" xfId="0" applyFont="1" applyBorder="1" applyAlignment="1">
      <alignment horizontal="center" wrapText="1"/>
    </xf>
    <xf numFmtId="0" fontId="86" fillId="6" borderId="69" xfId="0" applyFont="1" applyFill="1" applyBorder="1" applyAlignment="1">
      <alignment horizontal="center" wrapText="1"/>
    </xf>
    <xf numFmtId="0" fontId="5" fillId="6" borderId="70" xfId="0" applyFont="1" applyFill="1" applyBorder="1" applyAlignment="1">
      <alignment horizontal="center" wrapText="1"/>
    </xf>
    <xf numFmtId="0" fontId="5" fillId="0" borderId="293" xfId="0" applyFont="1" applyBorder="1" applyAlignment="1">
      <alignment horizontal="center" wrapText="1"/>
    </xf>
    <xf numFmtId="0" fontId="5" fillId="0" borderId="121" xfId="0" applyFont="1" applyBorder="1" applyAlignment="1">
      <alignment horizontal="center" wrapText="1"/>
    </xf>
    <xf numFmtId="0" fontId="5" fillId="0" borderId="122" xfId="0" applyFont="1" applyBorder="1"/>
    <xf numFmtId="0" fontId="25" fillId="0" borderId="0" xfId="0" applyFont="1" applyAlignment="1">
      <alignment horizontal="center" vertical="top" wrapText="1"/>
    </xf>
    <xf numFmtId="0" fontId="86" fillId="0" borderId="57" xfId="0" applyFont="1" applyBorder="1"/>
    <xf numFmtId="0" fontId="86" fillId="0" borderId="58" xfId="0" applyFont="1" applyBorder="1" applyAlignment="1">
      <alignment horizontal="center" vertical="center" wrapText="1"/>
    </xf>
    <xf numFmtId="0" fontId="5" fillId="0" borderId="58" xfId="0" applyFont="1" applyBorder="1" applyAlignment="1">
      <alignment horizontal="center" wrapText="1"/>
    </xf>
    <xf numFmtId="0" fontId="5" fillId="0" borderId="58" xfId="0" applyFont="1" applyBorder="1" applyAlignment="1">
      <alignment horizontal="left"/>
    </xf>
    <xf numFmtId="0" fontId="5" fillId="0" borderId="64" xfId="0" applyFont="1" applyBorder="1" applyAlignment="1">
      <alignment horizontal="center" wrapText="1"/>
    </xf>
    <xf numFmtId="0" fontId="5" fillId="0" borderId="64" xfId="0" applyFont="1" applyBorder="1" applyAlignment="1">
      <alignment horizontal="left"/>
    </xf>
    <xf numFmtId="0" fontId="5" fillId="0" borderId="65" xfId="0" applyFont="1" applyBorder="1" applyAlignment="1">
      <alignment horizontal="center" wrapText="1"/>
    </xf>
    <xf numFmtId="0" fontId="5" fillId="0" borderId="63" xfId="0" applyFont="1" applyBorder="1" applyAlignment="1">
      <alignment horizontal="center" wrapText="1"/>
    </xf>
    <xf numFmtId="0" fontId="5" fillId="0" borderId="64" xfId="0" applyFont="1" applyBorder="1"/>
    <xf numFmtId="9" fontId="25" fillId="0" borderId="296" xfId="0" applyNumberFormat="1" applyFont="1" applyBorder="1" applyAlignment="1">
      <alignment horizontal="left" wrapText="1"/>
    </xf>
    <xf numFmtId="9" fontId="25" fillId="0" borderId="297" xfId="0" applyNumberFormat="1" applyFont="1" applyBorder="1" applyAlignment="1">
      <alignment horizontal="center" wrapText="1"/>
    </xf>
    <xf numFmtId="9" fontId="25" fillId="0" borderId="298" xfId="0" applyNumberFormat="1" applyFont="1" applyBorder="1" applyAlignment="1">
      <alignment horizontal="center" wrapText="1"/>
    </xf>
    <xf numFmtId="0" fontId="25" fillId="0" borderId="296" xfId="0" applyFont="1" applyBorder="1" applyAlignment="1">
      <alignment horizontal="center" wrapText="1"/>
    </xf>
    <xf numFmtId="9" fontId="25" fillId="0" borderId="296" xfId="0" applyNumberFormat="1" applyFont="1" applyBorder="1" applyAlignment="1">
      <alignment horizontal="center" wrapText="1"/>
    </xf>
    <xf numFmtId="0" fontId="25" fillId="0" borderId="95" xfId="0" applyFont="1" applyBorder="1" applyAlignment="1">
      <alignment horizontal="center" wrapText="1"/>
    </xf>
    <xf numFmtId="0" fontId="25" fillId="0" borderId="297" xfId="0" applyFont="1" applyBorder="1" applyAlignment="1">
      <alignment horizontal="center" wrapText="1"/>
    </xf>
    <xf numFmtId="0" fontId="25" fillId="0" borderId="298" xfId="0" applyFont="1" applyBorder="1" applyAlignment="1">
      <alignment horizontal="center" wrapText="1"/>
    </xf>
    <xf numFmtId="0" fontId="25" fillId="0" borderId="297" xfId="0" applyFont="1" applyBorder="1" applyAlignment="1">
      <alignment horizontal="center" vertical="center" wrapText="1"/>
    </xf>
    <xf numFmtId="0" fontId="25" fillId="0" borderId="298" xfId="0" applyFont="1" applyBorder="1" applyAlignment="1">
      <alignment horizontal="center" vertical="center" wrapText="1"/>
    </xf>
    <xf numFmtId="0" fontId="25" fillId="0" borderId="222" xfId="0" applyFont="1" applyBorder="1" applyAlignment="1">
      <alignment horizontal="center" wrapText="1"/>
    </xf>
    <xf numFmtId="0" fontId="25" fillId="0" borderId="238" xfId="0" applyFont="1" applyBorder="1" applyAlignment="1">
      <alignment horizontal="center" wrapText="1"/>
    </xf>
    <xf numFmtId="0" fontId="25" fillId="0" borderId="221" xfId="0" applyFont="1" applyBorder="1" applyAlignment="1">
      <alignment horizontal="center" wrapText="1"/>
    </xf>
    <xf numFmtId="199" fontId="102" fillId="0" borderId="66" xfId="0" applyNumberFormat="1" applyFont="1" applyBorder="1" applyAlignment="1">
      <alignment horizontal="left"/>
    </xf>
    <xf numFmtId="3" fontId="5" fillId="0" borderId="5" xfId="0" applyNumberFormat="1" applyFont="1" applyBorder="1" applyAlignment="1">
      <alignment horizontal="center"/>
    </xf>
    <xf numFmtId="166" fontId="5" fillId="0" borderId="5" xfId="0" applyNumberFormat="1" applyFont="1" applyBorder="1" applyAlignment="1">
      <alignment horizontal="right"/>
    </xf>
    <xf numFmtId="9" fontId="4" fillId="0" borderId="299" xfId="0" applyNumberFormat="1" applyFont="1" applyBorder="1" applyAlignment="1">
      <alignment horizontal="left" vertical="top" wrapText="1"/>
    </xf>
    <xf numFmtId="9" fontId="4" fillId="0" borderId="300" xfId="0" applyNumberFormat="1" applyFont="1" applyBorder="1" applyAlignment="1">
      <alignment horizontal="center"/>
    </xf>
    <xf numFmtId="9" fontId="4" fillId="0" borderId="301" xfId="0" applyNumberFormat="1" applyFont="1" applyBorder="1" applyAlignment="1">
      <alignment horizontal="center"/>
    </xf>
    <xf numFmtId="10" fontId="4" fillId="0" borderId="301" xfId="0" applyNumberFormat="1" applyFont="1" applyBorder="1" applyAlignment="1">
      <alignment horizontal="center"/>
    </xf>
    <xf numFmtId="9" fontId="4" fillId="0" borderId="300" xfId="0" applyNumberFormat="1" applyFont="1" applyBorder="1" applyAlignment="1">
      <alignment horizontal="center" vertical="top" wrapText="1"/>
    </xf>
    <xf numFmtId="0" fontId="4" fillId="0" borderId="299" xfId="0" applyFont="1" applyBorder="1" applyAlignment="1">
      <alignment horizontal="center"/>
    </xf>
    <xf numFmtId="0" fontId="5" fillId="0" borderId="113" xfId="0" applyFont="1" applyBorder="1"/>
    <xf numFmtId="9" fontId="5" fillId="0" borderId="273" xfId="0" applyNumberFormat="1" applyFont="1" applyBorder="1"/>
    <xf numFmtId="0" fontId="5" fillId="0" borderId="299" xfId="0" applyFont="1" applyBorder="1"/>
    <xf numFmtId="9" fontId="5" fillId="0" borderId="300" xfId="0" applyNumberFormat="1" applyFont="1" applyBorder="1"/>
    <xf numFmtId="9" fontId="5" fillId="0" borderId="301" xfId="0" applyNumberFormat="1" applyFont="1" applyBorder="1"/>
    <xf numFmtId="0" fontId="5" fillId="0" borderId="300" xfId="0" applyFont="1" applyBorder="1"/>
    <xf numFmtId="166" fontId="5" fillId="0" borderId="102" xfId="0" applyNumberFormat="1" applyFont="1" applyBorder="1" applyAlignment="1">
      <alignment horizontal="right"/>
    </xf>
    <xf numFmtId="0" fontId="86" fillId="0" borderId="102" xfId="0" applyFont="1" applyBorder="1"/>
    <xf numFmtId="0" fontId="5" fillId="0" borderId="129" xfId="0" applyFont="1" applyBorder="1"/>
    <xf numFmtId="0" fontId="86" fillId="0" borderId="66" xfId="0" applyFont="1" applyBorder="1"/>
    <xf numFmtId="170" fontId="5" fillId="0" borderId="5" xfId="0" applyNumberFormat="1" applyFont="1" applyBorder="1" applyAlignment="1">
      <alignment horizontal="center"/>
    </xf>
    <xf numFmtId="166" fontId="86" fillId="6" borderId="70" xfId="0" applyNumberFormat="1" applyFont="1" applyFill="1" applyBorder="1" applyAlignment="1">
      <alignment horizontal="right"/>
    </xf>
    <xf numFmtId="0" fontId="5" fillId="0" borderId="5" xfId="0" applyFont="1" applyBorder="1" applyAlignment="1">
      <alignment horizontal="right"/>
    </xf>
    <xf numFmtId="0" fontId="86" fillId="0" borderId="66" xfId="0" applyFont="1" applyBorder="1" applyAlignment="1">
      <alignment horizontal="left"/>
    </xf>
    <xf numFmtId="166" fontId="5" fillId="0" borderId="64" xfId="0" applyNumberFormat="1" applyFont="1" applyBorder="1" applyAlignment="1">
      <alignment horizontal="right"/>
    </xf>
    <xf numFmtId="0" fontId="5" fillId="0" borderId="65" xfId="0" applyFont="1" applyBorder="1"/>
    <xf numFmtId="166" fontId="5" fillId="0" borderId="127" xfId="0" applyNumberFormat="1" applyFont="1" applyBorder="1" applyAlignment="1">
      <alignment horizontal="right"/>
    </xf>
    <xf numFmtId="0" fontId="5" fillId="0" borderId="127" xfId="0" applyFont="1" applyBorder="1"/>
    <xf numFmtId="0" fontId="86" fillId="0" borderId="127" xfId="0" applyFont="1" applyBorder="1"/>
    <xf numFmtId="0" fontId="5" fillId="0" borderId="124" xfId="0" applyFont="1" applyBorder="1"/>
    <xf numFmtId="9" fontId="5" fillId="0" borderId="130" xfId="0" applyNumberFormat="1" applyFont="1" applyBorder="1"/>
    <xf numFmtId="0" fontId="5" fillId="0" borderId="130" xfId="0" applyFont="1" applyBorder="1"/>
    <xf numFmtId="0" fontId="5" fillId="0" borderId="131" xfId="0" applyFont="1" applyBorder="1"/>
    <xf numFmtId="170" fontId="5" fillId="19" borderId="5" xfId="0" applyNumberFormat="1" applyFont="1" applyFill="1" applyBorder="1" applyAlignment="1">
      <alignment horizontal="center"/>
    </xf>
    <xf numFmtId="0" fontId="5" fillId="0" borderId="75" xfId="0" applyFont="1" applyBorder="1"/>
    <xf numFmtId="9" fontId="5" fillId="0" borderId="0" xfId="0" applyNumberFormat="1" applyFont="1"/>
    <xf numFmtId="0" fontId="5" fillId="0" borderId="75" xfId="0" applyFont="1" applyBorder="1" applyAlignment="1">
      <alignment horizontal="left"/>
    </xf>
    <xf numFmtId="0" fontId="86" fillId="0" borderId="75" xfId="0" applyFont="1" applyBorder="1" applyAlignment="1">
      <alignment horizontal="left"/>
    </xf>
    <xf numFmtId="166" fontId="5" fillId="6" borderId="61" xfId="0" applyNumberFormat="1" applyFont="1" applyFill="1" applyBorder="1" applyAlignment="1">
      <alignment horizontal="center"/>
    </xf>
    <xf numFmtId="0" fontId="5" fillId="6" borderId="61" xfId="0" applyFont="1" applyFill="1" applyBorder="1" applyAlignment="1">
      <alignment horizontal="center"/>
    </xf>
    <xf numFmtId="166" fontId="86" fillId="6" borderId="61" xfId="0" applyNumberFormat="1" applyFont="1" applyFill="1" applyBorder="1" applyAlignment="1">
      <alignment horizontal="center"/>
    </xf>
    <xf numFmtId="3" fontId="86" fillId="6" borderId="61" xfId="0" applyNumberFormat="1" applyFont="1" applyFill="1" applyBorder="1" applyAlignment="1">
      <alignment horizontal="center"/>
    </xf>
    <xf numFmtId="166" fontId="86" fillId="6" borderId="62" xfId="0" applyNumberFormat="1" applyFont="1" applyFill="1" applyBorder="1" applyAlignment="1">
      <alignment horizontal="center"/>
    </xf>
    <xf numFmtId="0" fontId="5" fillId="0" borderId="35" xfId="0" applyFont="1" applyBorder="1"/>
    <xf numFmtId="0" fontId="86" fillId="0" borderId="302" xfId="0" applyFont="1" applyBorder="1"/>
    <xf numFmtId="166" fontId="5" fillId="0" borderId="127" xfId="0" applyNumberFormat="1" applyFont="1" applyBorder="1" applyAlignment="1">
      <alignment horizontal="center"/>
    </xf>
    <xf numFmtId="0" fontId="5" fillId="0" borderId="127" xfId="0" applyFont="1" applyBorder="1" applyAlignment="1">
      <alignment horizontal="center"/>
    </xf>
    <xf numFmtId="0" fontId="86" fillId="0" borderId="127" xfId="0" applyFont="1" applyBorder="1" applyAlignment="1">
      <alignment horizontal="center"/>
    </xf>
    <xf numFmtId="0" fontId="5" fillId="0" borderId="277" xfId="0" applyFont="1" applyBorder="1"/>
    <xf numFmtId="0" fontId="5" fillId="0" borderId="86" xfId="0" applyFont="1" applyBorder="1"/>
    <xf numFmtId="0" fontId="86" fillId="5" borderId="69" xfId="0" applyFont="1" applyFill="1" applyBorder="1"/>
    <xf numFmtId="166" fontId="5" fillId="5" borderId="70" xfId="0" applyNumberFormat="1" applyFont="1" applyFill="1" applyBorder="1"/>
    <xf numFmtId="0" fontId="5" fillId="5" borderId="70" xfId="0" applyFont="1" applyFill="1" applyBorder="1"/>
    <xf numFmtId="0" fontId="86" fillId="5" borderId="70" xfId="0" applyFont="1" applyFill="1" applyBorder="1" applyAlignment="1">
      <alignment horizontal="center"/>
    </xf>
    <xf numFmtId="0" fontId="5" fillId="5" borderId="71" xfId="0" applyFont="1" applyFill="1" applyBorder="1"/>
    <xf numFmtId="0" fontId="5" fillId="0" borderId="63" xfId="0" applyFont="1" applyBorder="1"/>
    <xf numFmtId="166" fontId="86" fillId="0" borderId="64" xfId="0" applyNumberFormat="1" applyFont="1" applyBorder="1" applyAlignment="1">
      <alignment horizontal="center" vertical="center"/>
    </xf>
    <xf numFmtId="0" fontId="86" fillId="0" borderId="64" xfId="0" applyFont="1" applyBorder="1" applyAlignment="1">
      <alignment horizontal="center" vertical="center"/>
    </xf>
    <xf numFmtId="0" fontId="5" fillId="0" borderId="64" xfId="0" applyFont="1" applyBorder="1" applyAlignment="1">
      <alignment horizontal="center"/>
    </xf>
    <xf numFmtId="0" fontId="86" fillId="6" borderId="143" xfId="0" applyFont="1" applyFill="1" applyBorder="1" applyAlignment="1">
      <alignment horizontal="center" vertical="center" wrapText="1"/>
    </xf>
    <xf numFmtId="0" fontId="86" fillId="6" borderId="143" xfId="0" applyFont="1" applyFill="1" applyBorder="1"/>
    <xf numFmtId="0" fontId="86" fillId="6" borderId="188" xfId="0" applyFont="1" applyFill="1" applyBorder="1" applyAlignment="1">
      <alignment horizontal="center"/>
    </xf>
    <xf numFmtId="0" fontId="86" fillId="6" borderId="126" xfId="0" applyFont="1" applyFill="1" applyBorder="1" applyAlignment="1">
      <alignment horizontal="center" vertical="center" wrapText="1"/>
    </xf>
    <xf numFmtId="0" fontId="86" fillId="6" borderId="126" xfId="0" applyFont="1" applyFill="1" applyBorder="1"/>
    <xf numFmtId="0" fontId="86" fillId="6" borderId="21" xfId="0" applyFont="1" applyFill="1" applyBorder="1" applyAlignment="1">
      <alignment horizontal="center"/>
    </xf>
    <xf numFmtId="0" fontId="86" fillId="6" borderId="303" xfId="0" applyFont="1" applyFill="1" applyBorder="1" applyAlignment="1">
      <alignment horizontal="center" vertical="center" wrapText="1"/>
    </xf>
    <xf numFmtId="0" fontId="101" fillId="0" borderId="5" xfId="0" applyFont="1" applyBorder="1" applyAlignment="1">
      <alignment horizontal="center"/>
    </xf>
    <xf numFmtId="166" fontId="101" fillId="0" borderId="5" xfId="0" applyNumberFormat="1" applyFont="1" applyBorder="1" applyAlignment="1">
      <alignment horizontal="center"/>
    </xf>
    <xf numFmtId="0" fontId="101" fillId="0" borderId="5" xfId="0" applyFont="1" applyBorder="1"/>
    <xf numFmtId="192" fontId="101" fillId="0" borderId="5" xfId="0" applyNumberFormat="1" applyFont="1" applyBorder="1" applyAlignment="1">
      <alignment horizontal="center"/>
    </xf>
    <xf numFmtId="0" fontId="103" fillId="0" borderId="5" xfId="0" applyFont="1" applyBorder="1"/>
    <xf numFmtId="0" fontId="101" fillId="0" borderId="2" xfId="0" applyFont="1" applyBorder="1" applyAlignment="1">
      <alignment horizontal="right" vertical="center"/>
    </xf>
    <xf numFmtId="0" fontId="86" fillId="0" borderId="5" xfId="0" applyFont="1" applyBorder="1" applyAlignment="1">
      <alignment horizontal="right"/>
    </xf>
    <xf numFmtId="192" fontId="5" fillId="0" borderId="5" xfId="0" applyNumberFormat="1" applyFont="1" applyBorder="1" applyAlignment="1">
      <alignment horizontal="center"/>
    </xf>
    <xf numFmtId="0" fontId="5" fillId="0" borderId="2" xfId="0" applyFont="1" applyBorder="1" applyAlignment="1">
      <alignment horizontal="right"/>
    </xf>
    <xf numFmtId="0" fontId="5" fillId="0" borderId="3" xfId="0" applyFont="1" applyBorder="1"/>
    <xf numFmtId="0" fontId="103" fillId="0" borderId="5" xfId="0" applyFont="1" applyBorder="1" applyAlignment="1">
      <alignment horizontal="center"/>
    </xf>
    <xf numFmtId="0" fontId="5" fillId="0" borderId="2" xfId="0" applyFont="1" applyBorder="1"/>
    <xf numFmtId="0" fontId="5" fillId="0" borderId="3" xfId="0" applyFont="1" applyBorder="1" applyAlignment="1">
      <alignment horizontal="center"/>
    </xf>
    <xf numFmtId="0" fontId="5" fillId="0" borderId="77" xfId="0" applyFont="1" applyBorder="1"/>
    <xf numFmtId="0" fontId="86" fillId="0" borderId="60" xfId="0" applyFont="1" applyBorder="1" applyAlignment="1">
      <alignment horizontal="left" wrapText="1"/>
    </xf>
    <xf numFmtId="0" fontId="86" fillId="0" borderId="61" xfId="0" applyFont="1" applyBorder="1" applyAlignment="1">
      <alignment horizontal="right" wrapText="1"/>
    </xf>
    <xf numFmtId="0" fontId="5" fillId="0" borderId="61" xfId="0" applyFont="1" applyBorder="1" applyAlignment="1">
      <alignment horizontal="center"/>
    </xf>
    <xf numFmtId="166" fontId="86" fillId="0" borderId="61" xfId="0" applyNumberFormat="1" applyFont="1" applyBorder="1" applyAlignment="1">
      <alignment horizontal="center"/>
    </xf>
    <xf numFmtId="192" fontId="86" fillId="0" borderId="61" xfId="0" applyNumberFormat="1" applyFont="1" applyBorder="1" applyAlignment="1">
      <alignment horizontal="center"/>
    </xf>
    <xf numFmtId="0" fontId="5" fillId="0" borderId="118" xfId="0" applyFont="1" applyBorder="1"/>
    <xf numFmtId="0" fontId="5" fillId="0" borderId="19" xfId="0" applyFont="1" applyBorder="1" applyAlignment="1">
      <alignment horizontal="center"/>
    </xf>
    <xf numFmtId="0" fontId="86" fillId="0" borderId="0" xfId="0" applyFont="1" applyAlignment="1">
      <alignment horizontal="left" wrapText="1"/>
    </xf>
    <xf numFmtId="0" fontId="86" fillId="0" borderId="0" xfId="0" applyFont="1" applyAlignment="1">
      <alignment horizontal="right" wrapText="1"/>
    </xf>
    <xf numFmtId="166" fontId="86" fillId="0" borderId="0" xfId="0" applyNumberFormat="1" applyFont="1" applyAlignment="1">
      <alignment horizontal="center"/>
    </xf>
    <xf numFmtId="192" fontId="86" fillId="0" borderId="0" xfId="0" applyNumberFormat="1" applyFont="1" applyAlignment="1">
      <alignment horizontal="center"/>
    </xf>
    <xf numFmtId="0" fontId="12" fillId="19" borderId="57" xfId="0" applyFont="1" applyFill="1" applyBorder="1"/>
    <xf numFmtId="0" fontId="4" fillId="19" borderId="125" xfId="0" applyFont="1" applyFill="1" applyBorder="1"/>
    <xf numFmtId="0" fontId="104" fillId="0" borderId="0" xfId="0" applyFont="1"/>
    <xf numFmtId="0" fontId="86" fillId="6" borderId="66" xfId="0" applyFont="1" applyFill="1" applyBorder="1" applyAlignment="1">
      <alignment horizontal="left"/>
    </xf>
    <xf numFmtId="0" fontId="86" fillId="6" borderId="5" xfId="0" applyFont="1" applyFill="1" applyBorder="1" applyAlignment="1">
      <alignment horizontal="center"/>
    </xf>
    <xf numFmtId="0" fontId="86" fillId="6" borderId="5" xfId="0" applyFont="1" applyFill="1" applyBorder="1" applyAlignment="1">
      <alignment horizontal="center" wrapText="1"/>
    </xf>
    <xf numFmtId="0" fontId="86" fillId="6" borderId="5" xfId="0" applyFont="1" applyFill="1" applyBorder="1"/>
    <xf numFmtId="166" fontId="86" fillId="6" borderId="5" xfId="0" applyNumberFormat="1" applyFont="1" applyFill="1" applyBorder="1" applyAlignment="1">
      <alignment horizontal="center" wrapText="1"/>
    </xf>
    <xf numFmtId="0" fontId="86" fillId="6" borderId="191" xfId="0" applyFont="1" applyFill="1" applyBorder="1" applyAlignment="1">
      <alignment horizontal="center" wrapText="1"/>
    </xf>
    <xf numFmtId="0" fontId="5" fillId="0" borderId="5" xfId="0" quotePrefix="1" applyFont="1" applyBorder="1"/>
    <xf numFmtId="3" fontId="5" fillId="19" borderId="5" xfId="0" applyNumberFormat="1" applyFont="1" applyFill="1" applyBorder="1" applyAlignment="1">
      <alignment horizontal="center"/>
    </xf>
    <xf numFmtId="173" fontId="5" fillId="0" borderId="5" xfId="0" applyNumberFormat="1" applyFont="1" applyBorder="1"/>
    <xf numFmtId="168" fontId="5" fillId="0" borderId="5" xfId="0" applyNumberFormat="1" applyFont="1" applyBorder="1" applyAlignment="1">
      <alignment horizontal="center"/>
    </xf>
    <xf numFmtId="43" fontId="65" fillId="0" borderId="5" xfId="0" applyNumberFormat="1" applyFont="1" applyBorder="1" applyAlignment="1">
      <alignment horizontal="center"/>
    </xf>
    <xf numFmtId="43" fontId="5" fillId="0" borderId="5" xfId="0" applyNumberFormat="1" applyFont="1" applyBorder="1" applyAlignment="1">
      <alignment horizontal="center"/>
    </xf>
    <xf numFmtId="193" fontId="5" fillId="0" borderId="5" xfId="0" applyNumberFormat="1" applyFont="1" applyBorder="1" applyAlignment="1">
      <alignment horizontal="center"/>
    </xf>
    <xf numFmtId="193" fontId="5" fillId="0" borderId="2" xfId="0" applyNumberFormat="1" applyFont="1" applyBorder="1" applyAlignment="1">
      <alignment horizontal="center"/>
    </xf>
    <xf numFmtId="170" fontId="5" fillId="11" borderId="5" xfId="0" applyNumberFormat="1" applyFont="1" applyFill="1" applyBorder="1"/>
    <xf numFmtId="43" fontId="5" fillId="11" borderId="5" xfId="0" applyNumberFormat="1" applyFont="1" applyFill="1" applyBorder="1"/>
    <xf numFmtId="2" fontId="5" fillId="11" borderId="5" xfId="0" applyNumberFormat="1" applyFont="1" applyFill="1" applyBorder="1" applyAlignment="1">
      <alignment horizontal="center"/>
    </xf>
    <xf numFmtId="173" fontId="5" fillId="11" borderId="5" xfId="0" applyNumberFormat="1" applyFont="1" applyFill="1" applyBorder="1"/>
    <xf numFmtId="167" fontId="5" fillId="11" borderId="5" xfId="0" applyNumberFormat="1" applyFont="1" applyFill="1" applyBorder="1"/>
    <xf numFmtId="168" fontId="5" fillId="11" borderId="5" xfId="0" applyNumberFormat="1" applyFont="1" applyFill="1" applyBorder="1" applyAlignment="1">
      <alignment horizontal="center"/>
    </xf>
    <xf numFmtId="166" fontId="86" fillId="6" borderId="61" xfId="0" applyNumberFormat="1" applyFont="1" applyFill="1" applyBorder="1"/>
    <xf numFmtId="0" fontId="86" fillId="6" borderId="61" xfId="0" applyFont="1" applyFill="1" applyBorder="1" applyAlignment="1">
      <alignment horizontal="center"/>
    </xf>
    <xf numFmtId="173" fontId="86" fillId="6" borderId="61" xfId="0" applyNumberFormat="1" applyFont="1" applyFill="1" applyBorder="1"/>
    <xf numFmtId="173" fontId="86" fillId="6" borderId="304" xfId="0" applyNumberFormat="1" applyFont="1" applyFill="1" applyBorder="1"/>
    <xf numFmtId="0" fontId="12" fillId="19" borderId="288" xfId="0" applyFont="1" applyFill="1" applyBorder="1"/>
    <xf numFmtId="0" fontId="4" fillId="0" borderId="91" xfId="0" applyFont="1" applyBorder="1"/>
    <xf numFmtId="0" fontId="104" fillId="0" borderId="75" xfId="0" applyFont="1" applyBorder="1"/>
    <xf numFmtId="0" fontId="86" fillId="6" borderId="274" xfId="0" applyFont="1" applyFill="1" applyBorder="1" applyAlignment="1">
      <alignment horizontal="left"/>
    </xf>
    <xf numFmtId="0" fontId="86" fillId="6" borderId="67" xfId="0" applyFont="1" applyFill="1" applyBorder="1" applyAlignment="1">
      <alignment horizontal="center" wrapText="1"/>
    </xf>
    <xf numFmtId="0" fontId="5" fillId="0" borderId="4" xfId="0" applyFont="1" applyBorder="1"/>
    <xf numFmtId="0" fontId="5" fillId="0" borderId="4" xfId="0" applyFont="1" applyBorder="1" applyAlignment="1">
      <alignment horizontal="left"/>
    </xf>
    <xf numFmtId="166" fontId="5" fillId="19" borderId="5" xfId="0" applyNumberFormat="1" applyFont="1" applyFill="1" applyBorder="1" applyAlignment="1">
      <alignment horizontal="center"/>
    </xf>
    <xf numFmtId="167" fontId="65" fillId="0" borderId="5" xfId="0" applyNumberFormat="1" applyFont="1" applyBorder="1"/>
    <xf numFmtId="176" fontId="5" fillId="0" borderId="5" xfId="0" applyNumberFormat="1" applyFont="1" applyBorder="1"/>
    <xf numFmtId="176" fontId="5" fillId="0" borderId="67" xfId="0" applyNumberFormat="1" applyFont="1" applyBorder="1"/>
    <xf numFmtId="166" fontId="5" fillId="2" borderId="5" xfId="0" applyNumberFormat="1" applyFont="1" applyFill="1" applyBorder="1" applyAlignment="1">
      <alignment horizontal="center"/>
    </xf>
    <xf numFmtId="0" fontId="86" fillId="0" borderId="4" xfId="0" applyFont="1" applyBorder="1"/>
    <xf numFmtId="167" fontId="5" fillId="0" borderId="5" xfId="0" applyNumberFormat="1" applyFont="1" applyBorder="1"/>
    <xf numFmtId="0" fontId="86" fillId="6" borderId="274" xfId="0" applyFont="1" applyFill="1" applyBorder="1"/>
    <xf numFmtId="0" fontId="5" fillId="6" borderId="5" xfId="0" applyFont="1" applyFill="1" applyBorder="1" applyAlignment="1">
      <alignment horizontal="center"/>
    </xf>
    <xf numFmtId="166" fontId="86" fillId="6" borderId="5" xfId="0" applyNumberFormat="1" applyFont="1" applyFill="1" applyBorder="1"/>
    <xf numFmtId="173" fontId="86" fillId="6" borderId="5" xfId="0" applyNumberFormat="1" applyFont="1" applyFill="1" applyBorder="1"/>
    <xf numFmtId="43" fontId="86" fillId="6" borderId="5" xfId="0" applyNumberFormat="1" applyFont="1" applyFill="1" applyBorder="1"/>
    <xf numFmtId="167" fontId="86" fillId="6" borderId="5" xfId="0" applyNumberFormat="1" applyFont="1" applyFill="1" applyBorder="1"/>
    <xf numFmtId="175" fontId="86" fillId="6" borderId="5" xfId="0" applyNumberFormat="1" applyFont="1" applyFill="1" applyBorder="1"/>
    <xf numFmtId="175" fontId="86" fillId="6" borderId="67" xfId="0" applyNumberFormat="1" applyFont="1" applyFill="1" applyBorder="1"/>
    <xf numFmtId="0" fontId="57" fillId="0" borderId="175" xfId="0" applyFont="1" applyBorder="1"/>
    <xf numFmtId="0" fontId="63" fillId="19" borderId="114" xfId="0" applyFont="1" applyFill="1" applyBorder="1" applyAlignment="1">
      <alignment horizontal="left"/>
    </xf>
    <xf numFmtId="0" fontId="63" fillId="19" borderId="115" xfId="0" applyFont="1" applyFill="1" applyBorder="1" applyAlignment="1">
      <alignment horizontal="center"/>
    </xf>
    <xf numFmtId="0" fontId="63" fillId="19" borderId="116" xfId="0" applyFont="1" applyFill="1" applyBorder="1" applyAlignment="1">
      <alignment horizontal="center"/>
    </xf>
    <xf numFmtId="0" fontId="64" fillId="6" borderId="160" xfId="0" applyFont="1" applyFill="1" applyBorder="1"/>
    <xf numFmtId="0" fontId="64" fillId="6" borderId="157" xfId="0" applyFont="1" applyFill="1" applyBorder="1" applyAlignment="1">
      <alignment horizontal="center" wrapText="1"/>
    </xf>
    <xf numFmtId="0" fontId="63" fillId="6" borderId="157" xfId="0" applyFont="1" applyFill="1" applyBorder="1"/>
    <xf numFmtId="0" fontId="64" fillId="6" borderId="305" xfId="0" applyFont="1" applyFill="1" applyBorder="1" applyAlignment="1">
      <alignment horizontal="center" vertical="center" wrapText="1"/>
    </xf>
    <xf numFmtId="0" fontId="63" fillId="0" borderId="137" xfId="0" applyFont="1" applyBorder="1"/>
    <xf numFmtId="173" fontId="63" fillId="0" borderId="5" xfId="0" applyNumberFormat="1" applyFont="1" applyBorder="1"/>
    <xf numFmtId="185" fontId="63" fillId="0" borderId="5" xfId="0" applyNumberFormat="1" applyFont="1" applyBorder="1"/>
    <xf numFmtId="173" fontId="63" fillId="0" borderId="67" xfId="0" applyNumberFormat="1" applyFont="1" applyBorder="1" applyAlignment="1">
      <alignment horizontal="center"/>
    </xf>
    <xf numFmtId="167" fontId="63" fillId="0" borderId="5" xfId="0" applyNumberFormat="1" applyFont="1" applyBorder="1"/>
    <xf numFmtId="0" fontId="64" fillId="6" borderId="137" xfId="0" applyFont="1" applyFill="1" applyBorder="1"/>
    <xf numFmtId="167" fontId="64" fillId="6" borderId="5" xfId="0" applyNumberFormat="1" applyFont="1" applyFill="1" applyBorder="1"/>
    <xf numFmtId="173" fontId="64" fillId="6" borderId="67" xfId="0" applyNumberFormat="1" applyFont="1" applyFill="1" applyBorder="1" applyAlignment="1">
      <alignment horizontal="center"/>
    </xf>
    <xf numFmtId="0" fontId="64" fillId="0" borderId="137" xfId="0" applyFont="1" applyBorder="1"/>
    <xf numFmtId="0" fontId="63" fillId="0" borderId="5" xfId="0" applyFont="1" applyBorder="1"/>
    <xf numFmtId="0" fontId="63" fillId="0" borderId="67" xfId="0" applyFont="1" applyBorder="1" applyAlignment="1">
      <alignment horizontal="center"/>
    </xf>
    <xf numFmtId="0" fontId="64" fillId="6" borderId="137" xfId="0" applyFont="1" applyFill="1" applyBorder="1" applyAlignment="1">
      <alignment wrapText="1"/>
    </xf>
    <xf numFmtId="0" fontId="64" fillId="6" borderId="5" xfId="0" applyFont="1" applyFill="1" applyBorder="1"/>
    <xf numFmtId="0" fontId="64" fillId="6" borderId="67" xfId="0" applyFont="1" applyFill="1" applyBorder="1" applyAlignment="1">
      <alignment horizontal="center" vertical="center" wrapText="1"/>
    </xf>
    <xf numFmtId="167" fontId="64" fillId="0" borderId="5" xfId="0" applyNumberFormat="1" applyFont="1" applyBorder="1"/>
    <xf numFmtId="173" fontId="64" fillId="0" borderId="67" xfId="0" applyNumberFormat="1" applyFont="1" applyBorder="1" applyAlignment="1">
      <alignment horizontal="center"/>
    </xf>
    <xf numFmtId="0" fontId="63" fillId="0" borderId="137" xfId="0" applyFont="1" applyBorder="1" applyAlignment="1">
      <alignment horizontal="left"/>
    </xf>
    <xf numFmtId="0" fontId="64" fillId="0" borderId="137" xfId="0" applyFont="1" applyBorder="1" applyAlignment="1">
      <alignment horizontal="left"/>
    </xf>
    <xf numFmtId="0" fontId="63" fillId="0" borderId="67" xfId="0" applyFont="1" applyBorder="1"/>
    <xf numFmtId="0" fontId="64" fillId="6" borderId="67" xfId="0" applyFont="1" applyFill="1" applyBorder="1"/>
    <xf numFmtId="166" fontId="64" fillId="0" borderId="5" xfId="0" applyNumberFormat="1" applyFont="1" applyBorder="1"/>
    <xf numFmtId="166" fontId="64" fillId="0" borderId="67" xfId="0" applyNumberFormat="1" applyFont="1" applyBorder="1"/>
    <xf numFmtId="170" fontId="63" fillId="0" borderId="67" xfId="0" applyNumberFormat="1" applyFont="1" applyBorder="1"/>
    <xf numFmtId="0" fontId="105" fillId="0" borderId="137" xfId="0" applyFont="1" applyBorder="1" applyAlignment="1">
      <alignment horizontal="left"/>
    </xf>
    <xf numFmtId="0" fontId="64" fillId="6" borderId="306" xfId="0" applyFont="1" applyFill="1" applyBorder="1"/>
    <xf numFmtId="166" fontId="64" fillId="6" borderId="61" xfId="0" applyNumberFormat="1" applyFont="1" applyFill="1" applyBorder="1"/>
    <xf numFmtId="166" fontId="64" fillId="0" borderId="61" xfId="0" applyNumberFormat="1" applyFont="1" applyBorder="1"/>
    <xf numFmtId="166" fontId="64" fillId="0" borderId="62" xfId="0" applyNumberFormat="1" applyFont="1" applyBorder="1"/>
    <xf numFmtId="0" fontId="106" fillId="0" borderId="0" xfId="0" applyFont="1" applyAlignment="1">
      <alignment horizontal="left"/>
    </xf>
    <xf numFmtId="0" fontId="13" fillId="6" borderId="286" xfId="0" applyFont="1" applyFill="1" applyBorder="1"/>
    <xf numFmtId="0" fontId="10" fillId="0" borderId="307" xfId="0" applyFont="1" applyBorder="1"/>
    <xf numFmtId="0" fontId="10" fillId="0" borderId="308" xfId="0" applyFont="1" applyBorder="1"/>
    <xf numFmtId="0" fontId="13" fillId="0" borderId="309" xfId="0" applyFont="1" applyBorder="1"/>
    <xf numFmtId="0" fontId="13" fillId="0" borderId="5" xfId="0" applyFont="1" applyBorder="1" applyAlignment="1">
      <alignment horizontal="right"/>
    </xf>
    <xf numFmtId="0" fontId="13" fillId="0" borderId="138" xfId="0" applyFont="1" applyBorder="1"/>
    <xf numFmtId="0" fontId="13" fillId="13" borderId="137" xfId="0" applyFont="1" applyFill="1" applyBorder="1"/>
    <xf numFmtId="192" fontId="21" fillId="13" borderId="5" xfId="0" applyNumberFormat="1" applyFont="1" applyFill="1" applyBorder="1"/>
    <xf numFmtId="192" fontId="21" fillId="13" borderId="191" xfId="0" applyNumberFormat="1" applyFont="1" applyFill="1" applyBorder="1"/>
    <xf numFmtId="192" fontId="22" fillId="13" borderId="58" xfId="0" applyNumberFormat="1" applyFont="1" applyFill="1" applyBorder="1"/>
    <xf numFmtId="192" fontId="21" fillId="13" borderId="274" xfId="0" applyNumberFormat="1" applyFont="1" applyFill="1" applyBorder="1"/>
    <xf numFmtId="192" fontId="21" fillId="13" borderId="138" xfId="0" applyNumberFormat="1" applyFont="1" applyFill="1" applyBorder="1"/>
    <xf numFmtId="0" fontId="107" fillId="0" borderId="149" xfId="0" applyFont="1" applyBorder="1" applyAlignment="1">
      <alignment horizontal="left" wrapText="1"/>
    </xf>
    <xf numFmtId="192" fontId="21" fillId="0" borderId="5" xfId="0" applyNumberFormat="1" applyFont="1" applyBorder="1"/>
    <xf numFmtId="192" fontId="21" fillId="0" borderId="2" xfId="0" applyNumberFormat="1" applyFont="1" applyBorder="1"/>
    <xf numFmtId="192" fontId="21" fillId="0" borderId="127" xfId="0" applyNumberFormat="1" applyFont="1" applyBorder="1"/>
    <xf numFmtId="192" fontId="21" fillId="0" borderId="4" xfId="0" applyNumberFormat="1" applyFont="1" applyBorder="1"/>
    <xf numFmtId="192" fontId="21" fillId="0" borderId="138" xfId="0" applyNumberFormat="1" applyFont="1" applyBorder="1"/>
    <xf numFmtId="0" fontId="108" fillId="11" borderId="310" xfId="0" applyFont="1" applyFill="1" applyBorder="1" applyAlignment="1">
      <alignment horizontal="left" wrapText="1"/>
    </xf>
    <xf numFmtId="192" fontId="21" fillId="11" borderId="5" xfId="0" applyNumberFormat="1" applyFont="1" applyFill="1" applyBorder="1"/>
    <xf numFmtId="192" fontId="21" fillId="11" borderId="191" xfId="0" applyNumberFormat="1" applyFont="1" applyFill="1" applyBorder="1"/>
    <xf numFmtId="192" fontId="21" fillId="11" borderId="274" xfId="0" applyNumberFormat="1" applyFont="1" applyFill="1" applyBorder="1"/>
    <xf numFmtId="192" fontId="21" fillId="11" borderId="138" xfId="0" applyNumberFormat="1" applyFont="1" applyFill="1" applyBorder="1"/>
    <xf numFmtId="0" fontId="107" fillId="0" borderId="149" xfId="0" applyFont="1" applyBorder="1" applyAlignment="1">
      <alignment horizontal="left"/>
    </xf>
    <xf numFmtId="0" fontId="13" fillId="0" borderId="149" xfId="0" applyFont="1" applyBorder="1"/>
    <xf numFmtId="194" fontId="21" fillId="0" borderId="4" xfId="0" applyNumberFormat="1" applyFont="1" applyBorder="1"/>
    <xf numFmtId="194" fontId="21" fillId="0" borderId="5" xfId="0" applyNumberFormat="1" applyFont="1" applyBorder="1"/>
    <xf numFmtId="0" fontId="10" fillId="0" borderId="149" xfId="0" applyFont="1" applyBorder="1" applyAlignment="1">
      <alignment horizontal="left"/>
    </xf>
    <xf numFmtId="0" fontId="10" fillId="8" borderId="310" xfId="0" applyFont="1" applyFill="1" applyBorder="1"/>
    <xf numFmtId="192" fontId="21" fillId="8" borderId="5" xfId="0" applyNumberFormat="1" applyFont="1" applyFill="1" applyBorder="1"/>
    <xf numFmtId="192" fontId="21" fillId="8" borderId="191" xfId="0" applyNumberFormat="1" applyFont="1" applyFill="1" applyBorder="1"/>
    <xf numFmtId="192" fontId="22" fillId="8" borderId="5" xfId="0" applyNumberFormat="1" applyFont="1" applyFill="1" applyBorder="1"/>
    <xf numFmtId="192" fontId="21" fillId="8" borderId="274" xfId="0" applyNumberFormat="1" applyFont="1" applyFill="1" applyBorder="1"/>
    <xf numFmtId="192" fontId="21" fillId="8" borderId="138" xfId="0" applyNumberFormat="1" applyFont="1" applyFill="1" applyBorder="1"/>
    <xf numFmtId="0" fontId="13" fillId="24" borderId="310" xfId="0" applyFont="1" applyFill="1" applyBorder="1"/>
    <xf numFmtId="192" fontId="21" fillId="24" borderId="5" xfId="0" applyNumberFormat="1" applyFont="1" applyFill="1" applyBorder="1"/>
    <xf numFmtId="192" fontId="21" fillId="24" borderId="191" xfId="0" applyNumberFormat="1" applyFont="1" applyFill="1" applyBorder="1"/>
    <xf numFmtId="192" fontId="22" fillId="0" borderId="5" xfId="0" applyNumberFormat="1" applyFont="1" applyBorder="1"/>
    <xf numFmtId="192" fontId="21" fillId="24" borderId="274" xfId="0" applyNumberFormat="1" applyFont="1" applyFill="1" applyBorder="1"/>
    <xf numFmtId="192" fontId="21" fillId="24" borderId="138" xfId="0" applyNumberFormat="1" applyFont="1" applyFill="1" applyBorder="1"/>
    <xf numFmtId="0" fontId="13" fillId="30" borderId="310" xfId="0" applyFont="1" applyFill="1" applyBorder="1"/>
    <xf numFmtId="192" fontId="21" fillId="30" borderId="5" xfId="0" applyNumberFormat="1" applyFont="1" applyFill="1" applyBorder="1"/>
    <xf numFmtId="192" fontId="21" fillId="30" borderId="191" xfId="0" applyNumberFormat="1" applyFont="1" applyFill="1" applyBorder="1"/>
    <xf numFmtId="192" fontId="22" fillId="10" borderId="5" xfId="0" applyNumberFormat="1" applyFont="1" applyFill="1" applyBorder="1"/>
    <xf numFmtId="192" fontId="21" fillId="30" borderId="274" xfId="0" applyNumberFormat="1" applyFont="1" applyFill="1" applyBorder="1"/>
    <xf numFmtId="192" fontId="21" fillId="30" borderId="138" xfId="0" applyNumberFormat="1" applyFont="1" applyFill="1" applyBorder="1"/>
    <xf numFmtId="0" fontId="13" fillId="31" borderId="310" xfId="0" applyFont="1" applyFill="1" applyBorder="1"/>
    <xf numFmtId="194" fontId="21" fillId="31" borderId="5" xfId="0" applyNumberFormat="1" applyFont="1" applyFill="1" applyBorder="1"/>
    <xf numFmtId="192" fontId="21" fillId="31" borderId="5" xfId="0" applyNumberFormat="1" applyFont="1" applyFill="1" applyBorder="1"/>
    <xf numFmtId="169" fontId="21" fillId="31" borderId="191" xfId="0" applyNumberFormat="1" applyFont="1" applyFill="1" applyBorder="1"/>
    <xf numFmtId="192" fontId="22" fillId="31" borderId="5" xfId="0" applyNumberFormat="1" applyFont="1" applyFill="1" applyBorder="1"/>
    <xf numFmtId="192" fontId="21" fillId="31" borderId="274" xfId="0" applyNumberFormat="1" applyFont="1" applyFill="1" applyBorder="1"/>
    <xf numFmtId="192" fontId="21" fillId="31" borderId="138" xfId="0" applyNumberFormat="1" applyFont="1" applyFill="1" applyBorder="1"/>
    <xf numFmtId="169" fontId="21" fillId="0" borderId="2" xfId="0" applyNumberFormat="1" applyFont="1" applyBorder="1"/>
    <xf numFmtId="0" fontId="13" fillId="32" borderId="311" xfId="0" applyFont="1" applyFill="1" applyBorder="1"/>
    <xf numFmtId="192" fontId="21" fillId="32" borderId="5" xfId="0" applyNumberFormat="1" applyFont="1" applyFill="1" applyBorder="1"/>
    <xf numFmtId="192" fontId="21" fillId="32" borderId="191" xfId="0" applyNumberFormat="1" applyFont="1" applyFill="1" applyBorder="1"/>
    <xf numFmtId="192" fontId="22" fillId="32" borderId="61" xfId="0" applyNumberFormat="1" applyFont="1" applyFill="1" applyBorder="1"/>
    <xf numFmtId="192" fontId="21" fillId="32" borderId="274" xfId="0" applyNumberFormat="1" applyFont="1" applyFill="1" applyBorder="1"/>
    <xf numFmtId="192" fontId="21" fillId="32" borderId="138" xfId="0" applyNumberFormat="1" applyFont="1" applyFill="1" applyBorder="1"/>
    <xf numFmtId="0" fontId="13" fillId="0" borderId="312" xfId="0" applyFont="1" applyBorder="1" applyAlignment="1">
      <alignment horizontal="left" wrapText="1"/>
    </xf>
    <xf numFmtId="192" fontId="22" fillId="0" borderId="61" xfId="0" applyNumberFormat="1" applyFont="1" applyBorder="1"/>
    <xf numFmtId="192" fontId="22" fillId="0" borderId="118" xfId="0" applyNumberFormat="1" applyFont="1" applyBorder="1"/>
    <xf numFmtId="192" fontId="22" fillId="0" borderId="70" xfId="0" applyNumberFormat="1" applyFont="1" applyBorder="1"/>
    <xf numFmtId="192" fontId="22" fillId="0" borderId="175" xfId="0" applyNumberFormat="1" applyFont="1" applyBorder="1"/>
    <xf numFmtId="192" fontId="22" fillId="0" borderId="313" xfId="0" applyNumberFormat="1" applyFont="1" applyBorder="1"/>
    <xf numFmtId="43" fontId="10" fillId="0" borderId="292" xfId="0" applyNumberFormat="1" applyFont="1" applyBorder="1"/>
    <xf numFmtId="0" fontId="10" fillId="0" borderId="154" xfId="0" applyFont="1" applyBorder="1"/>
    <xf numFmtId="0" fontId="0" fillId="0" borderId="0" xfId="0" applyFont="1" applyAlignment="1"/>
    <xf numFmtId="0" fontId="4" fillId="0" borderId="0" xfId="0" applyFont="1"/>
    <xf numFmtId="0" fontId="160" fillId="0" borderId="0" xfId="0" applyFont="1"/>
    <xf numFmtId="0" fontId="161" fillId="0" borderId="1" xfId="0" applyFont="1" applyBorder="1"/>
    <xf numFmtId="0" fontId="162" fillId="0" borderId="0" xfId="0" applyFont="1" applyAlignment="1">
      <alignment horizontal="right"/>
    </xf>
    <xf numFmtId="0" fontId="165" fillId="0" borderId="66" xfId="0" applyFont="1" applyBorder="1" applyAlignment="1">
      <alignment horizontal="left"/>
    </xf>
    <xf numFmtId="0" fontId="165" fillId="33" borderId="5" xfId="0" applyFont="1" applyFill="1" applyBorder="1" applyAlignment="1">
      <alignment horizontal="left"/>
    </xf>
    <xf numFmtId="0" fontId="163" fillId="0" borderId="5" xfId="0" applyFont="1" applyBorder="1"/>
    <xf numFmtId="0" fontId="165" fillId="0" borderId="67" xfId="0" applyFont="1" applyBorder="1" applyAlignment="1">
      <alignment horizontal="left"/>
    </xf>
    <xf numFmtId="0" fontId="165" fillId="0" borderId="5" xfId="0" applyFont="1" applyBorder="1" applyAlignment="1">
      <alignment horizontal="right"/>
    </xf>
    <xf numFmtId="0" fontId="165" fillId="0" borderId="67" xfId="0" applyFont="1" applyBorder="1" applyAlignment="1">
      <alignment horizontal="right"/>
    </xf>
    <xf numFmtId="0" fontId="166" fillId="33" borderId="5" xfId="0" applyFont="1" applyFill="1" applyBorder="1" applyAlignment="1">
      <alignment horizontal="right"/>
    </xf>
    <xf numFmtId="3" fontId="166" fillId="33" borderId="5" xfId="0" applyNumberFormat="1" applyFont="1" applyFill="1" applyBorder="1" applyAlignment="1">
      <alignment horizontal="right"/>
    </xf>
    <xf numFmtId="3" fontId="165" fillId="0" borderId="5" xfId="0" applyNumberFormat="1" applyFont="1" applyBorder="1" applyAlignment="1">
      <alignment horizontal="right"/>
    </xf>
    <xf numFmtId="3" fontId="165" fillId="0" borderId="67" xfId="0" applyNumberFormat="1" applyFont="1" applyBorder="1" applyAlignment="1">
      <alignment horizontal="right"/>
    </xf>
    <xf numFmtId="0" fontId="165" fillId="0" borderId="60" xfId="0" applyFont="1" applyBorder="1" applyAlignment="1">
      <alignment horizontal="left"/>
    </xf>
    <xf numFmtId="3" fontId="165" fillId="33" borderId="61" xfId="0" applyNumberFormat="1" applyFont="1" applyFill="1" applyBorder="1" applyAlignment="1">
      <alignment horizontal="right"/>
    </xf>
    <xf numFmtId="3" fontId="165" fillId="0" borderId="61" xfId="0" applyNumberFormat="1" applyFont="1" applyBorder="1" applyAlignment="1">
      <alignment horizontal="right"/>
    </xf>
    <xf numFmtId="3" fontId="165" fillId="0" borderId="62" xfId="0" applyNumberFormat="1" applyFont="1" applyBorder="1" applyAlignment="1">
      <alignment horizontal="right"/>
    </xf>
    <xf numFmtId="0" fontId="173" fillId="0" borderId="13" xfId="0" applyFont="1" applyBorder="1"/>
    <xf numFmtId="0" fontId="173" fillId="0" borderId="15" xfId="0" applyFont="1" applyBorder="1"/>
    <xf numFmtId="0" fontId="174" fillId="0" borderId="16" xfId="0" applyFont="1" applyBorder="1"/>
    <xf numFmtId="0" fontId="173" fillId="0" borderId="16" xfId="0" applyFont="1" applyBorder="1" applyAlignment="1">
      <alignment horizontal="left"/>
    </xf>
    <xf numFmtId="0" fontId="173" fillId="0" borderId="17" xfId="0" applyFont="1" applyBorder="1"/>
    <xf numFmtId="0" fontId="173" fillId="0" borderId="15" xfId="0" applyFont="1" applyBorder="1" applyAlignment="1">
      <alignment horizontal="left"/>
    </xf>
    <xf numFmtId="0" fontId="173" fillId="0" borderId="17" xfId="0" applyFont="1" applyBorder="1" applyAlignment="1">
      <alignment horizontal="left"/>
    </xf>
    <xf numFmtId="0" fontId="170" fillId="0" borderId="13" xfId="0" applyFont="1" applyBorder="1"/>
    <xf numFmtId="0" fontId="173" fillId="0" borderId="16" xfId="0" applyFont="1" applyBorder="1"/>
    <xf numFmtId="164" fontId="3" fillId="0" borderId="136" xfId="0" applyNumberFormat="1" applyFont="1" applyBorder="1"/>
    <xf numFmtId="0" fontId="3" fillId="0" borderId="136" xfId="0" applyFont="1" applyBorder="1"/>
    <xf numFmtId="0" fontId="3" fillId="0" borderId="315" xfId="0" applyFont="1" applyBorder="1"/>
    <xf numFmtId="0" fontId="3" fillId="0" borderId="316" xfId="0" applyFont="1" applyBorder="1"/>
    <xf numFmtId="1" fontId="8" fillId="6" borderId="317" xfId="0" applyNumberFormat="1" applyFont="1" applyFill="1" applyBorder="1" applyAlignment="1">
      <alignment horizontal="center"/>
    </xf>
    <xf numFmtId="0" fontId="3" fillId="0" borderId="318" xfId="0" applyFont="1" applyBorder="1"/>
    <xf numFmtId="164" fontId="3" fillId="0" borderId="319" xfId="0" applyNumberFormat="1" applyFont="1" applyBorder="1"/>
    <xf numFmtId="0" fontId="3" fillId="0" borderId="320" xfId="0" applyFont="1" applyBorder="1"/>
    <xf numFmtId="0" fontId="3" fillId="0" borderId="321" xfId="0" applyFont="1" applyBorder="1"/>
    <xf numFmtId="164" fontId="3" fillId="0" borderId="322" xfId="0" applyNumberFormat="1" applyFont="1" applyBorder="1"/>
    <xf numFmtId="1" fontId="170" fillId="5" borderId="317" xfId="0" applyNumberFormat="1" applyFont="1" applyFill="1" applyBorder="1" applyAlignment="1">
      <alignment horizontal="center"/>
    </xf>
    <xf numFmtId="164" fontId="170" fillId="5" borderId="326" xfId="0" applyNumberFormat="1" applyFont="1" applyFill="1" applyBorder="1" applyAlignment="1">
      <alignment horizontal="center"/>
    </xf>
    <xf numFmtId="0" fontId="170" fillId="0" borderId="327" xfId="0" applyFont="1" applyBorder="1"/>
    <xf numFmtId="164" fontId="170" fillId="0" borderId="319" xfId="0" applyNumberFormat="1" applyFont="1" applyBorder="1" applyAlignment="1">
      <alignment horizontal="center"/>
    </xf>
    <xf numFmtId="0" fontId="173" fillId="0" borderId="328" xfId="0" applyFont="1" applyBorder="1"/>
    <xf numFmtId="164" fontId="170" fillId="5" borderId="319" xfId="0" applyNumberFormat="1" applyFont="1" applyFill="1" applyBorder="1" applyAlignment="1">
      <alignment horizontal="center"/>
    </xf>
    <xf numFmtId="0" fontId="173" fillId="0" borderId="329" xfId="0" applyFont="1" applyBorder="1"/>
    <xf numFmtId="164" fontId="173" fillId="5" borderId="319" xfId="0" applyNumberFormat="1" applyFont="1" applyFill="1" applyBorder="1" applyAlignment="1">
      <alignment horizontal="center"/>
    </xf>
    <xf numFmtId="164" fontId="173" fillId="0" borderId="319" xfId="0" applyNumberFormat="1" applyFont="1" applyBorder="1" applyAlignment="1">
      <alignment horizontal="center"/>
    </xf>
    <xf numFmtId="0" fontId="173" fillId="0" borderId="330" xfId="0" applyFont="1" applyBorder="1"/>
    <xf numFmtId="164" fontId="170" fillId="5" borderId="319" xfId="0" applyNumberFormat="1" applyFont="1" applyFill="1" applyBorder="1" applyAlignment="1">
      <alignment horizontal="center" wrapText="1"/>
    </xf>
    <xf numFmtId="0" fontId="177" fillId="0" borderId="327" xfId="0" applyFont="1" applyBorder="1"/>
    <xf numFmtId="164" fontId="173" fillId="0" borderId="326" xfId="0" applyNumberFormat="1" applyFont="1" applyBorder="1" applyAlignment="1">
      <alignment horizontal="center"/>
    </xf>
    <xf numFmtId="0" fontId="170" fillId="0" borderId="328" xfId="0" applyFont="1" applyBorder="1"/>
    <xf numFmtId="0" fontId="170" fillId="0" borderId="329" xfId="0" applyFont="1" applyBorder="1"/>
    <xf numFmtId="0" fontId="170" fillId="0" borderId="330" xfId="0" applyFont="1" applyBorder="1"/>
    <xf numFmtId="0" fontId="170" fillId="0" borderId="332" xfId="0" applyFont="1" applyBorder="1"/>
    <xf numFmtId="0" fontId="174" fillId="0" borderId="333" xfId="0" applyFont="1" applyBorder="1"/>
    <xf numFmtId="164" fontId="173" fillId="0" borderId="334" xfId="0" applyNumberFormat="1" applyFont="1" applyBorder="1"/>
    <xf numFmtId="0" fontId="170" fillId="0" borderId="336" xfId="0" applyFont="1" applyBorder="1"/>
    <xf numFmtId="0" fontId="174" fillId="0" borderId="77" xfId="0" applyFont="1" applyBorder="1"/>
    <xf numFmtId="0" fontId="164" fillId="0" borderId="0" xfId="0" applyFont="1"/>
    <xf numFmtId="10" fontId="164" fillId="0" borderId="0" xfId="0" applyNumberFormat="1" applyFont="1"/>
    <xf numFmtId="0" fontId="164" fillId="0" borderId="0" xfId="0" applyFont="1" applyAlignment="1"/>
    <xf numFmtId="164" fontId="164" fillId="0" borderId="0" xfId="0" applyNumberFormat="1" applyFont="1"/>
    <xf numFmtId="0" fontId="176" fillId="0" borderId="14" xfId="0" applyFont="1" applyBorder="1" applyAlignment="1">
      <alignment horizontal="center"/>
    </xf>
    <xf numFmtId="166" fontId="176" fillId="0" borderId="14" xfId="0" applyNumberFormat="1" applyFont="1" applyBorder="1" applyAlignment="1">
      <alignment horizontal="center"/>
    </xf>
    <xf numFmtId="10" fontId="176" fillId="0" borderId="14" xfId="0" applyNumberFormat="1" applyFont="1" applyBorder="1" applyAlignment="1">
      <alignment horizontal="center"/>
    </xf>
    <xf numFmtId="2" fontId="176" fillId="0" borderId="14" xfId="0" applyNumberFormat="1" applyFont="1" applyBorder="1" applyAlignment="1">
      <alignment horizontal="center"/>
    </xf>
    <xf numFmtId="4" fontId="176" fillId="24" borderId="14" xfId="0" applyNumberFormat="1" applyFont="1" applyFill="1" applyBorder="1" applyAlignment="1">
      <alignment horizontal="center"/>
    </xf>
    <xf numFmtId="3" fontId="176" fillId="0" borderId="14" xfId="0" applyNumberFormat="1" applyFont="1" applyBorder="1" applyAlignment="1">
      <alignment horizontal="center"/>
    </xf>
    <xf numFmtId="4" fontId="176" fillId="0" borderId="14" xfId="0" applyNumberFormat="1" applyFont="1" applyBorder="1" applyAlignment="1">
      <alignment horizontal="center"/>
    </xf>
    <xf numFmtId="2" fontId="176" fillId="0" borderId="14" xfId="0" applyNumberFormat="1" applyFont="1" applyFill="1" applyBorder="1" applyAlignment="1">
      <alignment horizontal="center"/>
    </xf>
    <xf numFmtId="0" fontId="179" fillId="0" borderId="0" xfId="0" applyFont="1"/>
    <xf numFmtId="11" fontId="3" fillId="0" borderId="136" xfId="0" applyNumberFormat="1" applyFont="1" applyBorder="1"/>
    <xf numFmtId="0" fontId="54" fillId="0" borderId="136" xfId="0" applyFont="1" applyBorder="1"/>
    <xf numFmtId="10" fontId="3" fillId="0" borderId="136" xfId="0" applyNumberFormat="1" applyFont="1" applyBorder="1"/>
    <xf numFmtId="0" fontId="3" fillId="0" borderId="337" xfId="0" applyFont="1" applyBorder="1"/>
    <xf numFmtId="0" fontId="3" fillId="0" borderId="338" xfId="0" applyFont="1" applyBorder="1"/>
    <xf numFmtId="0" fontId="3" fillId="0" borderId="339" xfId="0" applyFont="1" applyBorder="1"/>
    <xf numFmtId="0" fontId="8" fillId="0" borderId="340" xfId="0" applyFont="1" applyBorder="1" applyAlignment="1">
      <alignment horizontal="center" textRotation="90"/>
    </xf>
    <xf numFmtId="0" fontId="3" fillId="0" borderId="325" xfId="0" applyFont="1" applyBorder="1" applyAlignment="1">
      <alignment horizontal="center"/>
    </xf>
    <xf numFmtId="0" fontId="3" fillId="0" borderId="276" xfId="0" applyFont="1" applyBorder="1" applyAlignment="1">
      <alignment horizontal="center"/>
    </xf>
    <xf numFmtId="0" fontId="3" fillId="0" borderId="341" xfId="0" applyFont="1" applyBorder="1"/>
    <xf numFmtId="0" fontId="176" fillId="0" borderId="336" xfId="0" applyFont="1" applyBorder="1" applyAlignment="1">
      <alignment horizontal="center"/>
    </xf>
    <xf numFmtId="4" fontId="176" fillId="0" borderId="319" xfId="0" applyNumberFormat="1" applyFont="1" applyBorder="1" applyAlignment="1">
      <alignment horizontal="center"/>
    </xf>
    <xf numFmtId="4" fontId="176" fillId="0" borderId="342" xfId="0" applyNumberFormat="1" applyFont="1" applyBorder="1" applyAlignment="1">
      <alignment horizontal="center"/>
    </xf>
    <xf numFmtId="2" fontId="176" fillId="0" borderId="336" xfId="0" applyNumberFormat="1" applyFont="1" applyBorder="1" applyAlignment="1">
      <alignment horizontal="center"/>
    </xf>
    <xf numFmtId="0" fontId="176" fillId="0" borderId="335" xfId="0" applyFont="1" applyBorder="1" applyAlignment="1">
      <alignment horizontal="center"/>
    </xf>
    <xf numFmtId="4" fontId="169" fillId="28" borderId="342" xfId="0" applyNumberFormat="1" applyFont="1" applyFill="1" applyBorder="1" applyAlignment="1">
      <alignment horizontal="center"/>
    </xf>
    <xf numFmtId="0" fontId="176" fillId="0" borderId="84" xfId="0" applyFont="1" applyBorder="1"/>
    <xf numFmtId="10" fontId="176" fillId="0" borderId="84" xfId="0" applyNumberFormat="1" applyFont="1" applyBorder="1"/>
    <xf numFmtId="3" fontId="176" fillId="0" borderId="84" xfId="0" applyNumberFormat="1" applyFont="1" applyBorder="1" applyAlignment="1">
      <alignment horizontal="center"/>
    </xf>
    <xf numFmtId="4" fontId="176" fillId="0" borderId="84" xfId="0" applyNumberFormat="1" applyFont="1" applyBorder="1" applyAlignment="1">
      <alignment horizontal="center"/>
    </xf>
    <xf numFmtId="4" fontId="169" fillId="0" borderId="342" xfId="0" applyNumberFormat="1" applyFont="1" applyBorder="1" applyAlignment="1">
      <alignment horizontal="center"/>
    </xf>
    <xf numFmtId="2" fontId="176" fillId="0" borderId="84" xfId="0" applyNumberFormat="1" applyFont="1" applyBorder="1"/>
    <xf numFmtId="166" fontId="176" fillId="0" borderId="84" xfId="0" applyNumberFormat="1" applyFont="1" applyBorder="1" applyAlignment="1">
      <alignment horizontal="center"/>
    </xf>
    <xf numFmtId="10" fontId="176" fillId="0" borderId="84" xfId="0" applyNumberFormat="1" applyFont="1" applyBorder="1" applyAlignment="1">
      <alignment horizontal="center"/>
    </xf>
    <xf numFmtId="2" fontId="176" fillId="0" borderId="84" xfId="0" applyNumberFormat="1" applyFont="1" applyBorder="1" applyAlignment="1">
      <alignment horizontal="center"/>
    </xf>
    <xf numFmtId="0" fontId="177" fillId="29" borderId="345" xfId="0" applyFont="1" applyFill="1" applyBorder="1" applyAlignment="1">
      <alignment horizontal="center"/>
    </xf>
    <xf numFmtId="0" fontId="177" fillId="29" borderId="346" xfId="0" applyFont="1" applyFill="1" applyBorder="1"/>
    <xf numFmtId="3" fontId="177" fillId="29" borderId="346" xfId="0" applyNumberFormat="1" applyFont="1" applyFill="1" applyBorder="1" applyAlignment="1">
      <alignment horizontal="center"/>
    </xf>
    <xf numFmtId="4" fontId="177" fillId="29" borderId="346" xfId="0" applyNumberFormat="1" applyFont="1" applyFill="1" applyBorder="1" applyAlignment="1">
      <alignment horizontal="center"/>
    </xf>
    <xf numFmtId="3" fontId="177" fillId="29" borderId="322" xfId="0" applyNumberFormat="1" applyFont="1" applyFill="1" applyBorder="1" applyAlignment="1">
      <alignment horizontal="center"/>
    </xf>
    <xf numFmtId="0" fontId="180" fillId="0" borderId="136" xfId="0" applyFont="1" applyBorder="1"/>
    <xf numFmtId="0" fontId="3" fillId="0" borderId="347" xfId="0" applyFont="1" applyBorder="1"/>
    <xf numFmtId="0" fontId="8" fillId="0" borderId="349" xfId="0" applyFont="1" applyBorder="1" applyAlignment="1">
      <alignment horizontal="center" textRotation="90"/>
    </xf>
    <xf numFmtId="0" fontId="8" fillId="0" borderId="350" xfId="0" applyFont="1" applyBorder="1" applyAlignment="1">
      <alignment horizontal="center" textRotation="90"/>
    </xf>
    <xf numFmtId="0" fontId="180" fillId="0" borderId="136" xfId="0" applyFont="1" applyBorder="1" applyAlignment="1"/>
    <xf numFmtId="0" fontId="181" fillId="0" borderId="136" xfId="0" applyFont="1" applyBorder="1" applyAlignment="1"/>
    <xf numFmtId="0" fontId="176" fillId="0" borderId="343" xfId="0" applyFont="1" applyBorder="1" applyAlignment="1">
      <alignment horizontal="center"/>
    </xf>
    <xf numFmtId="0" fontId="76" fillId="0" borderId="349" xfId="0" applyFont="1" applyBorder="1" applyAlignment="1">
      <alignment horizontal="center" textRotation="90"/>
    </xf>
    <xf numFmtId="0" fontId="77" fillId="0" borderId="349" xfId="0" applyFont="1" applyBorder="1" applyAlignment="1">
      <alignment horizontal="center" textRotation="90"/>
    </xf>
    <xf numFmtId="0" fontId="78" fillId="0" borderId="349" xfId="0" applyFont="1" applyBorder="1" applyAlignment="1">
      <alignment horizontal="center" textRotation="90"/>
    </xf>
    <xf numFmtId="0" fontId="11" fillId="0" borderId="349" xfId="0" applyFont="1" applyBorder="1" applyAlignment="1">
      <alignment horizontal="center" textRotation="90"/>
    </xf>
    <xf numFmtId="0" fontId="27" fillId="0" borderId="349" xfId="0" applyFont="1" applyBorder="1" applyAlignment="1">
      <alignment horizontal="center" textRotation="90"/>
    </xf>
    <xf numFmtId="165" fontId="176" fillId="0" borderId="14" xfId="0" applyNumberFormat="1" applyFont="1" applyBorder="1" applyAlignment="1">
      <alignment horizontal="center"/>
    </xf>
    <xf numFmtId="165" fontId="176" fillId="0" borderId="14" xfId="0" applyNumberFormat="1" applyFont="1" applyFill="1" applyBorder="1" applyAlignment="1">
      <alignment horizontal="center"/>
    </xf>
    <xf numFmtId="165" fontId="176" fillId="0" borderId="84" xfId="0" applyNumberFormat="1" applyFont="1" applyBorder="1" applyAlignment="1">
      <alignment horizontal="center"/>
    </xf>
    <xf numFmtId="0" fontId="185" fillId="0" borderId="0" xfId="0" applyFont="1"/>
    <xf numFmtId="0" fontId="163" fillId="0" borderId="0" xfId="0" applyFont="1"/>
    <xf numFmtId="0" fontId="169" fillId="0" borderId="336" xfId="0" applyFont="1" applyBorder="1" applyAlignment="1">
      <alignment horizontal="center"/>
    </xf>
    <xf numFmtId="0" fontId="169" fillId="0" borderId="14" xfId="0" applyFont="1" applyBorder="1" applyAlignment="1">
      <alignment horizontal="center"/>
    </xf>
    <xf numFmtId="166" fontId="169" fillId="0" borderId="14" xfId="0" applyNumberFormat="1" applyFont="1" applyBorder="1" applyAlignment="1">
      <alignment horizontal="center"/>
    </xf>
    <xf numFmtId="10" fontId="169" fillId="0" borderId="14" xfId="0" applyNumberFormat="1" applyFont="1" applyBorder="1" applyAlignment="1">
      <alignment horizontal="center"/>
    </xf>
    <xf numFmtId="2" fontId="169" fillId="0" borderId="14" xfId="0" applyNumberFormat="1" applyFont="1" applyBorder="1" applyAlignment="1">
      <alignment horizontal="center"/>
    </xf>
    <xf numFmtId="2" fontId="184" fillId="0" borderId="14" xfId="0" applyNumberFormat="1" applyFont="1" applyBorder="1" applyAlignment="1">
      <alignment horizontal="center"/>
    </xf>
    <xf numFmtId="4" fontId="169" fillId="24" borderId="14" xfId="0" applyNumberFormat="1" applyFont="1" applyFill="1" applyBorder="1" applyAlignment="1">
      <alignment horizontal="center"/>
    </xf>
    <xf numFmtId="165" fontId="184" fillId="0" borderId="14" xfId="0" applyNumberFormat="1" applyFont="1" applyBorder="1" applyAlignment="1">
      <alignment horizontal="center"/>
    </xf>
    <xf numFmtId="37" fontId="169" fillId="0" borderId="14" xfId="0" applyNumberFormat="1" applyFont="1" applyBorder="1" applyAlignment="1">
      <alignment horizontal="center"/>
    </xf>
    <xf numFmtId="170" fontId="169" fillId="0" borderId="14" xfId="0" applyNumberFormat="1" applyFont="1" applyBorder="1" applyAlignment="1">
      <alignment horizontal="center"/>
    </xf>
    <xf numFmtId="171" fontId="169" fillId="0" borderId="14" xfId="0" applyNumberFormat="1" applyFont="1" applyBorder="1" applyAlignment="1">
      <alignment horizontal="center"/>
    </xf>
    <xf numFmtId="170" fontId="169" fillId="0" borderId="319" xfId="0" applyNumberFormat="1" applyFont="1" applyBorder="1" applyAlignment="1">
      <alignment horizontal="center"/>
    </xf>
    <xf numFmtId="0" fontId="159" fillId="0" borderId="0" xfId="0" applyFont="1"/>
    <xf numFmtId="0" fontId="187" fillId="0" borderId="0" xfId="0" applyFont="1" applyAlignment="1"/>
    <xf numFmtId="0" fontId="169" fillId="28" borderId="335" xfId="0" applyFont="1" applyFill="1" applyBorder="1" applyAlignment="1">
      <alignment horizontal="center"/>
    </xf>
    <xf numFmtId="0" fontId="169" fillId="28" borderId="14" xfId="0" applyFont="1" applyFill="1" applyBorder="1"/>
    <xf numFmtId="10" fontId="169" fillId="28" borderId="14" xfId="0" applyNumberFormat="1" applyFont="1" applyFill="1" applyBorder="1"/>
    <xf numFmtId="4" fontId="169" fillId="28" borderId="14" xfId="0" applyNumberFormat="1" applyFont="1" applyFill="1" applyBorder="1"/>
    <xf numFmtId="3" fontId="169" fillId="28" borderId="14" xfId="0" applyNumberFormat="1" applyFont="1" applyFill="1" applyBorder="1" applyAlignment="1">
      <alignment horizontal="center"/>
    </xf>
    <xf numFmtId="3" fontId="169" fillId="0" borderId="14" xfId="0" applyNumberFormat="1" applyFont="1" applyBorder="1" applyAlignment="1">
      <alignment horizontal="center"/>
    </xf>
    <xf numFmtId="4" fontId="169" fillId="28" borderId="14" xfId="0" applyNumberFormat="1" applyFont="1" applyFill="1" applyBorder="1" applyAlignment="1">
      <alignment horizontal="center"/>
    </xf>
    <xf numFmtId="0" fontId="169" fillId="3" borderId="335" xfId="0" applyFont="1" applyFill="1" applyBorder="1" applyAlignment="1">
      <alignment horizontal="center"/>
    </xf>
    <xf numFmtId="0" fontId="169" fillId="3" borderId="84" xfId="0" applyFont="1" applyFill="1" applyBorder="1"/>
    <xf numFmtId="10" fontId="169" fillId="3" borderId="84" xfId="0" applyNumberFormat="1" applyFont="1" applyFill="1" applyBorder="1"/>
    <xf numFmtId="4" fontId="169" fillId="3" borderId="84" xfId="0" applyNumberFormat="1" applyFont="1" applyFill="1" applyBorder="1"/>
    <xf numFmtId="4" fontId="169" fillId="3" borderId="84" xfId="0" applyNumberFormat="1" applyFont="1" applyFill="1" applyBorder="1" applyAlignment="1">
      <alignment horizontal="center"/>
    </xf>
    <xf numFmtId="4" fontId="169" fillId="3" borderId="344" xfId="0" applyNumberFormat="1" applyFont="1" applyFill="1" applyBorder="1" applyAlignment="1">
      <alignment horizontal="center"/>
    </xf>
    <xf numFmtId="0" fontId="190" fillId="0" borderId="314" xfId="0" applyFont="1" applyBorder="1" applyAlignment="1">
      <alignment horizontal="center" textRotation="90"/>
    </xf>
    <xf numFmtId="0" fontId="192" fillId="0" borderId="314" xfId="0" applyFont="1" applyBorder="1" applyAlignment="1">
      <alignment horizontal="center" textRotation="90" wrapText="1"/>
    </xf>
    <xf numFmtId="0" fontId="194" fillId="0" borderId="314" xfId="0" applyFont="1" applyBorder="1" applyAlignment="1">
      <alignment horizontal="center" textRotation="90" wrapText="1"/>
    </xf>
    <xf numFmtId="0" fontId="163" fillId="0" borderId="136" xfId="0" applyFont="1" applyBorder="1"/>
    <xf numFmtId="0" fontId="163" fillId="22" borderId="136" xfId="0" applyFont="1" applyFill="1" applyBorder="1"/>
    <xf numFmtId="0" fontId="163" fillId="10" borderId="136" xfId="0" applyFont="1" applyFill="1" applyBorder="1"/>
    <xf numFmtId="0" fontId="195" fillId="33" borderId="47" xfId="0" applyFont="1" applyFill="1" applyBorder="1" applyAlignment="1">
      <alignment horizontal="center" wrapText="1"/>
    </xf>
    <xf numFmtId="0" fontId="195" fillId="34" borderId="47" xfId="0" applyFont="1" applyFill="1" applyBorder="1" applyAlignment="1">
      <alignment horizontal="center" wrapText="1"/>
    </xf>
    <xf numFmtId="0" fontId="195" fillId="35" borderId="47" xfId="0" applyFont="1" applyFill="1" applyBorder="1" applyAlignment="1">
      <alignment horizontal="center" wrapText="1"/>
    </xf>
    <xf numFmtId="0" fontId="164" fillId="0" borderId="49" xfId="0" applyFont="1" applyBorder="1"/>
    <xf numFmtId="0" fontId="164" fillId="0" borderId="5" xfId="0" applyFont="1" applyBorder="1"/>
    <xf numFmtId="0" fontId="164" fillId="0" borderId="5" xfId="0" applyFont="1" applyFill="1" applyBorder="1" applyAlignment="1">
      <alignment horizontal="center"/>
    </xf>
    <xf numFmtId="49" fontId="164" fillId="0" borderId="5" xfId="0" applyNumberFormat="1" applyFont="1" applyFill="1" applyBorder="1"/>
    <xf numFmtId="3" fontId="164" fillId="0" borderId="5" xfId="0" applyNumberFormat="1" applyFont="1" applyFill="1" applyBorder="1" applyAlignment="1">
      <alignment horizontal="center"/>
    </xf>
    <xf numFmtId="173" fontId="164" fillId="0" borderId="5" xfId="0" applyNumberFormat="1" applyFont="1" applyBorder="1"/>
    <xf numFmtId="9" fontId="164" fillId="0" borderId="5" xfId="0" applyNumberFormat="1" applyFont="1" applyBorder="1"/>
    <xf numFmtId="3" fontId="164" fillId="0" borderId="5" xfId="0" applyNumberFormat="1" applyFont="1" applyBorder="1"/>
    <xf numFmtId="0" fontId="164" fillId="0" borderId="136" xfId="0" applyFont="1" applyBorder="1"/>
    <xf numFmtId="0" fontId="164" fillId="0" borderId="136" xfId="0" applyFont="1" applyFill="1" applyBorder="1"/>
    <xf numFmtId="1" fontId="164" fillId="0" borderId="5" xfId="0" applyNumberFormat="1" applyFont="1" applyFill="1" applyBorder="1" applyAlignment="1">
      <alignment horizontal="center"/>
    </xf>
    <xf numFmtId="0" fontId="164" fillId="0" borderId="5" xfId="0" applyFont="1" applyFill="1" applyBorder="1"/>
    <xf numFmtId="0" fontId="164" fillId="2" borderId="5" xfId="0" applyFont="1" applyFill="1" applyBorder="1"/>
    <xf numFmtId="173" fontId="164" fillId="2" borderId="5" xfId="0" applyNumberFormat="1" applyFont="1" applyFill="1" applyBorder="1"/>
    <xf numFmtId="9" fontId="164" fillId="2" borderId="5" xfId="0" applyNumberFormat="1" applyFont="1" applyFill="1" applyBorder="1"/>
    <xf numFmtId="3" fontId="164" fillId="2" borderId="5" xfId="0" applyNumberFormat="1" applyFont="1" applyFill="1" applyBorder="1"/>
    <xf numFmtId="49" fontId="164" fillId="0" borderId="5" xfId="0" applyNumberFormat="1" applyFont="1" applyBorder="1" applyAlignment="1">
      <alignment horizontal="center"/>
    </xf>
    <xf numFmtId="0" fontId="202" fillId="0" borderId="49" xfId="0" applyFont="1" applyBorder="1"/>
    <xf numFmtId="1" fontId="164" fillId="0" borderId="5" xfId="0" applyNumberFormat="1" applyFont="1" applyBorder="1" applyAlignment="1">
      <alignment horizontal="center"/>
    </xf>
    <xf numFmtId="1" fontId="164" fillId="2" borderId="5" xfId="0" applyNumberFormat="1" applyFont="1" applyFill="1" applyBorder="1" applyAlignment="1">
      <alignment horizontal="center"/>
    </xf>
    <xf numFmtId="0" fontId="159" fillId="0" borderId="54" xfId="0" applyFont="1" applyBorder="1"/>
    <xf numFmtId="0" fontId="159" fillId="0" borderId="55" xfId="0" applyFont="1" applyBorder="1"/>
    <xf numFmtId="0" fontId="159" fillId="0" borderId="55" xfId="0" applyFont="1" applyFill="1" applyBorder="1"/>
    <xf numFmtId="3" fontId="159" fillId="0" borderId="55" xfId="0" applyNumberFormat="1" applyFont="1" applyBorder="1"/>
    <xf numFmtId="0" fontId="164" fillId="40" borderId="5" xfId="0" applyFont="1" applyFill="1" applyBorder="1"/>
    <xf numFmtId="173" fontId="164" fillId="40" borderId="5" xfId="0" applyNumberFormat="1" applyFont="1" applyFill="1" applyBorder="1"/>
    <xf numFmtId="3" fontId="164" fillId="41" borderId="5" xfId="0" applyNumberFormat="1" applyFont="1" applyFill="1" applyBorder="1" applyAlignment="1">
      <alignment horizontal="center"/>
    </xf>
    <xf numFmtId="0" fontId="164" fillId="41" borderId="5" xfId="0" applyFont="1" applyFill="1" applyBorder="1" applyAlignment="1">
      <alignment horizontal="center"/>
    </xf>
    <xf numFmtId="1" fontId="164" fillId="40" borderId="5" xfId="0" applyNumberFormat="1" applyFont="1" applyFill="1" applyBorder="1" applyAlignment="1">
      <alignment horizontal="center"/>
    </xf>
    <xf numFmtId="9" fontId="164" fillId="40" borderId="5" xfId="0" applyNumberFormat="1" applyFont="1" applyFill="1" applyBorder="1"/>
    <xf numFmtId="3" fontId="164" fillId="40" borderId="5" xfId="0" applyNumberFormat="1" applyFont="1" applyFill="1" applyBorder="1"/>
    <xf numFmtId="0" fontId="164" fillId="42" borderId="5" xfId="0" applyFont="1" applyFill="1" applyBorder="1"/>
    <xf numFmtId="173" fontId="164" fillId="42" borderId="5" xfId="0" applyNumberFormat="1" applyFont="1" applyFill="1" applyBorder="1"/>
    <xf numFmtId="3" fontId="164" fillId="43" borderId="5" xfId="0" applyNumberFormat="1" applyFont="1" applyFill="1" applyBorder="1" applyAlignment="1">
      <alignment horizontal="center"/>
    </xf>
    <xf numFmtId="0" fontId="164" fillId="43" borderId="5" xfId="0" applyFont="1" applyFill="1" applyBorder="1" applyAlignment="1">
      <alignment horizontal="center"/>
    </xf>
    <xf numFmtId="1" fontId="164" fillId="42" borderId="5" xfId="0" applyNumberFormat="1" applyFont="1" applyFill="1" applyBorder="1" applyAlignment="1">
      <alignment horizontal="center"/>
    </xf>
    <xf numFmtId="9" fontId="164" fillId="42" borderId="5" xfId="0" applyNumberFormat="1" applyFont="1" applyFill="1" applyBorder="1"/>
    <xf numFmtId="3" fontId="164" fillId="42" borderId="5" xfId="0" applyNumberFormat="1" applyFont="1" applyFill="1" applyBorder="1"/>
    <xf numFmtId="10" fontId="164" fillId="42" borderId="5" xfId="0" applyNumberFormat="1" applyFont="1" applyFill="1" applyBorder="1"/>
    <xf numFmtId="0" fontId="164" fillId="44" borderId="5" xfId="0" applyFont="1" applyFill="1" applyBorder="1"/>
    <xf numFmtId="173" fontId="164" fillId="44" borderId="5" xfId="0" applyNumberFormat="1" applyFont="1" applyFill="1" applyBorder="1"/>
    <xf numFmtId="1" fontId="164" fillId="45" borderId="5" xfId="0" applyNumberFormat="1" applyFont="1" applyFill="1" applyBorder="1" applyAlignment="1">
      <alignment horizontal="center"/>
    </xf>
    <xf numFmtId="9" fontId="164" fillId="44" borderId="5" xfId="0" applyNumberFormat="1" applyFont="1" applyFill="1" applyBorder="1"/>
    <xf numFmtId="3" fontId="164" fillId="44" borderId="5" xfId="0" applyNumberFormat="1" applyFont="1" applyFill="1" applyBorder="1"/>
    <xf numFmtId="1" fontId="164" fillId="44" borderId="5" xfId="0" applyNumberFormat="1" applyFont="1" applyFill="1" applyBorder="1" applyAlignment="1">
      <alignment horizontal="center"/>
    </xf>
    <xf numFmtId="9" fontId="164" fillId="45" borderId="5" xfId="0" applyNumberFormat="1" applyFont="1" applyFill="1" applyBorder="1"/>
    <xf numFmtId="0" fontId="164" fillId="48" borderId="5" xfId="0" applyFont="1" applyFill="1" applyBorder="1"/>
    <xf numFmtId="0" fontId="164" fillId="41" borderId="5" xfId="0" applyFont="1" applyFill="1" applyBorder="1"/>
    <xf numFmtId="1" fontId="164" fillId="49" borderId="5" xfId="0" applyNumberFormat="1" applyFont="1" applyFill="1" applyBorder="1" applyAlignment="1">
      <alignment horizontal="center"/>
    </xf>
    <xf numFmtId="9" fontId="164" fillId="49" borderId="5" xfId="0" applyNumberFormat="1" applyFont="1" applyFill="1" applyBorder="1"/>
    <xf numFmtId="3" fontId="164" fillId="49" borderId="5" xfId="0" applyNumberFormat="1" applyFont="1" applyFill="1" applyBorder="1"/>
    <xf numFmtId="9" fontId="164" fillId="0" borderId="5" xfId="0" applyNumberFormat="1" applyFont="1" applyFill="1" applyBorder="1" applyAlignment="1"/>
    <xf numFmtId="3" fontId="164" fillId="0" borderId="274" xfId="0" applyNumberFormat="1" applyFont="1" applyFill="1" applyBorder="1" applyAlignment="1"/>
    <xf numFmtId="9" fontId="164" fillId="0" borderId="274" xfId="0" applyNumberFormat="1" applyFont="1" applyFill="1" applyBorder="1" applyAlignment="1"/>
    <xf numFmtId="9" fontId="164" fillId="0" borderId="274" xfId="0" applyNumberFormat="1" applyFont="1" applyFill="1" applyBorder="1" applyAlignment="1">
      <alignment horizontal="right"/>
    </xf>
    <xf numFmtId="173" fontId="164" fillId="50" borderId="5" xfId="0" applyNumberFormat="1" applyFont="1" applyFill="1" applyBorder="1"/>
    <xf numFmtId="1" fontId="164" fillId="50" borderId="5" xfId="0" applyNumberFormat="1" applyFont="1" applyFill="1" applyBorder="1" applyAlignment="1">
      <alignment horizontal="center"/>
    </xf>
    <xf numFmtId="9" fontId="164" fillId="50" borderId="5" xfId="0" applyNumberFormat="1" applyFont="1" applyFill="1" applyBorder="1"/>
    <xf numFmtId="3" fontId="164" fillId="50" borderId="5" xfId="0" applyNumberFormat="1" applyFont="1" applyFill="1" applyBorder="1"/>
    <xf numFmtId="0" fontId="195" fillId="0" borderId="249" xfId="0" applyFont="1" applyBorder="1" applyAlignment="1">
      <alignment horizontal="center"/>
    </xf>
    <xf numFmtId="0" fontId="195" fillId="0" borderId="47" xfId="0" applyFont="1" applyBorder="1" applyAlignment="1">
      <alignment horizontal="center" wrapText="1"/>
    </xf>
    <xf numFmtId="49" fontId="195" fillId="0" borderId="47" xfId="0" applyNumberFormat="1" applyFont="1" applyBorder="1" applyAlignment="1">
      <alignment horizontal="center" wrapText="1"/>
    </xf>
    <xf numFmtId="0" fontId="197" fillId="0" borderId="47" xfId="0" applyFont="1" applyBorder="1" applyAlignment="1">
      <alignment horizontal="center" wrapText="1"/>
    </xf>
    <xf numFmtId="0" fontId="195" fillId="0" borderId="48" xfId="0" applyFont="1" applyBorder="1" applyAlignment="1">
      <alignment horizontal="center" wrapText="1"/>
    </xf>
    <xf numFmtId="0" fontId="195" fillId="0" borderId="46" xfId="0" applyFont="1" applyBorder="1" applyAlignment="1">
      <alignment horizontal="center"/>
    </xf>
    <xf numFmtId="3" fontId="164" fillId="41" borderId="5" xfId="0" applyNumberFormat="1" applyFont="1" applyFill="1" applyBorder="1"/>
    <xf numFmtId="3" fontId="164" fillId="0" borderId="5" xfId="0" applyNumberFormat="1" applyFont="1" applyFill="1" applyBorder="1"/>
    <xf numFmtId="3" fontId="164" fillId="43" borderId="5" xfId="0" applyNumberFormat="1" applyFont="1" applyFill="1" applyBorder="1"/>
    <xf numFmtId="3" fontId="164" fillId="43" borderId="5" xfId="0" applyNumberFormat="1" applyFont="1" applyFill="1" applyBorder="1" applyAlignment="1">
      <alignment horizontal="center" vertical="center"/>
    </xf>
    <xf numFmtId="3" fontId="164" fillId="0" borderId="136" xfId="0" applyNumberFormat="1" applyFont="1" applyFill="1" applyBorder="1"/>
    <xf numFmtId="3" fontId="159" fillId="0" borderId="55" xfId="0" applyNumberFormat="1" applyFont="1" applyFill="1" applyBorder="1"/>
    <xf numFmtId="3" fontId="164" fillId="0" borderId="136" xfId="0" applyNumberFormat="1" applyFont="1" applyFill="1" applyBorder="1" applyAlignment="1">
      <alignment horizontal="center"/>
    </xf>
    <xf numFmtId="3" fontId="164" fillId="36" borderId="5" xfId="0" applyNumberFormat="1" applyFont="1" applyFill="1" applyBorder="1"/>
    <xf numFmtId="3" fontId="164" fillId="37" borderId="5" xfId="0" applyNumberFormat="1" applyFont="1" applyFill="1" applyBorder="1"/>
    <xf numFmtId="3" fontId="164" fillId="38" borderId="5" xfId="0" applyNumberFormat="1" applyFont="1" applyFill="1" applyBorder="1"/>
    <xf numFmtId="3" fontId="164" fillId="43" borderId="136" xfId="0" applyNumberFormat="1" applyFont="1" applyFill="1" applyBorder="1"/>
    <xf numFmtId="3" fontId="164" fillId="46" borderId="5" xfId="0" applyNumberFormat="1" applyFont="1" applyFill="1" applyBorder="1"/>
    <xf numFmtId="3" fontId="164" fillId="36" borderId="136" xfId="0" applyNumberFormat="1" applyFont="1" applyFill="1" applyBorder="1"/>
    <xf numFmtId="3" fontId="164" fillId="47" borderId="5" xfId="0" applyNumberFormat="1" applyFont="1" applyFill="1" applyBorder="1"/>
    <xf numFmtId="3" fontId="203" fillId="36" borderId="55" xfId="0" applyNumberFormat="1" applyFont="1" applyFill="1" applyBorder="1"/>
    <xf numFmtId="3" fontId="164" fillId="0" borderId="274" xfId="0" applyNumberFormat="1" applyFont="1" applyFill="1" applyBorder="1" applyAlignment="1">
      <alignment horizontal="right"/>
    </xf>
    <xf numFmtId="3" fontId="164" fillId="39" borderId="5" xfId="0" applyNumberFormat="1" applyFont="1" applyFill="1" applyBorder="1"/>
    <xf numFmtId="3" fontId="164" fillId="0" borderId="136" xfId="0" applyNumberFormat="1" applyFont="1" applyBorder="1"/>
    <xf numFmtId="3" fontId="203" fillId="0" borderId="55" xfId="0" applyNumberFormat="1" applyFont="1" applyBorder="1"/>
    <xf numFmtId="3" fontId="164" fillId="0" borderId="50" xfId="0" applyNumberFormat="1" applyFont="1" applyBorder="1"/>
    <xf numFmtId="3" fontId="164" fillId="40" borderId="50" xfId="0" applyNumberFormat="1" applyFont="1" applyFill="1" applyBorder="1"/>
    <xf numFmtId="3" fontId="164" fillId="42" borderId="50" xfId="0" applyNumberFormat="1" applyFont="1" applyFill="1" applyBorder="1"/>
    <xf numFmtId="3" fontId="164" fillId="0" borderId="212" xfId="0" applyNumberFormat="1" applyFont="1" applyFill="1" applyBorder="1" applyAlignment="1">
      <alignment horizontal="right"/>
    </xf>
    <xf numFmtId="3" fontId="164" fillId="2" borderId="50" xfId="0" applyNumberFormat="1" applyFont="1" applyFill="1" applyBorder="1"/>
    <xf numFmtId="3" fontId="164" fillId="0" borderId="222" xfId="0" applyNumberFormat="1" applyFont="1" applyBorder="1"/>
    <xf numFmtId="3" fontId="159" fillId="0" borderId="56" xfId="0" applyNumberFormat="1" applyFont="1" applyBorder="1"/>
    <xf numFmtId="3" fontId="196" fillId="0" borderId="5" xfId="0" applyNumberFormat="1" applyFont="1" applyBorder="1"/>
    <xf numFmtId="3" fontId="196" fillId="22" borderId="5" xfId="0" applyNumberFormat="1" applyFont="1" applyFill="1" applyBorder="1"/>
    <xf numFmtId="0" fontId="185" fillId="0" borderId="5" xfId="0" applyFont="1" applyBorder="1"/>
    <xf numFmtId="166" fontId="185" fillId="20" borderId="5" xfId="0" applyNumberFormat="1" applyFont="1" applyFill="1" applyBorder="1"/>
    <xf numFmtId="3" fontId="196" fillId="22" borderId="191" xfId="0" applyNumberFormat="1" applyFont="1" applyFill="1" applyBorder="1"/>
    <xf numFmtId="3" fontId="196" fillId="22" borderId="274" xfId="0" applyNumberFormat="1" applyFont="1" applyFill="1" applyBorder="1"/>
    <xf numFmtId="166" fontId="185" fillId="22" borderId="5" xfId="0" applyNumberFormat="1" applyFont="1" applyFill="1" applyBorder="1"/>
    <xf numFmtId="166" fontId="185" fillId="10" borderId="5" xfId="0" applyNumberFormat="1" applyFont="1" applyFill="1" applyBorder="1"/>
    <xf numFmtId="166" fontId="185" fillId="16" borderId="5" xfId="0" applyNumberFormat="1" applyFont="1" applyFill="1" applyBorder="1"/>
    <xf numFmtId="166" fontId="185" fillId="0" borderId="5" xfId="0" applyNumberFormat="1" applyFont="1" applyBorder="1"/>
    <xf numFmtId="166" fontId="196" fillId="0" borderId="5" xfId="0" applyNumberFormat="1" applyFont="1" applyBorder="1"/>
    <xf numFmtId="166" fontId="196" fillId="23" borderId="5" xfId="0" applyNumberFormat="1" applyFont="1" applyFill="1" applyBorder="1"/>
    <xf numFmtId="166" fontId="185" fillId="24" borderId="5" xfId="0" applyNumberFormat="1" applyFont="1" applyFill="1" applyBorder="1"/>
    <xf numFmtId="166" fontId="196" fillId="25" borderId="5" xfId="0" applyNumberFormat="1" applyFont="1" applyFill="1" applyBorder="1"/>
    <xf numFmtId="166" fontId="207" fillId="0" borderId="5" xfId="0" applyNumberFormat="1" applyFont="1" applyBorder="1"/>
    <xf numFmtId="168" fontId="196" fillId="26" borderId="5" xfId="0" applyNumberFormat="1" applyFont="1" applyFill="1" applyBorder="1"/>
    <xf numFmtId="168" fontId="186" fillId="27" borderId="5" xfId="0" applyNumberFormat="1" applyFont="1" applyFill="1" applyBorder="1"/>
    <xf numFmtId="168" fontId="206" fillId="23" borderId="5" xfId="0" applyNumberFormat="1" applyFont="1" applyFill="1" applyBorder="1"/>
    <xf numFmtId="166" fontId="185" fillId="11" borderId="5" xfId="0" applyNumberFormat="1" applyFont="1" applyFill="1" applyBorder="1"/>
    <xf numFmtId="3" fontId="196" fillId="10" borderId="5" xfId="0" applyNumberFormat="1" applyFont="1" applyFill="1" applyBorder="1"/>
    <xf numFmtId="3" fontId="201" fillId="24" borderId="5" xfId="0" applyNumberFormat="1" applyFont="1" applyFill="1" applyBorder="1"/>
    <xf numFmtId="166" fontId="196" fillId="6" borderId="5" xfId="0" applyNumberFormat="1" applyFont="1" applyFill="1" applyBorder="1"/>
    <xf numFmtId="0" fontId="0" fillId="0" borderId="0" xfId="0" applyFont="1" applyAlignment="1"/>
    <xf numFmtId="0" fontId="4" fillId="0" borderId="0" xfId="0" applyFont="1"/>
    <xf numFmtId="3" fontId="164" fillId="42" borderId="143" xfId="0" applyNumberFormat="1" applyFont="1" applyFill="1" applyBorder="1"/>
    <xf numFmtId="3" fontId="164" fillId="36" borderId="351" xfId="0" applyNumberFormat="1" applyFont="1" applyFill="1" applyBorder="1"/>
    <xf numFmtId="173" fontId="164" fillId="41" borderId="5" xfId="0" applyNumberFormat="1" applyFont="1" applyFill="1" applyBorder="1"/>
    <xf numFmtId="1" fontId="164" fillId="41" borderId="5" xfId="0" applyNumberFormat="1" applyFont="1" applyFill="1" applyBorder="1" applyAlignment="1">
      <alignment horizontal="center"/>
    </xf>
    <xf numFmtId="3" fontId="164" fillId="51" borderId="5" xfId="0" applyNumberFormat="1" applyFont="1" applyFill="1" applyBorder="1"/>
    <xf numFmtId="3" fontId="164" fillId="52" borderId="5" xfId="0" applyNumberFormat="1" applyFont="1" applyFill="1" applyBorder="1"/>
    <xf numFmtId="9" fontId="164" fillId="41" borderId="5" xfId="0" applyNumberFormat="1" applyFont="1" applyFill="1" applyBorder="1"/>
    <xf numFmtId="0" fontId="176" fillId="0" borderId="84" xfId="0" applyFont="1" applyBorder="1" applyAlignment="1">
      <alignment horizontal="center"/>
    </xf>
    <xf numFmtId="175" fontId="176" fillId="0" borderId="84" xfId="0" applyNumberFormat="1" applyFont="1" applyBorder="1" applyAlignment="1">
      <alignment horizontal="center"/>
    </xf>
    <xf numFmtId="0" fontId="170" fillId="0" borderId="331" xfId="0" applyFont="1" applyBorder="1"/>
    <xf numFmtId="0" fontId="176" fillId="0" borderId="12" xfId="0" applyFont="1" applyBorder="1"/>
    <xf numFmtId="0" fontId="163" fillId="2" borderId="9" xfId="0" applyFont="1" applyFill="1" applyBorder="1" applyAlignment="1">
      <alignment horizontal="center"/>
    </xf>
    <xf numFmtId="0" fontId="164" fillId="0" borderId="82" xfId="0" applyFont="1" applyBorder="1"/>
    <xf numFmtId="0" fontId="164" fillId="0" borderId="81" xfId="0" applyFont="1" applyBorder="1"/>
    <xf numFmtId="0" fontId="167" fillId="4" borderId="323" xfId="0" applyFont="1" applyFill="1" applyBorder="1"/>
    <xf numFmtId="0" fontId="176" fillId="0" borderId="324" xfId="0" applyFont="1" applyBorder="1"/>
    <xf numFmtId="0" fontId="170" fillId="0" borderId="325" xfId="0" applyFont="1" applyBorder="1"/>
    <xf numFmtId="0" fontId="176" fillId="0" borderId="10" xfId="0" applyFont="1" applyBorder="1"/>
    <xf numFmtId="0" fontId="5" fillId="2" borderId="2" xfId="0" applyFont="1" applyFill="1" applyBorder="1" applyAlignment="1">
      <alignment horizontal="center"/>
    </xf>
    <xf numFmtId="0" fontId="6" fillId="0" borderId="4" xfId="0" applyFont="1" applyBorder="1"/>
    <xf numFmtId="0" fontId="22" fillId="0" borderId="0" xfId="0" applyFont="1"/>
    <xf numFmtId="0" fontId="0" fillId="0" borderId="0" xfId="0" applyFont="1" applyAlignment="1"/>
    <xf numFmtId="0" fontId="8" fillId="0" borderId="0" xfId="0" applyFont="1" applyAlignment="1">
      <alignment horizontal="center"/>
    </xf>
    <xf numFmtId="0" fontId="8" fillId="0" borderId="9" xfId="0" applyFont="1" applyBorder="1" applyAlignment="1">
      <alignment horizontal="center"/>
    </xf>
    <xf numFmtId="0" fontId="6" fillId="0" borderId="73" xfId="0" applyFont="1" applyBorder="1"/>
    <xf numFmtId="0" fontId="6" fillId="0" borderId="74" xfId="0" applyFont="1" applyBorder="1"/>
    <xf numFmtId="0" fontId="4" fillId="0" borderId="0" xfId="0" applyFont="1"/>
    <xf numFmtId="0" fontId="30" fillId="0" borderId="0" xfId="0" applyFont="1"/>
    <xf numFmtId="0" fontId="9" fillId="0" borderId="0" xfId="0" applyFont="1" applyAlignment="1">
      <alignment horizontal="left" wrapText="1"/>
    </xf>
    <xf numFmtId="0" fontId="39" fillId="6" borderId="132" xfId="0" applyFont="1" applyFill="1" applyBorder="1" applyAlignment="1">
      <alignment horizontal="center"/>
    </xf>
    <xf numFmtId="0" fontId="6" fillId="0" borderId="133" xfId="0" applyFont="1" applyBorder="1"/>
    <xf numFmtId="0" fontId="6" fillId="0" borderId="134" xfId="0" applyFont="1" applyBorder="1"/>
    <xf numFmtId="0" fontId="40" fillId="6" borderId="135" xfId="0" applyFont="1" applyFill="1" applyBorder="1" applyAlignment="1">
      <alignment horizontal="center"/>
    </xf>
    <xf numFmtId="0" fontId="6" fillId="0" borderId="136" xfId="0" applyFont="1" applyBorder="1"/>
    <xf numFmtId="0" fontId="4" fillId="6" borderId="2" xfId="0" applyFont="1" applyFill="1" applyBorder="1" applyAlignment="1">
      <alignment horizontal="center"/>
    </xf>
    <xf numFmtId="0" fontId="6" fillId="0" borderId="3" xfId="0" applyFont="1" applyBorder="1"/>
    <xf numFmtId="0" fontId="25" fillId="6" borderId="6" xfId="0" applyFont="1" applyFill="1" applyBorder="1"/>
    <xf numFmtId="0" fontId="6" fillId="0" borderId="7" xfId="0" applyFont="1" applyBorder="1"/>
    <xf numFmtId="0" fontId="6" fillId="0" borderId="91" xfId="0" applyFont="1" applyBorder="1"/>
    <xf numFmtId="0" fontId="3" fillId="0" borderId="19" xfId="0" applyFont="1" applyBorder="1"/>
    <xf numFmtId="0" fontId="6" fillId="0" borderId="19" xfId="0" applyFont="1" applyBorder="1"/>
    <xf numFmtId="0" fontId="185" fillId="0" borderId="2" xfId="0" applyFont="1" applyBorder="1"/>
    <xf numFmtId="0" fontId="200" fillId="0" borderId="3" xfId="0" applyFont="1" applyBorder="1"/>
    <xf numFmtId="0" fontId="200" fillId="0" borderId="4" xfId="0" applyFont="1" applyBorder="1"/>
    <xf numFmtId="3" fontId="185" fillId="22" borderId="2" xfId="0" applyNumberFormat="1" applyFont="1" applyFill="1" applyBorder="1"/>
    <xf numFmtId="0" fontId="185" fillId="10" borderId="2" xfId="0" applyFont="1" applyFill="1" applyBorder="1"/>
    <xf numFmtId="0" fontId="196" fillId="20" borderId="2" xfId="0" applyFont="1" applyFill="1" applyBorder="1"/>
    <xf numFmtId="0" fontId="196" fillId="11" borderId="2" xfId="0" applyFont="1" applyFill="1" applyBorder="1"/>
    <xf numFmtId="0" fontId="196" fillId="16" borderId="2" xfId="0" applyFont="1" applyFill="1" applyBorder="1"/>
    <xf numFmtId="3" fontId="185" fillId="0" borderId="2" xfId="0" applyNumberFormat="1" applyFont="1" applyBorder="1"/>
    <xf numFmtId="0" fontId="196" fillId="0" borderId="2" xfId="0" applyFont="1" applyBorder="1"/>
    <xf numFmtId="3" fontId="196" fillId="23" borderId="2" xfId="0" applyNumberFormat="1" applyFont="1" applyFill="1" applyBorder="1"/>
    <xf numFmtId="3" fontId="196" fillId="0" borderId="2" xfId="0" applyNumberFormat="1" applyFont="1" applyBorder="1"/>
    <xf numFmtId="0" fontId="196" fillId="10" borderId="2" xfId="0" applyFont="1" applyFill="1" applyBorder="1"/>
    <xf numFmtId="0" fontId="185" fillId="24" borderId="2" xfId="0" applyFont="1" applyFill="1" applyBorder="1"/>
    <xf numFmtId="0" fontId="196" fillId="24" borderId="2" xfId="0" applyFont="1" applyFill="1" applyBorder="1"/>
    <xf numFmtId="0" fontId="196" fillId="6" borderId="2" xfId="0" applyFont="1" applyFill="1" applyBorder="1"/>
    <xf numFmtId="0" fontId="206" fillId="23" borderId="2" xfId="0" applyFont="1" applyFill="1" applyBorder="1"/>
    <xf numFmtId="0" fontId="196" fillId="25" borderId="2" xfId="0" applyFont="1" applyFill="1" applyBorder="1"/>
    <xf numFmtId="0" fontId="207" fillId="0" borderId="2" xfId="0" applyFont="1" applyBorder="1"/>
    <xf numFmtId="0" fontId="209" fillId="27" borderId="2" xfId="0" applyFont="1" applyFill="1" applyBorder="1"/>
    <xf numFmtId="0" fontId="207" fillId="0" borderId="191" xfId="0" applyFont="1" applyBorder="1" applyAlignment="1"/>
    <xf numFmtId="0" fontId="207" fillId="0" borderId="3" xfId="0" applyFont="1" applyBorder="1" applyAlignment="1"/>
    <xf numFmtId="0" fontId="207" fillId="0" borderId="274" xfId="0" applyFont="1" applyBorder="1" applyAlignment="1"/>
    <xf numFmtId="0" fontId="196" fillId="26" borderId="191" xfId="0" applyFont="1" applyFill="1" applyBorder="1" applyAlignment="1"/>
    <xf numFmtId="0" fontId="196" fillId="26" borderId="3" xfId="0" applyFont="1" applyFill="1" applyBorder="1" applyAlignment="1"/>
    <xf numFmtId="0" fontId="196" fillId="26" borderId="274" xfId="0" applyFont="1" applyFill="1" applyBorder="1" applyAlignment="1"/>
    <xf numFmtId="0" fontId="3" fillId="0" borderId="136" xfId="0" applyFont="1" applyBorder="1"/>
    <xf numFmtId="0" fontId="3" fillId="0" borderId="315" xfId="0" applyFont="1" applyBorder="1"/>
    <xf numFmtId="0" fontId="6" fillId="0" borderId="316" xfId="0" applyFont="1" applyBorder="1"/>
    <xf numFmtId="0" fontId="3" fillId="0" borderId="318" xfId="0" applyFont="1" applyBorder="1"/>
    <xf numFmtId="0" fontId="176" fillId="0" borderId="318" xfId="0" applyFont="1" applyBorder="1"/>
    <xf numFmtId="0" fontId="164" fillId="0" borderId="136" xfId="0" applyFont="1" applyBorder="1"/>
    <xf numFmtId="0" fontId="192" fillId="6" borderId="323" xfId="0" applyFont="1" applyFill="1" applyBorder="1" applyAlignment="1">
      <alignment horizontal="center" vertical="center"/>
    </xf>
    <xf numFmtId="0" fontId="192" fillId="6" borderId="324" xfId="0" applyFont="1" applyFill="1" applyBorder="1" applyAlignment="1">
      <alignment horizontal="center" vertical="center"/>
    </xf>
    <xf numFmtId="0" fontId="192" fillId="6" borderId="348" xfId="0" applyFont="1" applyFill="1" applyBorder="1" applyAlignment="1">
      <alignment horizontal="center" vertical="center"/>
    </xf>
    <xf numFmtId="0" fontId="11" fillId="0" borderId="318" xfId="0" applyFont="1" applyBorder="1"/>
    <xf numFmtId="0" fontId="182" fillId="0" borderId="314" xfId="0" applyFont="1" applyBorder="1" applyAlignment="1">
      <alignment horizontal="center" vertical="center"/>
    </xf>
    <xf numFmtId="0" fontId="183" fillId="0" borderId="314" xfId="0" applyFont="1" applyBorder="1" applyAlignment="1">
      <alignment vertical="center"/>
    </xf>
    <xf numFmtId="0" fontId="188" fillId="6" borderId="314" xfId="0" applyFont="1" applyFill="1" applyBorder="1" applyAlignment="1">
      <alignment horizontal="center" vertical="center"/>
    </xf>
    <xf numFmtId="0" fontId="4" fillId="0" borderId="0" xfId="0" applyFont="1" applyAlignment="1">
      <alignment wrapText="1"/>
    </xf>
    <xf numFmtId="0" fontId="56" fillId="0" borderId="127" xfId="0" applyFont="1" applyBorder="1" applyAlignment="1">
      <alignment horizontal="center" wrapText="1"/>
    </xf>
    <xf numFmtId="0" fontId="6" fillId="0" borderId="130" xfId="0" applyFont="1" applyBorder="1"/>
    <xf numFmtId="0" fontId="22" fillId="0" borderId="7" xfId="0" applyFont="1" applyBorder="1"/>
    <xf numFmtId="0" fontId="94" fillId="6" borderId="284" xfId="0" applyFont="1" applyFill="1" applyBorder="1" applyAlignment="1">
      <alignment vertical="center"/>
    </xf>
    <xf numFmtId="0" fontId="6" fillId="0" borderId="285" xfId="0" applyFont="1" applyBorder="1"/>
    <xf numFmtId="0" fontId="56" fillId="0" borderId="0" xfId="0" applyFont="1" applyAlignment="1">
      <alignment horizontal="left" wrapText="1"/>
    </xf>
    <xf numFmtId="0" fontId="25" fillId="2" borderId="294" xfId="0" applyFont="1" applyFill="1" applyBorder="1" applyAlignment="1">
      <alignment horizontal="center" vertical="top" wrapText="1"/>
    </xf>
    <xf numFmtId="0" fontId="6" fillId="0" borderId="295" xfId="0" applyFont="1" applyBorder="1"/>
    <xf numFmtId="0" fontId="101" fillId="0" borderId="2" xfId="0" applyFont="1" applyBorder="1" applyAlignment="1">
      <alignment horizontal="right" wrapText="1"/>
    </xf>
    <xf numFmtId="0" fontId="56" fillId="0" borderId="0" xfId="0" applyFont="1"/>
    <xf numFmtId="9" fontId="25" fillId="0" borderId="110" xfId="0" applyNumberFormat="1" applyFont="1" applyBorder="1" applyAlignment="1">
      <alignment horizontal="center"/>
    </xf>
    <xf numFmtId="0" fontId="6" fillId="0" borderId="110" xfId="0" applyFont="1" applyBorder="1"/>
    <xf numFmtId="0" fontId="25" fillId="0" borderId="0" xfId="0" applyFont="1" applyAlignment="1">
      <alignment horizontal="center"/>
    </xf>
    <xf numFmtId="0" fontId="25" fillId="0" borderId="110" xfId="0" applyFont="1" applyBorder="1" applyAlignment="1">
      <alignment horizontal="center" vertical="top" wrapText="1"/>
    </xf>
    <xf numFmtId="0" fontId="25" fillId="0" borderId="0" xfId="0" applyFont="1" applyAlignment="1">
      <alignment horizontal="center" vertical="top" wrapText="1"/>
    </xf>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colors>
    <mruColors>
      <color rgb="FF33CCCC"/>
      <color rgb="FFCC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3" Type="http://customschemas.google.com/relationships/workbookmetadata" Target="metadata"/><Relationship Id="rId4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900" b="1" i="0">
                <a:solidFill>
                  <a:srgbClr val="000000"/>
                </a:solidFill>
                <a:latin typeface="Calibri"/>
              </a:defRPr>
            </a:pPr>
            <a:r>
              <a:rPr lang="en-US" sz="900" b="1" i="0">
                <a:solidFill>
                  <a:srgbClr val="000000"/>
                </a:solidFill>
                <a:latin typeface="Calibri"/>
              </a:rPr>
              <a:t>MD Gross Electricity Generation</a:t>
            </a:r>
          </a:p>
        </c:rich>
      </c:tx>
      <c:layout>
        <c:manualLayout>
          <c:xMode val="edge"/>
          <c:yMode val="edge"/>
          <c:x val="0.36995186358677401"/>
          <c:y val="3.1941031941031942E-2"/>
        </c:manualLayout>
      </c:layout>
      <c:overlay val="0"/>
    </c:title>
    <c:autoTitleDeleted val="0"/>
    <c:plotArea>
      <c:layout>
        <c:manualLayout>
          <c:xMode val="edge"/>
          <c:yMode val="edge"/>
          <c:x val="0.12116326197374686"/>
          <c:y val="0.29975429975430118"/>
          <c:w val="0.8529893642951778"/>
          <c:h val="0.51597051597051602"/>
        </c:manualLayout>
      </c:layout>
      <c:areaChart>
        <c:grouping val="stacked"/>
        <c:varyColors val="1"/>
        <c:ser>
          <c:idx val="0"/>
          <c:order val="0"/>
          <c:tx>
            <c:v>Coal</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Electricity'!$C$17:$W$17</c:f>
              <c:numCache>
                <c:formatCode>#,##0</c:formatCode>
                <c:ptCount val="21"/>
                <c:pt idx="0">
                  <c:v>25624758</c:v>
                </c:pt>
                <c:pt idx="1">
                  <c:v>27595256</c:v>
                </c:pt>
                <c:pt idx="2">
                  <c:v>27992005</c:v>
                </c:pt>
                <c:pt idx="3">
                  <c:v>27620925</c:v>
                </c:pt>
                <c:pt idx="4">
                  <c:v>29294727</c:v>
                </c:pt>
                <c:pt idx="5">
                  <c:v>29687655</c:v>
                </c:pt>
                <c:pt idx="6">
                  <c:v>29451065</c:v>
                </c:pt>
                <c:pt idx="7">
                  <c:v>28379409</c:v>
                </c:pt>
                <c:pt idx="8">
                  <c:v>28712053</c:v>
                </c:pt>
                <c:pt idx="9">
                  <c:v>29939086</c:v>
                </c:pt>
                <c:pt idx="10">
                  <c:v>29195458</c:v>
                </c:pt>
                <c:pt idx="11">
                  <c:v>29302792</c:v>
                </c:pt>
                <c:pt idx="12">
                  <c:v>29408022</c:v>
                </c:pt>
                <c:pt idx="13">
                  <c:v>29699186</c:v>
                </c:pt>
                <c:pt idx="14">
                  <c:v>27218239</c:v>
                </c:pt>
                <c:pt idx="15" formatCode="_(* #,##0_);_(* \(#,##0\);_(* &quot;-&quot;??_);_(@_)">
                  <c:v>24162345</c:v>
                </c:pt>
                <c:pt idx="16" formatCode="_(* #,##0_);_(* \(#,##0\);_(* &quot;-&quot;??_);_(@_)">
                  <c:v>23668204</c:v>
                </c:pt>
                <c:pt idx="17" formatCode="_(* #,##0_);_(* \(#,##0\);_(* &quot;-&quot;??_);_(@_)">
                  <c:v>21186919</c:v>
                </c:pt>
                <c:pt idx="18" formatCode="_(* #,##0_);_(* \(#,##0\);_(* &quot;-&quot;??_);_(@_)">
                  <c:v>16184773</c:v>
                </c:pt>
                <c:pt idx="19" formatCode="_(* #,##0_);_(* \(#,##0\);_(* &quot;-&quot;??_);_(@_)">
                  <c:v>15538469</c:v>
                </c:pt>
                <c:pt idx="20" formatCode="_(* #,##0_);_(* \(#,##0\);_(* &quot;-&quot;??_);_(@_)">
                  <c:v>17603291</c:v>
                </c:pt>
              </c:numCache>
            </c:numRef>
          </c:val>
          <c:extLst>
            <c:ext xmlns:c16="http://schemas.microsoft.com/office/drawing/2014/chart" uri="{C3380CC4-5D6E-409C-BE32-E72D297353CC}">
              <c16:uniqueId val="{00000000-4845-4E8D-A816-775D22FB630C}"/>
            </c:ext>
          </c:extLst>
        </c:ser>
        <c:ser>
          <c:idx val="1"/>
          <c:order val="1"/>
          <c:tx>
            <c:v>Petroleum</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Electricity'!$C$18:$W$18</c:f>
              <c:numCache>
                <c:formatCode>#,##0</c:formatCode>
                <c:ptCount val="21"/>
                <c:pt idx="0">
                  <c:v>4275226</c:v>
                </c:pt>
                <c:pt idx="1">
                  <c:v>1479469</c:v>
                </c:pt>
                <c:pt idx="2">
                  <c:v>1472027</c:v>
                </c:pt>
                <c:pt idx="3">
                  <c:v>1565010</c:v>
                </c:pt>
                <c:pt idx="4">
                  <c:v>3454350</c:v>
                </c:pt>
                <c:pt idx="5">
                  <c:v>4290788</c:v>
                </c:pt>
                <c:pt idx="6">
                  <c:v>2388595</c:v>
                </c:pt>
                <c:pt idx="7">
                  <c:v>3021639</c:v>
                </c:pt>
                <c:pt idx="8">
                  <c:v>2282432</c:v>
                </c:pt>
                <c:pt idx="9">
                  <c:v>3572183</c:v>
                </c:pt>
                <c:pt idx="10">
                  <c:v>3296842</c:v>
                </c:pt>
                <c:pt idx="11">
                  <c:v>3805569</c:v>
                </c:pt>
                <c:pt idx="12">
                  <c:v>580726</c:v>
                </c:pt>
                <c:pt idx="13">
                  <c:v>984831</c:v>
                </c:pt>
                <c:pt idx="14">
                  <c:v>405840</c:v>
                </c:pt>
                <c:pt idx="15" formatCode="_(* #,##0_);_(* \(#,##0\);_(* &quot;-&quot;??_);_(@_)">
                  <c:v>329901</c:v>
                </c:pt>
                <c:pt idx="16" formatCode="_(* #,##0_);_(* \(#,##0\);_(* &quot;-&quot;??_);_(@_)">
                  <c:v>322438</c:v>
                </c:pt>
                <c:pt idx="17" formatCode="_(* #,##0_);_(* \(#,##0\);_(* &quot;-&quot;??_);_(@_)">
                  <c:v>219804</c:v>
                </c:pt>
                <c:pt idx="18" formatCode="_(* #,##0_);_(* \(#,##0\);_(* &quot;-&quot;??_);_(@_)">
                  <c:v>137305</c:v>
                </c:pt>
                <c:pt idx="19" formatCode="_(* #,##0_);_(* \(#,##0\);_(* &quot;-&quot;??_);_(@_)">
                  <c:v>189553</c:v>
                </c:pt>
                <c:pt idx="20" formatCode="_(* #,##0_);_(* \(#,##0\);_(* &quot;-&quot;??_);_(@_)">
                  <c:v>463456</c:v>
                </c:pt>
              </c:numCache>
            </c:numRef>
          </c:val>
          <c:extLst>
            <c:ext xmlns:c16="http://schemas.microsoft.com/office/drawing/2014/chart" uri="{C3380CC4-5D6E-409C-BE32-E72D297353CC}">
              <c16:uniqueId val="{00000001-4845-4E8D-A816-775D22FB630C}"/>
            </c:ext>
          </c:extLst>
        </c:ser>
        <c:ser>
          <c:idx val="2"/>
          <c:order val="2"/>
          <c:tx>
            <c:v>Natural Gas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Electricity'!$C$19:$W$19</c:f>
              <c:numCache>
                <c:formatCode>#,##0</c:formatCode>
                <c:ptCount val="21"/>
                <c:pt idx="0">
                  <c:v>1172042</c:v>
                </c:pt>
                <c:pt idx="1">
                  <c:v>1548884</c:v>
                </c:pt>
                <c:pt idx="2">
                  <c:v>987627</c:v>
                </c:pt>
                <c:pt idx="3">
                  <c:v>1412585</c:v>
                </c:pt>
                <c:pt idx="4">
                  <c:v>1990596</c:v>
                </c:pt>
                <c:pt idx="5">
                  <c:v>2125193</c:v>
                </c:pt>
                <c:pt idx="6">
                  <c:v>2852876</c:v>
                </c:pt>
                <c:pt idx="7">
                  <c:v>1760812</c:v>
                </c:pt>
                <c:pt idx="8">
                  <c:v>2214431</c:v>
                </c:pt>
                <c:pt idx="9">
                  <c:v>1195642</c:v>
                </c:pt>
                <c:pt idx="10">
                  <c:v>1183301</c:v>
                </c:pt>
                <c:pt idx="11">
                  <c:v>1886986</c:v>
                </c:pt>
                <c:pt idx="12">
                  <c:v>1770206</c:v>
                </c:pt>
                <c:pt idx="13">
                  <c:v>2240927</c:v>
                </c:pt>
                <c:pt idx="14">
                  <c:v>1848147</c:v>
                </c:pt>
                <c:pt idx="15" formatCode="_(* #,##0_);_(* \(#,##0\);_(* &quot;-&quot;??_);_(@_)">
                  <c:v>1767844</c:v>
                </c:pt>
                <c:pt idx="16" formatCode="_(* #,##0_);_(* \(#,##0\);_(* &quot;-&quot;??_);_(@_)">
                  <c:v>2896978</c:v>
                </c:pt>
                <c:pt idx="17" formatCode="_(* #,##0_);_(* \(#,##0\);_(* &quot;-&quot;??_);_(@_)">
                  <c:v>2236976</c:v>
                </c:pt>
                <c:pt idx="18" formatCode="_(* #,##0_);_(* \(#,##0\);_(* &quot;-&quot;??_);_(@_)">
                  <c:v>4944895</c:v>
                </c:pt>
                <c:pt idx="19" formatCode="_(* #,##0_);_(* \(#,##0\);_(* &quot;-&quot;??_);_(@_)">
                  <c:v>2887589</c:v>
                </c:pt>
                <c:pt idx="20" formatCode="_(* #,##0_);_(* \(#,##0\);_(* &quot;-&quot;??_);_(@_)">
                  <c:v>2505890</c:v>
                </c:pt>
              </c:numCache>
            </c:numRef>
          </c:val>
          <c:extLst>
            <c:ext xmlns:c16="http://schemas.microsoft.com/office/drawing/2014/chart" uri="{C3380CC4-5D6E-409C-BE32-E72D297353CC}">
              <c16:uniqueId val="{00000002-4845-4E8D-A816-775D22FB630C}"/>
            </c:ext>
          </c:extLst>
        </c:ser>
        <c:ser>
          <c:idx val="3"/>
          <c:order val="3"/>
          <c:tx>
            <c:v>Other Gases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Electricity'!$C$20:$W$20</c:f>
              <c:numCache>
                <c:formatCode>#,##0</c:formatCode>
                <c:ptCount val="21"/>
                <c:pt idx="0">
                  <c:v>501762</c:v>
                </c:pt>
                <c:pt idx="1">
                  <c:v>685721</c:v>
                </c:pt>
                <c:pt idx="2">
                  <c:v>539335</c:v>
                </c:pt>
                <c:pt idx="3">
                  <c:v>564036</c:v>
                </c:pt>
                <c:pt idx="4">
                  <c:v>82316</c:v>
                </c:pt>
                <c:pt idx="5">
                  <c:v>59891</c:v>
                </c:pt>
                <c:pt idx="6">
                  <c:v>74572</c:v>
                </c:pt>
                <c:pt idx="7">
                  <c:v>439980</c:v>
                </c:pt>
                <c:pt idx="8">
                  <c:v>504513</c:v>
                </c:pt>
                <c:pt idx="9">
                  <c:v>325355</c:v>
                </c:pt>
                <c:pt idx="10">
                  <c:v>411565</c:v>
                </c:pt>
                <c:pt idx="11">
                  <c:v>342466</c:v>
                </c:pt>
                <c:pt idx="12">
                  <c:v>332444</c:v>
                </c:pt>
                <c:pt idx="13">
                  <c:v>377560</c:v>
                </c:pt>
                <c:pt idx="14">
                  <c:v>337823</c:v>
                </c:pt>
                <c:pt idx="15" formatCode="_(* #,##0_);_(* \(#,##0\);_(* &quot;-&quot;??_);_(@_)">
                  <c:v>269182</c:v>
                </c:pt>
                <c:pt idx="16" formatCode="_(* #,##0_);_(* \(#,##0\);_(* &quot;-&quot;??_);_(@_)">
                  <c:v>214727</c:v>
                </c:pt>
                <c:pt idx="17" formatCode="_(* #,##0_);_(* \(#,##0\);_(* &quot;-&quot;??_);_(@_)">
                  <c:v>154641</c:v>
                </c:pt>
                <c:pt idx="18" formatCode="_(* #,##0_);_(* \(#,##0\);_(* &quot;-&quot;??_);_(@_)">
                  <c:v>112314</c:v>
                </c:pt>
                <c:pt idx="19" formatCode="_(* #,##0_);_(* \(#,##0\);_(* &quot;-&quot;??_);_(@_)">
                  <c:v>0</c:v>
                </c:pt>
                <c:pt idx="20" formatCode="_(* #,##0_);_(* \(#,##0\);_(* &quot;-&quot;??_);_(@_)">
                  <c:v>0</c:v>
                </c:pt>
              </c:numCache>
            </c:numRef>
          </c:val>
          <c:extLst>
            <c:ext xmlns:c16="http://schemas.microsoft.com/office/drawing/2014/chart" uri="{C3380CC4-5D6E-409C-BE32-E72D297353CC}">
              <c16:uniqueId val="{00000003-4845-4E8D-A816-775D22FB630C}"/>
            </c:ext>
          </c:extLst>
        </c:ser>
        <c:ser>
          <c:idx val="4"/>
          <c:order val="4"/>
          <c:tx>
            <c:v>Nuclear</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Electricity'!$C$21:$W$21</c:f>
              <c:numCache>
                <c:formatCode>#,##0</c:formatCode>
                <c:ptCount val="21"/>
                <c:pt idx="0">
                  <c:v>11235408</c:v>
                </c:pt>
                <c:pt idx="1">
                  <c:v>12937971</c:v>
                </c:pt>
                <c:pt idx="2">
                  <c:v>12092768</c:v>
                </c:pt>
                <c:pt idx="3">
                  <c:v>13212967</c:v>
                </c:pt>
                <c:pt idx="4">
                  <c:v>13330598</c:v>
                </c:pt>
                <c:pt idx="5">
                  <c:v>13312335</c:v>
                </c:pt>
                <c:pt idx="6">
                  <c:v>13827243</c:v>
                </c:pt>
                <c:pt idx="7">
                  <c:v>13656267</c:v>
                </c:pt>
                <c:pt idx="8">
                  <c:v>12128005</c:v>
                </c:pt>
                <c:pt idx="9">
                  <c:v>13690713</c:v>
                </c:pt>
                <c:pt idx="10">
                  <c:v>14580260</c:v>
                </c:pt>
                <c:pt idx="11">
                  <c:v>14703221</c:v>
                </c:pt>
                <c:pt idx="12">
                  <c:v>13830411</c:v>
                </c:pt>
                <c:pt idx="13">
                  <c:v>14353192</c:v>
                </c:pt>
                <c:pt idx="14">
                  <c:v>14678695</c:v>
                </c:pt>
                <c:pt idx="15" formatCode="_(* #,##0_);_(* \(#,##0\);_(* &quot;-&quot;??_);_(@_)">
                  <c:v>14550119</c:v>
                </c:pt>
                <c:pt idx="16" formatCode="_(* #,##0_);_(* \(#,##0\);_(* &quot;-&quot;??_);_(@_)">
                  <c:v>13993948</c:v>
                </c:pt>
                <c:pt idx="17" formatCode="_(* #,##0_);_(* \(#,##0\);_(* &quot;-&quot;??_);_(@_)">
                  <c:v>14397437</c:v>
                </c:pt>
                <c:pt idx="18" formatCode="_(* #,##0_);_(* \(#,##0\);_(* &quot;-&quot;??_);_(@_)">
                  <c:v>13579266</c:v>
                </c:pt>
                <c:pt idx="19" formatCode="_(* #,##0_);_(* \(#,##0\);_(* &quot;-&quot;??_);_(@_)">
                  <c:v>14264305</c:v>
                </c:pt>
                <c:pt idx="20" formatCode="_(* #,##0_);_(* \(#,##0\);_(* &quot;-&quot;??_);_(@_)">
                  <c:v>14343334</c:v>
                </c:pt>
              </c:numCache>
            </c:numRef>
          </c:val>
          <c:extLst>
            <c:ext xmlns:c16="http://schemas.microsoft.com/office/drawing/2014/chart" uri="{C3380CC4-5D6E-409C-BE32-E72D297353CC}">
              <c16:uniqueId val="{00000004-4845-4E8D-A816-775D22FB630C}"/>
            </c:ext>
          </c:extLst>
        </c:ser>
        <c:ser>
          <c:idx val="5"/>
          <c:order val="5"/>
          <c:tx>
            <c:v>Hydroelectric Conventional</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Electricity'!$C$22:$W$22</c:f>
              <c:numCache>
                <c:formatCode>#,##0</c:formatCode>
                <c:ptCount val="21"/>
                <c:pt idx="0">
                  <c:v>2009536</c:v>
                </c:pt>
                <c:pt idx="1">
                  <c:v>1442006</c:v>
                </c:pt>
                <c:pt idx="2">
                  <c:v>2457463</c:v>
                </c:pt>
                <c:pt idx="3">
                  <c:v>1588375</c:v>
                </c:pt>
                <c:pt idx="4">
                  <c:v>1739737</c:v>
                </c:pt>
                <c:pt idx="5">
                  <c:v>1424197</c:v>
                </c:pt>
                <c:pt idx="6">
                  <c:v>1732619</c:v>
                </c:pt>
                <c:pt idx="7">
                  <c:v>1183518</c:v>
                </c:pt>
                <c:pt idx="8">
                  <c:v>1660989</c:v>
                </c:pt>
                <c:pt idx="9">
                  <c:v>2646984</c:v>
                </c:pt>
                <c:pt idx="10">
                  <c:v>2507521</c:v>
                </c:pt>
                <c:pt idx="11">
                  <c:v>1703639</c:v>
                </c:pt>
                <c:pt idx="12">
                  <c:v>2104275</c:v>
                </c:pt>
                <c:pt idx="13">
                  <c:v>1652216</c:v>
                </c:pt>
                <c:pt idx="14">
                  <c:v>1974078</c:v>
                </c:pt>
                <c:pt idx="15" formatCode="_(* #,##0_);_(* \(#,##0\);_(* &quot;-&quot;??_);_(@_)">
                  <c:v>1888769</c:v>
                </c:pt>
                <c:pt idx="16" formatCode="_(* #,##0_);_(* \(#,##0\);_(* &quot;-&quot;??_);_(@_)">
                  <c:v>1667397</c:v>
                </c:pt>
                <c:pt idx="17" formatCode="_(* #,##0_);_(* \(#,##0\);_(* &quot;-&quot;??_);_(@_)">
                  <c:v>2540908</c:v>
                </c:pt>
                <c:pt idx="18" formatCode="_(* #,##0_);_(* \(#,##0\);_(* &quot;-&quot;??_);_(@_)">
                  <c:v>1656539</c:v>
                </c:pt>
                <c:pt idx="19" formatCode="_(* #,##0_);_(* \(#,##0\);_(* &quot;-&quot;??_);_(@_)">
                  <c:v>1727020</c:v>
                </c:pt>
                <c:pt idx="20" formatCode="_(* #,##0_);_(* \(#,##0\);_(* &quot;-&quot;??_);_(@_)">
                  <c:v>1615523</c:v>
                </c:pt>
              </c:numCache>
            </c:numRef>
          </c:val>
          <c:extLst>
            <c:ext xmlns:c16="http://schemas.microsoft.com/office/drawing/2014/chart" uri="{C3380CC4-5D6E-409C-BE32-E72D297353CC}">
              <c16:uniqueId val="{00000005-4845-4E8D-A816-775D22FB630C}"/>
            </c:ext>
          </c:extLst>
        </c:ser>
        <c:ser>
          <c:idx val="6"/>
          <c:order val="6"/>
          <c:tx>
            <c:v>Wind</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Electricity'!$C$23:$W$23</c:f>
              <c:numCache>
                <c:formatCode>#,##0</c:formatCode>
                <c:ptCount val="21"/>
                <c:pt idx="16" formatCode="_(* #,##0_);_(* \(#,##0\);_(* &quot;-&quot;??_);_(@_)">
                  <c:v>1494</c:v>
                </c:pt>
                <c:pt idx="17" formatCode="_(* #,##0_);_(* \(#,##0\);_(* &quot;-&quot;??_);_(@_)">
                  <c:v>319254</c:v>
                </c:pt>
                <c:pt idx="18" formatCode="_(* #,##0_);_(* \(#,##0\);_(* &quot;-&quot;??_);_(@_)">
                  <c:v>321687</c:v>
                </c:pt>
                <c:pt idx="19" formatCode="_(* #,##0_);_(* \(#,##0\);_(* &quot;-&quot;??_);_(@_)">
                  <c:v>321670</c:v>
                </c:pt>
                <c:pt idx="20" formatCode="_(* #,##0_);_(* \(#,##0\);_(* &quot;-&quot;??_);_(@_)">
                  <c:v>323612</c:v>
                </c:pt>
              </c:numCache>
            </c:numRef>
          </c:val>
          <c:extLst>
            <c:ext xmlns:c16="http://schemas.microsoft.com/office/drawing/2014/chart" uri="{C3380CC4-5D6E-409C-BE32-E72D297353CC}">
              <c16:uniqueId val="{00000006-4845-4E8D-A816-775D22FB630C}"/>
            </c:ext>
          </c:extLst>
        </c:ser>
        <c:ser>
          <c:idx val="7"/>
          <c:order val="7"/>
          <c:tx>
            <c:v>Solar Thermal and Photovoltaic</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Electricity'!$C$24:$W$24</c:f>
              <c:numCache>
                <c:formatCode>#,##0</c:formatCode>
                <c:ptCount val="21"/>
                <c:pt idx="16" formatCode="_(* #,##0_);_(* \(#,##0\);_(* &quot;-&quot;??_);_(@_)">
                  <c:v>80</c:v>
                </c:pt>
                <c:pt idx="17" formatCode="_(* #,##0_);_(* \(#,##0\);_(* &quot;-&quot;??_);_(@_)">
                  <c:v>2070</c:v>
                </c:pt>
                <c:pt idx="18" formatCode="_(* #,##0_);_(* \(#,##0\);_(* &quot;-&quot;??_);_(@_)">
                  <c:v>22473</c:v>
                </c:pt>
                <c:pt idx="19" formatCode="_(* #,##0_);_(* \(#,##0\);_(* &quot;-&quot;??_);_(@_)">
                  <c:v>63485</c:v>
                </c:pt>
                <c:pt idx="20" formatCode="_(* #,##0_);_(* \(#,##0\);_(* &quot;-&quot;??_);_(@_)">
                  <c:v>98118</c:v>
                </c:pt>
              </c:numCache>
            </c:numRef>
          </c:val>
          <c:extLst>
            <c:ext xmlns:c16="http://schemas.microsoft.com/office/drawing/2014/chart" uri="{C3380CC4-5D6E-409C-BE32-E72D297353CC}">
              <c16:uniqueId val="{00000007-4845-4E8D-A816-775D22FB630C}"/>
            </c:ext>
          </c:extLst>
        </c:ser>
        <c:ser>
          <c:idx val="8"/>
          <c:order val="8"/>
          <c:tx>
            <c:v>Wood and Wood Derived Fuels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Electricity'!$C$25:$W$25</c:f>
              <c:numCache>
                <c:formatCode>#,##0</c:formatCode>
                <c:ptCount val="21"/>
                <c:pt idx="0">
                  <c:v>168822</c:v>
                </c:pt>
                <c:pt idx="1">
                  <c:v>175144</c:v>
                </c:pt>
                <c:pt idx="2">
                  <c:v>167554</c:v>
                </c:pt>
                <c:pt idx="3">
                  <c:v>155906</c:v>
                </c:pt>
                <c:pt idx="4">
                  <c:v>155647</c:v>
                </c:pt>
                <c:pt idx="5">
                  <c:v>171088</c:v>
                </c:pt>
                <c:pt idx="6">
                  <c:v>179580</c:v>
                </c:pt>
                <c:pt idx="7">
                  <c:v>11939</c:v>
                </c:pt>
                <c:pt idx="8">
                  <c:v>182904</c:v>
                </c:pt>
                <c:pt idx="9">
                  <c:v>225240</c:v>
                </c:pt>
                <c:pt idx="10">
                  <c:v>192384</c:v>
                </c:pt>
                <c:pt idx="11">
                  <c:v>205985</c:v>
                </c:pt>
                <c:pt idx="12">
                  <c:v>218066</c:v>
                </c:pt>
                <c:pt idx="13">
                  <c:v>203097</c:v>
                </c:pt>
                <c:pt idx="14">
                  <c:v>197704</c:v>
                </c:pt>
                <c:pt idx="15" formatCode="_(* #,##0_);_(* \(#,##0\);_(* &quot;-&quot;??_);_(@_)">
                  <c:v>175058</c:v>
                </c:pt>
                <c:pt idx="16" formatCode="_(* #,##0_);_(* \(#,##0\);_(* &quot;-&quot;??_);_(@_)">
                  <c:v>164688</c:v>
                </c:pt>
                <c:pt idx="17" formatCode="_(* #,##0_);_(* \(#,##0\);_(* &quot;-&quot;??_);_(@_)">
                  <c:v>167437</c:v>
                </c:pt>
                <c:pt idx="18" formatCode="_(* #,##0_);_(* \(#,##0\);_(* &quot;-&quot;??_);_(@_)">
                  <c:v>158953</c:v>
                </c:pt>
                <c:pt idx="19" formatCode="_(* #,##0_);_(* \(#,##0\);_(* &quot;-&quot;??_);_(@_)">
                  <c:v>142789</c:v>
                </c:pt>
                <c:pt idx="20" formatCode="_(* #,##0_);_(* \(#,##0\);_(* &quot;-&quot;??_);_(@_)">
                  <c:v>150426</c:v>
                </c:pt>
              </c:numCache>
            </c:numRef>
          </c:val>
          <c:extLst>
            <c:ext xmlns:c16="http://schemas.microsoft.com/office/drawing/2014/chart" uri="{C3380CC4-5D6E-409C-BE32-E72D297353CC}">
              <c16:uniqueId val="{00000008-4845-4E8D-A816-775D22FB630C}"/>
            </c:ext>
          </c:extLst>
        </c:ser>
        <c:ser>
          <c:idx val="9"/>
          <c:order val="9"/>
          <c:tx>
            <c:v>Other Biomass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Electricity'!$C$26:$W$26</c:f>
              <c:numCache>
                <c:formatCode>#,##0</c:formatCode>
                <c:ptCount val="21"/>
                <c:pt idx="0">
                  <c:v>352064</c:v>
                </c:pt>
                <c:pt idx="1">
                  <c:v>501192</c:v>
                </c:pt>
                <c:pt idx="2">
                  <c:v>565838</c:v>
                </c:pt>
                <c:pt idx="3">
                  <c:v>587592</c:v>
                </c:pt>
                <c:pt idx="4">
                  <c:v>605046</c:v>
                </c:pt>
                <c:pt idx="5">
                  <c:v>614474</c:v>
                </c:pt>
                <c:pt idx="6">
                  <c:v>638830</c:v>
                </c:pt>
                <c:pt idx="7">
                  <c:v>361076</c:v>
                </c:pt>
                <c:pt idx="8">
                  <c:v>338727</c:v>
                </c:pt>
                <c:pt idx="9">
                  <c:v>370811</c:v>
                </c:pt>
                <c:pt idx="10">
                  <c:v>396824</c:v>
                </c:pt>
                <c:pt idx="11">
                  <c:v>417380</c:v>
                </c:pt>
                <c:pt idx="12">
                  <c:v>408095</c:v>
                </c:pt>
                <c:pt idx="13">
                  <c:v>400364</c:v>
                </c:pt>
                <c:pt idx="14">
                  <c:v>414781</c:v>
                </c:pt>
                <c:pt idx="15" formatCode="_(* #,##0_);_(* \(#,##0\);_(* &quot;-&quot;??_);_(@_)">
                  <c:v>375721</c:v>
                </c:pt>
                <c:pt idx="16" formatCode="_(* #,##0_);_(* \(#,##0\);_(* &quot;-&quot;??_);_(@_)">
                  <c:v>407402</c:v>
                </c:pt>
                <c:pt idx="17" formatCode="_(* #,##0_);_(* \(#,##0\);_(* &quot;-&quot;??_);_(@_)">
                  <c:v>420114</c:v>
                </c:pt>
                <c:pt idx="18" formatCode="_(* #,##0_);_(* \(#,##0\);_(* &quot;-&quot;??_);_(@_)">
                  <c:v>395039</c:v>
                </c:pt>
                <c:pt idx="19" formatCode="_(* #,##0_);_(* \(#,##0\);_(* &quot;-&quot;??_);_(@_)">
                  <c:v>413220</c:v>
                </c:pt>
                <c:pt idx="20" formatCode="_(* #,##0_);_(* \(#,##0\);_(* &quot;-&quot;??_);_(@_)">
                  <c:v>416719</c:v>
                </c:pt>
              </c:numCache>
            </c:numRef>
          </c:val>
          <c:extLst>
            <c:ext xmlns:c16="http://schemas.microsoft.com/office/drawing/2014/chart" uri="{C3380CC4-5D6E-409C-BE32-E72D297353CC}">
              <c16:uniqueId val="{00000009-4845-4E8D-A816-775D22FB630C}"/>
            </c:ext>
          </c:extLst>
        </c:ser>
        <c:ser>
          <c:idx val="10"/>
          <c:order val="10"/>
          <c:tx>
            <c:v>Other</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Electricity'!$C$27:$W$27</c:f>
              <c:numCache>
                <c:formatCode>General</c:formatCode>
                <c:ptCount val="21"/>
                <c:pt idx="7" formatCode="#,##0">
                  <c:v>247700</c:v>
                </c:pt>
                <c:pt idx="8" formatCode="#,##0">
                  <c:v>255034</c:v>
                </c:pt>
                <c:pt idx="9" formatCode="#,##0">
                  <c:v>278224</c:v>
                </c:pt>
                <c:pt idx="10" formatCode="#,##0">
                  <c:v>288616</c:v>
                </c:pt>
                <c:pt idx="11" formatCode="#,##0">
                  <c:v>293561</c:v>
                </c:pt>
                <c:pt idx="12" formatCode="#,##0">
                  <c:v>304635</c:v>
                </c:pt>
                <c:pt idx="13" formatCode="#,##0">
                  <c:v>286550</c:v>
                </c:pt>
                <c:pt idx="14" formatCode="#,##0">
                  <c:v>285645</c:v>
                </c:pt>
                <c:pt idx="15" formatCode="_(* #,##0_);_(* \(#,##0\);_(* &quot;-&quot;??_);_(@_)">
                  <c:v>255893</c:v>
                </c:pt>
                <c:pt idx="16" formatCode="_(* #,##0_);_(* \(#,##0\);_(* &quot;-&quot;??_);_(@_)">
                  <c:v>269907</c:v>
                </c:pt>
                <c:pt idx="17" formatCode="_(* #,##0_);_(* \(#,##0\);_(* &quot;-&quot;??_);_(@_)">
                  <c:v>267727</c:v>
                </c:pt>
                <c:pt idx="18" formatCode="_(* #,##0_);_(* \(#,##0\);_(* &quot;-&quot;??_);_(@_)">
                  <c:v>296499</c:v>
                </c:pt>
                <c:pt idx="19" formatCode="_(* #,##0_);_(* \(#,##0\);_(* &quot;-&quot;??_);_(@_)">
                  <c:v>302712</c:v>
                </c:pt>
                <c:pt idx="20" formatCode="_(* #,##0_);_(* \(#,##0\);_(* &quot;-&quot;??_);_(@_)">
                  <c:v>313284</c:v>
                </c:pt>
              </c:numCache>
            </c:numRef>
          </c:val>
          <c:extLst>
            <c:ext xmlns:c16="http://schemas.microsoft.com/office/drawing/2014/chart" uri="{C3380CC4-5D6E-409C-BE32-E72D297353CC}">
              <c16:uniqueId val="{0000000A-4845-4E8D-A816-775D22FB630C}"/>
            </c:ext>
          </c:extLst>
        </c:ser>
        <c:dLbls>
          <c:showLegendKey val="0"/>
          <c:showVal val="0"/>
          <c:showCatName val="0"/>
          <c:showSerName val="0"/>
          <c:showPercent val="0"/>
          <c:showBubbleSize val="0"/>
        </c:dLbls>
        <c:axId val="1826945674"/>
        <c:axId val="980435540"/>
      </c:areaChart>
      <c:catAx>
        <c:axId val="1826945674"/>
        <c:scaling>
          <c:orientation val="minMax"/>
        </c:scaling>
        <c:delete val="0"/>
        <c:axPos val="b"/>
        <c:title>
          <c:tx>
            <c:rich>
              <a:bodyPr/>
              <a:lstStyle/>
              <a:p>
                <a:pPr lvl="0">
                  <a:defRPr sz="1000" b="1" i="0">
                    <a:solidFill>
                      <a:srgbClr val="000000"/>
                    </a:solidFill>
                    <a:latin typeface="Calibri"/>
                  </a:defRPr>
                </a:pPr>
                <a:r>
                  <a:rPr lang="en-US" sz="1000" b="1" i="0">
                    <a:solidFill>
                      <a:srgbClr val="000000"/>
                    </a:solidFill>
                    <a:latin typeface="Calibri"/>
                  </a:rPr>
                  <a:t>MWh</a:t>
                </a:r>
              </a:p>
            </c:rich>
          </c:tx>
          <c:layout>
            <c:manualLayout>
              <c:xMode val="edge"/>
              <c:yMode val="edge"/>
              <c:x val="3.2310164416698914E-2"/>
              <c:y val="0.5479115479115475"/>
            </c:manualLayout>
          </c:layout>
          <c:overlay val="0"/>
        </c:title>
        <c:numFmt formatCode="General" sourceLinked="1"/>
        <c:majorTickMark val="out"/>
        <c:minorTickMark val="none"/>
        <c:tickLblPos val="nextTo"/>
        <c:txPr>
          <a:bodyPr rot="0"/>
          <a:lstStyle/>
          <a:p>
            <a:pPr lvl="0">
              <a:defRPr sz="800" b="0" i="0">
                <a:solidFill>
                  <a:srgbClr val="000000"/>
                </a:solidFill>
                <a:latin typeface="Calibri"/>
              </a:defRPr>
            </a:pPr>
            <a:endParaRPr lang="en-US"/>
          </a:p>
        </c:txPr>
        <c:crossAx val="980435540"/>
        <c:crosses val="autoZero"/>
        <c:auto val="1"/>
        <c:lblAlgn val="ctr"/>
        <c:lblOffset val="100"/>
        <c:noMultiLvlLbl val="1"/>
      </c:catAx>
      <c:valAx>
        <c:axId val="9804355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Calibri"/>
              </a:defRPr>
            </a:pPr>
            <a:endParaRPr lang="en-US"/>
          </a:p>
        </c:txPr>
        <c:crossAx val="1826945674"/>
        <c:crosses val="autoZero"/>
        <c:crossBetween val="midCat"/>
      </c:valAx>
    </c:plotArea>
    <c:legend>
      <c:legendPos val="t"/>
      <c:layout>
        <c:manualLayout>
          <c:xMode val="edge"/>
          <c:yMode val="edge"/>
          <c:x val="2.4232588456323575E-2"/>
          <c:y val="0.12285012285012289"/>
        </c:manualLayout>
      </c:layout>
      <c:overlay val="0"/>
      <c:txPr>
        <a:bodyPr/>
        <a:lstStyle/>
        <a:p>
          <a:pPr lvl="0">
            <a:defRPr sz="600" b="0" i="0">
              <a:solidFill>
                <a:srgbClr val="000000"/>
              </a:solidFill>
              <a:latin typeface="Calibri"/>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8</xdr:col>
      <xdr:colOff>352425</xdr:colOff>
      <xdr:row>21</xdr:row>
      <xdr:rowOff>0</xdr:rowOff>
    </xdr:from>
    <xdr:ext cx="209550" cy="2857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142875</xdr:colOff>
      <xdr:row>1</xdr:row>
      <xdr:rowOff>76200</xdr:rowOff>
    </xdr:from>
    <xdr:ext cx="8667750" cy="781050"/>
    <xdr:sp macro="" textlink="">
      <xdr:nvSpPr>
        <xdr:cNvPr id="27" name="Shape 27">
          <a:extLst>
            <a:ext uri="{FF2B5EF4-FFF2-40B4-BE49-F238E27FC236}">
              <a16:creationId xmlns:a16="http://schemas.microsoft.com/office/drawing/2014/main" id="{00000000-0008-0000-0A00-00001B000000}"/>
            </a:ext>
          </a:extLst>
        </xdr:cNvPr>
        <xdr:cNvSpPr txBox="1"/>
      </xdr:nvSpPr>
      <xdr:spPr>
        <a:xfrm>
          <a:off x="1016888" y="3394238"/>
          <a:ext cx="8658225" cy="7715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1</xdr:row>
      <xdr:rowOff>9525</xdr:rowOff>
    </xdr:from>
    <xdr:ext cx="9772650" cy="2657475"/>
    <xdr:sp macro="" textlink="">
      <xdr:nvSpPr>
        <xdr:cNvPr id="28" name="Shape 28">
          <a:extLst>
            <a:ext uri="{FF2B5EF4-FFF2-40B4-BE49-F238E27FC236}">
              <a16:creationId xmlns:a16="http://schemas.microsoft.com/office/drawing/2014/main" id="{00000000-0008-0000-0B00-00001C000000}"/>
            </a:ext>
          </a:extLst>
        </xdr:cNvPr>
        <xdr:cNvSpPr txBox="1"/>
      </xdr:nvSpPr>
      <xdr:spPr>
        <a:xfrm>
          <a:off x="464438" y="2456025"/>
          <a:ext cx="9763125" cy="26479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352425</xdr:colOff>
      <xdr:row>1</xdr:row>
      <xdr:rowOff>0</xdr:rowOff>
    </xdr:from>
    <xdr:ext cx="9610725" cy="942975"/>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545400" y="3313275"/>
          <a:ext cx="9601200" cy="9334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114300</xdr:colOff>
      <xdr:row>1</xdr:row>
      <xdr:rowOff>0</xdr:rowOff>
    </xdr:from>
    <xdr:ext cx="9591675" cy="1295400"/>
    <xdr:sp macro="" textlink="">
      <xdr:nvSpPr>
        <xdr:cNvPr id="30" name="Shape 30">
          <a:extLst>
            <a:ext uri="{FF2B5EF4-FFF2-40B4-BE49-F238E27FC236}">
              <a16:creationId xmlns:a16="http://schemas.microsoft.com/office/drawing/2014/main" id="{00000000-0008-0000-0D00-00001E000000}"/>
            </a:ext>
          </a:extLst>
        </xdr:cNvPr>
        <xdr:cNvSpPr/>
      </xdr:nvSpPr>
      <xdr:spPr>
        <a:xfrm>
          <a:off x="554925" y="3137063"/>
          <a:ext cx="9582150" cy="12858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CH4 + 2O2 → CO2 + 2H2O (Equation 1)</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Kmol CH4 =&gt; 1 Kmol CO2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16 g CH4     =&gt;  44 g CO2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g CH4      =&gt;   2.75 g CO2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476250</xdr:colOff>
      <xdr:row>1</xdr:row>
      <xdr:rowOff>9525</xdr:rowOff>
    </xdr:from>
    <xdr:ext cx="9039225" cy="638175"/>
    <xdr:sp macro="" textlink="">
      <xdr:nvSpPr>
        <xdr:cNvPr id="31" name="Shape 31">
          <a:extLst>
            <a:ext uri="{FF2B5EF4-FFF2-40B4-BE49-F238E27FC236}">
              <a16:creationId xmlns:a16="http://schemas.microsoft.com/office/drawing/2014/main" id="{00000000-0008-0000-0F00-00001F000000}"/>
            </a:ext>
          </a:extLst>
        </xdr:cNvPr>
        <xdr:cNvSpPr txBox="1"/>
      </xdr:nvSpPr>
      <xdr:spPr>
        <a:xfrm>
          <a:off x="831150" y="3465675"/>
          <a:ext cx="9029700" cy="6286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495300</xdr:colOff>
      <xdr:row>1</xdr:row>
      <xdr:rowOff>0</xdr:rowOff>
    </xdr:from>
    <xdr:ext cx="6734175" cy="1028700"/>
    <xdr:sp macro="" textlink="">
      <xdr:nvSpPr>
        <xdr:cNvPr id="32" name="Shape 32">
          <a:extLst>
            <a:ext uri="{FF2B5EF4-FFF2-40B4-BE49-F238E27FC236}">
              <a16:creationId xmlns:a16="http://schemas.microsoft.com/office/drawing/2014/main" id="{00000000-0008-0000-1000-000020000000}"/>
            </a:ext>
          </a:extLst>
        </xdr:cNvPr>
        <xdr:cNvSpPr txBox="1"/>
      </xdr:nvSpPr>
      <xdr:spPr>
        <a:xfrm>
          <a:off x="1983675" y="3270413"/>
          <a:ext cx="6724650" cy="10191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38100</xdr:rowOff>
    </xdr:from>
    <xdr:ext cx="10144125" cy="2066925"/>
    <xdr:sp macro="" textlink="">
      <xdr:nvSpPr>
        <xdr:cNvPr id="33" name="Shape 33">
          <a:extLst>
            <a:ext uri="{FF2B5EF4-FFF2-40B4-BE49-F238E27FC236}">
              <a16:creationId xmlns:a16="http://schemas.microsoft.com/office/drawing/2014/main" id="{00000000-0008-0000-1100-000021000000}"/>
            </a:ext>
          </a:extLst>
        </xdr:cNvPr>
        <xdr:cNvSpPr txBox="1"/>
      </xdr:nvSpPr>
      <xdr:spPr>
        <a:xfrm>
          <a:off x="278700" y="2751300"/>
          <a:ext cx="10134600" cy="20574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1</xdr:row>
      <xdr:rowOff>19050</xdr:rowOff>
    </xdr:from>
    <xdr:ext cx="9553575" cy="2486025"/>
    <xdr:sp macro="" textlink="">
      <xdr:nvSpPr>
        <xdr:cNvPr id="34" name="Shape 34">
          <a:extLst>
            <a:ext uri="{FF2B5EF4-FFF2-40B4-BE49-F238E27FC236}">
              <a16:creationId xmlns:a16="http://schemas.microsoft.com/office/drawing/2014/main" id="{00000000-0008-0000-1200-000022000000}"/>
            </a:ext>
          </a:extLst>
        </xdr:cNvPr>
        <xdr:cNvSpPr txBox="1"/>
      </xdr:nvSpPr>
      <xdr:spPr>
        <a:xfrm>
          <a:off x="573975" y="2541750"/>
          <a:ext cx="9544050" cy="24765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28575</xdr:rowOff>
    </xdr:from>
    <xdr:ext cx="10001250" cy="3000375"/>
    <xdr:sp macro="" textlink="">
      <xdr:nvSpPr>
        <xdr:cNvPr id="35" name="Shape 35">
          <a:extLst>
            <a:ext uri="{FF2B5EF4-FFF2-40B4-BE49-F238E27FC236}">
              <a16:creationId xmlns:a16="http://schemas.microsoft.com/office/drawing/2014/main" id="{00000000-0008-0000-1300-000023000000}"/>
            </a:ext>
          </a:extLst>
        </xdr:cNvPr>
        <xdr:cNvSpPr txBox="1"/>
      </xdr:nvSpPr>
      <xdr:spPr>
        <a:xfrm>
          <a:off x="350138" y="2284575"/>
          <a:ext cx="9991725" cy="29908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26</xdr:col>
      <xdr:colOff>19050</xdr:colOff>
      <xdr:row>0</xdr:row>
      <xdr:rowOff>200025</xdr:rowOff>
    </xdr:from>
    <xdr:ext cx="9153525" cy="10267950"/>
    <xdr:sp macro="" textlink="">
      <xdr:nvSpPr>
        <xdr:cNvPr id="36" name="Shape 36">
          <a:extLst>
            <a:ext uri="{FF2B5EF4-FFF2-40B4-BE49-F238E27FC236}">
              <a16:creationId xmlns:a16="http://schemas.microsoft.com/office/drawing/2014/main" id="{00000000-0008-0000-1400-000024000000}"/>
            </a:ext>
          </a:extLst>
        </xdr:cNvPr>
        <xdr:cNvSpPr txBox="1"/>
      </xdr:nvSpPr>
      <xdr:spPr>
        <a:xfrm>
          <a:off x="774000" y="0"/>
          <a:ext cx="9144000" cy="7560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47625</xdr:rowOff>
    </xdr:from>
    <xdr:ext cx="10591800" cy="4419600"/>
    <xdr:sp macro="" textlink="">
      <xdr:nvSpPr>
        <xdr:cNvPr id="37" name="Shape 37">
          <a:extLst>
            <a:ext uri="{FF2B5EF4-FFF2-40B4-BE49-F238E27FC236}">
              <a16:creationId xmlns:a16="http://schemas.microsoft.com/office/drawing/2014/main" id="{00000000-0008-0000-1400-000025000000}"/>
            </a:ext>
          </a:extLst>
        </xdr:cNvPr>
        <xdr:cNvSpPr txBox="1"/>
      </xdr:nvSpPr>
      <xdr:spPr>
        <a:xfrm>
          <a:off x="54863" y="1574963"/>
          <a:ext cx="10582275" cy="44100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-847725</xdr:colOff>
      <xdr:row>140</xdr:row>
      <xdr:rowOff>-2752725</xdr:rowOff>
    </xdr:from>
    <xdr:ext cx="7410450" cy="7400925"/>
    <xdr:sp macro="" textlink="">
      <xdr:nvSpPr>
        <xdr:cNvPr id="4" name="Shape 4">
          <a:extLst>
            <a:ext uri="{FF2B5EF4-FFF2-40B4-BE49-F238E27FC236}">
              <a16:creationId xmlns:a16="http://schemas.microsoft.com/office/drawing/2014/main" id="{00000000-0008-0000-0100-000004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-1276350</xdr:colOff>
      <xdr:row>24</xdr:row>
      <xdr:rowOff>-2733675</xdr:rowOff>
    </xdr:from>
    <xdr:ext cx="7410450" cy="7400925"/>
    <xdr:sp macro="" textlink="">
      <xdr:nvSpPr>
        <xdr:cNvPr id="5" name="Shape 5">
          <a:extLst>
            <a:ext uri="{FF2B5EF4-FFF2-40B4-BE49-F238E27FC236}">
              <a16:creationId xmlns:a16="http://schemas.microsoft.com/office/drawing/2014/main" id="{00000000-0008-0000-0100-000005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1</xdr:col>
      <xdr:colOff>0</xdr:colOff>
      <xdr:row>3</xdr:row>
      <xdr:rowOff>123825</xdr:rowOff>
    </xdr:from>
    <xdr:ext cx="11296650" cy="1600200"/>
    <xdr:sp macro="" textlink="">
      <xdr:nvSpPr>
        <xdr:cNvPr id="6" name="Shape 6">
          <a:extLst>
            <a:ext uri="{FF2B5EF4-FFF2-40B4-BE49-F238E27FC236}">
              <a16:creationId xmlns:a16="http://schemas.microsoft.com/office/drawing/2014/main" id="{00000000-0008-0000-0100-000006000000}"/>
            </a:ext>
          </a:extLst>
        </xdr:cNvPr>
        <xdr:cNvSpPr txBox="1"/>
      </xdr:nvSpPr>
      <xdr:spPr>
        <a:xfrm>
          <a:off x="0" y="2984663"/>
          <a:ext cx="10692000" cy="15906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1000"/>
            <a:buFont typeface="Arial"/>
            <a:buNone/>
          </a:pPr>
          <a:r>
            <a:rPr lang="en-US" sz="1000" b="0" i="0" u="none" strike="noStrike">
              <a:solidFill>
                <a:srgbClr val="000000"/>
              </a:solidFill>
              <a:latin typeface="Arial"/>
              <a:ea typeface="Arial"/>
              <a:cs typeface="Arial"/>
              <a:sym typeface="Arial"/>
            </a:rPr>
            <a:t>CO</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 emissions are reported directly from continuous emissions monitors (CEM) or are calculated by the facility and sent to RGGI/CAMD.  </a:t>
          </a:r>
          <a:r>
            <a:rPr lang="en-US" sz="1000" b="0" i="0">
              <a:latin typeface="Calibri"/>
              <a:ea typeface="Calibri"/>
              <a:cs typeface="Calibri"/>
              <a:sym typeface="Calibri"/>
            </a:rPr>
            <a:t>CH</a:t>
          </a:r>
          <a:r>
            <a:rPr lang="en-US" sz="1000" b="0" i="0" baseline="-25000">
              <a:latin typeface="Calibri"/>
              <a:ea typeface="Calibri"/>
              <a:cs typeface="Calibri"/>
              <a:sym typeface="Calibri"/>
            </a:rPr>
            <a:t>4 </a:t>
          </a:r>
          <a:r>
            <a:rPr lang="en-US" sz="1000" b="0" i="0">
              <a:latin typeface="Calibri"/>
              <a:ea typeface="Calibri"/>
              <a:cs typeface="Calibri"/>
              <a:sym typeface="Calibri"/>
            </a:rPr>
            <a:t>and N</a:t>
          </a:r>
          <a:r>
            <a:rPr lang="en-US" sz="1000" b="0" i="0" baseline="-25000">
              <a:latin typeface="Calibri"/>
              <a:ea typeface="Calibri"/>
              <a:cs typeface="Calibri"/>
              <a:sym typeface="Calibri"/>
            </a:rPr>
            <a:t>2</a:t>
          </a:r>
          <a:r>
            <a:rPr lang="en-US" sz="1000" b="0" i="0">
              <a:latin typeface="Calibri"/>
              <a:ea typeface="Calibri"/>
              <a:cs typeface="Calibri"/>
              <a:sym typeface="Calibri"/>
            </a:rPr>
            <a:t>O </a:t>
          </a:r>
          <a:r>
            <a:rPr lang="en-US" sz="1000" b="0" i="0" u="none" strike="noStrike">
              <a:solidFill>
                <a:srgbClr val="000000"/>
              </a:solidFill>
              <a:latin typeface="Arial"/>
              <a:ea typeface="Arial"/>
              <a:cs typeface="Arial"/>
              <a:sym typeface="Arial"/>
            </a:rPr>
            <a:t>emissions from stationary combustion in the electric power sector are calculated using the IPCC Tier 1 approach.  Consumption of each fuel is multiplied by a fuel-specific CH</a:t>
          </a:r>
          <a:r>
            <a:rPr lang="en-US" sz="1000" b="0" i="0" u="none" strike="noStrike" baseline="-25000">
              <a:solidFill>
                <a:srgbClr val="000000"/>
              </a:solidFill>
              <a:latin typeface="Arial"/>
              <a:ea typeface="Arial"/>
              <a:cs typeface="Arial"/>
              <a:sym typeface="Arial"/>
            </a:rPr>
            <a:t>4 </a:t>
          </a:r>
          <a:r>
            <a:rPr lang="en-US" sz="1000" b="0" i="0" u="none" strike="noStrike">
              <a:solidFill>
                <a:srgbClr val="000000"/>
              </a:solidFill>
              <a:latin typeface="Arial"/>
              <a:ea typeface="Arial"/>
              <a:cs typeface="Arial"/>
              <a:sym typeface="Arial"/>
            </a:rPr>
            <a:t>or N</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O emission factor.  The resulting fuel emission values, in metric tons </a:t>
          </a:r>
          <a:r>
            <a:rPr lang="en-US" sz="1000" b="0" i="0">
              <a:latin typeface="Calibri"/>
              <a:ea typeface="Calibri"/>
              <a:cs typeface="Calibri"/>
              <a:sym typeface="Calibri"/>
            </a:rPr>
            <a:t>CH</a:t>
          </a:r>
          <a:r>
            <a:rPr lang="en-US" sz="1000" b="0" i="0" baseline="-25000">
              <a:latin typeface="Calibri"/>
              <a:ea typeface="Calibri"/>
              <a:cs typeface="Calibri"/>
              <a:sym typeface="Calibri"/>
            </a:rPr>
            <a:t>4 </a:t>
          </a:r>
          <a:r>
            <a:rPr lang="en-US" sz="1000" b="0" i="0">
              <a:latin typeface="Calibri"/>
              <a:ea typeface="Calibri"/>
              <a:cs typeface="Calibri"/>
              <a:sym typeface="Calibri"/>
            </a:rPr>
            <a:t>and N</a:t>
          </a:r>
          <a:r>
            <a:rPr lang="en-US" sz="1000" b="0" i="0" baseline="-25000">
              <a:latin typeface="Calibri"/>
              <a:ea typeface="Calibri"/>
              <a:cs typeface="Calibri"/>
              <a:sym typeface="Calibri"/>
            </a:rPr>
            <a:t>2</a:t>
          </a:r>
          <a:r>
            <a:rPr lang="en-US" sz="1000" b="0" i="0">
              <a:latin typeface="Calibri"/>
              <a:ea typeface="Calibri"/>
              <a:cs typeface="Calibri"/>
              <a:sym typeface="Calibri"/>
            </a:rPr>
            <a:t>O </a:t>
          </a:r>
          <a:r>
            <a:rPr lang="en-US" sz="1000" b="0" i="0" u="none" strike="noStrike">
              <a:solidFill>
                <a:srgbClr val="000000"/>
              </a:solidFill>
              <a:latin typeface="Arial"/>
              <a:ea typeface="Arial"/>
              <a:cs typeface="Arial"/>
              <a:sym typeface="Arial"/>
            </a:rPr>
            <a:t>,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endParaRPr sz="1400"/>
        </a:p>
        <a:p>
          <a:pPr marL="0" lvl="0" indent="0" algn="l" rtl="0">
            <a:spcBef>
              <a:spcPts val="0"/>
            </a:spcBef>
            <a:spcAft>
              <a:spcPts val="0"/>
            </a:spcAft>
            <a:buSzPts val="1000"/>
            <a:buFont typeface="Arial"/>
            <a:buNone/>
          </a:pPr>
          <a:endParaRPr sz="1000" b="0" i="0" u="none" strike="noStrike">
            <a:solidFill>
              <a:srgbClr val="000000"/>
            </a:solidFill>
            <a:latin typeface="Arial"/>
            <a:ea typeface="Arial"/>
            <a:cs typeface="Arial"/>
            <a:sym typeface="Arial"/>
          </a:endParaRPr>
        </a:p>
        <a:p>
          <a:pPr marL="0" lvl="0" indent="0" algn="l" rtl="0">
            <a:spcBef>
              <a:spcPts val="0"/>
            </a:spcBef>
            <a:spcAft>
              <a:spcPts val="0"/>
            </a:spcAft>
            <a:buSzPts val="1000"/>
            <a:buFont typeface="Arial"/>
            <a:buNone/>
          </a:pPr>
          <a:r>
            <a:rPr lang="en-US" sz="1000">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000" b="0" i="0" u="none" strike="noStrike">
            <a:solidFill>
              <a:srgbClr val="000000"/>
            </a:solidFill>
            <a:latin typeface="Arial"/>
            <a:ea typeface="Arial"/>
            <a:cs typeface="Arial"/>
            <a:sym typeface="Arial"/>
          </a:endParaRPr>
        </a:p>
      </xdr:txBody>
    </xdr:sp>
    <xdr:clientData fLocksWithSheet="0"/>
  </xdr:oneCellAnchor>
  <xdr:oneCellAnchor>
    <xdr:from>
      <xdr:col>2</xdr:col>
      <xdr:colOff>-1743075</xdr:colOff>
      <xdr:row>62</xdr:row>
      <xdr:rowOff>-2762250</xdr:rowOff>
    </xdr:from>
    <xdr:ext cx="7410450" cy="7400925"/>
    <xdr:sp macro="" textlink="">
      <xdr:nvSpPr>
        <xdr:cNvPr id="7" name="Shape 7">
          <a:extLst>
            <a:ext uri="{FF2B5EF4-FFF2-40B4-BE49-F238E27FC236}">
              <a16:creationId xmlns:a16="http://schemas.microsoft.com/office/drawing/2014/main" id="{00000000-0008-0000-0100-000007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-1590675</xdr:colOff>
      <xdr:row>96</xdr:row>
      <xdr:rowOff>-2724150</xdr:rowOff>
    </xdr:from>
    <xdr:ext cx="7410450" cy="7400925"/>
    <xdr:sp macro="" textlink="">
      <xdr:nvSpPr>
        <xdr:cNvPr id="8" name="Shape 8">
          <a:extLst>
            <a:ext uri="{FF2B5EF4-FFF2-40B4-BE49-F238E27FC236}">
              <a16:creationId xmlns:a16="http://schemas.microsoft.com/office/drawing/2014/main" id="{00000000-0008-0000-0100-000008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-1466850</xdr:colOff>
      <xdr:row>189</xdr:row>
      <xdr:rowOff>-2771775</xdr:rowOff>
    </xdr:from>
    <xdr:ext cx="7410450" cy="7400925"/>
    <xdr:sp macro="" textlink="">
      <xdr:nvSpPr>
        <xdr:cNvPr id="9" name="Shape 9">
          <a:extLst>
            <a:ext uri="{FF2B5EF4-FFF2-40B4-BE49-F238E27FC236}">
              <a16:creationId xmlns:a16="http://schemas.microsoft.com/office/drawing/2014/main" id="{00000000-0008-0000-0100-000009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-1581150</xdr:colOff>
      <xdr:row>227</xdr:row>
      <xdr:rowOff>-2838450</xdr:rowOff>
    </xdr:from>
    <xdr:ext cx="7410450" cy="7400925"/>
    <xdr:sp macro="" textlink="">
      <xdr:nvSpPr>
        <xdr:cNvPr id="10" name="Shape 10">
          <a:extLst>
            <a:ext uri="{FF2B5EF4-FFF2-40B4-BE49-F238E27FC236}">
              <a16:creationId xmlns:a16="http://schemas.microsoft.com/office/drawing/2014/main" id="{00000000-0008-0000-0100-00000A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-1666875</xdr:colOff>
      <xdr:row>280</xdr:row>
      <xdr:rowOff>-2752725</xdr:rowOff>
    </xdr:from>
    <xdr:ext cx="7410450" cy="7400925"/>
    <xdr:sp macro="" textlink="">
      <xdr:nvSpPr>
        <xdr:cNvPr id="11" name="Shape 11">
          <a:extLst>
            <a:ext uri="{FF2B5EF4-FFF2-40B4-BE49-F238E27FC236}">
              <a16:creationId xmlns:a16="http://schemas.microsoft.com/office/drawing/2014/main" id="{00000000-0008-0000-0100-00000B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-1657350</xdr:colOff>
      <xdr:row>333</xdr:row>
      <xdr:rowOff>-2819400</xdr:rowOff>
    </xdr:from>
    <xdr:ext cx="7410450" cy="7400925"/>
    <xdr:sp macro="" textlink="">
      <xdr:nvSpPr>
        <xdr:cNvPr id="12" name="Shape 12">
          <a:extLst>
            <a:ext uri="{FF2B5EF4-FFF2-40B4-BE49-F238E27FC236}">
              <a16:creationId xmlns:a16="http://schemas.microsoft.com/office/drawing/2014/main" id="{00000000-0008-0000-0100-00000C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-1343025</xdr:colOff>
      <xdr:row>377</xdr:row>
      <xdr:rowOff>-2752725</xdr:rowOff>
    </xdr:from>
    <xdr:ext cx="7410450" cy="7400925"/>
    <xdr:sp macro="" textlink="">
      <xdr:nvSpPr>
        <xdr:cNvPr id="13" name="Shape 13">
          <a:extLst>
            <a:ext uri="{FF2B5EF4-FFF2-40B4-BE49-F238E27FC236}">
              <a16:creationId xmlns:a16="http://schemas.microsoft.com/office/drawing/2014/main" id="{00000000-0008-0000-0100-00000D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-1657350</xdr:colOff>
      <xdr:row>400</xdr:row>
      <xdr:rowOff>-2733675</xdr:rowOff>
    </xdr:from>
    <xdr:ext cx="7410450" cy="7400925"/>
    <xdr:sp macro="" textlink="">
      <xdr:nvSpPr>
        <xdr:cNvPr id="14" name="Shape 14">
          <a:extLst>
            <a:ext uri="{FF2B5EF4-FFF2-40B4-BE49-F238E27FC236}">
              <a16:creationId xmlns:a16="http://schemas.microsoft.com/office/drawing/2014/main" id="{00000000-0008-0000-0100-00000E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-1762125</xdr:colOff>
      <xdr:row>427</xdr:row>
      <xdr:rowOff>-2733675</xdr:rowOff>
    </xdr:from>
    <xdr:ext cx="7410450" cy="7400925"/>
    <xdr:sp macro="" textlink="">
      <xdr:nvSpPr>
        <xdr:cNvPr id="15" name="Shape 15">
          <a:extLst>
            <a:ext uri="{FF2B5EF4-FFF2-40B4-BE49-F238E27FC236}">
              <a16:creationId xmlns:a16="http://schemas.microsoft.com/office/drawing/2014/main" id="{00000000-0008-0000-0100-00000F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oneCellAnchor>
    <xdr:from>
      <xdr:col>2</xdr:col>
      <xdr:colOff>-1095375</xdr:colOff>
      <xdr:row>465</xdr:row>
      <xdr:rowOff>-2724150</xdr:rowOff>
    </xdr:from>
    <xdr:ext cx="7410450" cy="7400925"/>
    <xdr:sp macro="" textlink="">
      <xdr:nvSpPr>
        <xdr:cNvPr id="16" name="Shape 16">
          <a:extLst>
            <a:ext uri="{FF2B5EF4-FFF2-40B4-BE49-F238E27FC236}">
              <a16:creationId xmlns:a16="http://schemas.microsoft.com/office/drawing/2014/main" id="{00000000-0008-0000-0100-000010000000}"/>
            </a:ext>
          </a:extLst>
        </xdr:cNvPr>
        <xdr:cNvSpPr/>
      </xdr:nvSpPr>
      <xdr:spPr>
        <a:xfrm rot="-2398261">
          <a:off x="2707575" y="1155863"/>
          <a:ext cx="527685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CFCFD"/>
            </a:buClr>
            <a:buSzPts val="9600"/>
            <a:buFont typeface="Arial"/>
            <a:buNone/>
          </a:pPr>
          <a:r>
            <a:rPr lang="en-US" sz="9600" b="1" cap="none">
              <a:solidFill>
                <a:srgbClr val="FCFCFD"/>
              </a:solidFill>
            </a:rPr>
            <a:t>FINAL</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9525</xdr:rowOff>
    </xdr:from>
    <xdr:ext cx="13573125" cy="2667000"/>
    <xdr:sp macro="" textlink="">
      <xdr:nvSpPr>
        <xdr:cNvPr id="38" name="Shape 38">
          <a:extLst>
            <a:ext uri="{FF2B5EF4-FFF2-40B4-BE49-F238E27FC236}">
              <a16:creationId xmlns:a16="http://schemas.microsoft.com/office/drawing/2014/main" id="{00000000-0008-0000-1500-000026000000}"/>
            </a:ext>
          </a:extLst>
        </xdr:cNvPr>
        <xdr:cNvSpPr txBox="1"/>
      </xdr:nvSpPr>
      <xdr:spPr>
        <a:xfrm>
          <a:off x="0" y="2451263"/>
          <a:ext cx="10692000" cy="26574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GHG emissions from land use, land-use change, and forestry, the data listed beloware required inputs.  Additional information on these calculations is available in the Land Use, Land Use Change and Forestry Chapter of the EPA State Inventory Tool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Forestry Worksheets                     Input Data Required </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Forest Carbon Flux                       Carbon emitted from or sequestered in aboveground biomass, belowground biomass, dead wood, litter, soil organic carbon, wood products and landfills (million metric tons)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Liming of Agricultural Soils            Emission factors for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emitted from use of crushed limestone and dolomite (ton C/ton limestone)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limestone and dolomite applied to soils (metric tons)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Urea Fertilization                           Emission factors for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emitted from the use of urea as a fertilizer (tons C/ ton urea)</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urea applied to soils (metric tons)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Urban Trees                                  Carbon sequestration factor for urban trees (metric ton C/hectare/year)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urban area (square kilometers)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Urban area tree cover (percent)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from Settlement Soils            Direct N</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emission factor for managed soils (percent)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synthetic fertilizer applied to settlements (metric tons nitrogen)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Non-CO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Emission factors for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and N</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emitted from burning forest and savanna (grams of gas/kilogram of</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from Forest Fires                          dry matter combusted)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Combustion efficiency of different vegetation types (percent)</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123825</xdr:colOff>
      <xdr:row>1</xdr:row>
      <xdr:rowOff>9525</xdr:rowOff>
    </xdr:from>
    <xdr:ext cx="9991725" cy="1800225"/>
    <xdr:sp macro="" textlink="">
      <xdr:nvSpPr>
        <xdr:cNvPr id="17" name="Shape 17">
          <a:extLst>
            <a:ext uri="{FF2B5EF4-FFF2-40B4-BE49-F238E27FC236}">
              <a16:creationId xmlns:a16="http://schemas.microsoft.com/office/drawing/2014/main" id="{00000000-0008-0000-0300-000011000000}"/>
            </a:ext>
          </a:extLst>
        </xdr:cNvPr>
        <xdr:cNvSpPr txBox="1"/>
      </xdr:nvSpPr>
      <xdr:spPr>
        <a:xfrm>
          <a:off x="354900" y="2884650"/>
          <a:ext cx="9982200" cy="1790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SzPts val="1000"/>
            <a:buFont typeface="Arial"/>
            <a:buNone/>
          </a:pPr>
          <a:r>
            <a:rPr lang="en-US" sz="1000">
              <a:latin typeface="Arial"/>
              <a:ea typeface="Arial"/>
              <a:cs typeface="Arial"/>
              <a:sym typeface="Arial"/>
            </a:rPr>
            <a:t>CO</a:t>
          </a:r>
          <a:r>
            <a:rPr lang="en-US" sz="1000" baseline="-25000">
              <a:latin typeface="Arial"/>
              <a:ea typeface="Arial"/>
              <a:cs typeface="Arial"/>
              <a:sym typeface="Arial"/>
            </a:rPr>
            <a:t>2</a:t>
          </a:r>
          <a:r>
            <a:rPr lang="en-US" sz="1000">
              <a:latin typeface="Arial"/>
              <a:ea typeface="Arial"/>
              <a:cs typeface="Arial"/>
              <a:sym typeface="Arial"/>
            </a:rPr>
            <a:t> emissions from fossil fuel combustion in the pulp and paper electric power generation sector were collected from the Regional Greenhouse Gas Initiative (RGGI) Program.  RGGI piggybacks on the EPA Clean Air Markets Division (CAMD) program.  Facilities report emissions directly to CAMD.  Facility CO</a:t>
          </a:r>
          <a:r>
            <a:rPr lang="en-US" sz="1000" baseline="-25000">
              <a:latin typeface="Arial"/>
              <a:ea typeface="Arial"/>
              <a:cs typeface="Arial"/>
              <a:sym typeface="Arial"/>
            </a:rPr>
            <a:t>2</a:t>
          </a:r>
          <a:r>
            <a:rPr lang="en-US" sz="1000">
              <a:latin typeface="Arial"/>
              <a:ea typeface="Arial"/>
              <a:cs typeface="Arial"/>
              <a:sym typeface="Arial"/>
            </a:rPr>
            <a:t> emissions are reported directly from continuous emissions monitors (CEM) or are calculated by the facility and sent to RGGI/CAMD.  CH</a:t>
          </a:r>
          <a:r>
            <a:rPr lang="en-US" sz="1000" baseline="-25000">
              <a:latin typeface="Arial"/>
              <a:ea typeface="Arial"/>
              <a:cs typeface="Arial"/>
              <a:sym typeface="Arial"/>
            </a:rPr>
            <a:t>4 </a:t>
          </a:r>
          <a:r>
            <a:rPr lang="en-US" sz="1000">
              <a:latin typeface="Arial"/>
              <a:ea typeface="Arial"/>
              <a:cs typeface="Arial"/>
              <a:sym typeface="Arial"/>
            </a:rPr>
            <a:t>and N</a:t>
          </a:r>
          <a:r>
            <a:rPr lang="en-US" sz="1000" baseline="-25000">
              <a:latin typeface="Arial"/>
              <a:ea typeface="Arial"/>
              <a:cs typeface="Arial"/>
              <a:sym typeface="Arial"/>
            </a:rPr>
            <a:t>2</a:t>
          </a:r>
          <a:r>
            <a:rPr lang="en-US" sz="1000">
              <a:latin typeface="Arial"/>
              <a:ea typeface="Arial"/>
              <a:cs typeface="Arial"/>
              <a:sym typeface="Arial"/>
            </a:rPr>
            <a:t>O emissions from stationary combustion in the electric power sector are calculated using the IPCC Tier 1 approach.  Consumption of each fuel is multiplied by a fuel-specific CH</a:t>
          </a:r>
          <a:r>
            <a:rPr lang="en-US" sz="1000" baseline="-25000">
              <a:latin typeface="Arial"/>
              <a:ea typeface="Arial"/>
              <a:cs typeface="Arial"/>
              <a:sym typeface="Arial"/>
            </a:rPr>
            <a:t>4 </a:t>
          </a:r>
          <a:r>
            <a:rPr lang="en-US" sz="1000">
              <a:latin typeface="Arial"/>
              <a:ea typeface="Arial"/>
              <a:cs typeface="Arial"/>
              <a:sym typeface="Arial"/>
            </a:rPr>
            <a:t>or N</a:t>
          </a:r>
          <a:r>
            <a:rPr lang="en-US" sz="1000" baseline="-25000">
              <a:latin typeface="Arial"/>
              <a:ea typeface="Arial"/>
              <a:cs typeface="Arial"/>
              <a:sym typeface="Arial"/>
            </a:rPr>
            <a:t>2</a:t>
          </a:r>
          <a:r>
            <a:rPr lang="en-US" sz="1000">
              <a:latin typeface="Arial"/>
              <a:ea typeface="Arial"/>
              <a:cs typeface="Arial"/>
              <a:sym typeface="Arial"/>
            </a:rPr>
            <a:t>O emission factor.  The resulting fuel emission values, in metric tons CH</a:t>
          </a:r>
          <a:r>
            <a:rPr lang="en-US" sz="1000" baseline="-25000">
              <a:latin typeface="Arial"/>
              <a:ea typeface="Arial"/>
              <a:cs typeface="Arial"/>
              <a:sym typeface="Arial"/>
            </a:rPr>
            <a:t>4 </a:t>
          </a:r>
          <a:r>
            <a:rPr lang="en-US" sz="1000">
              <a:latin typeface="Arial"/>
              <a:ea typeface="Arial"/>
              <a:cs typeface="Arial"/>
              <a:sym typeface="Arial"/>
            </a:rPr>
            <a:t>and N</a:t>
          </a:r>
          <a:r>
            <a:rPr lang="en-US" sz="1000" baseline="-25000">
              <a:latin typeface="Arial"/>
              <a:ea typeface="Arial"/>
              <a:cs typeface="Arial"/>
              <a:sym typeface="Arial"/>
            </a:rPr>
            <a:t>2</a:t>
          </a:r>
          <a:r>
            <a:rPr lang="en-US" sz="1000">
              <a:latin typeface="Arial"/>
              <a:ea typeface="Arial"/>
              <a:cs typeface="Arial"/>
              <a:sym typeface="Arial"/>
            </a:rPr>
            <a:t>O ,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endParaRPr sz="1400"/>
        </a:p>
        <a:p>
          <a:pPr marL="0" lvl="0" indent="0" algn="l" rtl="0">
            <a:spcBef>
              <a:spcPts val="0"/>
            </a:spcBef>
            <a:spcAft>
              <a:spcPts val="0"/>
            </a:spcAft>
            <a:buSzPts val="1000"/>
            <a:buFont typeface="Arial"/>
            <a:buNone/>
          </a:pPr>
          <a:endParaRPr sz="1000">
            <a:latin typeface="Arial"/>
            <a:ea typeface="Arial"/>
            <a:cs typeface="Arial"/>
            <a:sym typeface="Arial"/>
          </a:endParaRPr>
        </a:p>
        <a:p>
          <a:pPr marL="0" lvl="0" indent="0" algn="l" rtl="0">
            <a:spcBef>
              <a:spcPts val="0"/>
            </a:spcBef>
            <a:spcAft>
              <a:spcPts val="0"/>
            </a:spcAft>
            <a:buSzPts val="1000"/>
            <a:buFont typeface="Arial"/>
            <a:buNone/>
          </a:pPr>
          <a:r>
            <a:rPr lang="en-US" sz="1000">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590550</xdr:colOff>
      <xdr:row>94</xdr:row>
      <xdr:rowOff>0</xdr:rowOff>
    </xdr:from>
    <xdr:ext cx="7172325" cy="3876675"/>
    <xdr:graphicFrame macro="">
      <xdr:nvGraphicFramePr>
        <xdr:cNvPr id="182665434" name="Chart 1">
          <a:extLst>
            <a:ext uri="{FF2B5EF4-FFF2-40B4-BE49-F238E27FC236}">
              <a16:creationId xmlns:a16="http://schemas.microsoft.com/office/drawing/2014/main" id="{00000000-0008-0000-0400-0000DA40E3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114300</xdr:colOff>
      <xdr:row>1</xdr:row>
      <xdr:rowOff>47625</xdr:rowOff>
    </xdr:from>
    <xdr:ext cx="10096500" cy="847725"/>
    <xdr:sp macro="" textlink="">
      <xdr:nvSpPr>
        <xdr:cNvPr id="18" name="Shape 18">
          <a:extLst>
            <a:ext uri="{FF2B5EF4-FFF2-40B4-BE49-F238E27FC236}">
              <a16:creationId xmlns:a16="http://schemas.microsoft.com/office/drawing/2014/main" id="{00000000-0008-0000-0400-000012000000}"/>
            </a:ext>
          </a:extLst>
        </xdr:cNvPr>
        <xdr:cNvSpPr txBox="1"/>
      </xdr:nvSpPr>
      <xdr:spPr>
        <a:xfrm>
          <a:off x="302513" y="3360900"/>
          <a:ext cx="10086975" cy="8382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209550</xdr:colOff>
      <xdr:row>1</xdr:row>
      <xdr:rowOff>123825</xdr:rowOff>
    </xdr:from>
    <xdr:ext cx="10467975" cy="704850"/>
    <xdr:sp macro="" textlink="">
      <xdr:nvSpPr>
        <xdr:cNvPr id="19" name="Shape 19">
          <a:extLst>
            <a:ext uri="{FF2B5EF4-FFF2-40B4-BE49-F238E27FC236}">
              <a16:creationId xmlns:a16="http://schemas.microsoft.com/office/drawing/2014/main" id="{00000000-0008-0000-0500-000013000000}"/>
            </a:ext>
          </a:extLst>
        </xdr:cNvPr>
        <xdr:cNvSpPr txBox="1"/>
      </xdr:nvSpPr>
      <xdr:spPr>
        <a:xfrm>
          <a:off x="116775" y="3432338"/>
          <a:ext cx="1045845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209550</xdr:colOff>
      <xdr:row>1</xdr:row>
      <xdr:rowOff>123825</xdr:rowOff>
    </xdr:from>
    <xdr:ext cx="10467975" cy="771525"/>
    <xdr:sp macro="" textlink="">
      <xdr:nvSpPr>
        <xdr:cNvPr id="20" name="Shape 20">
          <a:extLst>
            <a:ext uri="{FF2B5EF4-FFF2-40B4-BE49-F238E27FC236}">
              <a16:creationId xmlns:a16="http://schemas.microsoft.com/office/drawing/2014/main" id="{00000000-0008-0000-0500-000014000000}"/>
            </a:ext>
          </a:extLst>
        </xdr:cNvPr>
        <xdr:cNvSpPr txBox="1"/>
      </xdr:nvSpPr>
      <xdr:spPr>
        <a:xfrm>
          <a:off x="116775" y="3399000"/>
          <a:ext cx="10458450" cy="762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1</xdr:row>
      <xdr:rowOff>123825</xdr:rowOff>
    </xdr:from>
    <xdr:ext cx="10391775" cy="704850"/>
    <xdr:sp macro="" textlink="">
      <xdr:nvSpPr>
        <xdr:cNvPr id="21" name="Shape 21">
          <a:extLst>
            <a:ext uri="{FF2B5EF4-FFF2-40B4-BE49-F238E27FC236}">
              <a16:creationId xmlns:a16="http://schemas.microsoft.com/office/drawing/2014/main" id="{00000000-0008-0000-0600-000015000000}"/>
            </a:ext>
          </a:extLst>
        </xdr:cNvPr>
        <xdr:cNvSpPr txBox="1"/>
      </xdr:nvSpPr>
      <xdr:spPr>
        <a:xfrm>
          <a:off x="154875" y="3432338"/>
          <a:ext cx="1038225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1</xdr:col>
      <xdr:colOff>0</xdr:colOff>
      <xdr:row>1</xdr:row>
      <xdr:rowOff>123825</xdr:rowOff>
    </xdr:from>
    <xdr:ext cx="10448925" cy="800100"/>
    <xdr:sp macro="" textlink="">
      <xdr:nvSpPr>
        <xdr:cNvPr id="22" name="Shape 22">
          <a:extLst>
            <a:ext uri="{FF2B5EF4-FFF2-40B4-BE49-F238E27FC236}">
              <a16:creationId xmlns:a16="http://schemas.microsoft.com/office/drawing/2014/main" id="{00000000-0008-0000-0600-000016000000}"/>
            </a:ext>
          </a:extLst>
        </xdr:cNvPr>
        <xdr:cNvSpPr txBox="1"/>
      </xdr:nvSpPr>
      <xdr:spPr>
        <a:xfrm>
          <a:off x="126300" y="3384713"/>
          <a:ext cx="10439400" cy="7905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SzPts val="800"/>
            <a:buFont typeface="Arial"/>
            <a:buNone/>
          </a:pPr>
          <a:r>
            <a:rPr lang="en-US" sz="800" b="0" i="0">
              <a:latin typeface="Arial"/>
              <a:ea typeface="Arial"/>
              <a:cs typeface="Arial"/>
              <a:sym typeface="Arial"/>
            </a:rPr>
            <a:t>GHG emissions from fossil fuel combustion in the nonroad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baseline="-25000">
              <a:latin typeface="Arial"/>
              <a:ea typeface="Arial"/>
              <a:cs typeface="Arial"/>
              <a:sym typeface="Arial"/>
            </a:rPr>
            <a:t>2</a:t>
          </a:r>
          <a:r>
            <a:rPr lang="en-US" sz="800" b="0" i="0">
              <a:latin typeface="Arial"/>
              <a:ea typeface="Arial"/>
              <a:cs typeface="Arial"/>
              <a:sym typeface="Arial"/>
            </a:rPr>
            <a:t>E), and summed.   For further detail on this method, refer to EPA MOVES User's Guide.</a:t>
          </a:r>
          <a:endParaRPr sz="800">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1</xdr:row>
      <xdr:rowOff>123825</xdr:rowOff>
    </xdr:from>
    <xdr:ext cx="10334625" cy="704850"/>
    <xdr:sp macro="" textlink="">
      <xdr:nvSpPr>
        <xdr:cNvPr id="23" name="Shape 23">
          <a:extLst>
            <a:ext uri="{FF2B5EF4-FFF2-40B4-BE49-F238E27FC236}">
              <a16:creationId xmlns:a16="http://schemas.microsoft.com/office/drawing/2014/main" id="{00000000-0008-0000-0700-000017000000}"/>
            </a:ext>
          </a:extLst>
        </xdr:cNvPr>
        <xdr:cNvSpPr txBox="1"/>
      </xdr:nvSpPr>
      <xdr:spPr>
        <a:xfrm>
          <a:off x="183450" y="3432338"/>
          <a:ext cx="1032510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209550</xdr:colOff>
      <xdr:row>1</xdr:row>
      <xdr:rowOff>123825</xdr:rowOff>
    </xdr:from>
    <xdr:ext cx="10334625" cy="704850"/>
    <xdr:sp macro="" textlink="">
      <xdr:nvSpPr>
        <xdr:cNvPr id="24" name="Shape 24">
          <a:extLst>
            <a:ext uri="{FF2B5EF4-FFF2-40B4-BE49-F238E27FC236}">
              <a16:creationId xmlns:a16="http://schemas.microsoft.com/office/drawing/2014/main" id="{00000000-0008-0000-0700-000018000000}"/>
            </a:ext>
          </a:extLst>
        </xdr:cNvPr>
        <xdr:cNvSpPr txBox="1"/>
      </xdr:nvSpPr>
      <xdr:spPr>
        <a:xfrm>
          <a:off x="183450" y="3432338"/>
          <a:ext cx="1032510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438150</xdr:colOff>
      <xdr:row>1</xdr:row>
      <xdr:rowOff>38100</xdr:rowOff>
    </xdr:from>
    <xdr:ext cx="8791575" cy="1438275"/>
    <xdr:sp macro="" textlink="">
      <xdr:nvSpPr>
        <xdr:cNvPr id="25" name="Shape 25">
          <a:extLst>
            <a:ext uri="{FF2B5EF4-FFF2-40B4-BE49-F238E27FC236}">
              <a16:creationId xmlns:a16="http://schemas.microsoft.com/office/drawing/2014/main" id="{00000000-0008-0000-0800-000019000000}"/>
            </a:ext>
          </a:extLst>
        </xdr:cNvPr>
        <xdr:cNvSpPr txBox="1"/>
      </xdr:nvSpPr>
      <xdr:spPr>
        <a:xfrm>
          <a:off x="954975" y="3065625"/>
          <a:ext cx="8782050" cy="14287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466725</xdr:colOff>
      <xdr:row>1</xdr:row>
      <xdr:rowOff>19050</xdr:rowOff>
    </xdr:from>
    <xdr:ext cx="7810500" cy="771525"/>
    <xdr:sp macro="" textlink="">
      <xdr:nvSpPr>
        <xdr:cNvPr id="26" name="Shape 26">
          <a:extLst>
            <a:ext uri="{FF2B5EF4-FFF2-40B4-BE49-F238E27FC236}">
              <a16:creationId xmlns:a16="http://schemas.microsoft.com/office/drawing/2014/main" id="{00000000-0008-0000-0900-00001A000000}"/>
            </a:ext>
          </a:extLst>
        </xdr:cNvPr>
        <xdr:cNvSpPr txBox="1"/>
      </xdr:nvSpPr>
      <xdr:spPr>
        <a:xfrm>
          <a:off x="1445513" y="3399000"/>
          <a:ext cx="7800975" cy="762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hyperlink" Target="http://www.eia.gov/state/seds/seds-data-fuel.cfm?sid=US"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hyperlink" Target="http://www.eia.gov/dnav/ng/NG_PROD_WELLS_S1_A.htm" TargetMode="External"/><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1006"/>
  <sheetViews>
    <sheetView tabSelected="1" workbookViewId="0"/>
  </sheetViews>
  <sheetFormatPr defaultColWidth="16.83203125" defaultRowHeight="11.25" x14ac:dyDescent="0.2"/>
  <cols>
    <col min="1" max="1" width="4.5" customWidth="1"/>
    <col min="2" max="2" width="8" customWidth="1"/>
    <col min="3" max="3" width="79" customWidth="1"/>
    <col min="4" max="4" width="16.6640625" customWidth="1"/>
    <col min="5" max="5" width="8.83203125" customWidth="1"/>
    <col min="6" max="6" width="10.6640625" bestFit="1" customWidth="1"/>
    <col min="7" max="7" width="16.33203125" bestFit="1" customWidth="1"/>
    <col min="8" max="27" width="8.83203125" customWidth="1"/>
  </cols>
  <sheetData>
    <row r="1" spans="2:9" ht="33.75" thickBot="1" x14ac:dyDescent="0.5">
      <c r="B1" s="2215" t="s">
        <v>1860</v>
      </c>
      <c r="C1" s="2216"/>
      <c r="D1" s="2217" t="s">
        <v>1861</v>
      </c>
    </row>
    <row r="2" spans="2:9" ht="15" x14ac:dyDescent="0.25">
      <c r="B2" s="2"/>
      <c r="C2" s="3"/>
      <c r="D2" s="4"/>
      <c r="F2" s="2494" t="s">
        <v>0</v>
      </c>
      <c r="G2" s="2495"/>
      <c r="H2" s="2495"/>
      <c r="I2" s="2496"/>
    </row>
    <row r="3" spans="2:9" ht="15" x14ac:dyDescent="0.25">
      <c r="B3" s="2"/>
      <c r="C3" s="3"/>
      <c r="D3" s="4"/>
      <c r="F3" s="2218"/>
      <c r="G3" s="2219" t="s">
        <v>1</v>
      </c>
      <c r="H3" s="2220" t="s">
        <v>2</v>
      </c>
      <c r="I3" s="2221" t="s">
        <v>3</v>
      </c>
    </row>
    <row r="4" spans="2:9" ht="15" x14ac:dyDescent="0.25">
      <c r="B4" s="2"/>
      <c r="C4" s="3"/>
      <c r="D4" s="4"/>
      <c r="F4" s="2218" t="s">
        <v>4</v>
      </c>
      <c r="G4" s="2222">
        <v>1</v>
      </c>
      <c r="H4" s="2222">
        <v>1</v>
      </c>
      <c r="I4" s="2223">
        <v>1</v>
      </c>
    </row>
    <row r="5" spans="2:9" ht="15" x14ac:dyDescent="0.25">
      <c r="B5" s="2"/>
      <c r="C5" s="3"/>
      <c r="D5" s="4"/>
      <c r="F5" s="2218" t="s">
        <v>5</v>
      </c>
      <c r="G5" s="2224">
        <v>28</v>
      </c>
      <c r="H5" s="2222">
        <v>21</v>
      </c>
      <c r="I5" s="2223">
        <v>28</v>
      </c>
    </row>
    <row r="6" spans="2:9" ht="15" x14ac:dyDescent="0.25">
      <c r="B6" s="2"/>
      <c r="C6" s="3"/>
      <c r="D6" s="4"/>
      <c r="F6" s="2218" t="s">
        <v>6</v>
      </c>
      <c r="G6" s="2224">
        <v>265</v>
      </c>
      <c r="H6" s="2222">
        <v>310</v>
      </c>
      <c r="I6" s="2223">
        <v>265</v>
      </c>
    </row>
    <row r="7" spans="2:9" ht="15" x14ac:dyDescent="0.25">
      <c r="B7" s="2"/>
      <c r="C7" s="3"/>
      <c r="D7" s="4"/>
      <c r="F7" s="2218" t="s">
        <v>7</v>
      </c>
      <c r="G7" s="2225">
        <v>23500</v>
      </c>
      <c r="H7" s="2226">
        <v>23900</v>
      </c>
      <c r="I7" s="2227">
        <v>23500</v>
      </c>
    </row>
    <row r="8" spans="2:9" ht="15.75" thickBot="1" x14ac:dyDescent="0.3">
      <c r="B8" s="2"/>
      <c r="C8" s="3"/>
      <c r="D8" s="4"/>
      <c r="F8" s="2228" t="s">
        <v>8</v>
      </c>
      <c r="G8" s="2229">
        <v>11100</v>
      </c>
      <c r="H8" s="2230">
        <v>9200</v>
      </c>
      <c r="I8" s="2231">
        <v>11100</v>
      </c>
    </row>
    <row r="9" spans="2:9" ht="18.75" thickBot="1" x14ac:dyDescent="0.4">
      <c r="B9" s="2497" t="s">
        <v>1862</v>
      </c>
      <c r="C9" s="2498"/>
      <c r="D9" s="2251">
        <v>2014</v>
      </c>
    </row>
    <row r="10" spans="2:9" ht="18" x14ac:dyDescent="0.35">
      <c r="B10" s="2499" t="s">
        <v>1863</v>
      </c>
      <c r="C10" s="2500"/>
      <c r="D10" s="2252">
        <f>D11+D31+D48+D81</f>
        <v>83.997783792188514</v>
      </c>
      <c r="E10" s="2272"/>
    </row>
    <row r="11" spans="2:9" ht="17.25" x14ac:dyDescent="0.25">
      <c r="B11" s="2253" t="s">
        <v>1864</v>
      </c>
      <c r="C11" s="2232"/>
      <c r="D11" s="2254">
        <f>D12+D30</f>
        <v>33.752605434585391</v>
      </c>
      <c r="E11" s="2273"/>
    </row>
    <row r="12" spans="2:9" ht="15" x14ac:dyDescent="0.25">
      <c r="B12" s="2255"/>
      <c r="C12" s="2233" t="s">
        <v>9</v>
      </c>
      <c r="D12" s="2256">
        <f>D13+D17+D21</f>
        <v>19.904213817755942</v>
      </c>
      <c r="E12" s="2274"/>
    </row>
    <row r="13" spans="2:9" ht="15" x14ac:dyDescent="0.25">
      <c r="B13" s="2257"/>
      <c r="C13" s="2234" t="s">
        <v>10</v>
      </c>
      <c r="D13" s="2258">
        <f>SUM(D14:D16)</f>
        <v>18.391118415084989</v>
      </c>
      <c r="E13" s="2274"/>
    </row>
    <row r="14" spans="2:9" ht="18" x14ac:dyDescent="0.35">
      <c r="B14" s="2257"/>
      <c r="C14" s="2235" t="s">
        <v>1865</v>
      </c>
      <c r="D14" s="2259">
        <f>EGU_Emission_By_Fuel_Type!K76+Luke!G37</f>
        <v>18.270288600668884</v>
      </c>
      <c r="E14" s="2274"/>
    </row>
    <row r="15" spans="2:9" ht="18" x14ac:dyDescent="0.35">
      <c r="B15" s="2257"/>
      <c r="C15" s="2235" t="s">
        <v>1866</v>
      </c>
      <c r="D15" s="2259">
        <f>EGU_Emission_By_Fuel_Type!L76+Luke!G51</f>
        <v>3.9445267176764602E-2</v>
      </c>
      <c r="E15" s="2274"/>
    </row>
    <row r="16" spans="2:9" ht="18" x14ac:dyDescent="0.35">
      <c r="B16" s="2257"/>
      <c r="C16" s="2235" t="s">
        <v>1867</v>
      </c>
      <c r="D16" s="2259">
        <f>EGU_Emission_By_Fuel_Type!M76+Luke!G64</f>
        <v>8.1384547239341104E-2</v>
      </c>
      <c r="E16" s="2274"/>
    </row>
    <row r="17" spans="2:5" ht="15" x14ac:dyDescent="0.25">
      <c r="B17" s="2257"/>
      <c r="C17" s="2234" t="s">
        <v>11</v>
      </c>
      <c r="D17" s="2258">
        <f>SUM(D18:D20)</f>
        <v>1.1128860636806008</v>
      </c>
      <c r="E17" s="2274"/>
    </row>
    <row r="18" spans="2:5" ht="18" x14ac:dyDescent="0.35">
      <c r="B18" s="2257"/>
      <c r="C18" s="2235" t="s">
        <v>1865</v>
      </c>
      <c r="D18" s="2259">
        <f>EGU_Emission_By_Fuel_Type!K421+Luke!G41</f>
        <v>1.0837752332902111</v>
      </c>
      <c r="E18" s="2274"/>
    </row>
    <row r="19" spans="2:5" ht="18" x14ac:dyDescent="0.35">
      <c r="B19" s="2257"/>
      <c r="C19" s="2235" t="s">
        <v>1866</v>
      </c>
      <c r="D19" s="2259">
        <f>EGU_Emission_By_Fuel_Type!L421+Luke!G55</f>
        <v>3.2581047010431193E-3</v>
      </c>
      <c r="E19" s="2274"/>
    </row>
    <row r="20" spans="2:5" ht="18" x14ac:dyDescent="0.35">
      <c r="B20" s="2257"/>
      <c r="C20" s="2235" t="s">
        <v>1867</v>
      </c>
      <c r="D20" s="2259">
        <f>EGU_Emission_By_Fuel_Type!M421+Luke!G68</f>
        <v>2.5852725689346639E-2</v>
      </c>
      <c r="E20" s="2274"/>
    </row>
    <row r="21" spans="2:5" ht="15" x14ac:dyDescent="0.25">
      <c r="B21" s="2257"/>
      <c r="C21" s="2234" t="s">
        <v>12</v>
      </c>
      <c r="D21" s="2258">
        <f>SUM(D22:D24)</f>
        <v>0.40020933899034988</v>
      </c>
      <c r="E21" s="2274"/>
    </row>
    <row r="22" spans="2:5" ht="18" x14ac:dyDescent="0.35">
      <c r="B22" s="2257"/>
      <c r="C22" s="2235" t="s">
        <v>1865</v>
      </c>
      <c r="D22" s="2259">
        <f>EGU_Emission_By_Fuel_Type!K268+EGU_Emission_By_Fuel_Type!K301+Luke!G39</f>
        <v>0.39909863279888891</v>
      </c>
      <c r="E22" s="2274"/>
    </row>
    <row r="23" spans="2:5" ht="18" x14ac:dyDescent="0.35">
      <c r="B23" s="2257"/>
      <c r="C23" s="2235" t="s">
        <v>1866</v>
      </c>
      <c r="D23" s="2259">
        <f>EGU_Emission_By_Fuel_Type!L268+EGU_Emission_By_Fuel_Type!L301+Luke!G53</f>
        <v>4.1180851502110541E-4</v>
      </c>
      <c r="E23" s="2274"/>
    </row>
    <row r="24" spans="2:5" ht="18" x14ac:dyDescent="0.35">
      <c r="B24" s="2257"/>
      <c r="C24" s="2235" t="s">
        <v>1867</v>
      </c>
      <c r="D24" s="2259">
        <f>EGU_Emission_By_Fuel_Type!M268+EGU_Emission_By_Fuel_Type!M301+Luke!G66</f>
        <v>6.9889767643990157E-4</v>
      </c>
      <c r="E24" s="2274"/>
    </row>
    <row r="25" spans="2:5" ht="15" x14ac:dyDescent="0.25">
      <c r="B25" s="2257"/>
      <c r="C25" s="2234" t="s">
        <v>13</v>
      </c>
      <c r="D25" s="2258">
        <f>SUM(D26:D28)</f>
        <v>0</v>
      </c>
      <c r="E25" s="2274"/>
    </row>
    <row r="26" spans="2:5" ht="18" x14ac:dyDescent="0.35">
      <c r="B26" s="2257"/>
      <c r="C26" s="2235" t="s">
        <v>1865</v>
      </c>
      <c r="D26" s="2259">
        <v>0</v>
      </c>
      <c r="E26" s="2274"/>
    </row>
    <row r="27" spans="2:5" ht="18" x14ac:dyDescent="0.35">
      <c r="B27" s="2257"/>
      <c r="C27" s="2235" t="s">
        <v>1866</v>
      </c>
      <c r="D27" s="2259">
        <v>0</v>
      </c>
      <c r="E27" s="2274"/>
    </row>
    <row r="28" spans="2:5" ht="18" x14ac:dyDescent="0.35">
      <c r="B28" s="2257"/>
      <c r="C28" s="2235" t="s">
        <v>1867</v>
      </c>
      <c r="D28" s="2259">
        <v>0</v>
      </c>
      <c r="E28" s="2274"/>
    </row>
    <row r="29" spans="2:5" ht="15" x14ac:dyDescent="0.25">
      <c r="B29" s="2257"/>
      <c r="C29" s="2234" t="s">
        <v>14</v>
      </c>
      <c r="D29" s="2259"/>
      <c r="E29" s="2274"/>
    </row>
    <row r="30" spans="2:5" ht="15" x14ac:dyDescent="0.25">
      <c r="B30" s="2260"/>
      <c r="C30" s="2236" t="s">
        <v>15</v>
      </c>
      <c r="D30" s="2259">
        <f>'Imported Electricity'!N78</f>
        <v>13.848391616829453</v>
      </c>
      <c r="E30" s="2274"/>
    </row>
    <row r="31" spans="2:5" ht="15" x14ac:dyDescent="0.25">
      <c r="B31" s="2253" t="s">
        <v>16</v>
      </c>
      <c r="C31" s="2232"/>
      <c r="D31" s="2256">
        <f>D32+D36+D40+D44</f>
        <v>15.836089896666813</v>
      </c>
      <c r="E31" s="2273"/>
    </row>
    <row r="32" spans="2:5" ht="15" x14ac:dyDescent="0.25">
      <c r="B32" s="2255"/>
      <c r="C32" s="2237" t="s">
        <v>17</v>
      </c>
      <c r="D32" s="2258">
        <f>SUM(D33:D35)</f>
        <v>1.5073380797335316</v>
      </c>
      <c r="E32" s="2274"/>
    </row>
    <row r="33" spans="2:5" ht="18" x14ac:dyDescent="0.35">
      <c r="B33" s="2257"/>
      <c r="C33" s="2235" t="s">
        <v>1865</v>
      </c>
      <c r="D33" s="2259">
        <f>Residential!C46+Commercial!D54+Industrial!E101</f>
        <v>1.4967494921147699</v>
      </c>
      <c r="E33" s="2274"/>
    </row>
    <row r="34" spans="2:5" ht="18" x14ac:dyDescent="0.35">
      <c r="B34" s="2257"/>
      <c r="C34" s="2235" t="s">
        <v>1866</v>
      </c>
      <c r="D34" s="2259">
        <f>Residential!E46+Commercial!E54+Industrial!F101</f>
        <v>4.3760952520343734E-3</v>
      </c>
      <c r="E34" s="2274"/>
    </row>
    <row r="35" spans="2:5" ht="18" x14ac:dyDescent="0.35">
      <c r="B35" s="2257"/>
      <c r="C35" s="2235" t="s">
        <v>1867</v>
      </c>
      <c r="D35" s="2259">
        <f>Residential!D46+Commercial!F54+Industrial!G101</f>
        <v>6.212492366727369E-3</v>
      </c>
      <c r="E35" s="2274"/>
    </row>
    <row r="36" spans="2:5" ht="15" x14ac:dyDescent="0.25">
      <c r="B36" s="2257"/>
      <c r="C36" s="2235" t="s">
        <v>18</v>
      </c>
      <c r="D36" s="2258">
        <f>SUM(D37:D39)</f>
        <v>10.715732597289659</v>
      </c>
      <c r="E36" s="2274"/>
    </row>
    <row r="37" spans="2:5" ht="18" x14ac:dyDescent="0.35">
      <c r="B37" s="2257"/>
      <c r="C37" s="2235" t="s">
        <v>1865</v>
      </c>
      <c r="D37" s="2259">
        <f>Residential!C49+Residential!C50+Commercial!D57+Commercial!D60+Industrial!E109+Industrial!E121</f>
        <v>10.682922107973198</v>
      </c>
      <c r="E37" s="2274"/>
    </row>
    <row r="38" spans="2:5" ht="18" x14ac:dyDescent="0.35">
      <c r="B38" s="2257"/>
      <c r="C38" s="2235" t="s">
        <v>1866</v>
      </c>
      <c r="D38" s="2259">
        <f>Residential!E49+Residential!E50+Commercial!E57+Commercial!E60+Industrial!F109+Industrial!F121</f>
        <v>2.6413614465757025E-2</v>
      </c>
      <c r="E38" s="2274"/>
    </row>
    <row r="39" spans="2:5" ht="18" x14ac:dyDescent="0.35">
      <c r="B39" s="2257"/>
      <c r="C39" s="2235" t="s">
        <v>1867</v>
      </c>
      <c r="D39" s="2259">
        <f>Residential!D49+Residential!D50+Commercial!F57+Commercial!F60+Industrial!G109+Industrial!G121</f>
        <v>6.3968748507051108E-3</v>
      </c>
      <c r="E39" s="2274"/>
    </row>
    <row r="40" spans="2:5" ht="15" x14ac:dyDescent="0.25">
      <c r="B40" s="2257"/>
      <c r="C40" s="2235" t="s">
        <v>19</v>
      </c>
      <c r="D40" s="2258">
        <f>SUM(D41:D43)</f>
        <v>3.4740656797914791</v>
      </c>
      <c r="E40" s="2274"/>
    </row>
    <row r="41" spans="2:5" ht="18" x14ac:dyDescent="0.35">
      <c r="B41" s="2257"/>
      <c r="C41" s="2235" t="s">
        <v>1865</v>
      </c>
      <c r="D41" s="2259">
        <f>Residential!C47+Residential!C48+Commercial!D55+Commercial!D56+Commercial!D57+Commercial!D58+Commercial!D59+Industrial!E105+Industrial!E106+Industrial!E107+Industrial!E108+Industrial!E110+Industrial!E111+Industrial!E113+Industrial!E115+Industrial!E116+Industrial!E118+Industrial!E120</f>
        <v>3.4581498120644034</v>
      </c>
      <c r="E41" s="2274"/>
    </row>
    <row r="42" spans="2:5" ht="18" x14ac:dyDescent="0.35">
      <c r="B42" s="2257"/>
      <c r="C42" s="2235" t="s">
        <v>1866</v>
      </c>
      <c r="D42" s="2259">
        <f>Residential!E47+Residential!E48+Commercial!E55+Commercial!E56+Commercial!E58+Commercial!E59+Industrial!F105+Industrial!F106+Industrial!F107+Industrial!F108+Industrial!F111+Industrial!F115+Industrial!F116+Industrial!F118</f>
        <v>9.1631795667325901E-3</v>
      </c>
      <c r="E42" s="2274"/>
    </row>
    <row r="43" spans="2:5" ht="18" x14ac:dyDescent="0.35">
      <c r="B43" s="2257"/>
      <c r="C43" s="2235" t="s">
        <v>1867</v>
      </c>
      <c r="D43" s="2259">
        <f>Residential!D47+Residential!D48+Commercial!F55+Commercial!F56+Commercial!F58+Commercial!F59+Industrial!G105+Industrial!G106+Industrial!G107+Industrial!G108+Industrial!G111+Industrial!G115+Industrial!G116+Industrial!G118</f>
        <v>6.7526881603428074E-3</v>
      </c>
      <c r="E43" s="2274"/>
    </row>
    <row r="44" spans="2:5" ht="15" x14ac:dyDescent="0.25">
      <c r="B44" s="2257"/>
      <c r="C44" s="2235" t="s">
        <v>20</v>
      </c>
      <c r="D44" s="2258">
        <f>SUM(D45:D47)</f>
        <v>0.13895353985214309</v>
      </c>
      <c r="E44" s="2274"/>
    </row>
    <row r="45" spans="2:5" ht="18" x14ac:dyDescent="0.35">
      <c r="B45" s="2257"/>
      <c r="C45" s="2235" t="s">
        <v>1865</v>
      </c>
      <c r="D45" s="2259">
        <f>Residential!C51+Commercial!D61+Industrial!E122</f>
        <v>0</v>
      </c>
      <c r="E45" s="2274"/>
    </row>
    <row r="46" spans="2:5" ht="18" x14ac:dyDescent="0.35">
      <c r="B46" s="2257"/>
      <c r="C46" s="2235" t="s">
        <v>1866</v>
      </c>
      <c r="D46" s="2259">
        <f>Residential!E51+Commercial!E61+Industrial!F122</f>
        <v>0.11678385801198614</v>
      </c>
      <c r="E46" s="2274"/>
    </row>
    <row r="47" spans="2:5" ht="18" x14ac:dyDescent="0.35">
      <c r="B47" s="2260"/>
      <c r="C47" s="2238" t="s">
        <v>1867</v>
      </c>
      <c r="D47" s="2259">
        <f>Residential!D51+Commercial!F61+Industrial!G122</f>
        <v>2.2169681840156948E-2</v>
      </c>
      <c r="E47" s="2274"/>
    </row>
    <row r="48" spans="2:5" ht="15" x14ac:dyDescent="0.25">
      <c r="B48" s="2253" t="s">
        <v>21</v>
      </c>
      <c r="C48" s="2232"/>
      <c r="D48" s="2256">
        <f>D49+D53+D57+D61+D65+D69+D73+D77</f>
        <v>33.449447231382322</v>
      </c>
      <c r="E48" s="2273"/>
    </row>
    <row r="49" spans="2:5" ht="15" x14ac:dyDescent="0.25">
      <c r="B49" s="2255"/>
      <c r="C49" s="2237" t="s">
        <v>22</v>
      </c>
      <c r="D49" s="2258">
        <f>SUM(D50:D52)</f>
        <v>22.546633714629507</v>
      </c>
      <c r="E49" s="2274"/>
    </row>
    <row r="50" spans="2:5" ht="18" x14ac:dyDescent="0.35">
      <c r="B50" s="2257"/>
      <c r="C50" s="2235" t="s">
        <v>1865</v>
      </c>
      <c r="D50" s="2259">
        <f>Trans_On_Road!C34+Trans_On_Road!F34</f>
        <v>22.472039254243374</v>
      </c>
      <c r="E50" s="2274"/>
    </row>
    <row r="51" spans="2:5" ht="18" x14ac:dyDescent="0.35">
      <c r="B51" s="2257"/>
      <c r="C51" s="2235" t="s">
        <v>1866</v>
      </c>
      <c r="D51" s="2259">
        <f>Trans_On_Road!R56</f>
        <v>9.1949414883654504E-3</v>
      </c>
      <c r="E51" s="2274"/>
    </row>
    <row r="52" spans="2:5" ht="18" x14ac:dyDescent="0.35">
      <c r="B52" s="2257"/>
      <c r="C52" s="2235" t="s">
        <v>1867</v>
      </c>
      <c r="D52" s="2259">
        <f>Trans_On_Road!K56</f>
        <v>6.5399518897768114E-2</v>
      </c>
      <c r="E52" s="2274"/>
    </row>
    <row r="53" spans="2:5" ht="15" x14ac:dyDescent="0.25">
      <c r="B53" s="2257"/>
      <c r="C53" s="2235" t="s">
        <v>23</v>
      </c>
      <c r="D53" s="2258">
        <f>SUM(D54:D56)</f>
        <v>1.114418784638624</v>
      </c>
      <c r="E53" s="2274"/>
    </row>
    <row r="54" spans="2:5" ht="18" x14ac:dyDescent="0.35">
      <c r="B54" s="2257"/>
      <c r="C54" s="2235" t="s">
        <v>1865</v>
      </c>
      <c r="D54" s="2259">
        <f>Trans_Non_Road!F9</f>
        <v>1.0834776995182966</v>
      </c>
      <c r="E54" s="2274"/>
    </row>
    <row r="55" spans="2:5" ht="18" x14ac:dyDescent="0.35">
      <c r="B55" s="2257"/>
      <c r="C55" s="2235" t="s">
        <v>1866</v>
      </c>
      <c r="D55" s="2259">
        <f>Trans_Non_Road!E9</f>
        <v>3.0941085120327345E-2</v>
      </c>
      <c r="E55" s="2274"/>
    </row>
    <row r="56" spans="2:5" ht="18" x14ac:dyDescent="0.35">
      <c r="B56" s="2257"/>
      <c r="C56" s="2235" t="s">
        <v>1867</v>
      </c>
      <c r="D56" s="2259">
        <v>0</v>
      </c>
      <c r="E56" s="2274"/>
    </row>
    <row r="57" spans="2:5" ht="15" x14ac:dyDescent="0.25">
      <c r="B57" s="2257"/>
      <c r="C57" s="2235" t="s">
        <v>24</v>
      </c>
      <c r="D57" s="2258">
        <f>SUM(D58:D60)</f>
        <v>6.378064581643403</v>
      </c>
      <c r="E57" s="2274"/>
    </row>
    <row r="58" spans="2:5" ht="18" x14ac:dyDescent="0.35">
      <c r="B58" s="2257"/>
      <c r="C58" s="2235" t="s">
        <v>1865</v>
      </c>
      <c r="D58" s="2259">
        <f>Trans_On_Road!D34</f>
        <v>6.3602143168031251</v>
      </c>
      <c r="E58" s="2274"/>
    </row>
    <row r="59" spans="2:5" ht="18" x14ac:dyDescent="0.35">
      <c r="B59" s="2257"/>
      <c r="C59" s="2235" t="s">
        <v>1866</v>
      </c>
      <c r="D59" s="2259">
        <f>Trans_On_Road!R55</f>
        <v>1.2735755247191873E-4</v>
      </c>
      <c r="E59" s="2274"/>
    </row>
    <row r="60" spans="2:5" ht="18" x14ac:dyDescent="0.35">
      <c r="B60" s="2257"/>
      <c r="C60" s="2235" t="s">
        <v>1867</v>
      </c>
      <c r="D60" s="2259">
        <f>Trans_On_Road!K55</f>
        <v>1.7722907287805963E-2</v>
      </c>
      <c r="E60" s="2274"/>
    </row>
    <row r="61" spans="2:5" ht="15" x14ac:dyDescent="0.25">
      <c r="B61" s="2257"/>
      <c r="C61" s="2235" t="s">
        <v>25</v>
      </c>
      <c r="D61" s="2258">
        <f>SUM(D62:D64)</f>
        <v>1.9941447055367252</v>
      </c>
      <c r="E61" s="2274"/>
    </row>
    <row r="62" spans="2:5" ht="18" x14ac:dyDescent="0.35">
      <c r="B62" s="2257"/>
      <c r="C62" s="2235" t="s">
        <v>1865</v>
      </c>
      <c r="D62" s="2259">
        <f>Trans_Non_Road!F12+Trans_Non_Road!F11</f>
        <v>1.9939715093412016</v>
      </c>
      <c r="E62" s="2274"/>
    </row>
    <row r="63" spans="2:5" ht="18" x14ac:dyDescent="0.35">
      <c r="B63" s="2257"/>
      <c r="C63" s="2235" t="s">
        <v>1866</v>
      </c>
      <c r="D63" s="2259">
        <f>Trans_Non_Road!E12+Trans_Non_Road!E11</f>
        <v>1.7319619552355698E-4</v>
      </c>
      <c r="E63" s="2274"/>
    </row>
    <row r="64" spans="2:5" ht="18" x14ac:dyDescent="0.35">
      <c r="B64" s="2257"/>
      <c r="C64" s="2235" t="s">
        <v>1867</v>
      </c>
      <c r="D64" s="2259">
        <v>0</v>
      </c>
      <c r="E64" s="2274"/>
    </row>
    <row r="65" spans="2:5" ht="15" x14ac:dyDescent="0.25">
      <c r="B65" s="2257"/>
      <c r="C65" s="2235" t="s">
        <v>26</v>
      </c>
      <c r="D65" s="2258">
        <f>SUM(D66:D68)</f>
        <v>0.18693168480875103</v>
      </c>
      <c r="E65" s="2274"/>
    </row>
    <row r="66" spans="2:5" ht="18" x14ac:dyDescent="0.35">
      <c r="B66" s="2257"/>
      <c r="C66" s="2235" t="s">
        <v>1865</v>
      </c>
      <c r="D66" s="2259">
        <f>Trans_Others!O28</f>
        <v>0.18530411103860703</v>
      </c>
      <c r="E66" s="2274"/>
    </row>
    <row r="67" spans="2:5" ht="18" x14ac:dyDescent="0.35">
      <c r="B67" s="2257"/>
      <c r="C67" s="2235" t="s">
        <v>1866</v>
      </c>
      <c r="D67" s="2259">
        <f>Trans_Others!AE28</f>
        <v>4.0400767344000001E-4</v>
      </c>
      <c r="E67" s="2274"/>
    </row>
    <row r="68" spans="2:5" ht="18" x14ac:dyDescent="0.35">
      <c r="B68" s="2257"/>
      <c r="C68" s="2235" t="s">
        <v>1867</v>
      </c>
      <c r="D68" s="2259">
        <f>Trans_Others!X28</f>
        <v>1.2235660967039998E-3</v>
      </c>
      <c r="E68" s="2274"/>
    </row>
    <row r="69" spans="2:5" ht="15" x14ac:dyDescent="0.25">
      <c r="B69" s="2257"/>
      <c r="C69" s="2235" t="s">
        <v>27</v>
      </c>
      <c r="D69" s="2258">
        <f>SUM(D70:D72)</f>
        <v>0.12489009839512187</v>
      </c>
      <c r="E69" s="2274"/>
    </row>
    <row r="70" spans="2:5" ht="18" x14ac:dyDescent="0.35">
      <c r="B70" s="2257"/>
      <c r="C70" s="2235" t="s">
        <v>1865</v>
      </c>
      <c r="D70" s="2259">
        <f>Trans_Others!O40</f>
        <v>0.12383189699632187</v>
      </c>
      <c r="E70" s="2274"/>
    </row>
    <row r="71" spans="2:5" ht="18" x14ac:dyDescent="0.35">
      <c r="B71" s="2257"/>
      <c r="C71" s="2235" t="s">
        <v>1866</v>
      </c>
      <c r="D71" s="2259">
        <f>Trans_Others!AE40</f>
        <v>2.5072702199999998E-4</v>
      </c>
      <c r="E71" s="2274"/>
    </row>
    <row r="72" spans="2:5" ht="18" x14ac:dyDescent="0.35">
      <c r="B72" s="2257"/>
      <c r="C72" s="2235" t="s">
        <v>1867</v>
      </c>
      <c r="D72" s="2259">
        <f>Trans_Others!X40</f>
        <v>8.0747437680000003E-4</v>
      </c>
      <c r="E72" s="2274"/>
    </row>
    <row r="73" spans="2:5" ht="15" x14ac:dyDescent="0.25">
      <c r="B73" s="2257"/>
      <c r="C73" s="2235" t="s">
        <v>28</v>
      </c>
      <c r="D73" s="2258">
        <f>SUM(D74:D76)</f>
        <v>0.2814735957554233</v>
      </c>
      <c r="E73" s="2274"/>
    </row>
    <row r="74" spans="2:5" ht="18" x14ac:dyDescent="0.35">
      <c r="B74" s="2257"/>
      <c r="C74" s="2235" t="s">
        <v>1865</v>
      </c>
      <c r="D74" s="2259">
        <f>Trans_Others!S49+Trans_Non_Road!F8+Trans_Non_Road!F10</f>
        <v>0.27534286438645456</v>
      </c>
      <c r="E74" s="2274"/>
    </row>
    <row r="75" spans="2:5" ht="18" x14ac:dyDescent="0.35">
      <c r="B75" s="2257"/>
      <c r="C75" s="2235" t="s">
        <v>1866</v>
      </c>
      <c r="D75" s="2259">
        <f>Trans_Non_Road!E8+Trans_Non_Road!E10</f>
        <v>6.1307313689687197E-3</v>
      </c>
      <c r="E75" s="2274"/>
    </row>
    <row r="76" spans="2:5" ht="18" x14ac:dyDescent="0.35">
      <c r="B76" s="2257"/>
      <c r="C76" s="2235" t="s">
        <v>1867</v>
      </c>
      <c r="D76" s="2259">
        <v>0</v>
      </c>
      <c r="E76" s="2274"/>
    </row>
    <row r="77" spans="2:5" ht="15" x14ac:dyDescent="0.25">
      <c r="B77" s="2257"/>
      <c r="C77" s="2235" t="s">
        <v>29</v>
      </c>
      <c r="D77" s="2258">
        <f>SUM(D78:D80)</f>
        <v>0.8228900659747731</v>
      </c>
      <c r="E77" s="2274"/>
    </row>
    <row r="78" spans="2:5" ht="18" x14ac:dyDescent="0.35">
      <c r="B78" s="2257"/>
      <c r="C78" s="2235" t="s">
        <v>1865</v>
      </c>
      <c r="D78" s="2259">
        <f>Trans_Others!O26+Trans_Others!O27</f>
        <v>0.81540407692333305</v>
      </c>
      <c r="E78" s="2274"/>
    </row>
    <row r="79" spans="2:5" ht="18" x14ac:dyDescent="0.35">
      <c r="B79" s="2257"/>
      <c r="C79" s="2235" t="s">
        <v>1866</v>
      </c>
      <c r="D79" s="2259">
        <f>Trans_Others!AE26+Trans_Others!AE27</f>
        <v>8.9042790143999996E-4</v>
      </c>
      <c r="E79" s="2274"/>
    </row>
    <row r="80" spans="2:5" ht="18" x14ac:dyDescent="0.35">
      <c r="B80" s="2260"/>
      <c r="C80" s="2238" t="s">
        <v>1867</v>
      </c>
      <c r="D80" s="2259">
        <f>Trans_Others!X26+Trans_Others!X27</f>
        <v>6.5955611499999992E-3</v>
      </c>
      <c r="E80" s="2274"/>
    </row>
    <row r="81" spans="2:5" ht="15" x14ac:dyDescent="0.25">
      <c r="B81" s="2253" t="s">
        <v>30</v>
      </c>
      <c r="C81" s="2232"/>
      <c r="D81" s="2256">
        <f>D82+D86+D90</f>
        <v>0.95964122955398035</v>
      </c>
      <c r="E81" s="2272"/>
    </row>
    <row r="82" spans="2:5" ht="15" x14ac:dyDescent="0.25">
      <c r="B82" s="2255"/>
      <c r="C82" s="2237" t="s">
        <v>31</v>
      </c>
      <c r="D82" s="2258">
        <f>SUM(D83:D85)</f>
        <v>0.77960358359238036</v>
      </c>
      <c r="E82" s="2274"/>
    </row>
    <row r="83" spans="2:5" ht="18" x14ac:dyDescent="0.35">
      <c r="B83" s="2257"/>
      <c r="C83" s="2235" t="s">
        <v>1865</v>
      </c>
      <c r="D83" s="2259">
        <f>'Natural Gas and Oil'!H70</f>
        <v>3.5216716259685977E-4</v>
      </c>
      <c r="E83" s="2274"/>
    </row>
    <row r="84" spans="2:5" ht="18" x14ac:dyDescent="0.35">
      <c r="B84" s="2257"/>
      <c r="C84" s="2235" t="s">
        <v>1866</v>
      </c>
      <c r="D84" s="2259">
        <f>'Natural Gas and Oil'!J70+'Natural Gas and Oil'!F51+'Natural Gas and Oil'!F34+'Natural Gas and Oil'!F10</f>
        <v>0.7790842329124108</v>
      </c>
      <c r="E84" s="2274"/>
    </row>
    <row r="85" spans="2:5" ht="18" x14ac:dyDescent="0.35">
      <c r="B85" s="2257"/>
      <c r="C85" s="2235" t="s">
        <v>1867</v>
      </c>
      <c r="D85" s="2259">
        <f>'Natural Gas and Oil'!I70</f>
        <v>1.6718351737265365E-4</v>
      </c>
      <c r="E85" s="2274"/>
    </row>
    <row r="86" spans="2:5" ht="15" x14ac:dyDescent="0.25">
      <c r="B86" s="2257"/>
      <c r="C86" s="2235" t="s">
        <v>32</v>
      </c>
      <c r="D86" s="2258">
        <f>SUM(D87:D89)</f>
        <v>0</v>
      </c>
      <c r="E86" s="2274"/>
    </row>
    <row r="87" spans="2:5" ht="18" x14ac:dyDescent="0.35">
      <c r="B87" s="2257"/>
      <c r="C87" s="2235" t="s">
        <v>1865</v>
      </c>
      <c r="D87" s="2259">
        <v>0</v>
      </c>
      <c r="E87" s="2274"/>
    </row>
    <row r="88" spans="2:5" ht="18" x14ac:dyDescent="0.35">
      <c r="B88" s="2257"/>
      <c r="C88" s="2235" t="s">
        <v>1866</v>
      </c>
      <c r="D88" s="2259">
        <v>0</v>
      </c>
      <c r="E88" s="2274"/>
    </row>
    <row r="89" spans="2:5" ht="18" x14ac:dyDescent="0.35">
      <c r="B89" s="2257"/>
      <c r="C89" s="2235" t="s">
        <v>1867</v>
      </c>
      <c r="D89" s="2259">
        <v>0</v>
      </c>
      <c r="E89" s="2274"/>
    </row>
    <row r="90" spans="2:5" ht="15" x14ac:dyDescent="0.25">
      <c r="B90" s="2257"/>
      <c r="C90" s="2235" t="s">
        <v>33</v>
      </c>
      <c r="D90" s="2258">
        <f>SUM(D91:D93)</f>
        <v>0.18003764596159999</v>
      </c>
      <c r="E90" s="2274"/>
    </row>
    <row r="91" spans="2:5" ht="18" x14ac:dyDescent="0.35">
      <c r="B91" s="2257"/>
      <c r="C91" s="2235" t="s">
        <v>1865</v>
      </c>
      <c r="D91" s="2259">
        <v>0</v>
      </c>
      <c r="E91" s="2274"/>
    </row>
    <row r="92" spans="2:5" ht="18" x14ac:dyDescent="0.35">
      <c r="B92" s="2257"/>
      <c r="C92" s="2235" t="s">
        <v>1866</v>
      </c>
      <c r="D92" s="2259">
        <f>Mining!C36+Mining!C37</f>
        <v>0.18003764596159999</v>
      </c>
      <c r="E92" s="2274"/>
    </row>
    <row r="93" spans="2:5" ht="18" x14ac:dyDescent="0.35">
      <c r="B93" s="2260"/>
      <c r="C93" s="2238" t="s">
        <v>1867</v>
      </c>
      <c r="D93" s="2259">
        <v>0</v>
      </c>
      <c r="E93" s="2274"/>
    </row>
    <row r="94" spans="2:5" ht="15" x14ac:dyDescent="0.25">
      <c r="B94" s="2253" t="s">
        <v>34</v>
      </c>
      <c r="C94" s="2239"/>
      <c r="D94" s="2261">
        <f>D95+D99+D103+D107+D111+D115+D119+D123+D127</f>
        <v>4.7840592024490807</v>
      </c>
      <c r="E94" s="2272"/>
    </row>
    <row r="95" spans="2:5" ht="15" x14ac:dyDescent="0.25">
      <c r="B95" s="2255"/>
      <c r="C95" s="2233" t="s">
        <v>35</v>
      </c>
      <c r="D95" s="2258">
        <f>SUM(D96:D98)</f>
        <v>1.5807210924129136</v>
      </c>
      <c r="E95" s="2274"/>
    </row>
    <row r="96" spans="2:5" ht="18" x14ac:dyDescent="0.35">
      <c r="B96" s="2257"/>
      <c r="C96" s="2235" t="s">
        <v>1865</v>
      </c>
      <c r="D96" s="2259">
        <f>Cement!G84</f>
        <v>1.5807210924129136</v>
      </c>
      <c r="E96" s="2274"/>
    </row>
    <row r="97" spans="2:5" ht="18" x14ac:dyDescent="0.35">
      <c r="B97" s="2257"/>
      <c r="C97" s="2235" t="s">
        <v>1866</v>
      </c>
      <c r="D97" s="2259">
        <v>0</v>
      </c>
      <c r="E97" s="2274"/>
    </row>
    <row r="98" spans="2:5" ht="18" x14ac:dyDescent="0.35">
      <c r="B98" s="2257"/>
      <c r="C98" s="2235" t="s">
        <v>1867</v>
      </c>
      <c r="D98" s="2259">
        <v>0</v>
      </c>
      <c r="E98" s="2274"/>
    </row>
    <row r="99" spans="2:5" ht="15" x14ac:dyDescent="0.25">
      <c r="B99" s="2257"/>
      <c r="C99" s="2240" t="s">
        <v>36</v>
      </c>
      <c r="D99" s="2258">
        <f>SUM(D100:D102)</f>
        <v>0.14391564000000001</v>
      </c>
      <c r="E99" s="2274"/>
    </row>
    <row r="100" spans="2:5" ht="18" x14ac:dyDescent="0.35">
      <c r="B100" s="2257"/>
      <c r="C100" s="2235" t="s">
        <v>1865</v>
      </c>
      <c r="D100" s="2259">
        <f>'LimeT&amp;DSodaODS'!D43/1000000</f>
        <v>0.14391564000000001</v>
      </c>
      <c r="E100" s="2274"/>
    </row>
    <row r="101" spans="2:5" ht="18" x14ac:dyDescent="0.35">
      <c r="B101" s="2257"/>
      <c r="C101" s="2235" t="s">
        <v>1866</v>
      </c>
      <c r="D101" s="2259">
        <v>0</v>
      </c>
      <c r="E101" s="2274"/>
    </row>
    <row r="102" spans="2:5" ht="18" x14ac:dyDescent="0.35">
      <c r="B102" s="2257"/>
      <c r="C102" s="2235" t="s">
        <v>1867</v>
      </c>
      <c r="D102" s="2259">
        <v>0</v>
      </c>
      <c r="E102" s="2274"/>
    </row>
    <row r="103" spans="2:5" ht="15" x14ac:dyDescent="0.25">
      <c r="B103" s="2257"/>
      <c r="C103" s="2240" t="s">
        <v>37</v>
      </c>
      <c r="D103" s="2258">
        <f>SUM(D104:D106)</f>
        <v>3.9670020149999999E-2</v>
      </c>
      <c r="E103" s="2274"/>
    </row>
    <row r="104" spans="2:5" ht="18" x14ac:dyDescent="0.35">
      <c r="B104" s="2257"/>
      <c r="C104" s="2235" t="s">
        <v>1865</v>
      </c>
      <c r="D104" s="2259">
        <f>'LimeT&amp;DSodaODS'!D44/1000000</f>
        <v>3.9670020149999999E-2</v>
      </c>
      <c r="E104" s="2274"/>
    </row>
    <row r="105" spans="2:5" ht="18" x14ac:dyDescent="0.35">
      <c r="B105" s="2257"/>
      <c r="C105" s="2235" t="s">
        <v>1866</v>
      </c>
      <c r="D105" s="2259">
        <v>0</v>
      </c>
      <c r="E105" s="2274"/>
    </row>
    <row r="106" spans="2:5" ht="18" x14ac:dyDescent="0.35">
      <c r="B106" s="2257"/>
      <c r="C106" s="2235" t="s">
        <v>1867</v>
      </c>
      <c r="D106" s="2259">
        <v>0</v>
      </c>
      <c r="E106" s="2274"/>
    </row>
    <row r="107" spans="2:5" ht="15" x14ac:dyDescent="0.25">
      <c r="B107" s="2257"/>
      <c r="C107" s="2240" t="s">
        <v>38</v>
      </c>
      <c r="D107" s="2258">
        <f>SUM(D108:D110)</f>
        <v>0</v>
      </c>
      <c r="E107" s="2274"/>
    </row>
    <row r="108" spans="2:5" ht="18" x14ac:dyDescent="0.35">
      <c r="B108" s="2257"/>
      <c r="C108" s="2235" t="s">
        <v>1865</v>
      </c>
      <c r="D108" s="2259">
        <f>0</f>
        <v>0</v>
      </c>
      <c r="E108" s="2274"/>
    </row>
    <row r="109" spans="2:5" ht="18" x14ac:dyDescent="0.35">
      <c r="B109" s="2257"/>
      <c r="C109" s="2235" t="s">
        <v>1866</v>
      </c>
      <c r="D109" s="2259">
        <v>0</v>
      </c>
      <c r="E109" s="2274"/>
    </row>
    <row r="110" spans="2:5" ht="18" x14ac:dyDescent="0.35">
      <c r="B110" s="2257"/>
      <c r="C110" s="2235" t="s">
        <v>1867</v>
      </c>
      <c r="D110" s="2259">
        <v>0</v>
      </c>
      <c r="E110" s="2274"/>
    </row>
    <row r="111" spans="2:5" ht="15" x14ac:dyDescent="0.25">
      <c r="B111" s="2257"/>
      <c r="C111" s="2240" t="s">
        <v>39</v>
      </c>
      <c r="D111" s="2258">
        <f>SUM(D112:D114)</f>
        <v>2.9726742198861675</v>
      </c>
      <c r="E111" s="2274"/>
    </row>
    <row r="112" spans="2:5" ht="18" x14ac:dyDescent="0.35">
      <c r="B112" s="2257"/>
      <c r="C112" s="2235" t="s">
        <v>1865</v>
      </c>
      <c r="D112" s="2259">
        <v>0</v>
      </c>
      <c r="E112" s="2274"/>
    </row>
    <row r="113" spans="2:5" ht="18" x14ac:dyDescent="0.35">
      <c r="B113" s="2257"/>
      <c r="C113" s="2235" t="s">
        <v>1866</v>
      </c>
      <c r="D113" s="2259">
        <v>0</v>
      </c>
      <c r="E113" s="2274"/>
    </row>
    <row r="114" spans="2:5" ht="18" x14ac:dyDescent="0.35">
      <c r="B114" s="2257"/>
      <c r="C114" s="2235" t="s">
        <v>1868</v>
      </c>
      <c r="D114" s="2259">
        <f>'LimeT&amp;DSodaODS'!D51/1000000</f>
        <v>2.9726742198861675</v>
      </c>
      <c r="E114" s="2274"/>
    </row>
    <row r="115" spans="2:5" ht="15" x14ac:dyDescent="0.25">
      <c r="B115" s="2257"/>
      <c r="C115" s="2240" t="s">
        <v>40</v>
      </c>
      <c r="D115" s="2258">
        <f>SUM(D116:D118)</f>
        <v>4.6530000000000002E-2</v>
      </c>
      <c r="E115" s="2274"/>
    </row>
    <row r="116" spans="2:5" ht="18" x14ac:dyDescent="0.35">
      <c r="B116" s="2257"/>
      <c r="C116" s="2235" t="s">
        <v>1865</v>
      </c>
      <c r="D116" s="2259">
        <v>0</v>
      </c>
      <c r="E116" s="2274"/>
    </row>
    <row r="117" spans="2:5" ht="18" x14ac:dyDescent="0.35">
      <c r="B117" s="2257"/>
      <c r="C117" s="2235" t="s">
        <v>1866</v>
      </c>
      <c r="D117" s="2259">
        <v>0</v>
      </c>
      <c r="E117" s="2274"/>
    </row>
    <row r="118" spans="2:5" ht="18" x14ac:dyDescent="0.35">
      <c r="B118" s="2257"/>
      <c r="C118" s="2235" t="s">
        <v>1868</v>
      </c>
      <c r="D118" s="2259">
        <f>'LimeT&amp;DSodaODS'!D54/1000000</f>
        <v>4.6530000000000002E-2</v>
      </c>
      <c r="E118" s="2274"/>
    </row>
    <row r="119" spans="2:5" ht="15" x14ac:dyDescent="0.25">
      <c r="B119" s="2257"/>
      <c r="C119" s="2240" t="s">
        <v>41</v>
      </c>
      <c r="D119" s="2258">
        <f>SUM(D120:D122)</f>
        <v>0</v>
      </c>
      <c r="E119" s="2274"/>
    </row>
    <row r="120" spans="2:5" ht="18" x14ac:dyDescent="0.35">
      <c r="B120" s="2257"/>
      <c r="C120" s="2235" t="s">
        <v>1865</v>
      </c>
      <c r="D120" s="2259">
        <v>0</v>
      </c>
      <c r="E120" s="2274"/>
    </row>
    <row r="121" spans="2:5" ht="18" x14ac:dyDescent="0.35">
      <c r="B121" s="2257"/>
      <c r="C121" s="2235" t="s">
        <v>1866</v>
      </c>
      <c r="D121" s="2259">
        <v>0</v>
      </c>
      <c r="E121" s="2274"/>
    </row>
    <row r="122" spans="2:5" ht="18" x14ac:dyDescent="0.35">
      <c r="B122" s="2257"/>
      <c r="C122" s="2235" t="s">
        <v>1868</v>
      </c>
      <c r="D122" s="2259">
        <v>0</v>
      </c>
      <c r="E122" s="2274"/>
    </row>
    <row r="123" spans="2:5" ht="15" x14ac:dyDescent="0.25">
      <c r="B123" s="2257"/>
      <c r="C123" s="2240" t="s">
        <v>42</v>
      </c>
      <c r="D123" s="2258">
        <f>SUM(D124:D126)</f>
        <v>5.4823000000000003E-4</v>
      </c>
      <c r="E123" s="2274"/>
    </row>
    <row r="124" spans="2:5" ht="18" x14ac:dyDescent="0.35">
      <c r="B124" s="2257"/>
      <c r="C124" s="2235" t="s">
        <v>1865</v>
      </c>
      <c r="D124" s="2259">
        <f>'LimeT&amp;DSodaODS'!D45/1000000</f>
        <v>5.4823000000000003E-4</v>
      </c>
      <c r="E124" s="2274"/>
    </row>
    <row r="125" spans="2:5" ht="18" x14ac:dyDescent="0.35">
      <c r="B125" s="2257"/>
      <c r="C125" s="2235" t="s">
        <v>1866</v>
      </c>
      <c r="D125" s="2259">
        <v>0</v>
      </c>
      <c r="E125" s="2274"/>
    </row>
    <row r="126" spans="2:5" ht="18" x14ac:dyDescent="0.35">
      <c r="B126" s="2257"/>
      <c r="C126" s="2235" t="s">
        <v>1868</v>
      </c>
      <c r="D126" s="2259">
        <v>0</v>
      </c>
      <c r="E126" s="2274"/>
    </row>
    <row r="127" spans="2:5" ht="15" x14ac:dyDescent="0.25">
      <c r="B127" s="2257"/>
      <c r="C127" s="2240" t="s">
        <v>43</v>
      </c>
      <c r="D127" s="2258">
        <f>SUM(D128:D130)</f>
        <v>0</v>
      </c>
      <c r="E127" s="2274"/>
    </row>
    <row r="128" spans="2:5" ht="18" x14ac:dyDescent="0.35">
      <c r="B128" s="2257"/>
      <c r="C128" s="2235" t="s">
        <v>1865</v>
      </c>
      <c r="D128" s="2259">
        <v>0</v>
      </c>
      <c r="E128" s="2274"/>
    </row>
    <row r="129" spans="2:5" ht="18" x14ac:dyDescent="0.35">
      <c r="B129" s="2257"/>
      <c r="C129" s="2235" t="s">
        <v>1866</v>
      </c>
      <c r="D129" s="2259">
        <v>0</v>
      </c>
      <c r="E129" s="2274"/>
    </row>
    <row r="130" spans="2:5" ht="18" x14ac:dyDescent="0.35">
      <c r="B130" s="2260"/>
      <c r="C130" s="2238" t="s">
        <v>1868</v>
      </c>
      <c r="D130" s="2259">
        <v>0</v>
      </c>
      <c r="E130" s="2274"/>
    </row>
    <row r="131" spans="2:5" ht="15" x14ac:dyDescent="0.25">
      <c r="B131" s="2262" t="s">
        <v>44</v>
      </c>
      <c r="C131" s="2239"/>
      <c r="D131" s="2256">
        <f>D132+D136+D140+D144+D148</f>
        <v>1.8917657024397925</v>
      </c>
      <c r="E131" s="2272"/>
    </row>
    <row r="132" spans="2:5" ht="15" x14ac:dyDescent="0.25">
      <c r="B132" s="2255"/>
      <c r="C132" s="2233" t="s">
        <v>45</v>
      </c>
      <c r="D132" s="2258">
        <f>SUM(D133:D135)</f>
        <v>0.45063142516294497</v>
      </c>
      <c r="E132" s="2274"/>
    </row>
    <row r="133" spans="2:5" ht="18" x14ac:dyDescent="0.35">
      <c r="B133" s="2257"/>
      <c r="C133" s="2235" t="s">
        <v>1865</v>
      </c>
      <c r="D133" s="2259">
        <v>0</v>
      </c>
      <c r="E133" s="2274"/>
    </row>
    <row r="134" spans="2:5" ht="18" x14ac:dyDescent="0.35">
      <c r="B134" s="2257"/>
      <c r="C134" s="2235" t="s">
        <v>1866</v>
      </c>
      <c r="D134" s="2259">
        <f>Agricultural!M25</f>
        <v>0.45063142516294497</v>
      </c>
      <c r="E134" s="2274"/>
    </row>
    <row r="135" spans="2:5" ht="18" x14ac:dyDescent="0.35">
      <c r="B135" s="2257"/>
      <c r="C135" s="2235" t="s">
        <v>1867</v>
      </c>
      <c r="D135" s="2259">
        <v>0</v>
      </c>
      <c r="E135" s="2274"/>
    </row>
    <row r="136" spans="2:5" ht="15" x14ac:dyDescent="0.25">
      <c r="B136" s="2257"/>
      <c r="C136" s="2240" t="s">
        <v>46</v>
      </c>
      <c r="D136" s="2258">
        <f>SUM(D137:D139)</f>
        <v>0.31731595827887277</v>
      </c>
      <c r="E136" s="2274"/>
    </row>
    <row r="137" spans="2:5" ht="18" x14ac:dyDescent="0.35">
      <c r="B137" s="2257"/>
      <c r="C137" s="2235" t="s">
        <v>1865</v>
      </c>
      <c r="D137" s="2259">
        <v>0</v>
      </c>
      <c r="E137" s="2274"/>
    </row>
    <row r="138" spans="2:5" ht="18" x14ac:dyDescent="0.35">
      <c r="B138" s="2257"/>
      <c r="C138" s="2235" t="s">
        <v>1866</v>
      </c>
      <c r="D138" s="2259">
        <f>Agricultural!W61</f>
        <v>0.12050386393267321</v>
      </c>
      <c r="E138" s="2274"/>
    </row>
    <row r="139" spans="2:5" ht="18" x14ac:dyDescent="0.35">
      <c r="B139" s="2257"/>
      <c r="C139" s="2235" t="s">
        <v>1867</v>
      </c>
      <c r="D139" s="2259">
        <f>Agricultural!U89</f>
        <v>0.19681209434619956</v>
      </c>
      <c r="E139" s="2274"/>
    </row>
    <row r="140" spans="2:5" ht="15" x14ac:dyDescent="0.25">
      <c r="B140" s="2257"/>
      <c r="C140" s="2240" t="s">
        <v>47</v>
      </c>
      <c r="D140" s="2258">
        <f>SUM(D141:D143)</f>
        <v>0.8495411564968367</v>
      </c>
      <c r="E140" s="2274"/>
    </row>
    <row r="141" spans="2:5" ht="18" x14ac:dyDescent="0.35">
      <c r="B141" s="2257"/>
      <c r="C141" s="2235" t="s">
        <v>1865</v>
      </c>
      <c r="D141" s="2259">
        <v>0</v>
      </c>
      <c r="E141" s="2274"/>
    </row>
    <row r="142" spans="2:5" ht="18" x14ac:dyDescent="0.35">
      <c r="B142" s="2257"/>
      <c r="C142" s="2235" t="s">
        <v>1866</v>
      </c>
      <c r="D142" s="2259">
        <v>0</v>
      </c>
      <c r="E142" s="2274"/>
    </row>
    <row r="143" spans="2:5" ht="18" x14ac:dyDescent="0.35">
      <c r="B143" s="2257"/>
      <c r="C143" s="2235" t="s">
        <v>1867</v>
      </c>
      <c r="D143" s="2259">
        <f>Agricultural!E233</f>
        <v>0.8495411564968367</v>
      </c>
      <c r="E143" s="2274"/>
    </row>
    <row r="144" spans="2:5" ht="15" x14ac:dyDescent="0.25">
      <c r="B144" s="2257"/>
      <c r="C144" s="2240" t="s">
        <v>48</v>
      </c>
      <c r="D144" s="2258">
        <f>SUM(D145:D147)</f>
        <v>0.26912890570474268</v>
      </c>
      <c r="E144" s="2274"/>
    </row>
    <row r="145" spans="2:5" ht="18" x14ac:dyDescent="0.35">
      <c r="B145" s="2257"/>
      <c r="C145" s="2235" t="s">
        <v>1865</v>
      </c>
      <c r="D145" s="2259">
        <v>0</v>
      </c>
      <c r="E145" s="2274"/>
    </row>
    <row r="146" spans="2:5" ht="18" x14ac:dyDescent="0.35">
      <c r="B146" s="2257"/>
      <c r="C146" s="2235" t="s">
        <v>1866</v>
      </c>
      <c r="D146" s="2259">
        <f>Agricultural!E243</f>
        <v>0.19107837131707767</v>
      </c>
      <c r="E146" s="2274"/>
    </row>
    <row r="147" spans="2:5" ht="18" x14ac:dyDescent="0.35">
      <c r="B147" s="2257"/>
      <c r="C147" s="2235" t="s">
        <v>1867</v>
      </c>
      <c r="D147" s="2259">
        <f>Agricultural!E247</f>
        <v>7.8050534387665002E-2</v>
      </c>
      <c r="E147" s="2274"/>
    </row>
    <row r="148" spans="2:5" ht="15" x14ac:dyDescent="0.25">
      <c r="B148" s="2257"/>
      <c r="C148" s="2235" t="s">
        <v>49</v>
      </c>
      <c r="D148" s="2258">
        <f>SUM(D149:D151)</f>
        <v>5.1482567963954153E-3</v>
      </c>
      <c r="E148" s="2274"/>
    </row>
    <row r="149" spans="2:5" ht="18" x14ac:dyDescent="0.35">
      <c r="B149" s="2257"/>
      <c r="C149" s="2235" t="s">
        <v>1865</v>
      </c>
      <c r="D149" s="2259">
        <f>'Land Use'!T15</f>
        <v>5.1482567963954153E-3</v>
      </c>
      <c r="E149" s="2274"/>
    </row>
    <row r="150" spans="2:5" ht="18" x14ac:dyDescent="0.35">
      <c r="B150" s="2257"/>
      <c r="C150" s="2235" t="s">
        <v>1866</v>
      </c>
      <c r="D150" s="2259">
        <v>0</v>
      </c>
      <c r="E150" s="2274"/>
    </row>
    <row r="151" spans="2:5" ht="18" x14ac:dyDescent="0.35">
      <c r="B151" s="2260"/>
      <c r="C151" s="2238" t="s">
        <v>1867</v>
      </c>
      <c r="D151" s="2259">
        <v>0</v>
      </c>
      <c r="E151" s="2274"/>
    </row>
    <row r="152" spans="2:5" ht="15" x14ac:dyDescent="0.25">
      <c r="B152" s="2253" t="s">
        <v>50</v>
      </c>
      <c r="C152" s="2239"/>
      <c r="D152" s="2261">
        <f>D153+D157+D161+D165</f>
        <v>4.4356100042290922</v>
      </c>
      <c r="E152" s="2275"/>
    </row>
    <row r="153" spans="2:5" ht="15" x14ac:dyDescent="0.25">
      <c r="B153" s="2255"/>
      <c r="C153" s="2233" t="s">
        <v>51</v>
      </c>
      <c r="D153" s="2256">
        <f>SUM(D154:D156)</f>
        <v>1.3065216384711236</v>
      </c>
      <c r="E153" s="2274"/>
    </row>
    <row r="154" spans="2:5" ht="18" x14ac:dyDescent="0.35">
      <c r="B154" s="2257"/>
      <c r="C154" s="2235" t="s">
        <v>1865</v>
      </c>
      <c r="D154" s="2259">
        <f>(Incinerators!AC23*0.9072)/1000000</f>
        <v>1.2975872088412801</v>
      </c>
      <c r="E154" s="2274"/>
    </row>
    <row r="155" spans="2:5" ht="18" x14ac:dyDescent="0.35">
      <c r="B155" s="2257"/>
      <c r="C155" s="2235" t="s">
        <v>1866</v>
      </c>
      <c r="D155" s="2259">
        <f>(Incinerators!AC29*0.9072)/1000000</f>
        <v>2.4975313592363326E-4</v>
      </c>
      <c r="E155" s="2274"/>
    </row>
    <row r="156" spans="2:5" ht="18" x14ac:dyDescent="0.35">
      <c r="B156" s="2257"/>
      <c r="C156" s="2235" t="s">
        <v>1867</v>
      </c>
      <c r="D156" s="2259">
        <f>Incinerators!AC35*0.9072/1000000</f>
        <v>8.6846764939199992E-3</v>
      </c>
      <c r="E156" s="2274"/>
    </row>
    <row r="157" spans="2:5" ht="15" x14ac:dyDescent="0.25">
      <c r="B157" s="2257"/>
      <c r="C157" s="2240" t="s">
        <v>52</v>
      </c>
      <c r="D157" s="2256">
        <f>SUM(D158:D160)</f>
        <v>2.409647605558439</v>
      </c>
      <c r="E157" s="2274"/>
    </row>
    <row r="158" spans="2:5" ht="18" x14ac:dyDescent="0.35">
      <c r="B158" s="2257"/>
      <c r="C158" s="2235" t="s">
        <v>1865</v>
      </c>
      <c r="D158" s="2259">
        <f>Landfills!V104</f>
        <v>0.4795319297022767</v>
      </c>
      <c r="E158" s="2274"/>
    </row>
    <row r="159" spans="2:5" ht="18" x14ac:dyDescent="0.35">
      <c r="B159" s="2257"/>
      <c r="C159" s="2235" t="s">
        <v>1866</v>
      </c>
      <c r="D159" s="2259">
        <f>Landfills!V106</f>
        <v>1.9301156758561624</v>
      </c>
      <c r="E159" s="2274"/>
    </row>
    <row r="160" spans="2:5" ht="18" x14ac:dyDescent="0.35">
      <c r="B160" s="2257"/>
      <c r="C160" s="2235" t="s">
        <v>1867</v>
      </c>
      <c r="D160" s="2259">
        <v>0</v>
      </c>
      <c r="E160" s="2274"/>
    </row>
    <row r="161" spans="2:9" ht="15" x14ac:dyDescent="0.25">
      <c r="B161" s="2257"/>
      <c r="C161" s="2240" t="s">
        <v>53</v>
      </c>
      <c r="D161" s="2256">
        <f>SUM(D162:D164)</f>
        <v>0.68644076019952904</v>
      </c>
      <c r="E161" s="2274"/>
    </row>
    <row r="162" spans="2:9" ht="18" x14ac:dyDescent="0.35">
      <c r="B162" s="2257"/>
      <c r="C162" s="2235" t="s">
        <v>1865</v>
      </c>
      <c r="D162" s="2259">
        <v>0</v>
      </c>
      <c r="E162" s="2274"/>
    </row>
    <row r="163" spans="2:9" ht="18" x14ac:dyDescent="0.35">
      <c r="B163" s="2257"/>
      <c r="C163" s="2235" t="s">
        <v>1866</v>
      </c>
      <c r="D163" s="2259">
        <f>Wastewater!C31+Wastewater!C33</f>
        <v>0.53702266605837501</v>
      </c>
      <c r="E163" s="2274"/>
    </row>
    <row r="164" spans="2:9" ht="18" x14ac:dyDescent="0.35">
      <c r="B164" s="2257"/>
      <c r="C164" s="2235" t="s">
        <v>1867</v>
      </c>
      <c r="D164" s="2259">
        <f>Wastewater!C32</f>
        <v>0.14941809414115398</v>
      </c>
      <c r="E164" s="2274"/>
    </row>
    <row r="165" spans="2:9" ht="15" x14ac:dyDescent="0.25">
      <c r="B165" s="2257"/>
      <c r="C165" s="2240" t="s">
        <v>54</v>
      </c>
      <c r="D165" s="2256">
        <f>SUM(D166:D168)</f>
        <v>3.3000000000000002E-2</v>
      </c>
      <c r="E165" s="2274"/>
    </row>
    <row r="166" spans="2:9" ht="18" x14ac:dyDescent="0.35">
      <c r="B166" s="2257"/>
      <c r="C166" s="2235" t="s">
        <v>1865</v>
      </c>
      <c r="D166" s="2259">
        <f>OpenBurn!D7</f>
        <v>3.3000000000000002E-2</v>
      </c>
      <c r="E166" s="2274"/>
    </row>
    <row r="167" spans="2:9" ht="18" x14ac:dyDescent="0.35">
      <c r="B167" s="2257"/>
      <c r="C167" s="2235" t="s">
        <v>1866</v>
      </c>
      <c r="D167" s="2259">
        <v>0</v>
      </c>
      <c r="E167" s="2274"/>
    </row>
    <row r="168" spans="2:9" ht="18" x14ac:dyDescent="0.35">
      <c r="B168" s="2260"/>
      <c r="C168" s="2238" t="s">
        <v>1867</v>
      </c>
      <c r="D168" s="2259">
        <v>0</v>
      </c>
      <c r="E168" s="2274"/>
    </row>
    <row r="169" spans="2:9" ht="15" x14ac:dyDescent="0.25">
      <c r="B169" s="2492" t="s">
        <v>55</v>
      </c>
      <c r="C169" s="2493"/>
      <c r="D169" s="2259">
        <f>D152+D131+D94+D81+D48+D31+D11</f>
        <v>95.109218701306474</v>
      </c>
      <c r="E169" s="2274"/>
    </row>
    <row r="170" spans="2:9" ht="15" x14ac:dyDescent="0.25">
      <c r="B170" s="2270"/>
      <c r="C170" s="2271"/>
      <c r="D170" s="2263"/>
      <c r="E170" s="2274"/>
      <c r="I170" s="7"/>
    </row>
    <row r="171" spans="2:9" ht="15" x14ac:dyDescent="0.25">
      <c r="B171" s="2492" t="s">
        <v>56</v>
      </c>
      <c r="C171" s="2493"/>
      <c r="D171" s="2258">
        <f>SUM(D172:D175)</f>
        <v>-11.65505674115056</v>
      </c>
      <c r="E171" s="2274"/>
    </row>
    <row r="172" spans="2:9" ht="15" x14ac:dyDescent="0.25">
      <c r="B172" s="2264"/>
      <c r="C172" s="2233" t="s">
        <v>57</v>
      </c>
      <c r="D172" s="2263">
        <f>'Land Use'!AB6+'Land Use'!AB7+'Land Use'!AB8+'Land Use'!AB9+'Land Use'!AB11</f>
        <v>-10.446577825333891</v>
      </c>
      <c r="E172" s="2274"/>
    </row>
    <row r="173" spans="2:9" ht="15" x14ac:dyDescent="0.25">
      <c r="B173" s="2265"/>
      <c r="C173" s="2240" t="s">
        <v>58</v>
      </c>
      <c r="D173" s="2263">
        <f>'Land Use'!AB16+'Land Use'!AB17+'Land Use'!AB32</f>
        <v>-1.2095054635640126</v>
      </c>
      <c r="E173" s="2274"/>
    </row>
    <row r="174" spans="2:9" ht="15" x14ac:dyDescent="0.25">
      <c r="B174" s="2265"/>
      <c r="C174" s="2240" t="s">
        <v>59</v>
      </c>
      <c r="D174" s="2263">
        <f>'Land Use'!AB10</f>
        <v>-5.1420444948206523E-2</v>
      </c>
      <c r="E174" s="2274"/>
    </row>
    <row r="175" spans="2:9" ht="15" x14ac:dyDescent="0.25">
      <c r="B175" s="2265"/>
      <c r="C175" s="2240" t="s">
        <v>60</v>
      </c>
      <c r="D175" s="2263">
        <f>SUM(D176:D177)</f>
        <v>5.2446992695550337E-2</v>
      </c>
      <c r="E175" s="2274"/>
    </row>
    <row r="176" spans="2:9" ht="18" x14ac:dyDescent="0.35">
      <c r="B176" s="2265"/>
      <c r="C176" s="2235" t="s">
        <v>1866</v>
      </c>
      <c r="D176" s="2263">
        <f>'Land Use'!AB30</f>
        <v>4.5245292287999998E-2</v>
      </c>
      <c r="E176" s="2274"/>
    </row>
    <row r="177" spans="2:9" ht="18" x14ac:dyDescent="0.35">
      <c r="B177" s="2266"/>
      <c r="C177" s="2238" t="s">
        <v>1867</v>
      </c>
      <c r="D177" s="2263">
        <f>'Land Use'!AB31</f>
        <v>7.2017004075503356E-3</v>
      </c>
      <c r="E177" s="2274"/>
    </row>
    <row r="178" spans="2:9" ht="15" x14ac:dyDescent="0.25">
      <c r="B178" s="2492" t="s">
        <v>61</v>
      </c>
      <c r="C178" s="2493"/>
      <c r="D178" s="2256">
        <f>D169+D171</f>
        <v>83.454161960155915</v>
      </c>
      <c r="E178" s="2274"/>
      <c r="I178" s="7"/>
    </row>
    <row r="179" spans="2:9" ht="15.75" thickBot="1" x14ac:dyDescent="0.3">
      <c r="B179" s="2267"/>
      <c r="C179" s="2268"/>
      <c r="D179" s="2269"/>
    </row>
    <row r="180" spans="2:9" ht="15" x14ac:dyDescent="0.25">
      <c r="B180" s="2"/>
      <c r="C180" s="2"/>
      <c r="D180" s="2241"/>
    </row>
    <row r="181" spans="2:9" ht="15.75" thickBot="1" x14ac:dyDescent="0.3">
      <c r="B181" s="2242"/>
      <c r="C181" s="2242"/>
      <c r="D181" s="2241"/>
    </row>
    <row r="182" spans="2:9" ht="15" x14ac:dyDescent="0.25">
      <c r="B182" s="2243"/>
      <c r="C182" s="2244"/>
      <c r="D182" s="2245">
        <f>D9</f>
        <v>2014</v>
      </c>
    </row>
    <row r="183" spans="2:9" ht="15" x14ac:dyDescent="0.25">
      <c r="B183" s="2246"/>
      <c r="C183" s="2242" t="s">
        <v>62</v>
      </c>
      <c r="D183" s="2247">
        <f>D11</f>
        <v>33.752605434585391</v>
      </c>
    </row>
    <row r="184" spans="2:9" ht="15" x14ac:dyDescent="0.25">
      <c r="B184" s="2246"/>
      <c r="C184" s="2242" t="s">
        <v>63</v>
      </c>
      <c r="D184" s="2247">
        <f>D31</f>
        <v>15.836089896666813</v>
      </c>
    </row>
    <row r="185" spans="2:9" ht="15" x14ac:dyDescent="0.25">
      <c r="B185" s="2246"/>
      <c r="C185" s="2242" t="s">
        <v>64</v>
      </c>
      <c r="D185" s="2247">
        <f>D49+D57</f>
        <v>28.924698296272911</v>
      </c>
    </row>
    <row r="186" spans="2:9" ht="15" x14ac:dyDescent="0.25">
      <c r="B186" s="2246"/>
      <c r="C186" s="2242" t="s">
        <v>65</v>
      </c>
      <c r="D186" s="2247">
        <f>D53+D61+D65+D69+D73+D77</f>
        <v>4.524748935109419</v>
      </c>
    </row>
    <row r="187" spans="2:9" ht="15" x14ac:dyDescent="0.25">
      <c r="B187" s="2246"/>
      <c r="C187" s="2242" t="str">
        <f>B81</f>
        <v>Fossil Fuel Industry</v>
      </c>
      <c r="D187" s="2247">
        <f>D81</f>
        <v>0.95964122955398035</v>
      </c>
    </row>
    <row r="188" spans="2:9" ht="15" x14ac:dyDescent="0.25">
      <c r="B188" s="2246"/>
      <c r="C188" s="2242" t="str">
        <f>B94</f>
        <v>Industrial Processes</v>
      </c>
      <c r="D188" s="2247">
        <f>D94</f>
        <v>4.7840592024490807</v>
      </c>
    </row>
    <row r="189" spans="2:9" ht="15" x14ac:dyDescent="0.25">
      <c r="B189" s="2246"/>
      <c r="C189" s="2242" t="str">
        <f>B131</f>
        <v>Agriculture</v>
      </c>
      <c r="D189" s="2247">
        <f>D131</f>
        <v>1.8917657024397925</v>
      </c>
    </row>
    <row r="190" spans="2:9" ht="15.75" thickBot="1" x14ac:dyDescent="0.3">
      <c r="B190" s="2248"/>
      <c r="C190" s="2249" t="str">
        <f>B152</f>
        <v>Waste Management</v>
      </c>
      <c r="D190" s="2250">
        <f>D152</f>
        <v>4.4356100042290922</v>
      </c>
    </row>
    <row r="191" spans="2:9" x14ac:dyDescent="0.2">
      <c r="D191" s="4"/>
    </row>
    <row r="192" spans="2:9" x14ac:dyDescent="0.2">
      <c r="D192" s="4"/>
    </row>
    <row r="193" spans="4:4" x14ac:dyDescent="0.2">
      <c r="D193" s="4"/>
    </row>
    <row r="194" spans="4:4" x14ac:dyDescent="0.2">
      <c r="D194" s="4"/>
    </row>
    <row r="195" spans="4:4" x14ac:dyDescent="0.2">
      <c r="D195" s="4"/>
    </row>
    <row r="196" spans="4:4" x14ac:dyDescent="0.2">
      <c r="D196" s="4"/>
    </row>
    <row r="197" spans="4:4" x14ac:dyDescent="0.2">
      <c r="D197" s="4"/>
    </row>
    <row r="198" spans="4:4" x14ac:dyDescent="0.2">
      <c r="D198" s="4"/>
    </row>
    <row r="199" spans="4:4" x14ac:dyDescent="0.2">
      <c r="D199" s="4"/>
    </row>
    <row r="200" spans="4:4" x14ac:dyDescent="0.2">
      <c r="D200" s="4"/>
    </row>
    <row r="201" spans="4:4" x14ac:dyDescent="0.2">
      <c r="D201" s="4"/>
    </row>
    <row r="202" spans="4:4" x14ac:dyDescent="0.2">
      <c r="D202" s="4"/>
    </row>
    <row r="203" spans="4:4" x14ac:dyDescent="0.2">
      <c r="D203" s="4"/>
    </row>
    <row r="204" spans="4:4" x14ac:dyDescent="0.2">
      <c r="D204" s="4"/>
    </row>
    <row r="205" spans="4:4" x14ac:dyDescent="0.2">
      <c r="D205" s="4"/>
    </row>
    <row r="206" spans="4:4" x14ac:dyDescent="0.2">
      <c r="D206" s="4"/>
    </row>
    <row r="207" spans="4:4" x14ac:dyDescent="0.2">
      <c r="D207" s="4"/>
    </row>
    <row r="208" spans="4:4" x14ac:dyDescent="0.2">
      <c r="D208" s="4"/>
    </row>
    <row r="209" spans="4:4" x14ac:dyDescent="0.2">
      <c r="D209" s="4"/>
    </row>
    <row r="210" spans="4:4" x14ac:dyDescent="0.2">
      <c r="D210" s="4"/>
    </row>
    <row r="211" spans="4:4" x14ac:dyDescent="0.2">
      <c r="D211" s="4"/>
    </row>
    <row r="212" spans="4:4" x14ac:dyDescent="0.2">
      <c r="D212" s="4"/>
    </row>
    <row r="213" spans="4:4" x14ac:dyDescent="0.2">
      <c r="D213" s="4"/>
    </row>
    <row r="214" spans="4:4" x14ac:dyDescent="0.2">
      <c r="D214" s="4"/>
    </row>
    <row r="215" spans="4:4" x14ac:dyDescent="0.2">
      <c r="D215" s="4"/>
    </row>
    <row r="216" spans="4:4" x14ac:dyDescent="0.2">
      <c r="D216" s="4"/>
    </row>
    <row r="217" spans="4:4" x14ac:dyDescent="0.2">
      <c r="D217" s="4"/>
    </row>
    <row r="218" spans="4:4" x14ac:dyDescent="0.2">
      <c r="D218" s="4"/>
    </row>
    <row r="219" spans="4:4" x14ac:dyDescent="0.2">
      <c r="D219" s="4"/>
    </row>
    <row r="220" spans="4:4" x14ac:dyDescent="0.2">
      <c r="D220" s="4"/>
    </row>
    <row r="221" spans="4:4" x14ac:dyDescent="0.2">
      <c r="D221" s="4"/>
    </row>
    <row r="222" spans="4:4" x14ac:dyDescent="0.2">
      <c r="D222" s="4"/>
    </row>
    <row r="223" spans="4:4" x14ac:dyDescent="0.2">
      <c r="D223" s="4"/>
    </row>
    <row r="224" spans="4:4" x14ac:dyDescent="0.2">
      <c r="D224" s="4"/>
    </row>
    <row r="225" spans="4:4" x14ac:dyDescent="0.2">
      <c r="D225" s="4"/>
    </row>
    <row r="226" spans="4:4" x14ac:dyDescent="0.2">
      <c r="D226" s="4"/>
    </row>
    <row r="227" spans="4:4" x14ac:dyDescent="0.2">
      <c r="D227" s="4"/>
    </row>
    <row r="228" spans="4:4" x14ac:dyDescent="0.2">
      <c r="D228" s="4"/>
    </row>
    <row r="229" spans="4:4" x14ac:dyDescent="0.2">
      <c r="D229" s="4"/>
    </row>
    <row r="230" spans="4:4" x14ac:dyDescent="0.2">
      <c r="D230" s="4"/>
    </row>
    <row r="231" spans="4:4" x14ac:dyDescent="0.2">
      <c r="D231" s="4"/>
    </row>
    <row r="232" spans="4:4" x14ac:dyDescent="0.2">
      <c r="D232" s="4"/>
    </row>
    <row r="233" spans="4:4" x14ac:dyDescent="0.2">
      <c r="D233" s="4"/>
    </row>
    <row r="234" spans="4:4" x14ac:dyDescent="0.2">
      <c r="D234" s="4"/>
    </row>
    <row r="235" spans="4:4" x14ac:dyDescent="0.2">
      <c r="D235" s="4"/>
    </row>
    <row r="236" spans="4:4" x14ac:dyDescent="0.2">
      <c r="D236" s="4"/>
    </row>
    <row r="237" spans="4:4" x14ac:dyDescent="0.2">
      <c r="D237" s="4"/>
    </row>
    <row r="238" spans="4:4" x14ac:dyDescent="0.2">
      <c r="D238" s="4"/>
    </row>
    <row r="239" spans="4:4" x14ac:dyDescent="0.2">
      <c r="D239" s="4"/>
    </row>
    <row r="240" spans="4:4" x14ac:dyDescent="0.2">
      <c r="D240" s="4"/>
    </row>
    <row r="241" spans="4:4" x14ac:dyDescent="0.2">
      <c r="D241" s="4"/>
    </row>
    <row r="242" spans="4:4" x14ac:dyDescent="0.2">
      <c r="D242" s="4"/>
    </row>
    <row r="243" spans="4:4" x14ac:dyDescent="0.2">
      <c r="D243" s="4"/>
    </row>
    <row r="244" spans="4:4" x14ac:dyDescent="0.2">
      <c r="D244" s="4"/>
    </row>
    <row r="245" spans="4:4" x14ac:dyDescent="0.2">
      <c r="D245" s="4"/>
    </row>
    <row r="246" spans="4:4" x14ac:dyDescent="0.2">
      <c r="D246" s="4"/>
    </row>
    <row r="247" spans="4:4" x14ac:dyDescent="0.2">
      <c r="D247" s="4"/>
    </row>
    <row r="248" spans="4:4" x14ac:dyDescent="0.2">
      <c r="D248" s="4"/>
    </row>
    <row r="249" spans="4:4" x14ac:dyDescent="0.2">
      <c r="D249" s="4"/>
    </row>
    <row r="250" spans="4:4" x14ac:dyDescent="0.2">
      <c r="D250" s="4"/>
    </row>
    <row r="251" spans="4:4" x14ac:dyDescent="0.2">
      <c r="D251" s="4"/>
    </row>
    <row r="252" spans="4:4" x14ac:dyDescent="0.2">
      <c r="D252" s="4"/>
    </row>
    <row r="253" spans="4:4" x14ac:dyDescent="0.2">
      <c r="D253" s="4"/>
    </row>
    <row r="254" spans="4:4" x14ac:dyDescent="0.2">
      <c r="D254" s="4"/>
    </row>
    <row r="255" spans="4:4" x14ac:dyDescent="0.2">
      <c r="D255" s="4"/>
    </row>
    <row r="256" spans="4:4" x14ac:dyDescent="0.2">
      <c r="D256" s="4"/>
    </row>
    <row r="257" spans="4:4" x14ac:dyDescent="0.2">
      <c r="D257" s="4"/>
    </row>
    <row r="258" spans="4:4" x14ac:dyDescent="0.2">
      <c r="D258" s="4"/>
    </row>
    <row r="259" spans="4:4" x14ac:dyDescent="0.2">
      <c r="D259" s="4"/>
    </row>
    <row r="260" spans="4:4" x14ac:dyDescent="0.2">
      <c r="D260" s="4"/>
    </row>
    <row r="261" spans="4:4" x14ac:dyDescent="0.2">
      <c r="D261" s="4"/>
    </row>
    <row r="262" spans="4:4" x14ac:dyDescent="0.2">
      <c r="D262" s="4"/>
    </row>
    <row r="263" spans="4:4" x14ac:dyDescent="0.2">
      <c r="D263" s="4"/>
    </row>
    <row r="264" spans="4:4" x14ac:dyDescent="0.2">
      <c r="D264" s="4"/>
    </row>
    <row r="265" spans="4:4" x14ac:dyDescent="0.2">
      <c r="D265" s="4"/>
    </row>
    <row r="266" spans="4:4" x14ac:dyDescent="0.2">
      <c r="D266" s="4"/>
    </row>
    <row r="267" spans="4:4" x14ac:dyDescent="0.2">
      <c r="D267" s="4"/>
    </row>
    <row r="268" spans="4:4" x14ac:dyDescent="0.2">
      <c r="D268" s="4"/>
    </row>
    <row r="269" spans="4:4" x14ac:dyDescent="0.2">
      <c r="D269" s="4"/>
    </row>
    <row r="270" spans="4:4" x14ac:dyDescent="0.2">
      <c r="D270" s="4"/>
    </row>
    <row r="271" spans="4:4" x14ac:dyDescent="0.2">
      <c r="D271" s="4"/>
    </row>
    <row r="272" spans="4:4" x14ac:dyDescent="0.2">
      <c r="D272" s="4"/>
    </row>
    <row r="273" spans="4:4" x14ac:dyDescent="0.2">
      <c r="D273" s="4"/>
    </row>
    <row r="274" spans="4:4" x14ac:dyDescent="0.2">
      <c r="D274" s="4"/>
    </row>
    <row r="275" spans="4:4" x14ac:dyDescent="0.2">
      <c r="D275" s="4"/>
    </row>
    <row r="276" spans="4:4" x14ac:dyDescent="0.2">
      <c r="D276" s="4"/>
    </row>
    <row r="277" spans="4:4" x14ac:dyDescent="0.2">
      <c r="D277" s="4"/>
    </row>
    <row r="278" spans="4:4" x14ac:dyDescent="0.2">
      <c r="D278" s="4"/>
    </row>
    <row r="279" spans="4:4" x14ac:dyDescent="0.2">
      <c r="D279" s="4"/>
    </row>
    <row r="280" spans="4:4" x14ac:dyDescent="0.2">
      <c r="D280" s="4"/>
    </row>
    <row r="281" spans="4:4" x14ac:dyDescent="0.2">
      <c r="D281" s="4"/>
    </row>
    <row r="282" spans="4:4" x14ac:dyDescent="0.2">
      <c r="D282" s="4"/>
    </row>
    <row r="283" spans="4:4" x14ac:dyDescent="0.2">
      <c r="D283" s="4"/>
    </row>
    <row r="284" spans="4:4" x14ac:dyDescent="0.2">
      <c r="D284" s="4"/>
    </row>
    <row r="285" spans="4:4" x14ac:dyDescent="0.2">
      <c r="D285" s="4"/>
    </row>
    <row r="286" spans="4:4" x14ac:dyDescent="0.2">
      <c r="D286" s="4"/>
    </row>
    <row r="287" spans="4:4" x14ac:dyDescent="0.2">
      <c r="D287" s="4"/>
    </row>
    <row r="288" spans="4:4" x14ac:dyDescent="0.2">
      <c r="D288" s="4"/>
    </row>
    <row r="289" spans="4:4" x14ac:dyDescent="0.2">
      <c r="D289" s="4"/>
    </row>
    <row r="290" spans="4:4" x14ac:dyDescent="0.2">
      <c r="D290" s="4"/>
    </row>
    <row r="291" spans="4:4" x14ac:dyDescent="0.2">
      <c r="D291" s="4"/>
    </row>
    <row r="292" spans="4:4" x14ac:dyDescent="0.2">
      <c r="D292" s="4"/>
    </row>
    <row r="293" spans="4:4" x14ac:dyDescent="0.2">
      <c r="D293" s="4"/>
    </row>
    <row r="294" spans="4:4" x14ac:dyDescent="0.2">
      <c r="D294" s="4"/>
    </row>
    <row r="295" spans="4:4" x14ac:dyDescent="0.2">
      <c r="D295" s="4"/>
    </row>
    <row r="296" spans="4:4" x14ac:dyDescent="0.2">
      <c r="D296" s="4"/>
    </row>
    <row r="297" spans="4:4" x14ac:dyDescent="0.2">
      <c r="D297" s="4"/>
    </row>
    <row r="298" spans="4:4" x14ac:dyDescent="0.2">
      <c r="D298" s="4"/>
    </row>
    <row r="299" spans="4:4" x14ac:dyDescent="0.2">
      <c r="D299" s="4"/>
    </row>
    <row r="300" spans="4:4" x14ac:dyDescent="0.2">
      <c r="D300" s="4"/>
    </row>
    <row r="301" spans="4:4" x14ac:dyDescent="0.2">
      <c r="D301" s="4"/>
    </row>
    <row r="302" spans="4:4" x14ac:dyDescent="0.2">
      <c r="D302" s="4"/>
    </row>
    <row r="303" spans="4:4" x14ac:dyDescent="0.2">
      <c r="D303" s="4"/>
    </row>
    <row r="304" spans="4:4" x14ac:dyDescent="0.2">
      <c r="D304" s="4"/>
    </row>
    <row r="305" spans="4:4" x14ac:dyDescent="0.2">
      <c r="D305" s="4"/>
    </row>
    <row r="306" spans="4:4" x14ac:dyDescent="0.2">
      <c r="D306" s="4"/>
    </row>
    <row r="307" spans="4:4" x14ac:dyDescent="0.2">
      <c r="D307" s="4"/>
    </row>
    <row r="308" spans="4:4" x14ac:dyDescent="0.2">
      <c r="D308" s="4"/>
    </row>
    <row r="309" spans="4:4" x14ac:dyDescent="0.2">
      <c r="D309" s="4"/>
    </row>
    <row r="310" spans="4:4" x14ac:dyDescent="0.2">
      <c r="D310" s="4"/>
    </row>
    <row r="311" spans="4:4" x14ac:dyDescent="0.2">
      <c r="D311" s="4"/>
    </row>
    <row r="312" spans="4:4" x14ac:dyDescent="0.2">
      <c r="D312" s="4"/>
    </row>
    <row r="313" spans="4:4" x14ac:dyDescent="0.2">
      <c r="D313" s="4"/>
    </row>
    <row r="314" spans="4:4" x14ac:dyDescent="0.2">
      <c r="D314" s="4"/>
    </row>
    <row r="315" spans="4:4" x14ac:dyDescent="0.2">
      <c r="D315" s="4"/>
    </row>
    <row r="316" spans="4:4" x14ac:dyDescent="0.2">
      <c r="D316" s="4"/>
    </row>
    <row r="317" spans="4:4" x14ac:dyDescent="0.2">
      <c r="D317" s="4"/>
    </row>
    <row r="318" spans="4:4" x14ac:dyDescent="0.2">
      <c r="D318" s="4"/>
    </row>
    <row r="319" spans="4:4" x14ac:dyDescent="0.2">
      <c r="D319" s="4"/>
    </row>
    <row r="320" spans="4:4" x14ac:dyDescent="0.2">
      <c r="D320" s="4"/>
    </row>
    <row r="321" spans="4:4" x14ac:dyDescent="0.2">
      <c r="D321" s="4"/>
    </row>
    <row r="322" spans="4:4" x14ac:dyDescent="0.2">
      <c r="D322" s="4"/>
    </row>
    <row r="323" spans="4:4" x14ac:dyDescent="0.2">
      <c r="D323" s="4"/>
    </row>
    <row r="324" spans="4:4" x14ac:dyDescent="0.2">
      <c r="D324" s="4"/>
    </row>
    <row r="325" spans="4:4" x14ac:dyDescent="0.2">
      <c r="D325" s="4"/>
    </row>
    <row r="326" spans="4:4" x14ac:dyDescent="0.2">
      <c r="D326" s="4"/>
    </row>
    <row r="327" spans="4:4" x14ac:dyDescent="0.2">
      <c r="D327" s="4"/>
    </row>
    <row r="328" spans="4:4" x14ac:dyDescent="0.2">
      <c r="D328" s="4"/>
    </row>
    <row r="329" spans="4:4" x14ac:dyDescent="0.2">
      <c r="D329" s="4"/>
    </row>
    <row r="330" spans="4:4" x14ac:dyDescent="0.2">
      <c r="D330" s="4"/>
    </row>
    <row r="331" spans="4:4" x14ac:dyDescent="0.2">
      <c r="D331" s="4"/>
    </row>
    <row r="332" spans="4:4" x14ac:dyDescent="0.2">
      <c r="D332" s="4"/>
    </row>
    <row r="333" spans="4:4" x14ac:dyDescent="0.2">
      <c r="D333" s="4"/>
    </row>
    <row r="334" spans="4:4" x14ac:dyDescent="0.2">
      <c r="D334" s="4"/>
    </row>
    <row r="335" spans="4:4" x14ac:dyDescent="0.2">
      <c r="D335" s="4"/>
    </row>
    <row r="336" spans="4:4" x14ac:dyDescent="0.2">
      <c r="D336" s="4"/>
    </row>
    <row r="337" spans="4:4" x14ac:dyDescent="0.2">
      <c r="D337" s="4"/>
    </row>
    <row r="338" spans="4:4" x14ac:dyDescent="0.2">
      <c r="D338" s="4"/>
    </row>
    <row r="339" spans="4:4" x14ac:dyDescent="0.2">
      <c r="D339" s="4"/>
    </row>
    <row r="340" spans="4:4" x14ac:dyDescent="0.2">
      <c r="D340" s="4"/>
    </row>
    <row r="341" spans="4:4" x14ac:dyDescent="0.2">
      <c r="D341" s="4"/>
    </row>
    <row r="342" spans="4:4" x14ac:dyDescent="0.2">
      <c r="D342" s="4"/>
    </row>
    <row r="343" spans="4:4" x14ac:dyDescent="0.2">
      <c r="D343" s="4"/>
    </row>
    <row r="344" spans="4:4" x14ac:dyDescent="0.2">
      <c r="D344" s="4"/>
    </row>
    <row r="345" spans="4:4" x14ac:dyDescent="0.2">
      <c r="D345" s="4"/>
    </row>
    <row r="346" spans="4:4" x14ac:dyDescent="0.2">
      <c r="D346" s="4"/>
    </row>
    <row r="347" spans="4:4" x14ac:dyDescent="0.2">
      <c r="D347" s="4"/>
    </row>
    <row r="348" spans="4:4" x14ac:dyDescent="0.2">
      <c r="D348" s="4"/>
    </row>
    <row r="349" spans="4:4" x14ac:dyDescent="0.2">
      <c r="D349" s="4"/>
    </row>
    <row r="350" spans="4:4" x14ac:dyDescent="0.2">
      <c r="D350" s="4"/>
    </row>
    <row r="351" spans="4:4" x14ac:dyDescent="0.2">
      <c r="D351" s="4"/>
    </row>
    <row r="352" spans="4:4" x14ac:dyDescent="0.2">
      <c r="D352" s="4"/>
    </row>
    <row r="353" spans="4:4" x14ac:dyDescent="0.2">
      <c r="D353" s="4"/>
    </row>
    <row r="354" spans="4:4" x14ac:dyDescent="0.2">
      <c r="D354" s="4"/>
    </row>
    <row r="355" spans="4:4" x14ac:dyDescent="0.2">
      <c r="D355" s="4"/>
    </row>
    <row r="356" spans="4:4" x14ac:dyDescent="0.2">
      <c r="D356" s="4"/>
    </row>
    <row r="357" spans="4:4" x14ac:dyDescent="0.2">
      <c r="D357" s="4"/>
    </row>
    <row r="358" spans="4:4" x14ac:dyDescent="0.2">
      <c r="D358" s="4"/>
    </row>
    <row r="359" spans="4:4" x14ac:dyDescent="0.2">
      <c r="D359" s="4"/>
    </row>
    <row r="360" spans="4:4" x14ac:dyDescent="0.2">
      <c r="D360" s="4"/>
    </row>
    <row r="361" spans="4:4" x14ac:dyDescent="0.2">
      <c r="D361" s="4"/>
    </row>
    <row r="362" spans="4:4" x14ac:dyDescent="0.2">
      <c r="D362" s="4"/>
    </row>
    <row r="363" spans="4:4" x14ac:dyDescent="0.2">
      <c r="D363" s="4"/>
    </row>
    <row r="364" spans="4:4" x14ac:dyDescent="0.2">
      <c r="D364" s="4"/>
    </row>
    <row r="365" spans="4:4" x14ac:dyDescent="0.2">
      <c r="D365" s="4"/>
    </row>
    <row r="366" spans="4:4" x14ac:dyDescent="0.2">
      <c r="D366" s="4"/>
    </row>
    <row r="367" spans="4:4" x14ac:dyDescent="0.2">
      <c r="D367" s="4"/>
    </row>
    <row r="368" spans="4:4" x14ac:dyDescent="0.2">
      <c r="D368" s="4"/>
    </row>
    <row r="369" spans="4:4" x14ac:dyDescent="0.2">
      <c r="D369" s="4"/>
    </row>
    <row r="370" spans="4:4" x14ac:dyDescent="0.2">
      <c r="D370" s="4"/>
    </row>
    <row r="371" spans="4:4" x14ac:dyDescent="0.2">
      <c r="D371" s="4"/>
    </row>
    <row r="372" spans="4:4" x14ac:dyDescent="0.2">
      <c r="D372" s="4"/>
    </row>
    <row r="373" spans="4:4" x14ac:dyDescent="0.2">
      <c r="D373" s="4"/>
    </row>
    <row r="374" spans="4:4" x14ac:dyDescent="0.2">
      <c r="D374" s="4"/>
    </row>
    <row r="375" spans="4:4" x14ac:dyDescent="0.2">
      <c r="D375" s="4"/>
    </row>
    <row r="376" spans="4:4" x14ac:dyDescent="0.2">
      <c r="D376" s="4"/>
    </row>
    <row r="377" spans="4:4" x14ac:dyDescent="0.2">
      <c r="D377" s="4"/>
    </row>
    <row r="378" spans="4:4" x14ac:dyDescent="0.2">
      <c r="D378" s="4"/>
    </row>
    <row r="379" spans="4:4" x14ac:dyDescent="0.2">
      <c r="D379" s="4"/>
    </row>
    <row r="380" spans="4:4" x14ac:dyDescent="0.2">
      <c r="D380" s="4"/>
    </row>
    <row r="381" spans="4:4" x14ac:dyDescent="0.2">
      <c r="D381" s="4"/>
    </row>
    <row r="382" spans="4:4" x14ac:dyDescent="0.2">
      <c r="D382" s="4"/>
    </row>
    <row r="383" spans="4:4" x14ac:dyDescent="0.2">
      <c r="D383" s="4"/>
    </row>
    <row r="384" spans="4:4" x14ac:dyDescent="0.2">
      <c r="D384" s="4"/>
    </row>
    <row r="385" spans="4:4" x14ac:dyDescent="0.2">
      <c r="D385" s="4"/>
    </row>
    <row r="386" spans="4:4" x14ac:dyDescent="0.2">
      <c r="D386" s="4"/>
    </row>
    <row r="387" spans="4:4" x14ac:dyDescent="0.2">
      <c r="D387" s="4"/>
    </row>
    <row r="388" spans="4:4" x14ac:dyDescent="0.2">
      <c r="D388" s="4"/>
    </row>
    <row r="389" spans="4:4" x14ac:dyDescent="0.2">
      <c r="D389" s="4"/>
    </row>
    <row r="390" spans="4:4" x14ac:dyDescent="0.2">
      <c r="D390" s="4"/>
    </row>
    <row r="391" spans="4:4" x14ac:dyDescent="0.2">
      <c r="D391" s="4"/>
    </row>
    <row r="392" spans="4:4" x14ac:dyDescent="0.2">
      <c r="D392" s="4"/>
    </row>
    <row r="393" spans="4:4" x14ac:dyDescent="0.2">
      <c r="D393" s="4"/>
    </row>
    <row r="394" spans="4:4" x14ac:dyDescent="0.2">
      <c r="D394" s="4"/>
    </row>
    <row r="395" spans="4:4" x14ac:dyDescent="0.2">
      <c r="D395" s="4"/>
    </row>
    <row r="396" spans="4:4" x14ac:dyDescent="0.2">
      <c r="D396" s="4"/>
    </row>
    <row r="397" spans="4:4" x14ac:dyDescent="0.2">
      <c r="D397" s="4"/>
    </row>
    <row r="398" spans="4:4" x14ac:dyDescent="0.2">
      <c r="D398" s="4"/>
    </row>
    <row r="399" spans="4:4" x14ac:dyDescent="0.2">
      <c r="D399" s="4"/>
    </row>
    <row r="400" spans="4:4" x14ac:dyDescent="0.2">
      <c r="D400" s="4"/>
    </row>
    <row r="401" spans="4:4" x14ac:dyDescent="0.2">
      <c r="D401" s="4"/>
    </row>
    <row r="402" spans="4:4" x14ac:dyDescent="0.2">
      <c r="D402" s="4"/>
    </row>
    <row r="403" spans="4:4" x14ac:dyDescent="0.2">
      <c r="D403" s="4"/>
    </row>
    <row r="404" spans="4:4" x14ac:dyDescent="0.2">
      <c r="D404" s="4"/>
    </row>
    <row r="405" spans="4:4" x14ac:dyDescent="0.2">
      <c r="D405" s="4"/>
    </row>
    <row r="406" spans="4:4" x14ac:dyDescent="0.2">
      <c r="D406" s="4"/>
    </row>
    <row r="407" spans="4:4" x14ac:dyDescent="0.2">
      <c r="D407" s="4"/>
    </row>
    <row r="408" spans="4:4" x14ac:dyDescent="0.2">
      <c r="D408" s="4"/>
    </row>
    <row r="409" spans="4:4" x14ac:dyDescent="0.2">
      <c r="D409" s="4"/>
    </row>
    <row r="410" spans="4:4" x14ac:dyDescent="0.2">
      <c r="D410" s="4"/>
    </row>
    <row r="411" spans="4:4" x14ac:dyDescent="0.2">
      <c r="D411" s="4"/>
    </row>
    <row r="412" spans="4:4" x14ac:dyDescent="0.2">
      <c r="D412" s="4"/>
    </row>
    <row r="413" spans="4:4" x14ac:dyDescent="0.2">
      <c r="D413" s="4"/>
    </row>
    <row r="414" spans="4:4" x14ac:dyDescent="0.2">
      <c r="D414" s="4"/>
    </row>
    <row r="415" spans="4:4" x14ac:dyDescent="0.2">
      <c r="D415" s="4"/>
    </row>
    <row r="416" spans="4:4" x14ac:dyDescent="0.2">
      <c r="D416" s="4"/>
    </row>
    <row r="417" spans="4:4" x14ac:dyDescent="0.2">
      <c r="D417" s="4"/>
    </row>
    <row r="418" spans="4:4" x14ac:dyDescent="0.2">
      <c r="D418" s="4"/>
    </row>
    <row r="419" spans="4:4" x14ac:dyDescent="0.2">
      <c r="D419" s="4"/>
    </row>
    <row r="420" spans="4:4" x14ac:dyDescent="0.2">
      <c r="D420" s="4"/>
    </row>
    <row r="421" spans="4:4" x14ac:dyDescent="0.2">
      <c r="D421" s="4"/>
    </row>
    <row r="422" spans="4:4" x14ac:dyDescent="0.2">
      <c r="D422" s="4"/>
    </row>
    <row r="423" spans="4:4" x14ac:dyDescent="0.2">
      <c r="D423" s="4"/>
    </row>
    <row r="424" spans="4:4" x14ac:dyDescent="0.2">
      <c r="D424" s="4"/>
    </row>
    <row r="425" spans="4:4" x14ac:dyDescent="0.2">
      <c r="D425" s="4"/>
    </row>
    <row r="426" spans="4:4" x14ac:dyDescent="0.2">
      <c r="D426" s="4"/>
    </row>
    <row r="427" spans="4:4" x14ac:dyDescent="0.2">
      <c r="D427" s="4"/>
    </row>
    <row r="428" spans="4:4" x14ac:dyDescent="0.2">
      <c r="D428" s="4"/>
    </row>
    <row r="429" spans="4:4" x14ac:dyDescent="0.2">
      <c r="D429" s="4"/>
    </row>
    <row r="430" spans="4:4" x14ac:dyDescent="0.2">
      <c r="D430" s="4"/>
    </row>
    <row r="431" spans="4:4" x14ac:dyDescent="0.2">
      <c r="D431" s="4"/>
    </row>
    <row r="432" spans="4:4" x14ac:dyDescent="0.2">
      <c r="D432" s="4"/>
    </row>
    <row r="433" spans="4:4" x14ac:dyDescent="0.2">
      <c r="D433" s="4"/>
    </row>
    <row r="434" spans="4:4" x14ac:dyDescent="0.2">
      <c r="D434" s="4"/>
    </row>
    <row r="435" spans="4:4" x14ac:dyDescent="0.2">
      <c r="D435" s="4"/>
    </row>
    <row r="436" spans="4:4" x14ac:dyDescent="0.2">
      <c r="D436" s="4"/>
    </row>
    <row r="437" spans="4:4" x14ac:dyDescent="0.2">
      <c r="D437" s="4"/>
    </row>
    <row r="438" spans="4:4" x14ac:dyDescent="0.2">
      <c r="D438" s="4"/>
    </row>
    <row r="439" spans="4:4" x14ac:dyDescent="0.2">
      <c r="D439" s="4"/>
    </row>
    <row r="440" spans="4:4" x14ac:dyDescent="0.2">
      <c r="D440" s="4"/>
    </row>
    <row r="441" spans="4:4" x14ac:dyDescent="0.2">
      <c r="D441" s="4"/>
    </row>
    <row r="442" spans="4:4" x14ac:dyDescent="0.2">
      <c r="D442" s="4"/>
    </row>
    <row r="443" spans="4:4" x14ac:dyDescent="0.2">
      <c r="D443" s="4"/>
    </row>
    <row r="444" spans="4:4" x14ac:dyDescent="0.2">
      <c r="D444" s="4"/>
    </row>
    <row r="445" spans="4:4" x14ac:dyDescent="0.2">
      <c r="D445" s="4"/>
    </row>
    <row r="446" spans="4:4" x14ac:dyDescent="0.2">
      <c r="D446" s="4"/>
    </row>
    <row r="447" spans="4:4" x14ac:dyDescent="0.2">
      <c r="D447" s="4"/>
    </row>
    <row r="448" spans="4:4" x14ac:dyDescent="0.2">
      <c r="D448" s="4"/>
    </row>
    <row r="449" spans="4:4" x14ac:dyDescent="0.2">
      <c r="D449" s="4"/>
    </row>
    <row r="450" spans="4:4" x14ac:dyDescent="0.2">
      <c r="D450" s="4"/>
    </row>
    <row r="451" spans="4:4" x14ac:dyDescent="0.2">
      <c r="D451" s="4"/>
    </row>
    <row r="452" spans="4:4" x14ac:dyDescent="0.2">
      <c r="D452" s="4"/>
    </row>
    <row r="453" spans="4:4" x14ac:dyDescent="0.2">
      <c r="D453" s="4"/>
    </row>
    <row r="454" spans="4:4" x14ac:dyDescent="0.2">
      <c r="D454" s="4"/>
    </row>
    <row r="455" spans="4:4" x14ac:dyDescent="0.2">
      <c r="D455" s="4"/>
    </row>
    <row r="456" spans="4:4" x14ac:dyDescent="0.2">
      <c r="D456" s="4"/>
    </row>
    <row r="457" spans="4:4" x14ac:dyDescent="0.2">
      <c r="D457" s="4"/>
    </row>
    <row r="458" spans="4:4" x14ac:dyDescent="0.2">
      <c r="D458" s="4"/>
    </row>
    <row r="459" spans="4:4" x14ac:dyDescent="0.2">
      <c r="D459" s="4"/>
    </row>
    <row r="460" spans="4:4" x14ac:dyDescent="0.2">
      <c r="D460" s="4"/>
    </row>
    <row r="461" spans="4:4" x14ac:dyDescent="0.2">
      <c r="D461" s="4"/>
    </row>
    <row r="462" spans="4:4" x14ac:dyDescent="0.2">
      <c r="D462" s="4"/>
    </row>
    <row r="463" spans="4:4" x14ac:dyDescent="0.2">
      <c r="D463" s="4"/>
    </row>
    <row r="464" spans="4:4" x14ac:dyDescent="0.2">
      <c r="D464" s="4"/>
    </row>
    <row r="465" spans="4:4" x14ac:dyDescent="0.2">
      <c r="D465" s="4"/>
    </row>
    <row r="466" spans="4:4" x14ac:dyDescent="0.2">
      <c r="D466" s="4"/>
    </row>
    <row r="467" spans="4:4" x14ac:dyDescent="0.2">
      <c r="D467" s="4"/>
    </row>
    <row r="468" spans="4:4" x14ac:dyDescent="0.2">
      <c r="D468" s="4"/>
    </row>
    <row r="469" spans="4:4" x14ac:dyDescent="0.2">
      <c r="D469" s="4"/>
    </row>
    <row r="470" spans="4:4" x14ac:dyDescent="0.2">
      <c r="D470" s="4"/>
    </row>
    <row r="471" spans="4:4" x14ac:dyDescent="0.2">
      <c r="D471" s="4"/>
    </row>
    <row r="472" spans="4:4" x14ac:dyDescent="0.2">
      <c r="D472" s="4"/>
    </row>
    <row r="473" spans="4:4" x14ac:dyDescent="0.2">
      <c r="D473" s="4"/>
    </row>
    <row r="474" spans="4:4" x14ac:dyDescent="0.2">
      <c r="D474" s="4"/>
    </row>
    <row r="475" spans="4:4" x14ac:dyDescent="0.2">
      <c r="D475" s="4"/>
    </row>
    <row r="476" spans="4:4" x14ac:dyDescent="0.2">
      <c r="D476" s="4"/>
    </row>
    <row r="477" spans="4:4" x14ac:dyDescent="0.2">
      <c r="D477" s="4"/>
    </row>
    <row r="478" spans="4:4" x14ac:dyDescent="0.2">
      <c r="D478" s="4"/>
    </row>
    <row r="479" spans="4:4" x14ac:dyDescent="0.2">
      <c r="D479" s="4"/>
    </row>
    <row r="480" spans="4:4" x14ac:dyDescent="0.2">
      <c r="D480" s="4"/>
    </row>
    <row r="481" spans="4:4" x14ac:dyDescent="0.2">
      <c r="D481" s="4"/>
    </row>
    <row r="482" spans="4:4" x14ac:dyDescent="0.2">
      <c r="D482" s="4"/>
    </row>
    <row r="483" spans="4:4" x14ac:dyDescent="0.2">
      <c r="D483" s="4"/>
    </row>
    <row r="484" spans="4:4" x14ac:dyDescent="0.2">
      <c r="D484" s="4"/>
    </row>
    <row r="485" spans="4:4" x14ac:dyDescent="0.2">
      <c r="D485" s="4"/>
    </row>
    <row r="486" spans="4:4" x14ac:dyDescent="0.2">
      <c r="D486" s="4"/>
    </row>
    <row r="487" spans="4:4" x14ac:dyDescent="0.2">
      <c r="D487" s="4"/>
    </row>
    <row r="488" spans="4:4" x14ac:dyDescent="0.2">
      <c r="D488" s="4"/>
    </row>
    <row r="489" spans="4:4" x14ac:dyDescent="0.2">
      <c r="D489" s="4"/>
    </row>
    <row r="490" spans="4:4" x14ac:dyDescent="0.2">
      <c r="D490" s="4"/>
    </row>
    <row r="491" spans="4:4" x14ac:dyDescent="0.2">
      <c r="D491" s="4"/>
    </row>
    <row r="492" spans="4:4" x14ac:dyDescent="0.2">
      <c r="D492" s="4"/>
    </row>
    <row r="493" spans="4:4" x14ac:dyDescent="0.2">
      <c r="D493" s="4"/>
    </row>
    <row r="494" spans="4:4" x14ac:dyDescent="0.2">
      <c r="D494" s="4"/>
    </row>
    <row r="495" spans="4:4" x14ac:dyDescent="0.2">
      <c r="D495" s="4"/>
    </row>
    <row r="496" spans="4:4" x14ac:dyDescent="0.2">
      <c r="D496" s="4"/>
    </row>
    <row r="497" spans="4:4" x14ac:dyDescent="0.2">
      <c r="D497" s="4"/>
    </row>
    <row r="498" spans="4:4" x14ac:dyDescent="0.2">
      <c r="D498" s="4"/>
    </row>
    <row r="499" spans="4:4" x14ac:dyDescent="0.2">
      <c r="D499" s="4"/>
    </row>
    <row r="500" spans="4:4" x14ac:dyDescent="0.2">
      <c r="D500" s="4"/>
    </row>
    <row r="501" spans="4:4" x14ac:dyDescent="0.2">
      <c r="D501" s="4"/>
    </row>
    <row r="502" spans="4:4" x14ac:dyDescent="0.2">
      <c r="D502" s="4"/>
    </row>
    <row r="503" spans="4:4" x14ac:dyDescent="0.2">
      <c r="D503" s="4"/>
    </row>
    <row r="504" spans="4:4" x14ac:dyDescent="0.2">
      <c r="D504" s="4"/>
    </row>
    <row r="505" spans="4:4" x14ac:dyDescent="0.2">
      <c r="D505" s="4"/>
    </row>
    <row r="506" spans="4:4" x14ac:dyDescent="0.2">
      <c r="D506" s="4"/>
    </row>
    <row r="507" spans="4:4" x14ac:dyDescent="0.2">
      <c r="D507" s="4"/>
    </row>
    <row r="508" spans="4:4" x14ac:dyDescent="0.2">
      <c r="D508" s="4"/>
    </row>
    <row r="509" spans="4:4" x14ac:dyDescent="0.2">
      <c r="D509" s="4"/>
    </row>
    <row r="510" spans="4:4" x14ac:dyDescent="0.2">
      <c r="D510" s="4"/>
    </row>
    <row r="511" spans="4:4" x14ac:dyDescent="0.2">
      <c r="D511" s="4"/>
    </row>
    <row r="512" spans="4:4" x14ac:dyDescent="0.2">
      <c r="D512" s="4"/>
    </row>
    <row r="513" spans="4:4" x14ac:dyDescent="0.2">
      <c r="D513" s="4"/>
    </row>
    <row r="514" spans="4:4" x14ac:dyDescent="0.2">
      <c r="D514" s="4"/>
    </row>
    <row r="515" spans="4:4" x14ac:dyDescent="0.2">
      <c r="D515" s="4"/>
    </row>
    <row r="516" spans="4:4" x14ac:dyDescent="0.2">
      <c r="D516" s="4"/>
    </row>
    <row r="517" spans="4:4" x14ac:dyDescent="0.2">
      <c r="D517" s="4"/>
    </row>
    <row r="518" spans="4:4" x14ac:dyDescent="0.2">
      <c r="D518" s="4"/>
    </row>
    <row r="519" spans="4:4" x14ac:dyDescent="0.2">
      <c r="D519" s="4"/>
    </row>
    <row r="520" spans="4:4" x14ac:dyDescent="0.2">
      <c r="D520" s="4"/>
    </row>
    <row r="521" spans="4:4" x14ac:dyDescent="0.2">
      <c r="D521" s="4"/>
    </row>
    <row r="522" spans="4:4" x14ac:dyDescent="0.2">
      <c r="D522" s="4"/>
    </row>
    <row r="523" spans="4:4" x14ac:dyDescent="0.2">
      <c r="D523" s="4"/>
    </row>
    <row r="524" spans="4:4" x14ac:dyDescent="0.2">
      <c r="D524" s="4"/>
    </row>
    <row r="525" spans="4:4" x14ac:dyDescent="0.2">
      <c r="D525" s="4"/>
    </row>
    <row r="526" spans="4:4" x14ac:dyDescent="0.2">
      <c r="D526" s="4"/>
    </row>
    <row r="527" spans="4:4" x14ac:dyDescent="0.2">
      <c r="D527" s="4"/>
    </row>
    <row r="528" spans="4:4" x14ac:dyDescent="0.2">
      <c r="D528" s="4"/>
    </row>
    <row r="529" spans="4:4" x14ac:dyDescent="0.2">
      <c r="D529" s="4"/>
    </row>
    <row r="530" spans="4:4" x14ac:dyDescent="0.2">
      <c r="D530" s="4"/>
    </row>
    <row r="531" spans="4:4" x14ac:dyDescent="0.2">
      <c r="D531" s="4"/>
    </row>
    <row r="532" spans="4:4" x14ac:dyDescent="0.2">
      <c r="D532" s="4"/>
    </row>
    <row r="533" spans="4:4" x14ac:dyDescent="0.2">
      <c r="D533" s="4"/>
    </row>
    <row r="534" spans="4:4" x14ac:dyDescent="0.2">
      <c r="D534" s="4"/>
    </row>
    <row r="535" spans="4:4" x14ac:dyDescent="0.2">
      <c r="D535" s="4"/>
    </row>
    <row r="536" spans="4:4" x14ac:dyDescent="0.2">
      <c r="D536" s="4"/>
    </row>
    <row r="537" spans="4:4" x14ac:dyDescent="0.2">
      <c r="D537" s="4"/>
    </row>
    <row r="538" spans="4:4" x14ac:dyDescent="0.2">
      <c r="D538" s="4"/>
    </row>
    <row r="539" spans="4:4" x14ac:dyDescent="0.2">
      <c r="D539" s="4"/>
    </row>
    <row r="540" spans="4:4" x14ac:dyDescent="0.2">
      <c r="D540" s="4"/>
    </row>
    <row r="541" spans="4:4" x14ac:dyDescent="0.2">
      <c r="D541" s="4"/>
    </row>
    <row r="542" spans="4:4" x14ac:dyDescent="0.2">
      <c r="D542" s="4"/>
    </row>
    <row r="543" spans="4:4" x14ac:dyDescent="0.2">
      <c r="D543" s="4"/>
    </row>
    <row r="544" spans="4:4" x14ac:dyDescent="0.2">
      <c r="D544" s="4"/>
    </row>
    <row r="545" spans="4:4" x14ac:dyDescent="0.2">
      <c r="D545" s="4"/>
    </row>
    <row r="546" spans="4:4" x14ac:dyDescent="0.2">
      <c r="D546" s="4"/>
    </row>
    <row r="547" spans="4:4" x14ac:dyDescent="0.2">
      <c r="D547" s="4"/>
    </row>
    <row r="548" spans="4:4" x14ac:dyDescent="0.2">
      <c r="D548" s="4"/>
    </row>
    <row r="549" spans="4:4" x14ac:dyDescent="0.2">
      <c r="D549" s="4"/>
    </row>
    <row r="550" spans="4:4" x14ac:dyDescent="0.2">
      <c r="D550" s="4"/>
    </row>
    <row r="551" spans="4:4" x14ac:dyDescent="0.2">
      <c r="D551" s="4"/>
    </row>
    <row r="552" spans="4:4" x14ac:dyDescent="0.2">
      <c r="D552" s="4"/>
    </row>
    <row r="553" spans="4:4" x14ac:dyDescent="0.2">
      <c r="D553" s="4"/>
    </row>
    <row r="554" spans="4:4" x14ac:dyDescent="0.2">
      <c r="D554" s="4"/>
    </row>
    <row r="555" spans="4:4" x14ac:dyDescent="0.2">
      <c r="D555" s="4"/>
    </row>
    <row r="556" spans="4:4" x14ac:dyDescent="0.2">
      <c r="D556" s="4"/>
    </row>
    <row r="557" spans="4:4" x14ac:dyDescent="0.2">
      <c r="D557" s="4"/>
    </row>
    <row r="558" spans="4:4" x14ac:dyDescent="0.2">
      <c r="D558" s="4"/>
    </row>
    <row r="559" spans="4:4" x14ac:dyDescent="0.2">
      <c r="D559" s="4"/>
    </row>
    <row r="560" spans="4:4" x14ac:dyDescent="0.2">
      <c r="D560" s="4"/>
    </row>
    <row r="561" spans="4:4" x14ac:dyDescent="0.2">
      <c r="D561" s="4"/>
    </row>
    <row r="562" spans="4:4" x14ac:dyDescent="0.2">
      <c r="D562" s="4"/>
    </row>
    <row r="563" spans="4:4" x14ac:dyDescent="0.2">
      <c r="D563" s="4"/>
    </row>
    <row r="564" spans="4:4" x14ac:dyDescent="0.2">
      <c r="D564" s="4"/>
    </row>
    <row r="565" spans="4:4" x14ac:dyDescent="0.2">
      <c r="D565" s="4"/>
    </row>
    <row r="566" spans="4:4" x14ac:dyDescent="0.2">
      <c r="D566" s="4"/>
    </row>
    <row r="567" spans="4:4" x14ac:dyDescent="0.2">
      <c r="D567" s="4"/>
    </row>
    <row r="568" spans="4:4" x14ac:dyDescent="0.2">
      <c r="D568" s="4"/>
    </row>
    <row r="569" spans="4:4" x14ac:dyDescent="0.2">
      <c r="D569" s="4"/>
    </row>
    <row r="570" spans="4:4" x14ac:dyDescent="0.2">
      <c r="D570" s="4"/>
    </row>
    <row r="571" spans="4:4" x14ac:dyDescent="0.2">
      <c r="D571" s="4"/>
    </row>
    <row r="572" spans="4:4" x14ac:dyDescent="0.2">
      <c r="D572" s="4"/>
    </row>
    <row r="573" spans="4:4" x14ac:dyDescent="0.2">
      <c r="D573" s="4"/>
    </row>
    <row r="574" spans="4:4" x14ac:dyDescent="0.2">
      <c r="D574" s="4"/>
    </row>
    <row r="575" spans="4:4" x14ac:dyDescent="0.2">
      <c r="D575" s="4"/>
    </row>
    <row r="576" spans="4:4" x14ac:dyDescent="0.2">
      <c r="D576" s="4"/>
    </row>
    <row r="577" spans="4:4" x14ac:dyDescent="0.2">
      <c r="D577" s="4"/>
    </row>
    <row r="578" spans="4:4" x14ac:dyDescent="0.2">
      <c r="D578" s="4"/>
    </row>
    <row r="579" spans="4:4" x14ac:dyDescent="0.2">
      <c r="D579" s="4"/>
    </row>
    <row r="580" spans="4:4" x14ac:dyDescent="0.2">
      <c r="D580" s="4"/>
    </row>
    <row r="581" spans="4:4" x14ac:dyDescent="0.2">
      <c r="D581" s="4"/>
    </row>
    <row r="582" spans="4:4" x14ac:dyDescent="0.2">
      <c r="D582" s="4"/>
    </row>
    <row r="583" spans="4:4" x14ac:dyDescent="0.2">
      <c r="D583" s="4"/>
    </row>
    <row r="584" spans="4:4" x14ac:dyDescent="0.2">
      <c r="D584" s="4"/>
    </row>
    <row r="585" spans="4:4" x14ac:dyDescent="0.2">
      <c r="D585" s="4"/>
    </row>
    <row r="586" spans="4:4" x14ac:dyDescent="0.2">
      <c r="D586" s="4"/>
    </row>
    <row r="587" spans="4:4" x14ac:dyDescent="0.2">
      <c r="D587" s="4"/>
    </row>
    <row r="588" spans="4:4" x14ac:dyDescent="0.2">
      <c r="D588" s="4"/>
    </row>
    <row r="589" spans="4:4" x14ac:dyDescent="0.2">
      <c r="D589" s="4"/>
    </row>
    <row r="590" spans="4:4" x14ac:dyDescent="0.2">
      <c r="D590" s="4"/>
    </row>
    <row r="591" spans="4:4" x14ac:dyDescent="0.2">
      <c r="D591" s="4"/>
    </row>
    <row r="592" spans="4:4" x14ac:dyDescent="0.2">
      <c r="D592" s="4"/>
    </row>
    <row r="593" spans="4:4" x14ac:dyDescent="0.2">
      <c r="D593" s="4"/>
    </row>
    <row r="594" spans="4:4" x14ac:dyDescent="0.2">
      <c r="D594" s="4"/>
    </row>
    <row r="595" spans="4:4" x14ac:dyDescent="0.2">
      <c r="D595" s="4"/>
    </row>
    <row r="596" spans="4:4" x14ac:dyDescent="0.2">
      <c r="D596" s="4"/>
    </row>
    <row r="597" spans="4:4" x14ac:dyDescent="0.2">
      <c r="D597" s="4"/>
    </row>
    <row r="598" spans="4:4" x14ac:dyDescent="0.2">
      <c r="D598" s="4"/>
    </row>
    <row r="599" spans="4:4" x14ac:dyDescent="0.2">
      <c r="D599" s="4"/>
    </row>
    <row r="600" spans="4:4" x14ac:dyDescent="0.2">
      <c r="D600" s="4"/>
    </row>
    <row r="601" spans="4:4" x14ac:dyDescent="0.2">
      <c r="D601" s="4"/>
    </row>
    <row r="602" spans="4:4" x14ac:dyDescent="0.2">
      <c r="D602" s="4"/>
    </row>
    <row r="603" spans="4:4" x14ac:dyDescent="0.2">
      <c r="D603" s="4"/>
    </row>
    <row r="604" spans="4:4" x14ac:dyDescent="0.2">
      <c r="D604" s="4"/>
    </row>
    <row r="605" spans="4:4" x14ac:dyDescent="0.2">
      <c r="D605" s="4"/>
    </row>
    <row r="606" spans="4:4" x14ac:dyDescent="0.2">
      <c r="D606" s="4"/>
    </row>
    <row r="607" spans="4:4" x14ac:dyDescent="0.2">
      <c r="D607" s="4"/>
    </row>
    <row r="608" spans="4:4" x14ac:dyDescent="0.2">
      <c r="D608" s="4"/>
    </row>
    <row r="609" spans="4:4" x14ac:dyDescent="0.2">
      <c r="D609" s="4"/>
    </row>
    <row r="610" spans="4:4" x14ac:dyDescent="0.2">
      <c r="D610" s="4"/>
    </row>
    <row r="611" spans="4:4" x14ac:dyDescent="0.2">
      <c r="D611" s="4"/>
    </row>
    <row r="612" spans="4:4" x14ac:dyDescent="0.2">
      <c r="D612" s="4"/>
    </row>
    <row r="613" spans="4:4" x14ac:dyDescent="0.2">
      <c r="D613" s="4"/>
    </row>
    <row r="614" spans="4:4" x14ac:dyDescent="0.2">
      <c r="D614" s="4"/>
    </row>
    <row r="615" spans="4:4" x14ac:dyDescent="0.2">
      <c r="D615" s="4"/>
    </row>
    <row r="616" spans="4:4" x14ac:dyDescent="0.2">
      <c r="D616" s="4"/>
    </row>
    <row r="617" spans="4:4" x14ac:dyDescent="0.2">
      <c r="D617" s="4"/>
    </row>
    <row r="618" spans="4:4" x14ac:dyDescent="0.2">
      <c r="D618" s="4"/>
    </row>
    <row r="619" spans="4:4" x14ac:dyDescent="0.2">
      <c r="D619" s="4"/>
    </row>
    <row r="620" spans="4:4" x14ac:dyDescent="0.2">
      <c r="D620" s="4"/>
    </row>
    <row r="621" spans="4:4" x14ac:dyDescent="0.2">
      <c r="D621" s="4"/>
    </row>
    <row r="622" spans="4:4" x14ac:dyDescent="0.2">
      <c r="D622" s="4"/>
    </row>
    <row r="623" spans="4:4" x14ac:dyDescent="0.2">
      <c r="D623" s="4"/>
    </row>
    <row r="624" spans="4:4" x14ac:dyDescent="0.2">
      <c r="D624" s="4"/>
    </row>
    <row r="625" spans="4:4" x14ac:dyDescent="0.2">
      <c r="D625" s="4"/>
    </row>
    <row r="626" spans="4:4" x14ac:dyDescent="0.2">
      <c r="D626" s="4"/>
    </row>
    <row r="627" spans="4:4" x14ac:dyDescent="0.2">
      <c r="D627" s="4"/>
    </row>
    <row r="628" spans="4:4" x14ac:dyDescent="0.2">
      <c r="D628" s="4"/>
    </row>
    <row r="629" spans="4:4" x14ac:dyDescent="0.2">
      <c r="D629" s="4"/>
    </row>
    <row r="630" spans="4:4" x14ac:dyDescent="0.2">
      <c r="D630" s="4"/>
    </row>
    <row r="631" spans="4:4" x14ac:dyDescent="0.2">
      <c r="D631" s="4"/>
    </row>
    <row r="632" spans="4:4" x14ac:dyDescent="0.2">
      <c r="D632" s="4"/>
    </row>
    <row r="633" spans="4:4" x14ac:dyDescent="0.2">
      <c r="D633" s="4"/>
    </row>
    <row r="634" spans="4:4" x14ac:dyDescent="0.2">
      <c r="D634" s="4"/>
    </row>
    <row r="635" spans="4:4" x14ac:dyDescent="0.2">
      <c r="D635" s="4"/>
    </row>
    <row r="636" spans="4:4" x14ac:dyDescent="0.2">
      <c r="D636" s="4"/>
    </row>
    <row r="637" spans="4:4" x14ac:dyDescent="0.2">
      <c r="D637" s="4"/>
    </row>
    <row r="638" spans="4:4" x14ac:dyDescent="0.2">
      <c r="D638" s="4"/>
    </row>
    <row r="639" spans="4:4" x14ac:dyDescent="0.2">
      <c r="D639" s="4"/>
    </row>
    <row r="640" spans="4:4" x14ac:dyDescent="0.2">
      <c r="D640" s="4"/>
    </row>
    <row r="641" spans="4:4" x14ac:dyDescent="0.2">
      <c r="D641" s="4"/>
    </row>
    <row r="642" spans="4:4" x14ac:dyDescent="0.2">
      <c r="D642" s="4"/>
    </row>
    <row r="643" spans="4:4" x14ac:dyDescent="0.2">
      <c r="D643" s="4"/>
    </row>
    <row r="644" spans="4:4" x14ac:dyDescent="0.2">
      <c r="D644" s="4"/>
    </row>
    <row r="645" spans="4:4" x14ac:dyDescent="0.2">
      <c r="D645" s="4"/>
    </row>
    <row r="646" spans="4:4" x14ac:dyDescent="0.2">
      <c r="D646" s="4"/>
    </row>
    <row r="647" spans="4:4" x14ac:dyDescent="0.2">
      <c r="D647" s="4"/>
    </row>
    <row r="648" spans="4:4" x14ac:dyDescent="0.2">
      <c r="D648" s="4"/>
    </row>
    <row r="649" spans="4:4" x14ac:dyDescent="0.2">
      <c r="D649" s="4"/>
    </row>
    <row r="650" spans="4:4" x14ac:dyDescent="0.2">
      <c r="D650" s="4"/>
    </row>
    <row r="651" spans="4:4" x14ac:dyDescent="0.2">
      <c r="D651" s="4"/>
    </row>
    <row r="652" spans="4:4" x14ac:dyDescent="0.2">
      <c r="D652" s="4"/>
    </row>
    <row r="653" spans="4:4" x14ac:dyDescent="0.2">
      <c r="D653" s="4"/>
    </row>
    <row r="654" spans="4:4" x14ac:dyDescent="0.2">
      <c r="D654" s="4"/>
    </row>
    <row r="655" spans="4:4" x14ac:dyDescent="0.2">
      <c r="D655" s="4"/>
    </row>
    <row r="656" spans="4:4" x14ac:dyDescent="0.2">
      <c r="D656" s="4"/>
    </row>
    <row r="657" spans="4:4" x14ac:dyDescent="0.2">
      <c r="D657" s="4"/>
    </row>
    <row r="658" spans="4:4" x14ac:dyDescent="0.2">
      <c r="D658" s="4"/>
    </row>
    <row r="659" spans="4:4" x14ac:dyDescent="0.2">
      <c r="D659" s="4"/>
    </row>
    <row r="660" spans="4:4" x14ac:dyDescent="0.2">
      <c r="D660" s="4"/>
    </row>
    <row r="661" spans="4:4" x14ac:dyDescent="0.2">
      <c r="D661" s="4"/>
    </row>
    <row r="662" spans="4:4" x14ac:dyDescent="0.2">
      <c r="D662" s="4"/>
    </row>
    <row r="663" spans="4:4" x14ac:dyDescent="0.2">
      <c r="D663" s="4"/>
    </row>
    <row r="664" spans="4:4" x14ac:dyDescent="0.2">
      <c r="D664" s="4"/>
    </row>
    <row r="665" spans="4:4" x14ac:dyDescent="0.2">
      <c r="D665" s="4"/>
    </row>
    <row r="666" spans="4:4" x14ac:dyDescent="0.2">
      <c r="D666" s="4"/>
    </row>
    <row r="667" spans="4:4" x14ac:dyDescent="0.2">
      <c r="D667" s="4"/>
    </row>
    <row r="668" spans="4:4" x14ac:dyDescent="0.2">
      <c r="D668" s="4"/>
    </row>
    <row r="669" spans="4:4" x14ac:dyDescent="0.2">
      <c r="D669" s="4"/>
    </row>
    <row r="670" spans="4:4" x14ac:dyDescent="0.2">
      <c r="D670" s="4"/>
    </row>
    <row r="671" spans="4:4" x14ac:dyDescent="0.2">
      <c r="D671" s="4"/>
    </row>
    <row r="672" spans="4:4" x14ac:dyDescent="0.2">
      <c r="D672" s="4"/>
    </row>
    <row r="673" spans="4:4" x14ac:dyDescent="0.2">
      <c r="D673" s="4"/>
    </row>
    <row r="674" spans="4:4" x14ac:dyDescent="0.2">
      <c r="D674" s="4"/>
    </row>
    <row r="675" spans="4:4" x14ac:dyDescent="0.2">
      <c r="D675" s="4"/>
    </row>
    <row r="676" spans="4:4" x14ac:dyDescent="0.2">
      <c r="D676" s="4"/>
    </row>
    <row r="677" spans="4:4" x14ac:dyDescent="0.2">
      <c r="D677" s="4"/>
    </row>
    <row r="678" spans="4:4" x14ac:dyDescent="0.2">
      <c r="D678" s="4"/>
    </row>
    <row r="679" spans="4:4" x14ac:dyDescent="0.2">
      <c r="D679" s="4"/>
    </row>
    <row r="680" spans="4:4" x14ac:dyDescent="0.2">
      <c r="D680" s="4"/>
    </row>
    <row r="681" spans="4:4" x14ac:dyDescent="0.2">
      <c r="D681" s="4"/>
    </row>
    <row r="682" spans="4:4" x14ac:dyDescent="0.2">
      <c r="D682" s="4"/>
    </row>
    <row r="683" spans="4:4" x14ac:dyDescent="0.2">
      <c r="D683" s="4"/>
    </row>
    <row r="684" spans="4:4" x14ac:dyDescent="0.2">
      <c r="D684" s="4"/>
    </row>
    <row r="685" spans="4:4" x14ac:dyDescent="0.2">
      <c r="D685" s="4"/>
    </row>
    <row r="686" spans="4:4" x14ac:dyDescent="0.2">
      <c r="D686" s="4"/>
    </row>
    <row r="687" spans="4:4" x14ac:dyDescent="0.2">
      <c r="D687" s="4"/>
    </row>
    <row r="688" spans="4:4" x14ac:dyDescent="0.2">
      <c r="D688" s="4"/>
    </row>
    <row r="689" spans="4:4" x14ac:dyDescent="0.2">
      <c r="D689" s="4"/>
    </row>
    <row r="690" spans="4:4" x14ac:dyDescent="0.2">
      <c r="D690" s="4"/>
    </row>
    <row r="691" spans="4:4" x14ac:dyDescent="0.2">
      <c r="D691" s="4"/>
    </row>
    <row r="692" spans="4:4" x14ac:dyDescent="0.2">
      <c r="D692" s="4"/>
    </row>
    <row r="693" spans="4:4" x14ac:dyDescent="0.2">
      <c r="D693" s="4"/>
    </row>
    <row r="694" spans="4:4" x14ac:dyDescent="0.2">
      <c r="D694" s="4"/>
    </row>
    <row r="695" spans="4:4" x14ac:dyDescent="0.2">
      <c r="D695" s="4"/>
    </row>
    <row r="696" spans="4:4" x14ac:dyDescent="0.2">
      <c r="D696" s="4"/>
    </row>
    <row r="697" spans="4:4" x14ac:dyDescent="0.2">
      <c r="D697" s="4"/>
    </row>
    <row r="698" spans="4:4" x14ac:dyDescent="0.2">
      <c r="D698" s="4"/>
    </row>
    <row r="699" spans="4:4" x14ac:dyDescent="0.2">
      <c r="D699" s="4"/>
    </row>
    <row r="700" spans="4:4" x14ac:dyDescent="0.2">
      <c r="D700" s="4"/>
    </row>
    <row r="701" spans="4:4" x14ac:dyDescent="0.2">
      <c r="D701" s="4"/>
    </row>
    <row r="702" spans="4:4" x14ac:dyDescent="0.2">
      <c r="D702" s="4"/>
    </row>
    <row r="703" spans="4:4" x14ac:dyDescent="0.2">
      <c r="D703" s="4"/>
    </row>
    <row r="704" spans="4:4" x14ac:dyDescent="0.2">
      <c r="D704" s="4"/>
    </row>
    <row r="705" spans="4:4" x14ac:dyDescent="0.2">
      <c r="D705" s="4"/>
    </row>
    <row r="706" spans="4:4" x14ac:dyDescent="0.2">
      <c r="D706" s="4"/>
    </row>
    <row r="707" spans="4:4" x14ac:dyDescent="0.2">
      <c r="D707" s="4"/>
    </row>
    <row r="708" spans="4:4" x14ac:dyDescent="0.2">
      <c r="D708" s="4"/>
    </row>
    <row r="709" spans="4:4" x14ac:dyDescent="0.2">
      <c r="D709" s="4"/>
    </row>
    <row r="710" spans="4:4" x14ac:dyDescent="0.2">
      <c r="D710" s="4"/>
    </row>
    <row r="711" spans="4:4" x14ac:dyDescent="0.2">
      <c r="D711" s="4"/>
    </row>
    <row r="712" spans="4:4" x14ac:dyDescent="0.2">
      <c r="D712" s="4"/>
    </row>
    <row r="713" spans="4:4" x14ac:dyDescent="0.2">
      <c r="D713" s="4"/>
    </row>
    <row r="714" spans="4:4" x14ac:dyDescent="0.2">
      <c r="D714" s="4"/>
    </row>
    <row r="715" spans="4:4" x14ac:dyDescent="0.2">
      <c r="D715" s="4"/>
    </row>
    <row r="716" spans="4:4" x14ac:dyDescent="0.2">
      <c r="D716" s="4"/>
    </row>
    <row r="717" spans="4:4" x14ac:dyDescent="0.2">
      <c r="D717" s="4"/>
    </row>
    <row r="718" spans="4:4" x14ac:dyDescent="0.2">
      <c r="D718" s="4"/>
    </row>
    <row r="719" spans="4:4" x14ac:dyDescent="0.2">
      <c r="D719" s="4"/>
    </row>
    <row r="720" spans="4:4" x14ac:dyDescent="0.2">
      <c r="D720" s="4"/>
    </row>
    <row r="721" spans="4:4" x14ac:dyDescent="0.2">
      <c r="D721" s="4"/>
    </row>
    <row r="722" spans="4:4" x14ac:dyDescent="0.2">
      <c r="D722" s="4"/>
    </row>
    <row r="723" spans="4:4" x14ac:dyDescent="0.2">
      <c r="D723" s="4"/>
    </row>
    <row r="724" spans="4:4" x14ac:dyDescent="0.2">
      <c r="D724" s="4"/>
    </row>
    <row r="725" spans="4:4" x14ac:dyDescent="0.2">
      <c r="D725" s="4"/>
    </row>
    <row r="726" spans="4:4" x14ac:dyDescent="0.2">
      <c r="D726" s="4"/>
    </row>
    <row r="727" spans="4:4" x14ac:dyDescent="0.2">
      <c r="D727" s="4"/>
    </row>
    <row r="728" spans="4:4" x14ac:dyDescent="0.2">
      <c r="D728" s="4"/>
    </row>
    <row r="729" spans="4:4" x14ac:dyDescent="0.2">
      <c r="D729" s="4"/>
    </row>
    <row r="730" spans="4:4" x14ac:dyDescent="0.2">
      <c r="D730" s="4"/>
    </row>
    <row r="731" spans="4:4" x14ac:dyDescent="0.2">
      <c r="D731" s="4"/>
    </row>
    <row r="732" spans="4:4" x14ac:dyDescent="0.2">
      <c r="D732" s="4"/>
    </row>
    <row r="733" spans="4:4" x14ac:dyDescent="0.2">
      <c r="D733" s="4"/>
    </row>
    <row r="734" spans="4:4" x14ac:dyDescent="0.2">
      <c r="D734" s="4"/>
    </row>
    <row r="735" spans="4:4" x14ac:dyDescent="0.2">
      <c r="D735" s="4"/>
    </row>
    <row r="736" spans="4:4" x14ac:dyDescent="0.2">
      <c r="D736" s="4"/>
    </row>
    <row r="737" spans="4:4" x14ac:dyDescent="0.2">
      <c r="D737" s="4"/>
    </row>
    <row r="738" spans="4:4" x14ac:dyDescent="0.2">
      <c r="D738" s="4"/>
    </row>
    <row r="739" spans="4:4" x14ac:dyDescent="0.2">
      <c r="D739" s="4"/>
    </row>
    <row r="740" spans="4:4" x14ac:dyDescent="0.2">
      <c r="D740" s="4"/>
    </row>
    <row r="741" spans="4:4" x14ac:dyDescent="0.2">
      <c r="D741" s="4"/>
    </row>
    <row r="742" spans="4:4" x14ac:dyDescent="0.2">
      <c r="D742" s="4"/>
    </row>
    <row r="743" spans="4:4" x14ac:dyDescent="0.2">
      <c r="D743" s="4"/>
    </row>
    <row r="744" spans="4:4" x14ac:dyDescent="0.2">
      <c r="D744" s="4"/>
    </row>
    <row r="745" spans="4:4" x14ac:dyDescent="0.2">
      <c r="D745" s="4"/>
    </row>
    <row r="746" spans="4:4" x14ac:dyDescent="0.2">
      <c r="D746" s="4"/>
    </row>
    <row r="747" spans="4:4" x14ac:dyDescent="0.2">
      <c r="D747" s="4"/>
    </row>
    <row r="748" spans="4:4" x14ac:dyDescent="0.2">
      <c r="D748" s="4"/>
    </row>
    <row r="749" spans="4:4" x14ac:dyDescent="0.2">
      <c r="D749" s="4"/>
    </row>
    <row r="750" spans="4:4" x14ac:dyDescent="0.2">
      <c r="D750" s="4"/>
    </row>
    <row r="751" spans="4:4" x14ac:dyDescent="0.2">
      <c r="D751" s="4"/>
    </row>
    <row r="752" spans="4:4" x14ac:dyDescent="0.2">
      <c r="D752" s="4"/>
    </row>
    <row r="753" spans="4:4" x14ac:dyDescent="0.2">
      <c r="D753" s="4"/>
    </row>
    <row r="754" spans="4:4" x14ac:dyDescent="0.2">
      <c r="D754" s="4"/>
    </row>
    <row r="755" spans="4:4" x14ac:dyDescent="0.2">
      <c r="D755" s="4"/>
    </row>
    <row r="756" spans="4:4" x14ac:dyDescent="0.2">
      <c r="D756" s="4"/>
    </row>
    <row r="757" spans="4:4" x14ac:dyDescent="0.2">
      <c r="D757" s="4"/>
    </row>
    <row r="758" spans="4:4" x14ac:dyDescent="0.2">
      <c r="D758" s="4"/>
    </row>
    <row r="759" spans="4:4" x14ac:dyDescent="0.2">
      <c r="D759" s="4"/>
    </row>
    <row r="760" spans="4:4" x14ac:dyDescent="0.2">
      <c r="D760" s="4"/>
    </row>
    <row r="761" spans="4:4" x14ac:dyDescent="0.2">
      <c r="D761" s="4"/>
    </row>
    <row r="762" spans="4:4" x14ac:dyDescent="0.2">
      <c r="D762" s="4"/>
    </row>
    <row r="763" spans="4:4" x14ac:dyDescent="0.2">
      <c r="D763" s="4"/>
    </row>
    <row r="764" spans="4:4" x14ac:dyDescent="0.2">
      <c r="D764" s="4"/>
    </row>
    <row r="765" spans="4:4" x14ac:dyDescent="0.2">
      <c r="D765" s="4"/>
    </row>
    <row r="766" spans="4:4" x14ac:dyDescent="0.2">
      <c r="D766" s="4"/>
    </row>
    <row r="767" spans="4:4" x14ac:dyDescent="0.2">
      <c r="D767" s="4"/>
    </row>
    <row r="768" spans="4:4" x14ac:dyDescent="0.2">
      <c r="D768" s="4"/>
    </row>
    <row r="769" spans="4:4" x14ac:dyDescent="0.2">
      <c r="D769" s="4"/>
    </row>
    <row r="770" spans="4:4" x14ac:dyDescent="0.2">
      <c r="D770" s="4"/>
    </row>
    <row r="771" spans="4:4" x14ac:dyDescent="0.2">
      <c r="D771" s="4"/>
    </row>
    <row r="772" spans="4:4" x14ac:dyDescent="0.2">
      <c r="D772" s="4"/>
    </row>
    <row r="773" spans="4:4" x14ac:dyDescent="0.2">
      <c r="D773" s="4"/>
    </row>
    <row r="774" spans="4:4" x14ac:dyDescent="0.2">
      <c r="D774" s="4"/>
    </row>
    <row r="775" spans="4:4" x14ac:dyDescent="0.2">
      <c r="D775" s="4"/>
    </row>
    <row r="776" spans="4:4" x14ac:dyDescent="0.2">
      <c r="D776" s="4"/>
    </row>
    <row r="777" spans="4:4" x14ac:dyDescent="0.2">
      <c r="D777" s="4"/>
    </row>
    <row r="778" spans="4:4" x14ac:dyDescent="0.2">
      <c r="D778" s="4"/>
    </row>
    <row r="779" spans="4:4" x14ac:dyDescent="0.2">
      <c r="D779" s="4"/>
    </row>
    <row r="780" spans="4:4" x14ac:dyDescent="0.2">
      <c r="D780" s="4"/>
    </row>
    <row r="781" spans="4:4" x14ac:dyDescent="0.2">
      <c r="D781" s="4"/>
    </row>
    <row r="782" spans="4:4" x14ac:dyDescent="0.2">
      <c r="D782" s="4"/>
    </row>
    <row r="783" spans="4:4" x14ac:dyDescent="0.2">
      <c r="D783" s="4"/>
    </row>
    <row r="784" spans="4:4" x14ac:dyDescent="0.2">
      <c r="D784" s="4"/>
    </row>
    <row r="785" spans="4:4" x14ac:dyDescent="0.2">
      <c r="D785" s="4"/>
    </row>
    <row r="786" spans="4:4" x14ac:dyDescent="0.2">
      <c r="D786" s="4"/>
    </row>
    <row r="787" spans="4:4" x14ac:dyDescent="0.2">
      <c r="D787" s="4"/>
    </row>
    <row r="788" spans="4:4" x14ac:dyDescent="0.2">
      <c r="D788" s="4"/>
    </row>
    <row r="789" spans="4:4" x14ac:dyDescent="0.2">
      <c r="D789" s="4"/>
    </row>
    <row r="790" spans="4:4" x14ac:dyDescent="0.2">
      <c r="D790" s="4"/>
    </row>
    <row r="791" spans="4:4" x14ac:dyDescent="0.2">
      <c r="D791" s="4"/>
    </row>
    <row r="792" spans="4:4" x14ac:dyDescent="0.2">
      <c r="D792" s="4"/>
    </row>
    <row r="793" spans="4:4" x14ac:dyDescent="0.2">
      <c r="D793" s="4"/>
    </row>
    <row r="794" spans="4:4" x14ac:dyDescent="0.2">
      <c r="D794" s="4"/>
    </row>
    <row r="795" spans="4:4" x14ac:dyDescent="0.2">
      <c r="D795" s="4"/>
    </row>
    <row r="796" spans="4:4" x14ac:dyDescent="0.2">
      <c r="D796" s="4"/>
    </row>
    <row r="797" spans="4:4" x14ac:dyDescent="0.2">
      <c r="D797" s="4"/>
    </row>
    <row r="798" spans="4:4" x14ac:dyDescent="0.2">
      <c r="D798" s="4"/>
    </row>
    <row r="799" spans="4:4" x14ac:dyDescent="0.2">
      <c r="D799" s="4"/>
    </row>
    <row r="800" spans="4:4" x14ac:dyDescent="0.2">
      <c r="D800" s="4"/>
    </row>
    <row r="801" spans="4:4" x14ac:dyDescent="0.2">
      <c r="D801" s="4"/>
    </row>
    <row r="802" spans="4:4" x14ac:dyDescent="0.2">
      <c r="D802" s="4"/>
    </row>
    <row r="803" spans="4:4" x14ac:dyDescent="0.2">
      <c r="D803" s="4"/>
    </row>
    <row r="804" spans="4:4" x14ac:dyDescent="0.2">
      <c r="D804" s="4"/>
    </row>
    <row r="805" spans="4:4" x14ac:dyDescent="0.2">
      <c r="D805" s="4"/>
    </row>
    <row r="806" spans="4:4" x14ac:dyDescent="0.2">
      <c r="D806" s="4"/>
    </row>
    <row r="807" spans="4:4" x14ac:dyDescent="0.2">
      <c r="D807" s="4"/>
    </row>
    <row r="808" spans="4:4" x14ac:dyDescent="0.2">
      <c r="D808" s="4"/>
    </row>
    <row r="809" spans="4:4" x14ac:dyDescent="0.2">
      <c r="D809" s="4"/>
    </row>
    <row r="810" spans="4:4" x14ac:dyDescent="0.2">
      <c r="D810" s="4"/>
    </row>
    <row r="811" spans="4:4" x14ac:dyDescent="0.2">
      <c r="D811" s="4"/>
    </row>
    <row r="812" spans="4:4" x14ac:dyDescent="0.2">
      <c r="D812" s="4"/>
    </row>
    <row r="813" spans="4:4" x14ac:dyDescent="0.2">
      <c r="D813" s="4"/>
    </row>
    <row r="814" spans="4:4" x14ac:dyDescent="0.2">
      <c r="D814" s="4"/>
    </row>
    <row r="815" spans="4:4" x14ac:dyDescent="0.2">
      <c r="D815" s="4"/>
    </row>
    <row r="816" spans="4:4" x14ac:dyDescent="0.2">
      <c r="D816" s="4"/>
    </row>
    <row r="817" spans="4:4" x14ac:dyDescent="0.2">
      <c r="D817" s="4"/>
    </row>
    <row r="818" spans="4:4" x14ac:dyDescent="0.2">
      <c r="D818" s="4"/>
    </row>
    <row r="819" spans="4:4" x14ac:dyDescent="0.2">
      <c r="D819" s="4"/>
    </row>
    <row r="820" spans="4:4" x14ac:dyDescent="0.2">
      <c r="D820" s="4"/>
    </row>
    <row r="821" spans="4:4" x14ac:dyDescent="0.2">
      <c r="D821" s="4"/>
    </row>
    <row r="822" spans="4:4" x14ac:dyDescent="0.2">
      <c r="D822" s="4"/>
    </row>
    <row r="823" spans="4:4" x14ac:dyDescent="0.2">
      <c r="D823" s="4"/>
    </row>
    <row r="824" spans="4:4" x14ac:dyDescent="0.2">
      <c r="D824" s="4"/>
    </row>
    <row r="825" spans="4:4" x14ac:dyDescent="0.2">
      <c r="D825" s="4"/>
    </row>
    <row r="826" spans="4:4" x14ac:dyDescent="0.2">
      <c r="D826" s="4"/>
    </row>
    <row r="827" spans="4:4" x14ac:dyDescent="0.2">
      <c r="D827" s="4"/>
    </row>
    <row r="828" spans="4:4" x14ac:dyDescent="0.2">
      <c r="D828" s="4"/>
    </row>
    <row r="829" spans="4:4" x14ac:dyDescent="0.2">
      <c r="D829" s="4"/>
    </row>
    <row r="830" spans="4:4" x14ac:dyDescent="0.2">
      <c r="D830" s="4"/>
    </row>
    <row r="831" spans="4:4" x14ac:dyDescent="0.2">
      <c r="D831" s="4"/>
    </row>
    <row r="832" spans="4:4" x14ac:dyDescent="0.2">
      <c r="D832" s="4"/>
    </row>
    <row r="833" spans="4:4" x14ac:dyDescent="0.2">
      <c r="D833" s="4"/>
    </row>
    <row r="834" spans="4:4" x14ac:dyDescent="0.2">
      <c r="D834" s="4"/>
    </row>
    <row r="835" spans="4:4" x14ac:dyDescent="0.2">
      <c r="D835" s="4"/>
    </row>
    <row r="836" spans="4:4" x14ac:dyDescent="0.2">
      <c r="D836" s="4"/>
    </row>
    <row r="837" spans="4:4" x14ac:dyDescent="0.2">
      <c r="D837" s="4"/>
    </row>
    <row r="838" spans="4:4" x14ac:dyDescent="0.2">
      <c r="D838" s="4"/>
    </row>
    <row r="839" spans="4:4" x14ac:dyDescent="0.2">
      <c r="D839" s="4"/>
    </row>
    <row r="840" spans="4:4" x14ac:dyDescent="0.2">
      <c r="D840" s="4"/>
    </row>
    <row r="841" spans="4:4" x14ac:dyDescent="0.2">
      <c r="D841" s="4"/>
    </row>
    <row r="842" spans="4:4" x14ac:dyDescent="0.2">
      <c r="D842" s="4"/>
    </row>
    <row r="843" spans="4:4" x14ac:dyDescent="0.2">
      <c r="D843" s="4"/>
    </row>
    <row r="844" spans="4:4" x14ac:dyDescent="0.2">
      <c r="D844" s="4"/>
    </row>
    <row r="845" spans="4:4" x14ac:dyDescent="0.2">
      <c r="D845" s="4"/>
    </row>
    <row r="846" spans="4:4" x14ac:dyDescent="0.2">
      <c r="D846" s="4"/>
    </row>
    <row r="847" spans="4:4" x14ac:dyDescent="0.2">
      <c r="D847" s="4"/>
    </row>
    <row r="848" spans="4:4" x14ac:dyDescent="0.2">
      <c r="D848" s="4"/>
    </row>
    <row r="849" spans="4:4" x14ac:dyDescent="0.2">
      <c r="D849" s="4"/>
    </row>
    <row r="850" spans="4:4" x14ac:dyDescent="0.2">
      <c r="D850" s="4"/>
    </row>
    <row r="851" spans="4:4" x14ac:dyDescent="0.2">
      <c r="D851" s="4"/>
    </row>
    <row r="852" spans="4:4" x14ac:dyDescent="0.2">
      <c r="D852" s="4"/>
    </row>
    <row r="853" spans="4:4" x14ac:dyDescent="0.2">
      <c r="D853" s="4"/>
    </row>
    <row r="854" spans="4:4" x14ac:dyDescent="0.2">
      <c r="D854" s="4"/>
    </row>
    <row r="855" spans="4:4" x14ac:dyDescent="0.2">
      <c r="D855" s="4"/>
    </row>
    <row r="856" spans="4:4" x14ac:dyDescent="0.2">
      <c r="D856" s="4"/>
    </row>
    <row r="857" spans="4:4" x14ac:dyDescent="0.2">
      <c r="D857" s="4"/>
    </row>
    <row r="858" spans="4:4" x14ac:dyDescent="0.2">
      <c r="D858" s="4"/>
    </row>
    <row r="859" spans="4:4" x14ac:dyDescent="0.2">
      <c r="D859" s="4"/>
    </row>
    <row r="860" spans="4:4" x14ac:dyDescent="0.2">
      <c r="D860" s="4"/>
    </row>
    <row r="861" spans="4:4" x14ac:dyDescent="0.2">
      <c r="D861" s="4"/>
    </row>
    <row r="862" spans="4:4" x14ac:dyDescent="0.2">
      <c r="D862" s="4"/>
    </row>
    <row r="863" spans="4:4" x14ac:dyDescent="0.2">
      <c r="D863" s="4"/>
    </row>
    <row r="864" spans="4:4" x14ac:dyDescent="0.2">
      <c r="D864" s="4"/>
    </row>
    <row r="865" spans="4:4" x14ac:dyDescent="0.2">
      <c r="D865" s="4"/>
    </row>
    <row r="866" spans="4:4" x14ac:dyDescent="0.2">
      <c r="D866" s="4"/>
    </row>
    <row r="867" spans="4:4" x14ac:dyDescent="0.2">
      <c r="D867" s="4"/>
    </row>
    <row r="868" spans="4:4" x14ac:dyDescent="0.2">
      <c r="D868" s="4"/>
    </row>
    <row r="869" spans="4:4" x14ac:dyDescent="0.2">
      <c r="D869" s="4"/>
    </row>
    <row r="870" spans="4:4" x14ac:dyDescent="0.2">
      <c r="D870" s="4"/>
    </row>
    <row r="871" spans="4:4" x14ac:dyDescent="0.2">
      <c r="D871" s="4"/>
    </row>
    <row r="872" spans="4:4" x14ac:dyDescent="0.2">
      <c r="D872" s="4"/>
    </row>
    <row r="873" spans="4:4" x14ac:dyDescent="0.2">
      <c r="D873" s="4"/>
    </row>
    <row r="874" spans="4:4" x14ac:dyDescent="0.2">
      <c r="D874" s="4"/>
    </row>
    <row r="875" spans="4:4" x14ac:dyDescent="0.2">
      <c r="D875" s="4"/>
    </row>
    <row r="876" spans="4:4" x14ac:dyDescent="0.2">
      <c r="D876" s="4"/>
    </row>
    <row r="877" spans="4:4" x14ac:dyDescent="0.2">
      <c r="D877" s="4"/>
    </row>
    <row r="878" spans="4:4" x14ac:dyDescent="0.2">
      <c r="D878" s="4"/>
    </row>
    <row r="879" spans="4:4" x14ac:dyDescent="0.2">
      <c r="D879" s="4"/>
    </row>
    <row r="880" spans="4:4" x14ac:dyDescent="0.2">
      <c r="D880" s="4"/>
    </row>
    <row r="881" spans="4:4" x14ac:dyDescent="0.2">
      <c r="D881" s="4"/>
    </row>
    <row r="882" spans="4:4" x14ac:dyDescent="0.2">
      <c r="D882" s="4"/>
    </row>
    <row r="883" spans="4:4" x14ac:dyDescent="0.2">
      <c r="D883" s="4"/>
    </row>
    <row r="884" spans="4:4" x14ac:dyDescent="0.2">
      <c r="D884" s="4"/>
    </row>
    <row r="885" spans="4:4" x14ac:dyDescent="0.2">
      <c r="D885" s="4"/>
    </row>
    <row r="886" spans="4:4" x14ac:dyDescent="0.2">
      <c r="D886" s="4"/>
    </row>
    <row r="887" spans="4:4" x14ac:dyDescent="0.2">
      <c r="D887" s="4"/>
    </row>
    <row r="888" spans="4:4" x14ac:dyDescent="0.2">
      <c r="D888" s="4"/>
    </row>
    <row r="889" spans="4:4" x14ac:dyDescent="0.2">
      <c r="D889" s="4"/>
    </row>
    <row r="890" spans="4:4" x14ac:dyDescent="0.2">
      <c r="D890" s="4"/>
    </row>
    <row r="891" spans="4:4" x14ac:dyDescent="0.2">
      <c r="D891" s="4"/>
    </row>
    <row r="892" spans="4:4" x14ac:dyDescent="0.2">
      <c r="D892" s="4"/>
    </row>
    <row r="893" spans="4:4" x14ac:dyDescent="0.2">
      <c r="D893" s="4"/>
    </row>
    <row r="894" spans="4:4" x14ac:dyDescent="0.2">
      <c r="D894" s="4"/>
    </row>
    <row r="895" spans="4:4" x14ac:dyDescent="0.2">
      <c r="D895" s="4"/>
    </row>
    <row r="896" spans="4:4" x14ac:dyDescent="0.2">
      <c r="D896" s="4"/>
    </row>
    <row r="897" spans="4:4" x14ac:dyDescent="0.2">
      <c r="D897" s="4"/>
    </row>
    <row r="898" spans="4:4" x14ac:dyDescent="0.2">
      <c r="D898" s="4"/>
    </row>
    <row r="899" spans="4:4" x14ac:dyDescent="0.2">
      <c r="D899" s="4"/>
    </row>
    <row r="900" spans="4:4" x14ac:dyDescent="0.2">
      <c r="D900" s="4"/>
    </row>
    <row r="901" spans="4:4" x14ac:dyDescent="0.2">
      <c r="D901" s="4"/>
    </row>
    <row r="902" spans="4:4" x14ac:dyDescent="0.2">
      <c r="D902" s="4"/>
    </row>
    <row r="903" spans="4:4" x14ac:dyDescent="0.2">
      <c r="D903" s="4"/>
    </row>
    <row r="904" spans="4:4" x14ac:dyDescent="0.2">
      <c r="D904" s="4"/>
    </row>
    <row r="905" spans="4:4" x14ac:dyDescent="0.2">
      <c r="D905" s="4"/>
    </row>
    <row r="906" spans="4:4" x14ac:dyDescent="0.2">
      <c r="D906" s="4"/>
    </row>
    <row r="907" spans="4:4" x14ac:dyDescent="0.2">
      <c r="D907" s="4"/>
    </row>
    <row r="908" spans="4:4" x14ac:dyDescent="0.2">
      <c r="D908" s="4"/>
    </row>
    <row r="909" spans="4:4" x14ac:dyDescent="0.2">
      <c r="D909" s="4"/>
    </row>
    <row r="910" spans="4:4" x14ac:dyDescent="0.2">
      <c r="D910" s="4"/>
    </row>
    <row r="911" spans="4:4" x14ac:dyDescent="0.2">
      <c r="D911" s="4"/>
    </row>
    <row r="912" spans="4:4" x14ac:dyDescent="0.2">
      <c r="D912" s="4"/>
    </row>
    <row r="913" spans="4:4" x14ac:dyDescent="0.2">
      <c r="D913" s="4"/>
    </row>
    <row r="914" spans="4:4" x14ac:dyDescent="0.2">
      <c r="D914" s="4"/>
    </row>
    <row r="915" spans="4:4" x14ac:dyDescent="0.2">
      <c r="D915" s="4"/>
    </row>
    <row r="916" spans="4:4" x14ac:dyDescent="0.2">
      <c r="D916" s="4"/>
    </row>
    <row r="917" spans="4:4" x14ac:dyDescent="0.2">
      <c r="D917" s="4"/>
    </row>
    <row r="918" spans="4:4" x14ac:dyDescent="0.2">
      <c r="D918" s="4"/>
    </row>
    <row r="919" spans="4:4" x14ac:dyDescent="0.2">
      <c r="D919" s="4"/>
    </row>
    <row r="920" spans="4:4" x14ac:dyDescent="0.2">
      <c r="D920" s="4"/>
    </row>
    <row r="921" spans="4:4" x14ac:dyDescent="0.2">
      <c r="D921" s="4"/>
    </row>
    <row r="922" spans="4:4" x14ac:dyDescent="0.2">
      <c r="D922" s="4"/>
    </row>
    <row r="923" spans="4:4" x14ac:dyDescent="0.2">
      <c r="D923" s="4"/>
    </row>
    <row r="924" spans="4:4" x14ac:dyDescent="0.2">
      <c r="D924" s="4"/>
    </row>
    <row r="925" spans="4:4" x14ac:dyDescent="0.2">
      <c r="D925" s="4"/>
    </row>
    <row r="926" spans="4:4" x14ac:dyDescent="0.2">
      <c r="D926" s="4"/>
    </row>
    <row r="927" spans="4:4" x14ac:dyDescent="0.2">
      <c r="D927" s="4"/>
    </row>
    <row r="928" spans="4:4" x14ac:dyDescent="0.2">
      <c r="D928" s="4"/>
    </row>
    <row r="929" spans="4:4" x14ac:dyDescent="0.2">
      <c r="D929" s="4"/>
    </row>
    <row r="930" spans="4:4" x14ac:dyDescent="0.2">
      <c r="D930" s="4"/>
    </row>
    <row r="931" spans="4:4" x14ac:dyDescent="0.2">
      <c r="D931" s="4"/>
    </row>
    <row r="932" spans="4:4" x14ac:dyDescent="0.2">
      <c r="D932" s="4"/>
    </row>
    <row r="933" spans="4:4" x14ac:dyDescent="0.2">
      <c r="D933" s="4"/>
    </row>
    <row r="934" spans="4:4" x14ac:dyDescent="0.2">
      <c r="D934" s="4"/>
    </row>
    <row r="935" spans="4:4" x14ac:dyDescent="0.2">
      <c r="D935" s="4"/>
    </row>
    <row r="936" spans="4:4" x14ac:dyDescent="0.2">
      <c r="D936" s="4"/>
    </row>
    <row r="937" spans="4:4" x14ac:dyDescent="0.2">
      <c r="D937" s="4"/>
    </row>
    <row r="938" spans="4:4" x14ac:dyDescent="0.2">
      <c r="D938" s="4"/>
    </row>
    <row r="939" spans="4:4" x14ac:dyDescent="0.2">
      <c r="D939" s="4"/>
    </row>
    <row r="940" spans="4:4" x14ac:dyDescent="0.2">
      <c r="D940" s="4"/>
    </row>
    <row r="941" spans="4:4" x14ac:dyDescent="0.2">
      <c r="D941" s="4"/>
    </row>
    <row r="942" spans="4:4" x14ac:dyDescent="0.2">
      <c r="D942" s="4"/>
    </row>
    <row r="943" spans="4:4" x14ac:dyDescent="0.2">
      <c r="D943" s="4"/>
    </row>
    <row r="944" spans="4:4" x14ac:dyDescent="0.2">
      <c r="D944" s="4"/>
    </row>
    <row r="945" spans="4:4" x14ac:dyDescent="0.2">
      <c r="D945" s="4"/>
    </row>
    <row r="946" spans="4:4" x14ac:dyDescent="0.2">
      <c r="D946" s="4"/>
    </row>
    <row r="947" spans="4:4" x14ac:dyDescent="0.2">
      <c r="D947" s="4"/>
    </row>
    <row r="948" spans="4:4" x14ac:dyDescent="0.2">
      <c r="D948" s="4"/>
    </row>
    <row r="949" spans="4:4" x14ac:dyDescent="0.2">
      <c r="D949" s="4"/>
    </row>
    <row r="950" spans="4:4" x14ac:dyDescent="0.2">
      <c r="D950" s="4"/>
    </row>
    <row r="951" spans="4:4" x14ac:dyDescent="0.2">
      <c r="D951" s="4"/>
    </row>
    <row r="952" spans="4:4" x14ac:dyDescent="0.2">
      <c r="D952" s="4"/>
    </row>
    <row r="953" spans="4:4" x14ac:dyDescent="0.2">
      <c r="D953" s="4"/>
    </row>
    <row r="954" spans="4:4" x14ac:dyDescent="0.2">
      <c r="D954" s="4"/>
    </row>
    <row r="955" spans="4:4" x14ac:dyDescent="0.2">
      <c r="D955" s="4"/>
    </row>
    <row r="956" spans="4:4" x14ac:dyDescent="0.2">
      <c r="D956" s="4"/>
    </row>
    <row r="957" spans="4:4" x14ac:dyDescent="0.2">
      <c r="D957" s="4"/>
    </row>
    <row r="958" spans="4:4" x14ac:dyDescent="0.2">
      <c r="D958" s="4"/>
    </row>
    <row r="959" spans="4:4" x14ac:dyDescent="0.2">
      <c r="D959" s="4"/>
    </row>
    <row r="960" spans="4:4" x14ac:dyDescent="0.2">
      <c r="D960" s="4"/>
    </row>
    <row r="961" spans="4:4" x14ac:dyDescent="0.2">
      <c r="D961" s="4"/>
    </row>
    <row r="962" spans="4:4" x14ac:dyDescent="0.2">
      <c r="D962" s="4"/>
    </row>
    <row r="963" spans="4:4" x14ac:dyDescent="0.2">
      <c r="D963" s="4"/>
    </row>
    <row r="964" spans="4:4" x14ac:dyDescent="0.2">
      <c r="D964" s="4"/>
    </row>
    <row r="965" spans="4:4" x14ac:dyDescent="0.2">
      <c r="D965" s="4"/>
    </row>
    <row r="966" spans="4:4" x14ac:dyDescent="0.2">
      <c r="D966" s="4"/>
    </row>
    <row r="967" spans="4:4" x14ac:dyDescent="0.2">
      <c r="D967" s="4"/>
    </row>
    <row r="968" spans="4:4" x14ac:dyDescent="0.2">
      <c r="D968" s="4"/>
    </row>
    <row r="969" spans="4:4" x14ac:dyDescent="0.2">
      <c r="D969" s="4"/>
    </row>
    <row r="970" spans="4:4" x14ac:dyDescent="0.2">
      <c r="D970" s="4"/>
    </row>
    <row r="971" spans="4:4" x14ac:dyDescent="0.2">
      <c r="D971" s="4"/>
    </row>
    <row r="972" spans="4:4" x14ac:dyDescent="0.2">
      <c r="D972" s="4"/>
    </row>
    <row r="973" spans="4:4" x14ac:dyDescent="0.2">
      <c r="D973" s="4"/>
    </row>
    <row r="974" spans="4:4" x14ac:dyDescent="0.2">
      <c r="D974" s="4"/>
    </row>
    <row r="975" spans="4:4" x14ac:dyDescent="0.2">
      <c r="D975" s="4"/>
    </row>
    <row r="976" spans="4:4" x14ac:dyDescent="0.2">
      <c r="D976" s="4"/>
    </row>
    <row r="977" spans="4:4" x14ac:dyDescent="0.2">
      <c r="D977" s="4"/>
    </row>
    <row r="978" spans="4:4" x14ac:dyDescent="0.2">
      <c r="D978" s="4"/>
    </row>
    <row r="979" spans="4:4" x14ac:dyDescent="0.2">
      <c r="D979" s="4"/>
    </row>
    <row r="980" spans="4:4" x14ac:dyDescent="0.2">
      <c r="D980" s="4"/>
    </row>
    <row r="981" spans="4:4" x14ac:dyDescent="0.2">
      <c r="D981" s="4"/>
    </row>
    <row r="982" spans="4:4" x14ac:dyDescent="0.2">
      <c r="D982" s="4"/>
    </row>
    <row r="983" spans="4:4" x14ac:dyDescent="0.2">
      <c r="D983" s="4"/>
    </row>
    <row r="984" spans="4:4" x14ac:dyDescent="0.2">
      <c r="D984" s="4"/>
    </row>
    <row r="985" spans="4:4" x14ac:dyDescent="0.2">
      <c r="D985" s="4"/>
    </row>
    <row r="986" spans="4:4" x14ac:dyDescent="0.2">
      <c r="D986" s="4"/>
    </row>
    <row r="987" spans="4:4" x14ac:dyDescent="0.2">
      <c r="D987" s="4"/>
    </row>
    <row r="988" spans="4:4" x14ac:dyDescent="0.2">
      <c r="D988" s="4"/>
    </row>
    <row r="989" spans="4:4" x14ac:dyDescent="0.2">
      <c r="D989" s="4"/>
    </row>
    <row r="990" spans="4:4" x14ac:dyDescent="0.2">
      <c r="D990" s="4"/>
    </row>
    <row r="991" spans="4:4" x14ac:dyDescent="0.2">
      <c r="D991" s="4"/>
    </row>
    <row r="992" spans="4:4" x14ac:dyDescent="0.2">
      <c r="D992" s="4"/>
    </row>
    <row r="993" spans="4:4" x14ac:dyDescent="0.2">
      <c r="D993" s="4"/>
    </row>
    <row r="994" spans="4:4" x14ac:dyDescent="0.2">
      <c r="D994" s="4"/>
    </row>
    <row r="995" spans="4:4" x14ac:dyDescent="0.2">
      <c r="D995" s="4"/>
    </row>
    <row r="996" spans="4:4" x14ac:dyDescent="0.2">
      <c r="D996" s="4"/>
    </row>
    <row r="997" spans="4:4" x14ac:dyDescent="0.2">
      <c r="D997" s="4"/>
    </row>
    <row r="998" spans="4:4" x14ac:dyDescent="0.2">
      <c r="D998" s="4"/>
    </row>
    <row r="999" spans="4:4" x14ac:dyDescent="0.2">
      <c r="D999" s="4"/>
    </row>
    <row r="1000" spans="4:4" x14ac:dyDescent="0.2">
      <c r="D1000" s="4"/>
    </row>
    <row r="1001" spans="4:4" x14ac:dyDescent="0.2">
      <c r="D1001" s="4"/>
    </row>
    <row r="1002" spans="4:4" x14ac:dyDescent="0.2">
      <c r="D1002" s="4"/>
    </row>
    <row r="1003" spans="4:4" x14ac:dyDescent="0.2">
      <c r="D1003" s="4"/>
    </row>
    <row r="1004" spans="4:4" x14ac:dyDescent="0.2">
      <c r="D1004" s="4"/>
    </row>
    <row r="1005" spans="4:4" x14ac:dyDescent="0.2">
      <c r="D1005" s="4"/>
    </row>
    <row r="1006" spans="4:4" x14ac:dyDescent="0.2">
      <c r="D1006" s="4"/>
    </row>
  </sheetData>
  <sheetProtection algorithmName="SHA-512" hashValue="dY76G3XbfiuLPItilY65PMLdFReIcdZyRQmJxOQhgOpXFznGXPS3cn7QF0HMTzy9i9I/BTa8NBbRKp7XHYjljw==" saltValue="kYZA0Queou9ihX/8Iybuyg==" spinCount="100000" sheet="1" objects="1" scenarios="1"/>
  <mergeCells count="6">
    <mergeCell ref="B178:C178"/>
    <mergeCell ref="F2:I2"/>
    <mergeCell ref="B9:C9"/>
    <mergeCell ref="B10:C10"/>
    <mergeCell ref="B169:C169"/>
    <mergeCell ref="B171:C171"/>
  </mergeCells>
  <printOptions gridLines="1"/>
  <pageMargins left="1" right="0.26" top="0.17" bottom="0.2" header="0" footer="0"/>
  <pageSetup paperSize="5"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70"/>
  <sheetViews>
    <sheetView workbookViewId="0"/>
  </sheetViews>
  <sheetFormatPr defaultColWidth="16.83203125" defaultRowHeight="15" customHeight="1" x14ac:dyDescent="0.2"/>
  <cols>
    <col min="1" max="1" width="8.83203125" customWidth="1"/>
    <col min="2" max="2" width="23.1640625" customWidth="1"/>
    <col min="3" max="3" width="19.6640625" customWidth="1"/>
    <col min="4" max="4" width="23.1640625" customWidth="1"/>
    <col min="5" max="5" width="18.33203125" customWidth="1"/>
    <col min="6" max="6" width="18.5" customWidth="1"/>
    <col min="7" max="7" width="15.6640625" customWidth="1"/>
    <col min="8" max="26" width="8.83203125" customWidth="1"/>
  </cols>
  <sheetData>
    <row r="1" spans="1:26" ht="33" x14ac:dyDescent="0.45">
      <c r="A1" s="9" t="s">
        <v>1057</v>
      </c>
      <c r="B1" s="480"/>
      <c r="C1" s="466"/>
      <c r="D1" s="466"/>
      <c r="E1" s="466"/>
      <c r="F1" s="482"/>
      <c r="G1" s="466"/>
      <c r="H1" s="466"/>
      <c r="I1" s="466"/>
      <c r="J1" s="466"/>
      <c r="K1" s="466"/>
      <c r="L1" s="466"/>
      <c r="M1" s="466"/>
      <c r="N1" s="466"/>
      <c r="O1" s="466"/>
      <c r="P1" s="466"/>
      <c r="Q1" s="466"/>
      <c r="R1" s="466"/>
      <c r="S1" s="466"/>
      <c r="T1" s="466"/>
      <c r="U1" s="466"/>
      <c r="V1" s="466"/>
      <c r="W1" s="466"/>
      <c r="X1" s="466"/>
      <c r="Y1" s="466"/>
      <c r="Z1" s="466"/>
    </row>
    <row r="2" spans="1:26" ht="65.25" customHeight="1" x14ac:dyDescent="0.2"/>
    <row r="4" spans="1:26" ht="21" x14ac:dyDescent="0.4">
      <c r="B4" s="949" t="s">
        <v>1058</v>
      </c>
      <c r="C4" s="950"/>
      <c r="D4" s="951"/>
      <c r="E4" s="952">
        <v>2014</v>
      </c>
      <c r="F4" s="953"/>
      <c r="G4" s="954"/>
      <c r="H4" s="466"/>
      <c r="I4" s="466"/>
      <c r="J4" s="466"/>
      <c r="K4" s="466"/>
      <c r="L4" s="466"/>
      <c r="M4" s="466"/>
    </row>
    <row r="5" spans="1:26" ht="11.25" x14ac:dyDescent="0.2">
      <c r="B5" s="955"/>
      <c r="C5" s="466"/>
      <c r="D5" s="466"/>
      <c r="E5" s="466"/>
      <c r="F5" s="466"/>
      <c r="G5" s="956"/>
      <c r="H5" s="466"/>
      <c r="I5" s="466"/>
      <c r="J5" s="2501" t="s">
        <v>0</v>
      </c>
      <c r="K5" s="2502"/>
      <c r="L5" s="466"/>
      <c r="M5" s="873"/>
    </row>
    <row r="6" spans="1:26" ht="12.75" x14ac:dyDescent="0.2">
      <c r="B6" s="957"/>
      <c r="C6" s="958" t="s">
        <v>396</v>
      </c>
      <c r="D6" s="958" t="s">
        <v>985</v>
      </c>
      <c r="E6" s="958" t="s">
        <v>986</v>
      </c>
      <c r="F6" s="958" t="s">
        <v>397</v>
      </c>
      <c r="G6" s="959" t="s">
        <v>397</v>
      </c>
      <c r="H6" s="466"/>
      <c r="I6" s="466"/>
      <c r="J6" s="198"/>
      <c r="K6" s="198"/>
      <c r="L6" s="466"/>
      <c r="M6" s="873"/>
      <c r="N6" s="466"/>
    </row>
    <row r="7" spans="1:26" ht="14.25" x14ac:dyDescent="0.25">
      <c r="B7" s="960" t="s">
        <v>72</v>
      </c>
      <c r="C7" s="961" t="s">
        <v>399</v>
      </c>
      <c r="D7" s="961" t="s">
        <v>987</v>
      </c>
      <c r="E7" s="961" t="s">
        <v>988</v>
      </c>
      <c r="F7" s="961" t="s">
        <v>989</v>
      </c>
      <c r="G7" s="962" t="s">
        <v>1059</v>
      </c>
      <c r="H7" s="873"/>
      <c r="I7" s="466"/>
      <c r="J7" s="200" t="s">
        <v>4</v>
      </c>
      <c r="K7" s="201">
        <f>'Summ GHG Rpt Expanded'!G4</f>
        <v>1</v>
      </c>
      <c r="L7" s="466"/>
      <c r="M7" s="873"/>
      <c r="N7" s="466"/>
    </row>
    <row r="8" spans="1:26" ht="12.75" x14ac:dyDescent="0.2">
      <c r="B8" s="877" t="s">
        <v>89</v>
      </c>
      <c r="C8" s="906">
        <v>198</v>
      </c>
      <c r="D8" s="879">
        <v>56.792727272727269</v>
      </c>
      <c r="E8" s="880">
        <v>1</v>
      </c>
      <c r="F8" s="963">
        <f t="shared" ref="F8:F14" si="0">C8*1000*D8*E8/2000</f>
        <v>5622.48</v>
      </c>
      <c r="G8" s="964">
        <f t="shared" ref="G8:G14" si="1">F8*(44/12)*0.907441/1000000</f>
        <v>1.8707585870160002E-2</v>
      </c>
      <c r="H8" s="883"/>
      <c r="I8" s="466"/>
      <c r="J8" s="200" t="s">
        <v>5</v>
      </c>
      <c r="K8" s="201">
        <f>'Summ GHG Rpt Expanded'!G5</f>
        <v>28</v>
      </c>
      <c r="L8" s="883"/>
      <c r="M8" s="884"/>
      <c r="N8" s="466"/>
    </row>
    <row r="9" spans="1:26" ht="12.75" x14ac:dyDescent="0.2">
      <c r="B9" s="885" t="s">
        <v>403</v>
      </c>
      <c r="C9" s="886">
        <v>9215</v>
      </c>
      <c r="D9" s="887">
        <v>44.43</v>
      </c>
      <c r="E9" s="888">
        <v>1</v>
      </c>
      <c r="F9" s="889">
        <f t="shared" si="0"/>
        <v>204711.22500000001</v>
      </c>
      <c r="G9" s="965">
        <f t="shared" si="1"/>
        <v>0.68113231532582497</v>
      </c>
      <c r="H9" s="883"/>
      <c r="I9" s="466"/>
      <c r="J9" s="200" t="s">
        <v>6</v>
      </c>
      <c r="K9" s="201">
        <f>'Summ GHG Rpt Expanded'!G6</f>
        <v>265</v>
      </c>
      <c r="L9" s="883"/>
      <c r="M9" s="884"/>
      <c r="N9" s="466"/>
    </row>
    <row r="10" spans="1:26" ht="12.75" x14ac:dyDescent="0.2">
      <c r="B10" s="885" t="s">
        <v>446</v>
      </c>
      <c r="C10" s="886">
        <v>102</v>
      </c>
      <c r="D10" s="887">
        <v>43.97</v>
      </c>
      <c r="E10" s="888">
        <v>1</v>
      </c>
      <c r="F10" s="889">
        <f t="shared" si="0"/>
        <v>2242.4699999999998</v>
      </c>
      <c r="G10" s="965">
        <f t="shared" si="1"/>
        <v>7.4613338039900001E-3</v>
      </c>
      <c r="H10" s="883"/>
      <c r="I10" s="466"/>
      <c r="J10" s="200" t="s">
        <v>7</v>
      </c>
      <c r="K10" s="202">
        <f>'Summ GHG Rpt Expanded'!G7</f>
        <v>23500</v>
      </c>
      <c r="L10" s="883"/>
      <c r="M10" s="884"/>
      <c r="N10" s="466"/>
    </row>
    <row r="11" spans="1:26" ht="12.75" x14ac:dyDescent="0.2">
      <c r="B11" s="885" t="s">
        <v>1039</v>
      </c>
      <c r="C11" s="886">
        <v>2638</v>
      </c>
      <c r="D11" s="887">
        <v>37.110283550140529</v>
      </c>
      <c r="E11" s="888">
        <v>1</v>
      </c>
      <c r="F11" s="889">
        <f t="shared" si="0"/>
        <v>48948.464002635359</v>
      </c>
      <c r="G11" s="965">
        <f t="shared" si="1"/>
        <v>0.1628654247843899</v>
      </c>
      <c r="H11" s="883"/>
      <c r="I11" s="466"/>
      <c r="J11" s="200" t="s">
        <v>8</v>
      </c>
      <c r="K11" s="202">
        <f>'Summ GHG Rpt Expanded'!G8</f>
        <v>11100</v>
      </c>
      <c r="L11" s="883"/>
      <c r="M11" s="884"/>
      <c r="N11" s="466"/>
    </row>
    <row r="12" spans="1:26" ht="12.75" x14ac:dyDescent="0.2">
      <c r="B12" s="885" t="s">
        <v>1060</v>
      </c>
      <c r="C12" s="886">
        <v>171</v>
      </c>
      <c r="D12" s="887">
        <v>42.900741155457617</v>
      </c>
      <c r="E12" s="888">
        <v>1</v>
      </c>
      <c r="F12" s="889">
        <f t="shared" si="0"/>
        <v>3668.0133687916264</v>
      </c>
      <c r="G12" s="965">
        <f t="shared" si="1"/>
        <v>1.2204520971095355E-2</v>
      </c>
      <c r="H12" s="883"/>
      <c r="I12" s="466"/>
      <c r="J12" s="883"/>
      <c r="K12" s="884"/>
      <c r="L12" s="883"/>
      <c r="M12" s="884"/>
      <c r="N12" s="466"/>
    </row>
    <row r="13" spans="1:26" ht="12.75" x14ac:dyDescent="0.2">
      <c r="B13" s="885" t="s">
        <v>404</v>
      </c>
      <c r="C13" s="886">
        <v>19</v>
      </c>
      <c r="D13" s="887">
        <v>45.11</v>
      </c>
      <c r="E13" s="888">
        <v>1</v>
      </c>
      <c r="F13" s="889">
        <f t="shared" si="0"/>
        <v>428.54500000000002</v>
      </c>
      <c r="G13" s="965">
        <f t="shared" si="1"/>
        <v>1.4258907789316668E-3</v>
      </c>
      <c r="H13" s="883"/>
      <c r="I13" s="466"/>
      <c r="J13" s="883"/>
      <c r="K13" s="884"/>
      <c r="L13" s="883"/>
      <c r="M13" s="884"/>
      <c r="N13" s="466"/>
    </row>
    <row r="14" spans="1:26" ht="12.75" x14ac:dyDescent="0.2">
      <c r="B14" s="966" t="s">
        <v>331</v>
      </c>
      <c r="C14" s="892">
        <v>78599</v>
      </c>
      <c r="D14" s="893">
        <v>31.87</v>
      </c>
      <c r="E14" s="894">
        <v>1</v>
      </c>
      <c r="F14" s="895">
        <f t="shared" si="0"/>
        <v>1252475.0649999999</v>
      </c>
      <c r="G14" s="967">
        <f t="shared" si="1"/>
        <v>4.1673398266817721</v>
      </c>
      <c r="H14" s="883"/>
      <c r="I14" s="466"/>
      <c r="J14" s="883"/>
      <c r="K14" s="884"/>
      <c r="L14" s="883"/>
      <c r="M14" s="884"/>
      <c r="N14" s="466"/>
    </row>
    <row r="15" spans="1:26" ht="12.75" x14ac:dyDescent="0.2">
      <c r="B15" s="968"/>
      <c r="C15" s="969"/>
      <c r="D15" s="969"/>
      <c r="E15" s="969"/>
      <c r="F15" s="970" t="s">
        <v>393</v>
      </c>
      <c r="G15" s="971">
        <f>SUM(G8:G14)</f>
        <v>5.0511368982161642</v>
      </c>
      <c r="H15" s="466"/>
      <c r="I15" s="466"/>
      <c r="J15" s="466"/>
      <c r="K15" s="466"/>
      <c r="L15" s="466"/>
      <c r="M15" s="466"/>
      <c r="N15" s="466"/>
    </row>
    <row r="18" spans="2:13" ht="21" x14ac:dyDescent="0.4">
      <c r="B18" s="949" t="s">
        <v>1061</v>
      </c>
      <c r="C18" s="950"/>
      <c r="D18" s="950"/>
      <c r="E18" s="952">
        <v>2014</v>
      </c>
      <c r="F18" s="953"/>
      <c r="G18" s="954"/>
      <c r="H18" s="466"/>
      <c r="I18" s="466"/>
      <c r="J18" s="466"/>
      <c r="K18" s="466"/>
      <c r="L18" s="466"/>
      <c r="M18" s="466"/>
    </row>
    <row r="19" spans="2:13" ht="11.25" x14ac:dyDescent="0.2">
      <c r="B19" s="955"/>
      <c r="C19" s="466"/>
      <c r="D19" s="466"/>
      <c r="E19" s="466"/>
      <c r="F19" s="466"/>
      <c r="G19" s="956"/>
      <c r="H19" s="466"/>
      <c r="I19" s="466"/>
      <c r="J19" s="466"/>
      <c r="K19" s="466"/>
      <c r="L19" s="466"/>
      <c r="M19" s="873"/>
    </row>
    <row r="20" spans="2:13" ht="12.75" x14ac:dyDescent="0.2">
      <c r="B20" s="957"/>
      <c r="C20" s="972" t="s">
        <v>396</v>
      </c>
      <c r="D20" s="972" t="s">
        <v>985</v>
      </c>
      <c r="E20" s="972" t="s">
        <v>408</v>
      </c>
      <c r="F20" s="972" t="s">
        <v>398</v>
      </c>
      <c r="G20" s="959" t="s">
        <v>397</v>
      </c>
      <c r="H20" s="466"/>
      <c r="J20" s="466"/>
      <c r="K20" s="873"/>
      <c r="L20" s="466"/>
      <c r="M20" s="873"/>
    </row>
    <row r="21" spans="2:13" ht="14.25" x14ac:dyDescent="0.25">
      <c r="B21" s="960" t="s">
        <v>72</v>
      </c>
      <c r="C21" s="875" t="s">
        <v>399</v>
      </c>
      <c r="D21" s="875" t="s">
        <v>1062</v>
      </c>
      <c r="E21" s="875" t="s">
        <v>1063</v>
      </c>
      <c r="F21" s="875"/>
      <c r="G21" s="962" t="s">
        <v>1047</v>
      </c>
      <c r="H21" s="873"/>
      <c r="J21" s="466"/>
      <c r="K21" s="873"/>
      <c r="L21" s="466"/>
      <c r="M21" s="873"/>
    </row>
    <row r="22" spans="2:13" ht="12.75" x14ac:dyDescent="0.2">
      <c r="B22" s="973" t="s">
        <v>89</v>
      </c>
      <c r="C22" s="974">
        <v>198</v>
      </c>
      <c r="D22" s="975">
        <v>1.5034545899835E-3</v>
      </c>
      <c r="E22" s="976">
        <f t="shared" ref="E22:E29" si="2">C22*D22</f>
        <v>0.29768400881673301</v>
      </c>
      <c r="F22" s="974">
        <f t="shared" ref="F22:F29" si="3">$K$9</f>
        <v>265</v>
      </c>
      <c r="G22" s="964">
        <f t="shared" ref="G22:G29" si="4">E22*F22/1000000</f>
        <v>7.8886262336434236E-5</v>
      </c>
      <c r="H22" s="977"/>
      <c r="J22" s="883"/>
      <c r="K22" s="884"/>
      <c r="L22" s="883"/>
      <c r="M22" s="909"/>
    </row>
    <row r="23" spans="2:13" ht="12.75" x14ac:dyDescent="0.2">
      <c r="B23" s="910" t="s">
        <v>403</v>
      </c>
      <c r="C23" s="886">
        <v>9215</v>
      </c>
      <c r="D23" s="911">
        <v>6.0138183599339984E-4</v>
      </c>
      <c r="E23" s="924">
        <f t="shared" si="2"/>
        <v>5.5417336186791797</v>
      </c>
      <c r="F23" s="974">
        <f t="shared" si="3"/>
        <v>265</v>
      </c>
      <c r="G23" s="965">
        <f t="shared" si="4"/>
        <v>1.4685594089499825E-3</v>
      </c>
      <c r="H23" s="977"/>
      <c r="J23" s="883"/>
      <c r="K23" s="884"/>
      <c r="L23" s="883"/>
      <c r="M23" s="909"/>
    </row>
    <row r="24" spans="2:13" ht="12.75" x14ac:dyDescent="0.2">
      <c r="B24" s="910" t="s">
        <v>446</v>
      </c>
      <c r="C24" s="886">
        <v>102</v>
      </c>
      <c r="D24" s="911">
        <v>6.0138183599339984E-4</v>
      </c>
      <c r="E24" s="924">
        <f t="shared" si="2"/>
        <v>6.134094727132678E-2</v>
      </c>
      <c r="F24" s="974">
        <f t="shared" si="3"/>
        <v>265</v>
      </c>
      <c r="G24" s="965">
        <f t="shared" si="4"/>
        <v>1.6255351026901597E-5</v>
      </c>
      <c r="H24" s="977"/>
      <c r="J24" s="883"/>
      <c r="K24" s="884"/>
      <c r="L24" s="883"/>
      <c r="M24" s="909"/>
    </row>
    <row r="25" spans="2:13" ht="12.75" x14ac:dyDescent="0.2">
      <c r="B25" s="910" t="s">
        <v>1039</v>
      </c>
      <c r="C25" s="886">
        <v>2638</v>
      </c>
      <c r="D25" s="911">
        <v>6.0138183599339984E-4</v>
      </c>
      <c r="E25" s="924">
        <f t="shared" si="2"/>
        <v>1.5864452833505889</v>
      </c>
      <c r="F25" s="974">
        <f t="shared" si="3"/>
        <v>265</v>
      </c>
      <c r="G25" s="965">
        <f t="shared" si="4"/>
        <v>4.2040800008790602E-4</v>
      </c>
      <c r="H25" s="977"/>
      <c r="J25" s="883"/>
      <c r="K25" s="884"/>
      <c r="L25" s="883"/>
      <c r="M25" s="909"/>
    </row>
    <row r="26" spans="2:13" ht="12.75" x14ac:dyDescent="0.2">
      <c r="B26" s="910" t="s">
        <v>1060</v>
      </c>
      <c r="C26" s="886">
        <v>171</v>
      </c>
      <c r="D26" s="911">
        <v>6.0138183599339984E-4</v>
      </c>
      <c r="E26" s="924">
        <f t="shared" si="2"/>
        <v>0.10283629395487137</v>
      </c>
      <c r="F26" s="974">
        <f t="shared" si="3"/>
        <v>265</v>
      </c>
      <c r="G26" s="965">
        <f t="shared" si="4"/>
        <v>2.7251617898040914E-5</v>
      </c>
      <c r="H26" s="977"/>
      <c r="J26" s="883"/>
      <c r="K26" s="884"/>
      <c r="L26" s="883"/>
      <c r="M26" s="909"/>
    </row>
    <row r="27" spans="2:13" ht="12.75" x14ac:dyDescent="0.2">
      <c r="B27" s="910" t="s">
        <v>404</v>
      </c>
      <c r="C27" s="886">
        <v>19</v>
      </c>
      <c r="D27" s="911">
        <v>6.0138183599339984E-4</v>
      </c>
      <c r="E27" s="924">
        <f t="shared" si="2"/>
        <v>1.1426254883874597E-2</v>
      </c>
      <c r="F27" s="974">
        <f t="shared" si="3"/>
        <v>265</v>
      </c>
      <c r="G27" s="965">
        <f t="shared" si="4"/>
        <v>3.0279575442267683E-6</v>
      </c>
      <c r="H27" s="977"/>
      <c r="J27" s="883"/>
      <c r="K27" s="884"/>
      <c r="L27" s="883"/>
      <c r="M27" s="909"/>
    </row>
    <row r="28" spans="2:13" ht="12.75" x14ac:dyDescent="0.2">
      <c r="B28" s="910" t="s">
        <v>331</v>
      </c>
      <c r="C28" s="886">
        <v>78599</v>
      </c>
      <c r="D28" s="911">
        <v>9.4955026735800017E-5</v>
      </c>
      <c r="E28" s="924">
        <f t="shared" si="2"/>
        <v>7.4633701464071454</v>
      </c>
      <c r="F28" s="974">
        <f t="shared" si="3"/>
        <v>265</v>
      </c>
      <c r="G28" s="965">
        <f t="shared" si="4"/>
        <v>1.9777930887978933E-3</v>
      </c>
      <c r="H28" s="977"/>
      <c r="J28" s="883"/>
      <c r="K28" s="884"/>
      <c r="L28" s="883"/>
      <c r="M28" s="909"/>
    </row>
    <row r="29" spans="2:13" ht="12.75" x14ac:dyDescent="0.2">
      <c r="B29" s="914" t="s">
        <v>579</v>
      </c>
      <c r="C29" s="892">
        <v>2333</v>
      </c>
      <c r="D29" s="915">
        <v>3.7982010694320003E-3</v>
      </c>
      <c r="E29" s="926">
        <f t="shared" si="2"/>
        <v>8.861203094984857</v>
      </c>
      <c r="F29" s="974">
        <f t="shared" si="3"/>
        <v>265</v>
      </c>
      <c r="G29" s="978">
        <f t="shared" si="4"/>
        <v>2.3482188201709871E-3</v>
      </c>
      <c r="H29" s="977"/>
      <c r="J29" s="883"/>
      <c r="K29" s="884"/>
      <c r="L29" s="883"/>
      <c r="M29" s="909"/>
    </row>
    <row r="30" spans="2:13" ht="12.75" x14ac:dyDescent="0.2">
      <c r="B30" s="918"/>
      <c r="C30" s="979"/>
      <c r="D30" s="898"/>
      <c r="E30" s="898"/>
      <c r="F30" s="928" t="s">
        <v>393</v>
      </c>
      <c r="G30" s="980">
        <f>SUM(G22:G29)</f>
        <v>6.3404005068123728E-3</v>
      </c>
      <c r="H30" s="466"/>
      <c r="J30" s="883"/>
      <c r="K30" s="920"/>
      <c r="L30" s="883"/>
      <c r="M30" s="921"/>
    </row>
    <row r="31" spans="2:13" ht="11.25" x14ac:dyDescent="0.2">
      <c r="J31" s="466"/>
      <c r="K31" s="466"/>
      <c r="L31" s="466"/>
      <c r="M31" s="466"/>
    </row>
    <row r="33" spans="2:13" ht="21" x14ac:dyDescent="0.4">
      <c r="B33" s="949" t="s">
        <v>1064</v>
      </c>
      <c r="C33" s="950"/>
      <c r="D33" s="950"/>
      <c r="E33" s="952">
        <v>2014</v>
      </c>
      <c r="F33" s="953"/>
      <c r="G33" s="954"/>
      <c r="H33" s="466"/>
      <c r="I33" s="466"/>
      <c r="J33" s="466"/>
      <c r="K33" s="466"/>
      <c r="L33" s="466"/>
      <c r="M33" s="466"/>
    </row>
    <row r="34" spans="2:13" ht="11.25" x14ac:dyDescent="0.2">
      <c r="B34" s="955"/>
      <c r="C34" s="466"/>
      <c r="D34" s="466"/>
      <c r="E34" s="466"/>
      <c r="F34" s="466"/>
      <c r="G34" s="956"/>
      <c r="H34" s="466"/>
      <c r="I34" s="466"/>
      <c r="J34" s="466"/>
      <c r="K34" s="466"/>
      <c r="L34" s="466"/>
      <c r="M34" s="873"/>
    </row>
    <row r="35" spans="2:13" ht="12.75" x14ac:dyDescent="0.2">
      <c r="B35" s="981"/>
      <c r="C35" s="972" t="s">
        <v>396</v>
      </c>
      <c r="D35" s="972" t="s">
        <v>985</v>
      </c>
      <c r="E35" s="972" t="s">
        <v>397</v>
      </c>
      <c r="F35" s="972" t="s">
        <v>398</v>
      </c>
      <c r="G35" s="982" t="s">
        <v>397</v>
      </c>
      <c r="H35" s="466"/>
      <c r="I35" s="466"/>
      <c r="J35" s="466"/>
      <c r="K35" s="873"/>
      <c r="L35" s="466"/>
      <c r="M35" s="466"/>
    </row>
    <row r="36" spans="2:13" ht="14.25" x14ac:dyDescent="0.25">
      <c r="B36" s="874" t="s">
        <v>72</v>
      </c>
      <c r="C36" s="875" t="s">
        <v>399</v>
      </c>
      <c r="D36" s="875" t="s">
        <v>1065</v>
      </c>
      <c r="E36" s="875" t="s">
        <v>1066</v>
      </c>
      <c r="F36" s="875"/>
      <c r="G36" s="876" t="s">
        <v>1067</v>
      </c>
      <c r="H36" s="873"/>
      <c r="I36" s="466"/>
      <c r="J36" s="466"/>
      <c r="K36" s="873"/>
      <c r="L36" s="466"/>
      <c r="M36" s="466"/>
    </row>
    <row r="37" spans="2:13" ht="12.75" x14ac:dyDescent="0.2">
      <c r="B37" s="877" t="s">
        <v>89</v>
      </c>
      <c r="C37" s="906">
        <v>198</v>
      </c>
      <c r="D37" s="904">
        <v>1.0023030599889999E-2</v>
      </c>
      <c r="E37" s="983">
        <f t="shared" ref="E37:E44" si="5">C37*D37</f>
        <v>1.9845600587782199</v>
      </c>
      <c r="F37" s="906">
        <f t="shared" ref="F37:F44" si="6">$K$8</f>
        <v>28</v>
      </c>
      <c r="G37" s="984">
        <f t="shared" ref="G37:G44" si="7">E37*F37/1000000</f>
        <v>5.5567681645790158E-5</v>
      </c>
      <c r="H37" s="977"/>
      <c r="I37" s="466"/>
      <c r="J37" s="883"/>
      <c r="K37" s="884"/>
      <c r="L37" s="883"/>
      <c r="M37" s="909"/>
    </row>
    <row r="38" spans="2:13" ht="12.75" x14ac:dyDescent="0.2">
      <c r="B38" s="885" t="s">
        <v>403</v>
      </c>
      <c r="C38" s="886">
        <v>9215</v>
      </c>
      <c r="D38" s="911">
        <v>1.0023030599889999E-2</v>
      </c>
      <c r="E38" s="985">
        <f t="shared" si="5"/>
        <v>92.362226977986339</v>
      </c>
      <c r="F38" s="906">
        <f t="shared" si="6"/>
        <v>28</v>
      </c>
      <c r="G38" s="986">
        <f t="shared" si="7"/>
        <v>2.5861423553836175E-3</v>
      </c>
      <c r="H38" s="977"/>
      <c r="I38" s="466"/>
      <c r="J38" s="883"/>
      <c r="K38" s="884"/>
      <c r="L38" s="883"/>
      <c r="M38" s="909"/>
    </row>
    <row r="39" spans="2:13" ht="12.75" x14ac:dyDescent="0.2">
      <c r="B39" s="885" t="s">
        <v>446</v>
      </c>
      <c r="C39" s="886">
        <v>102</v>
      </c>
      <c r="D39" s="911">
        <v>1.0023030599889999E-2</v>
      </c>
      <c r="E39" s="985">
        <f t="shared" si="5"/>
        <v>1.0223491211887799</v>
      </c>
      <c r="F39" s="906">
        <f t="shared" si="6"/>
        <v>28</v>
      </c>
      <c r="G39" s="986">
        <f t="shared" si="7"/>
        <v>2.8625775393285835E-5</v>
      </c>
      <c r="H39" s="977"/>
      <c r="I39" s="466"/>
      <c r="J39" s="883"/>
      <c r="K39" s="884"/>
      <c r="L39" s="883"/>
      <c r="M39" s="909"/>
    </row>
    <row r="40" spans="2:13" ht="12.75" x14ac:dyDescent="0.2">
      <c r="B40" s="885" t="s">
        <v>1039</v>
      </c>
      <c r="C40" s="886">
        <v>2638</v>
      </c>
      <c r="D40" s="911">
        <v>1.0023030599889999E-2</v>
      </c>
      <c r="E40" s="985">
        <f t="shared" si="5"/>
        <v>26.440754722509819</v>
      </c>
      <c r="F40" s="906">
        <f t="shared" si="6"/>
        <v>28</v>
      </c>
      <c r="G40" s="986">
        <f t="shared" si="7"/>
        <v>7.4034113223027495E-4</v>
      </c>
      <c r="H40" s="977"/>
      <c r="I40" s="466"/>
      <c r="J40" s="883"/>
      <c r="K40" s="884"/>
      <c r="L40" s="883"/>
      <c r="M40" s="909"/>
    </row>
    <row r="41" spans="2:13" ht="12.75" x14ac:dyDescent="0.2">
      <c r="B41" s="885" t="s">
        <v>1060</v>
      </c>
      <c r="C41" s="886">
        <v>171</v>
      </c>
      <c r="D41" s="911">
        <v>1.0023030599889999E-2</v>
      </c>
      <c r="E41" s="985">
        <f t="shared" si="5"/>
        <v>1.7139382325811898</v>
      </c>
      <c r="F41" s="906">
        <f t="shared" si="6"/>
        <v>28</v>
      </c>
      <c r="G41" s="986">
        <f t="shared" si="7"/>
        <v>4.7990270512273314E-5</v>
      </c>
      <c r="H41" s="977"/>
      <c r="I41" s="466"/>
      <c r="J41" s="883"/>
      <c r="K41" s="884"/>
      <c r="L41" s="883"/>
      <c r="M41" s="909"/>
    </row>
    <row r="42" spans="2:13" ht="12.75" x14ac:dyDescent="0.2">
      <c r="B42" s="885" t="s">
        <v>404</v>
      </c>
      <c r="C42" s="886">
        <v>19</v>
      </c>
      <c r="D42" s="911">
        <v>1.0023030599889999E-2</v>
      </c>
      <c r="E42" s="985">
        <f t="shared" si="5"/>
        <v>0.19043758139790998</v>
      </c>
      <c r="F42" s="906">
        <f t="shared" si="6"/>
        <v>28</v>
      </c>
      <c r="G42" s="986">
        <f t="shared" si="7"/>
        <v>5.332252279141479E-6</v>
      </c>
      <c r="H42" s="977"/>
      <c r="I42" s="466"/>
      <c r="J42" s="883"/>
      <c r="K42" s="884"/>
      <c r="L42" s="883"/>
      <c r="M42" s="909"/>
    </row>
    <row r="43" spans="2:13" ht="12.75" x14ac:dyDescent="0.2">
      <c r="B43" s="885" t="s">
        <v>331</v>
      </c>
      <c r="C43" s="886">
        <v>78599</v>
      </c>
      <c r="D43" s="911">
        <v>4.7477513367900001E-3</v>
      </c>
      <c r="E43" s="985">
        <f t="shared" si="5"/>
        <v>373.16850732035721</v>
      </c>
      <c r="F43" s="906">
        <f t="shared" si="6"/>
        <v>28</v>
      </c>
      <c r="G43" s="986">
        <f t="shared" si="7"/>
        <v>1.0448718204970002E-2</v>
      </c>
      <c r="H43" s="977"/>
      <c r="I43" s="466"/>
      <c r="J43" s="883"/>
      <c r="K43" s="884"/>
      <c r="L43" s="883"/>
      <c r="M43" s="909"/>
    </row>
    <row r="44" spans="2:13" ht="12.75" x14ac:dyDescent="0.2">
      <c r="B44" s="891" t="s">
        <v>579</v>
      </c>
      <c r="C44" s="892">
        <v>2333</v>
      </c>
      <c r="D44" s="915">
        <v>0.28486508020740003</v>
      </c>
      <c r="E44" s="987">
        <f t="shared" si="5"/>
        <v>664.59023212386433</v>
      </c>
      <c r="F44" s="906">
        <f t="shared" si="6"/>
        <v>28</v>
      </c>
      <c r="G44" s="988">
        <f t="shared" si="7"/>
        <v>1.86085264994682E-2</v>
      </c>
      <c r="H44" s="977"/>
      <c r="I44" s="466"/>
      <c r="J44" s="883"/>
      <c r="K44" s="884"/>
      <c r="L44" s="883"/>
      <c r="M44" s="909"/>
    </row>
    <row r="45" spans="2:13" ht="12.75" x14ac:dyDescent="0.2">
      <c r="B45" s="897"/>
      <c r="C45" s="898"/>
      <c r="D45" s="898"/>
      <c r="E45" s="898"/>
      <c r="F45" s="928" t="s">
        <v>393</v>
      </c>
      <c r="G45" s="989">
        <f>SUM(G37:G44)</f>
        <v>3.2521244171882582E-2</v>
      </c>
      <c r="H45" s="466"/>
      <c r="I45" s="466"/>
      <c r="J45" s="883"/>
      <c r="K45" s="920"/>
      <c r="L45" s="883"/>
      <c r="M45" s="921"/>
    </row>
    <row r="48" spans="2:13" ht="21" x14ac:dyDescent="0.4">
      <c r="B48" s="990" t="s">
        <v>1068</v>
      </c>
      <c r="C48" s="991"/>
      <c r="D48" s="991"/>
      <c r="E48" s="992"/>
    </row>
    <row r="51" spans="2:7" ht="14.25" x14ac:dyDescent="0.25">
      <c r="B51" s="993"/>
      <c r="C51" s="994"/>
      <c r="D51" s="871" t="s">
        <v>1069</v>
      </c>
      <c r="E51" s="871" t="s">
        <v>1070</v>
      </c>
      <c r="F51" s="871" t="s">
        <v>1071</v>
      </c>
      <c r="G51" s="995" t="s">
        <v>1072</v>
      </c>
    </row>
    <row r="52" spans="2:7" ht="12.75" x14ac:dyDescent="0.2">
      <c r="B52" s="996"/>
      <c r="C52" s="95" t="s">
        <v>396</v>
      </c>
      <c r="D52" s="95" t="s">
        <v>397</v>
      </c>
      <c r="E52" s="95" t="s">
        <v>397</v>
      </c>
      <c r="F52" s="95" t="s">
        <v>397</v>
      </c>
      <c r="G52" s="997" t="s">
        <v>397</v>
      </c>
    </row>
    <row r="53" spans="2:7" ht="14.25" x14ac:dyDescent="0.25">
      <c r="B53" s="960" t="s">
        <v>72</v>
      </c>
      <c r="C53" s="875" t="s">
        <v>399</v>
      </c>
      <c r="D53" s="875" t="s">
        <v>1073</v>
      </c>
      <c r="E53" s="875" t="s">
        <v>1074</v>
      </c>
      <c r="F53" s="875" t="s">
        <v>1075</v>
      </c>
      <c r="G53" s="962" t="s">
        <v>1076</v>
      </c>
    </row>
    <row r="54" spans="2:7" ht="12.75" x14ac:dyDescent="0.2">
      <c r="B54" s="903" t="s">
        <v>89</v>
      </c>
      <c r="C54" s="974">
        <v>198</v>
      </c>
      <c r="D54" s="998">
        <f t="shared" ref="D54:D60" si="8">G8</f>
        <v>1.8707585870160002E-2</v>
      </c>
      <c r="E54" s="999">
        <f t="shared" ref="E54:E61" si="9">G37</f>
        <v>5.5567681645790158E-5</v>
      </c>
      <c r="F54" s="998">
        <f t="shared" ref="F54:F61" si="10">G22</f>
        <v>7.8886262336434236E-5</v>
      </c>
      <c r="G54" s="1000">
        <f t="shared" ref="G54:G61" si="11">D54+E54+F54</f>
        <v>1.8842039814142227E-2</v>
      </c>
    </row>
    <row r="55" spans="2:7" ht="12.75" x14ac:dyDescent="0.2">
      <c r="B55" s="910" t="s">
        <v>403</v>
      </c>
      <c r="C55" s="886">
        <v>9215</v>
      </c>
      <c r="D55" s="1001">
        <f t="shared" si="8"/>
        <v>0.68113231532582497</v>
      </c>
      <c r="E55" s="1002">
        <f t="shared" si="9"/>
        <v>2.5861423553836175E-3</v>
      </c>
      <c r="F55" s="1001">
        <f t="shared" si="10"/>
        <v>1.4685594089499825E-3</v>
      </c>
      <c r="G55" s="965">
        <f t="shared" si="11"/>
        <v>0.6851870170901585</v>
      </c>
    </row>
    <row r="56" spans="2:7" ht="12.75" x14ac:dyDescent="0.2">
      <c r="B56" s="910" t="s">
        <v>446</v>
      </c>
      <c r="C56" s="886">
        <v>102</v>
      </c>
      <c r="D56" s="1001">
        <f t="shared" si="8"/>
        <v>7.4613338039900001E-3</v>
      </c>
      <c r="E56" s="1002">
        <f t="shared" si="9"/>
        <v>2.8625775393285835E-5</v>
      </c>
      <c r="F56" s="1001">
        <f t="shared" si="10"/>
        <v>1.6255351026901597E-5</v>
      </c>
      <c r="G56" s="965">
        <f t="shared" si="11"/>
        <v>7.5062149304101879E-3</v>
      </c>
    </row>
    <row r="57" spans="2:7" ht="12.75" x14ac:dyDescent="0.2">
      <c r="B57" s="910" t="s">
        <v>1039</v>
      </c>
      <c r="C57" s="886">
        <v>2638</v>
      </c>
      <c r="D57" s="1001">
        <f t="shared" si="8"/>
        <v>0.1628654247843899</v>
      </c>
      <c r="E57" s="1002">
        <f t="shared" si="9"/>
        <v>7.4034113223027495E-4</v>
      </c>
      <c r="F57" s="1001">
        <f t="shared" si="10"/>
        <v>4.2040800008790602E-4</v>
      </c>
      <c r="G57" s="965">
        <f t="shared" si="11"/>
        <v>0.1640261739167081</v>
      </c>
    </row>
    <row r="58" spans="2:7" ht="12.75" x14ac:dyDescent="0.2">
      <c r="B58" s="910" t="s">
        <v>1060</v>
      </c>
      <c r="C58" s="886">
        <v>171</v>
      </c>
      <c r="D58" s="1001">
        <f t="shared" si="8"/>
        <v>1.2204520971095355E-2</v>
      </c>
      <c r="E58" s="1002">
        <f t="shared" si="9"/>
        <v>4.7990270512273314E-5</v>
      </c>
      <c r="F58" s="1001">
        <f t="shared" si="10"/>
        <v>2.7251617898040914E-5</v>
      </c>
      <c r="G58" s="965">
        <f t="shared" si="11"/>
        <v>1.2279762859505669E-2</v>
      </c>
    </row>
    <row r="59" spans="2:7" ht="12.75" x14ac:dyDescent="0.2">
      <c r="B59" s="910" t="s">
        <v>404</v>
      </c>
      <c r="C59" s="886">
        <v>19</v>
      </c>
      <c r="D59" s="1001">
        <f t="shared" si="8"/>
        <v>1.4258907789316668E-3</v>
      </c>
      <c r="E59" s="1002">
        <f t="shared" si="9"/>
        <v>5.332252279141479E-6</v>
      </c>
      <c r="F59" s="1001">
        <f t="shared" si="10"/>
        <v>3.0279575442267683E-6</v>
      </c>
      <c r="G59" s="965">
        <f t="shared" si="11"/>
        <v>1.4342509887550349E-3</v>
      </c>
    </row>
    <row r="60" spans="2:7" ht="12.75" x14ac:dyDescent="0.2">
      <c r="B60" s="910" t="s">
        <v>331</v>
      </c>
      <c r="C60" s="886">
        <v>78599</v>
      </c>
      <c r="D60" s="1001">
        <f t="shared" si="8"/>
        <v>4.1673398266817721</v>
      </c>
      <c r="E60" s="1002">
        <f t="shared" si="9"/>
        <v>1.0448718204970002E-2</v>
      </c>
      <c r="F60" s="1001">
        <f t="shared" si="10"/>
        <v>1.9777930887978933E-3</v>
      </c>
      <c r="G60" s="965">
        <f t="shared" si="11"/>
        <v>4.1797663379755408</v>
      </c>
    </row>
    <row r="61" spans="2:7" ht="12.75" x14ac:dyDescent="0.2">
      <c r="B61" s="914" t="s">
        <v>579</v>
      </c>
      <c r="C61" s="892">
        <v>2333</v>
      </c>
      <c r="D61" s="943">
        <v>0</v>
      </c>
      <c r="E61" s="1003">
        <f t="shared" si="9"/>
        <v>1.86085264994682E-2</v>
      </c>
      <c r="F61" s="1004">
        <f t="shared" si="10"/>
        <v>2.3482188201709871E-3</v>
      </c>
      <c r="G61" s="978">
        <f t="shared" si="11"/>
        <v>2.0956745319639185E-2</v>
      </c>
    </row>
    <row r="62" spans="2:7" ht="12.75" x14ac:dyDescent="0.2">
      <c r="B62" s="918"/>
      <c r="C62" s="898"/>
      <c r="D62" s="898"/>
      <c r="E62" s="898"/>
      <c r="F62" s="928" t="s">
        <v>393</v>
      </c>
      <c r="G62" s="980">
        <f>SUM(G54:G61)</f>
        <v>5.0899985428948593</v>
      </c>
    </row>
    <row r="69" spans="2:8" ht="11.25" x14ac:dyDescent="0.2">
      <c r="B69" s="583" t="s">
        <v>1077</v>
      </c>
    </row>
    <row r="70" spans="2:8" ht="11.25" x14ac:dyDescent="0.2">
      <c r="H70" s="1005" t="s">
        <v>1078</v>
      </c>
    </row>
  </sheetData>
  <sheetProtection algorithmName="SHA-512" hashValue="os1aRwGQFjN3QVSE6YzEoJWmDCj27jCglEFZb+v47un1rzrI5XWDnnhCOEWvzeBiL+yu/tmYbmnl/P2POE0jsg==" saltValue="deZQpkpQYHGzk/jlC+8GNQ==" spinCount="100000" sheet="1" objects="1" scenarios="1"/>
  <mergeCells count="1">
    <mergeCell ref="J5:K5"/>
  </mergeCells>
  <hyperlinks>
    <hyperlink ref="H70" r:id="rId1" xr:uid="{00000000-0004-0000-0900-000000000000}"/>
  </hyperlinks>
  <pageMargins left="0.75" right="0.75" top="1" bottom="1" header="0" footer="0"/>
  <pageSetup orientation="portrait"/>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28"/>
  <sheetViews>
    <sheetView workbookViewId="0"/>
  </sheetViews>
  <sheetFormatPr defaultColWidth="16.83203125" defaultRowHeight="15" customHeight="1" x14ac:dyDescent="0.2"/>
  <cols>
    <col min="1" max="1" width="8.83203125" customWidth="1"/>
    <col min="2" max="2" width="22.5" customWidth="1"/>
    <col min="3" max="3" width="17.83203125" customWidth="1"/>
    <col min="4" max="4" width="19.33203125" customWidth="1"/>
    <col min="5" max="5" width="23.6640625" customWidth="1"/>
    <col min="6" max="6" width="17.83203125" customWidth="1"/>
    <col min="7" max="7" width="20.33203125" customWidth="1"/>
    <col min="8" max="8" width="15.1640625" customWidth="1"/>
    <col min="9" max="9" width="19.33203125" customWidth="1"/>
    <col min="10" max="10" width="17.1640625" customWidth="1"/>
    <col min="11" max="26" width="8.83203125" customWidth="1"/>
  </cols>
  <sheetData>
    <row r="1" spans="1:26" ht="33" x14ac:dyDescent="0.45">
      <c r="A1" s="9" t="s">
        <v>1079</v>
      </c>
      <c r="B1" s="9"/>
      <c r="C1" s="481"/>
      <c r="D1" s="481"/>
      <c r="E1" s="481"/>
      <c r="F1" s="482"/>
      <c r="G1" s="481"/>
      <c r="H1" s="481"/>
      <c r="I1" s="481"/>
      <c r="J1" s="481"/>
      <c r="K1" s="481"/>
      <c r="L1" s="481"/>
      <c r="M1" s="481"/>
      <c r="N1" s="481"/>
      <c r="O1" s="481"/>
      <c r="P1" s="481"/>
      <c r="Q1" s="481"/>
      <c r="R1" s="481"/>
      <c r="S1" s="481"/>
      <c r="T1" s="481"/>
      <c r="U1" s="481"/>
      <c r="V1" s="481"/>
      <c r="W1" s="481"/>
      <c r="X1" s="481"/>
      <c r="Y1" s="481"/>
      <c r="Z1" s="481"/>
    </row>
    <row r="2" spans="1:26" ht="69.75" customHeight="1" x14ac:dyDescent="0.2">
      <c r="A2" s="2511"/>
      <c r="B2" s="2504"/>
      <c r="C2" s="2504"/>
      <c r="D2" s="2504"/>
      <c r="E2" s="2504"/>
      <c r="F2" s="2504"/>
      <c r="G2" s="2504"/>
      <c r="H2" s="2504"/>
      <c r="I2" s="2504"/>
      <c r="J2" s="2504"/>
      <c r="K2" s="481"/>
      <c r="L2" s="481"/>
      <c r="M2" s="481"/>
      <c r="N2" s="481"/>
      <c r="O2" s="481"/>
      <c r="P2" s="481"/>
      <c r="Q2" s="481"/>
      <c r="R2" s="481"/>
      <c r="S2" s="481"/>
      <c r="T2" s="481"/>
      <c r="U2" s="481"/>
      <c r="V2" s="481"/>
      <c r="W2" s="481"/>
      <c r="X2" s="481"/>
      <c r="Y2" s="481"/>
      <c r="Z2" s="481"/>
    </row>
    <row r="4" spans="1:26" ht="21" x14ac:dyDescent="0.4">
      <c r="B4" s="902" t="s">
        <v>1080</v>
      </c>
      <c r="C4" s="1006"/>
      <c r="D4" s="902">
        <v>2014</v>
      </c>
      <c r="E4" s="481"/>
      <c r="F4" s="481"/>
      <c r="G4" s="481"/>
      <c r="H4" s="481"/>
      <c r="I4" s="481"/>
      <c r="J4" s="481"/>
      <c r="K4" s="481"/>
      <c r="L4" s="481"/>
      <c r="M4" s="481"/>
      <c r="N4" s="481"/>
      <c r="O4" s="481"/>
      <c r="P4" s="466"/>
    </row>
    <row r="5" spans="1:26" ht="12.75" x14ac:dyDescent="0.2">
      <c r="B5" s="1007"/>
      <c r="C5" s="1008" t="s">
        <v>1081</v>
      </c>
      <c r="D5" s="1008" t="s">
        <v>1020</v>
      </c>
      <c r="E5" s="1009"/>
      <c r="F5" s="1008" t="s">
        <v>1021</v>
      </c>
      <c r="G5" s="1009"/>
      <c r="H5" s="1009"/>
      <c r="I5" s="1009"/>
      <c r="J5" s="1010"/>
      <c r="K5" s="481"/>
      <c r="L5" s="481"/>
      <c r="M5" s="481"/>
      <c r="N5" s="481"/>
      <c r="O5" s="481"/>
      <c r="P5" s="466"/>
    </row>
    <row r="6" spans="1:26" ht="12.75" x14ac:dyDescent="0.2">
      <c r="B6" s="1011"/>
      <c r="C6" s="1012" t="s">
        <v>396</v>
      </c>
      <c r="D6" s="1012" t="s">
        <v>396</v>
      </c>
      <c r="E6" s="1013"/>
      <c r="F6" s="1012" t="s">
        <v>396</v>
      </c>
      <c r="G6" s="1012" t="s">
        <v>985</v>
      </c>
      <c r="H6" s="1012" t="s">
        <v>986</v>
      </c>
      <c r="I6" s="95" t="s">
        <v>397</v>
      </c>
      <c r="J6" s="933" t="s">
        <v>397</v>
      </c>
      <c r="K6" s="481"/>
      <c r="L6" s="466"/>
      <c r="M6" s="481"/>
      <c r="N6" s="873"/>
      <c r="O6" s="481"/>
      <c r="P6" s="466"/>
    </row>
    <row r="7" spans="1:26" ht="14.25" x14ac:dyDescent="0.25">
      <c r="B7" s="1014" t="s">
        <v>72</v>
      </c>
      <c r="C7" s="1015" t="s">
        <v>399</v>
      </c>
      <c r="D7" s="1015" t="s">
        <v>399</v>
      </c>
      <c r="E7" s="1015" t="s">
        <v>1022</v>
      </c>
      <c r="F7" s="1015" t="s">
        <v>399</v>
      </c>
      <c r="G7" s="1015" t="s">
        <v>987</v>
      </c>
      <c r="H7" s="1015" t="s">
        <v>988</v>
      </c>
      <c r="I7" s="1015" t="s">
        <v>989</v>
      </c>
      <c r="J7" s="1016" t="s">
        <v>1082</v>
      </c>
      <c r="K7" s="1017"/>
      <c r="L7" s="2501" t="s">
        <v>0</v>
      </c>
      <c r="M7" s="2502"/>
      <c r="N7" s="1017"/>
      <c r="O7" s="481"/>
      <c r="P7" s="466"/>
    </row>
    <row r="8" spans="1:26" ht="12.75" x14ac:dyDescent="0.2">
      <c r="B8" s="1018" t="s">
        <v>1083</v>
      </c>
      <c r="C8" s="1019">
        <v>0</v>
      </c>
      <c r="D8" s="1019">
        <v>0</v>
      </c>
      <c r="E8" s="1020">
        <v>0.1</v>
      </c>
      <c r="F8" s="1021">
        <f t="shared" ref="F8:F29" si="0">C8-(D8*E8)</f>
        <v>0</v>
      </c>
      <c r="G8" s="1022">
        <v>56.195454545454538</v>
      </c>
      <c r="H8" s="1023">
        <v>1</v>
      </c>
      <c r="I8" s="1024">
        <f t="shared" ref="I8:I10" si="1">(F8*1000*G8*H8)/2000</f>
        <v>0</v>
      </c>
      <c r="J8" s="1025">
        <f>I8*(44/12)*0.90718/1000000</f>
        <v>0</v>
      </c>
      <c r="K8" s="1026"/>
      <c r="L8" s="198"/>
      <c r="M8" s="198"/>
      <c r="N8" s="884"/>
      <c r="O8" s="1027"/>
      <c r="P8" s="466"/>
    </row>
    <row r="9" spans="1:26" ht="12.75" x14ac:dyDescent="0.2">
      <c r="B9" s="1028" t="s">
        <v>1084</v>
      </c>
      <c r="C9" s="1029">
        <v>15627</v>
      </c>
      <c r="D9" s="1030">
        <v>232</v>
      </c>
      <c r="E9" s="1031">
        <v>0</v>
      </c>
      <c r="F9" s="1032">
        <f t="shared" si="0"/>
        <v>15627</v>
      </c>
      <c r="G9" s="1033">
        <v>56.852727272727272</v>
      </c>
      <c r="H9" s="1034">
        <v>1</v>
      </c>
      <c r="I9" s="889">
        <f t="shared" si="1"/>
        <v>444218.78454545455</v>
      </c>
      <c r="J9" s="1035">
        <f t="shared" ref="J9:J29" si="2">I9*(44/12)*0.907441/1000000</f>
        <v>1.47804190624461</v>
      </c>
      <c r="K9" s="1026"/>
      <c r="L9" s="200" t="s">
        <v>4</v>
      </c>
      <c r="M9" s="201">
        <f>'Summ GHG Rpt Expanded'!G4</f>
        <v>1</v>
      </c>
      <c r="N9" s="884"/>
      <c r="O9" s="1027"/>
      <c r="P9" s="466"/>
    </row>
    <row r="10" spans="1:26" ht="12.75" x14ac:dyDescent="0.2">
      <c r="B10" s="1028" t="s">
        <v>1085</v>
      </c>
      <c r="C10" s="1029">
        <v>15346</v>
      </c>
      <c r="D10" s="1030">
        <v>17999</v>
      </c>
      <c r="E10" s="1031">
        <v>1</v>
      </c>
      <c r="F10" s="1032">
        <f t="shared" si="0"/>
        <v>-2653</v>
      </c>
      <c r="G10" s="1033">
        <v>45.27</v>
      </c>
      <c r="H10" s="1034">
        <v>1</v>
      </c>
      <c r="I10" s="889">
        <f t="shared" si="1"/>
        <v>-60050.655000000006</v>
      </c>
      <c r="J10" s="1035">
        <f t="shared" si="2"/>
        <v>-0.19980556355413503</v>
      </c>
      <c r="K10" s="1026"/>
      <c r="L10" s="200" t="s">
        <v>5</v>
      </c>
      <c r="M10" s="201">
        <f>'Summ GHG Rpt Expanded'!G5</f>
        <v>28</v>
      </c>
      <c r="N10" s="884"/>
      <c r="O10" s="1027"/>
      <c r="P10" s="466"/>
    </row>
    <row r="11" spans="1:26" ht="25.5" x14ac:dyDescent="0.2">
      <c r="B11" s="1036" t="s">
        <v>1086</v>
      </c>
      <c r="C11" s="1030">
        <v>0</v>
      </c>
      <c r="D11" s="1030">
        <v>0</v>
      </c>
      <c r="E11" s="1031">
        <v>0</v>
      </c>
      <c r="F11" s="1032">
        <f t="shared" si="0"/>
        <v>0</v>
      </c>
      <c r="G11" s="1033">
        <v>41.56</v>
      </c>
      <c r="H11" s="1034">
        <v>1</v>
      </c>
      <c r="I11" s="889">
        <f t="shared" ref="I11:I12" si="3">F11*G11*H11/2000</f>
        <v>0</v>
      </c>
      <c r="J11" s="1035">
        <f t="shared" si="2"/>
        <v>0</v>
      </c>
      <c r="K11" s="1026"/>
      <c r="L11" s="200" t="s">
        <v>6</v>
      </c>
      <c r="M11" s="201">
        <f>'Summ GHG Rpt Expanded'!G6</f>
        <v>265</v>
      </c>
      <c r="N11" s="884"/>
      <c r="O11" s="1027"/>
      <c r="P11" s="466"/>
    </row>
    <row r="12" spans="1:26" ht="12.75" x14ac:dyDescent="0.2">
      <c r="B12" s="1036" t="s">
        <v>1087</v>
      </c>
      <c r="C12" s="1030">
        <v>0</v>
      </c>
      <c r="D12" s="1030">
        <v>0</v>
      </c>
      <c r="E12" s="1031">
        <v>0</v>
      </c>
      <c r="F12" s="1032">
        <f t="shared" si="0"/>
        <v>0</v>
      </c>
      <c r="G12" s="1037">
        <v>44.77366188659483</v>
      </c>
      <c r="H12" s="1034">
        <v>1</v>
      </c>
      <c r="I12" s="889">
        <f t="shared" si="3"/>
        <v>0</v>
      </c>
      <c r="J12" s="1035">
        <f t="shared" si="2"/>
        <v>0</v>
      </c>
      <c r="K12" s="1026"/>
      <c r="L12" s="200" t="s">
        <v>7</v>
      </c>
      <c r="M12" s="202">
        <f>'Summ GHG Rpt Expanded'!G7</f>
        <v>23500</v>
      </c>
      <c r="N12" s="884"/>
      <c r="O12" s="1027"/>
      <c r="P12" s="466"/>
    </row>
    <row r="13" spans="1:26" ht="12.75" x14ac:dyDescent="0.2">
      <c r="B13" s="1028" t="s">
        <v>403</v>
      </c>
      <c r="C13" s="1029">
        <v>6743</v>
      </c>
      <c r="D13" s="1030">
        <v>106</v>
      </c>
      <c r="E13" s="1031">
        <v>0.5</v>
      </c>
      <c r="F13" s="1032">
        <f t="shared" si="0"/>
        <v>6690</v>
      </c>
      <c r="G13" s="1033">
        <v>44.43</v>
      </c>
      <c r="H13" s="1034">
        <v>1</v>
      </c>
      <c r="I13" s="889">
        <f t="shared" ref="I13:I19" si="4">(F13*1000*G13*H13)/2000</f>
        <v>148618.35</v>
      </c>
      <c r="J13" s="1035">
        <f t="shared" si="2"/>
        <v>0.49449540852195001</v>
      </c>
      <c r="K13" s="1026"/>
      <c r="L13" s="200" t="s">
        <v>8</v>
      </c>
      <c r="M13" s="202">
        <f>'Summ GHG Rpt Expanded'!G8</f>
        <v>11100</v>
      </c>
      <c r="N13" s="884"/>
      <c r="O13" s="1027"/>
      <c r="P13" s="466"/>
    </row>
    <row r="14" spans="1:26" ht="25.5" x14ac:dyDescent="0.2">
      <c r="B14" s="1036" t="s">
        <v>1088</v>
      </c>
      <c r="C14" s="1038">
        <v>0</v>
      </c>
      <c r="D14" s="1030"/>
      <c r="E14" s="1031">
        <v>0.61918625610433442</v>
      </c>
      <c r="F14" s="1032">
        <f t="shared" si="0"/>
        <v>0</v>
      </c>
      <c r="G14" s="1033">
        <v>40.86</v>
      </c>
      <c r="H14" s="1034">
        <v>1</v>
      </c>
      <c r="I14" s="889">
        <f t="shared" si="4"/>
        <v>0</v>
      </c>
      <c r="J14" s="1035">
        <f t="shared" si="2"/>
        <v>0</v>
      </c>
      <c r="K14" s="1026"/>
      <c r="L14" s="466"/>
      <c r="M14" s="1027"/>
      <c r="N14" s="884"/>
      <c r="O14" s="1027"/>
      <c r="P14" s="466"/>
    </row>
    <row r="15" spans="1:26" ht="25.5" x14ac:dyDescent="0.2">
      <c r="B15" s="1036" t="s">
        <v>1089</v>
      </c>
      <c r="C15" s="1038">
        <v>0</v>
      </c>
      <c r="D15" s="1030"/>
      <c r="E15" s="1031">
        <v>0.61918625610433442</v>
      </c>
      <c r="F15" s="1032">
        <f t="shared" si="0"/>
        <v>0</v>
      </c>
      <c r="G15" s="1033">
        <v>44.43</v>
      </c>
      <c r="H15" s="1034">
        <v>1</v>
      </c>
      <c r="I15" s="889">
        <f t="shared" si="4"/>
        <v>0</v>
      </c>
      <c r="J15" s="1035">
        <f t="shared" si="2"/>
        <v>0</v>
      </c>
      <c r="K15" s="1026"/>
      <c r="L15" s="466"/>
      <c r="M15" s="1027"/>
      <c r="N15" s="884"/>
      <c r="O15" s="1027"/>
      <c r="P15" s="466"/>
    </row>
    <row r="16" spans="1:26" ht="12.75" x14ac:dyDescent="0.2">
      <c r="B16" s="1028" t="s">
        <v>446</v>
      </c>
      <c r="C16" s="1029">
        <v>15</v>
      </c>
      <c r="D16" s="1030">
        <v>0</v>
      </c>
      <c r="E16" s="1031">
        <v>0</v>
      </c>
      <c r="F16" s="1032">
        <f t="shared" si="0"/>
        <v>15</v>
      </c>
      <c r="G16" s="1033">
        <v>43.97</v>
      </c>
      <c r="H16" s="1034">
        <v>1</v>
      </c>
      <c r="I16" s="889">
        <f t="shared" si="4"/>
        <v>329.77499999999998</v>
      </c>
      <c r="J16" s="1035">
        <f t="shared" si="2"/>
        <v>1.097254971175E-3</v>
      </c>
      <c r="K16" s="1026"/>
      <c r="L16" s="466"/>
      <c r="M16" s="1027"/>
      <c r="N16" s="884"/>
      <c r="O16" s="1027"/>
      <c r="P16" s="466"/>
    </row>
    <row r="17" spans="2:16" ht="12.75" x14ac:dyDescent="0.2">
      <c r="B17" s="1028" t="s">
        <v>1039</v>
      </c>
      <c r="C17" s="1029">
        <v>1313</v>
      </c>
      <c r="D17" s="1030">
        <v>1413</v>
      </c>
      <c r="E17" s="1031">
        <v>0.61918625610433442</v>
      </c>
      <c r="F17" s="1032">
        <f t="shared" si="0"/>
        <v>438.08982012457545</v>
      </c>
      <c r="G17" s="1037">
        <v>37.273236373298225</v>
      </c>
      <c r="H17" s="1034">
        <v>1</v>
      </c>
      <c r="I17" s="889">
        <f t="shared" si="4"/>
        <v>8164.5127091195018</v>
      </c>
      <c r="J17" s="1035">
        <f t="shared" si="2"/>
        <v>2.7165649783345736E-2</v>
      </c>
      <c r="K17" s="1026"/>
      <c r="L17" s="466"/>
      <c r="M17" s="1027"/>
      <c r="N17" s="884"/>
      <c r="O17" s="1027"/>
      <c r="P17" s="466"/>
    </row>
    <row r="18" spans="2:16" ht="12.75" x14ac:dyDescent="0.2">
      <c r="B18" s="1028" t="s">
        <v>1024</v>
      </c>
      <c r="C18" s="1029">
        <v>1988</v>
      </c>
      <c r="D18" s="1030">
        <v>1781</v>
      </c>
      <c r="E18" s="1031">
        <v>9.2393732597307904E-2</v>
      </c>
      <c r="F18" s="1032">
        <f t="shared" si="0"/>
        <v>1823.4467622441946</v>
      </c>
      <c r="G18" s="1033">
        <v>43.97</v>
      </c>
      <c r="H18" s="1034">
        <v>1</v>
      </c>
      <c r="I18" s="889">
        <f t="shared" si="4"/>
        <v>40088.47706793862</v>
      </c>
      <c r="J18" s="1035">
        <f t="shared" si="2"/>
        <v>0.13338573496969339</v>
      </c>
      <c r="K18" s="1026"/>
      <c r="L18" s="466"/>
      <c r="M18" s="1027"/>
      <c r="N18" s="884"/>
      <c r="O18" s="1027"/>
      <c r="P18" s="466"/>
    </row>
    <row r="19" spans="2:16" ht="12.75" x14ac:dyDescent="0.2">
      <c r="B19" s="1028" t="s">
        <v>1060</v>
      </c>
      <c r="C19" s="1029">
        <v>4253</v>
      </c>
      <c r="D19" s="1030">
        <v>0</v>
      </c>
      <c r="E19" s="1031">
        <v>0</v>
      </c>
      <c r="F19" s="1032">
        <f t="shared" si="0"/>
        <v>4253</v>
      </c>
      <c r="G19" s="1037">
        <v>42.900741155457617</v>
      </c>
      <c r="H19" s="1034">
        <v>1</v>
      </c>
      <c r="I19" s="889">
        <f t="shared" si="4"/>
        <v>91228.426067080611</v>
      </c>
      <c r="J19" s="1035">
        <f t="shared" si="2"/>
        <v>0.3035428519887049</v>
      </c>
      <c r="K19" s="1026"/>
      <c r="L19" s="466"/>
      <c r="M19" s="1027"/>
      <c r="N19" s="884"/>
      <c r="O19" s="1027"/>
      <c r="P19" s="466"/>
    </row>
    <row r="20" spans="2:16" ht="25.5" x14ac:dyDescent="0.2">
      <c r="B20" s="1036" t="s">
        <v>1090</v>
      </c>
      <c r="C20" s="1030">
        <v>0</v>
      </c>
      <c r="D20" s="1030">
        <v>0</v>
      </c>
      <c r="E20" s="1031">
        <v>0</v>
      </c>
      <c r="F20" s="1032">
        <f t="shared" si="0"/>
        <v>0</v>
      </c>
      <c r="G20" s="1037">
        <v>42.900741155457617</v>
      </c>
      <c r="H20" s="1034">
        <v>1</v>
      </c>
      <c r="I20" s="889">
        <f>F20*G20*H20/2000</f>
        <v>0</v>
      </c>
      <c r="J20" s="1035">
        <f t="shared" si="2"/>
        <v>0</v>
      </c>
      <c r="K20" s="1026"/>
      <c r="L20" s="466"/>
      <c r="M20" s="1027"/>
      <c r="N20" s="884"/>
      <c r="O20" s="1027"/>
      <c r="P20" s="466"/>
    </row>
    <row r="21" spans="2:16" ht="12.75" x14ac:dyDescent="0.2">
      <c r="B21" s="1028" t="s">
        <v>1091</v>
      </c>
      <c r="C21" s="1029">
        <v>270</v>
      </c>
      <c r="D21" s="1030">
        <v>501</v>
      </c>
      <c r="E21" s="1031">
        <v>0</v>
      </c>
      <c r="F21" s="1032">
        <f t="shared" si="0"/>
        <v>270</v>
      </c>
      <c r="G21" s="1037">
        <v>44.77366188659483</v>
      </c>
      <c r="H21" s="1034">
        <v>1</v>
      </c>
      <c r="I21" s="889">
        <f>(F21*1000*G21*H21)/2000</f>
        <v>6044.4443546903021</v>
      </c>
      <c r="J21" s="1035">
        <f t="shared" si="2"/>
        <v>2.0111580975436583E-2</v>
      </c>
      <c r="K21" s="1026"/>
      <c r="L21" s="466"/>
      <c r="M21" s="1027"/>
      <c r="N21" s="884"/>
      <c r="O21" s="1027"/>
      <c r="P21" s="466"/>
    </row>
    <row r="22" spans="2:16" ht="12.75" x14ac:dyDescent="0.2">
      <c r="B22" s="1028" t="s">
        <v>1092</v>
      </c>
      <c r="C22" s="1030">
        <v>0</v>
      </c>
      <c r="D22" s="1030">
        <v>0</v>
      </c>
      <c r="E22" s="1031">
        <v>0.3</v>
      </c>
      <c r="F22" s="1032">
        <f t="shared" si="0"/>
        <v>0</v>
      </c>
      <c r="G22" s="1033">
        <v>61.34</v>
      </c>
      <c r="H22" s="1034">
        <v>1</v>
      </c>
      <c r="I22" s="889">
        <f>F22*G22*H22/2000</f>
        <v>0</v>
      </c>
      <c r="J22" s="1035">
        <f t="shared" si="2"/>
        <v>0</v>
      </c>
      <c r="K22" s="1026"/>
      <c r="L22" s="466"/>
      <c r="M22" s="1027"/>
      <c r="N22" s="884"/>
      <c r="O22" s="1027"/>
      <c r="P22" s="466"/>
    </row>
    <row r="23" spans="2:16" ht="12.75" x14ac:dyDescent="0.2">
      <c r="B23" s="1028" t="s">
        <v>1093</v>
      </c>
      <c r="C23" s="1030"/>
      <c r="D23" s="1030"/>
      <c r="E23" s="1031">
        <v>0.61918625610433442</v>
      </c>
      <c r="F23" s="1032">
        <f t="shared" si="0"/>
        <v>0</v>
      </c>
      <c r="G23" s="1033">
        <v>42.06</v>
      </c>
      <c r="H23" s="1034">
        <v>1</v>
      </c>
      <c r="I23" s="889">
        <f t="shared" ref="I23:I24" si="5">(F23*1000*G23*H23)/2000</f>
        <v>0</v>
      </c>
      <c r="J23" s="1035">
        <f t="shared" si="2"/>
        <v>0</v>
      </c>
      <c r="K23" s="1026"/>
      <c r="L23" s="466"/>
      <c r="M23" s="1027"/>
      <c r="N23" s="884"/>
      <c r="O23" s="1027"/>
      <c r="P23" s="466"/>
    </row>
    <row r="24" spans="2:16" ht="12.75" x14ac:dyDescent="0.2">
      <c r="B24" s="1028" t="s">
        <v>404</v>
      </c>
      <c r="C24" s="1029">
        <v>241</v>
      </c>
      <c r="D24" s="1030">
        <v>0</v>
      </c>
      <c r="E24" s="1031">
        <v>0.5</v>
      </c>
      <c r="F24" s="1032">
        <f t="shared" si="0"/>
        <v>241</v>
      </c>
      <c r="G24" s="1033">
        <v>45.11</v>
      </c>
      <c r="H24" s="1034">
        <v>1</v>
      </c>
      <c r="I24" s="889">
        <f t="shared" si="5"/>
        <v>5435.7550000000001</v>
      </c>
      <c r="J24" s="1035">
        <f t="shared" si="2"/>
        <v>1.8086298827501665E-2</v>
      </c>
      <c r="K24" s="1026"/>
      <c r="L24" s="466"/>
      <c r="M24" s="1027"/>
      <c r="N24" s="884"/>
      <c r="O24" s="1027"/>
      <c r="P24" s="466"/>
    </row>
    <row r="25" spans="2:16" ht="12.75" x14ac:dyDescent="0.2">
      <c r="B25" s="1028" t="s">
        <v>1094</v>
      </c>
      <c r="C25" s="1030">
        <v>0</v>
      </c>
      <c r="D25" s="1030">
        <v>0</v>
      </c>
      <c r="E25" s="1031">
        <v>0.8</v>
      </c>
      <c r="F25" s="1032">
        <f t="shared" si="0"/>
        <v>0</v>
      </c>
      <c r="G25" s="1033">
        <v>40.08</v>
      </c>
      <c r="H25" s="1034">
        <v>1</v>
      </c>
      <c r="I25" s="889">
        <f>F25*G25*H25/2000</f>
        <v>0</v>
      </c>
      <c r="J25" s="1035">
        <f t="shared" si="2"/>
        <v>0</v>
      </c>
      <c r="K25" s="1026"/>
      <c r="L25" s="466"/>
      <c r="M25" s="1027"/>
      <c r="N25" s="884"/>
      <c r="O25" s="1027"/>
      <c r="P25" s="466"/>
    </row>
    <row r="26" spans="2:16" ht="12.75" x14ac:dyDescent="0.2">
      <c r="B26" s="1028" t="s">
        <v>1095</v>
      </c>
      <c r="C26" s="1029">
        <v>2956</v>
      </c>
      <c r="D26" s="1030">
        <v>516</v>
      </c>
      <c r="E26" s="1031">
        <v>0</v>
      </c>
      <c r="F26" s="1032">
        <f t="shared" si="0"/>
        <v>2956</v>
      </c>
      <c r="G26" s="1033">
        <v>43.47</v>
      </c>
      <c r="H26" s="1034">
        <v>1</v>
      </c>
      <c r="I26" s="889">
        <f>(F26*1000*G26*H26)/2000</f>
        <v>64248.66</v>
      </c>
      <c r="J26" s="1035">
        <f t="shared" si="2"/>
        <v>0.21377351702322001</v>
      </c>
      <c r="K26" s="1026"/>
      <c r="L26" s="466"/>
      <c r="M26" s="1027"/>
      <c r="N26" s="884"/>
      <c r="O26" s="1027"/>
      <c r="P26" s="466"/>
    </row>
    <row r="27" spans="2:16" ht="12.75" x14ac:dyDescent="0.2">
      <c r="B27" s="1028" t="s">
        <v>1096</v>
      </c>
      <c r="C27" s="1030">
        <v>0</v>
      </c>
      <c r="D27" s="1030">
        <v>0</v>
      </c>
      <c r="E27" s="1031">
        <v>0</v>
      </c>
      <c r="F27" s="1032">
        <f t="shared" si="0"/>
        <v>0</v>
      </c>
      <c r="G27" s="1037">
        <v>44.77366188659483</v>
      </c>
      <c r="H27" s="1034">
        <v>1</v>
      </c>
      <c r="I27" s="889">
        <f>F27*G27*H27/2000</f>
        <v>0</v>
      </c>
      <c r="J27" s="1035">
        <f t="shared" si="2"/>
        <v>0</v>
      </c>
      <c r="K27" s="1026"/>
      <c r="L27" s="466"/>
      <c r="M27" s="1027"/>
      <c r="N27" s="884"/>
      <c r="O27" s="1027"/>
      <c r="P27" s="466"/>
    </row>
    <row r="28" spans="2:16" ht="12.75" x14ac:dyDescent="0.2">
      <c r="B28" s="1028" t="s">
        <v>1097</v>
      </c>
      <c r="C28" s="1029">
        <v>146</v>
      </c>
      <c r="D28" s="1030">
        <v>106</v>
      </c>
      <c r="E28" s="1031">
        <v>0.57999999999999996</v>
      </c>
      <c r="F28" s="1032">
        <f t="shared" si="0"/>
        <v>84.52000000000001</v>
      </c>
      <c r="G28" s="1033">
        <v>43.6</v>
      </c>
      <c r="H28" s="1034">
        <v>1</v>
      </c>
      <c r="I28" s="889">
        <f t="shared" ref="I28:I29" si="6">(F28*1000*G28*H28)/2000</f>
        <v>1842.5360000000005</v>
      </c>
      <c r="J28" s="1035">
        <f t="shared" si="2"/>
        <v>6.1306399380453361E-3</v>
      </c>
      <c r="K28" s="1026"/>
      <c r="L28" s="466"/>
      <c r="M28" s="1027"/>
      <c r="N28" s="884"/>
      <c r="O28" s="1027"/>
      <c r="P28" s="466"/>
    </row>
    <row r="29" spans="2:16" ht="12.75" x14ac:dyDescent="0.2">
      <c r="B29" s="1028" t="s">
        <v>331</v>
      </c>
      <c r="C29" s="1029">
        <v>15474</v>
      </c>
      <c r="D29" s="1030">
        <v>599</v>
      </c>
      <c r="E29" s="1031">
        <v>0.61918625610433442</v>
      </c>
      <c r="F29" s="1032">
        <f t="shared" si="0"/>
        <v>15103.107432593504</v>
      </c>
      <c r="G29" s="1033">
        <v>31.87</v>
      </c>
      <c r="H29" s="1034">
        <v>1</v>
      </c>
      <c r="I29" s="895">
        <f t="shared" si="6"/>
        <v>240668.01693837749</v>
      </c>
      <c r="J29" s="1039">
        <f t="shared" si="2"/>
        <v>0.80077076184812013</v>
      </c>
      <c r="K29" s="1026"/>
      <c r="L29" s="466"/>
      <c r="M29" s="1027"/>
      <c r="N29" s="884"/>
      <c r="O29" s="1027"/>
      <c r="P29" s="466"/>
    </row>
    <row r="30" spans="2:16" ht="12.75" x14ac:dyDescent="0.2">
      <c r="B30" s="1028"/>
      <c r="C30" s="1040"/>
      <c r="D30" s="1040"/>
      <c r="E30" s="1040"/>
      <c r="F30" s="1040"/>
      <c r="G30" s="1040"/>
      <c r="I30" s="1041" t="s">
        <v>393</v>
      </c>
      <c r="J30" s="1042">
        <f>SUM(J8:J29)</f>
        <v>3.2967960415376676</v>
      </c>
      <c r="K30" s="481"/>
      <c r="L30" s="481"/>
      <c r="M30" s="481"/>
      <c r="N30" s="481"/>
      <c r="O30" s="481"/>
    </row>
    <row r="31" spans="2:16" ht="12.75" x14ac:dyDescent="0.2">
      <c r="B31" s="1043"/>
      <c r="C31" s="1044"/>
      <c r="D31" s="1044"/>
      <c r="E31" s="1044"/>
      <c r="F31" s="1044"/>
      <c r="G31" s="1044"/>
      <c r="H31" s="1044"/>
      <c r="I31" s="1045"/>
      <c r="J31" s="1046"/>
    </row>
    <row r="34" spans="2:13" ht="21" x14ac:dyDescent="0.4">
      <c r="B34" s="867" t="s">
        <v>1098</v>
      </c>
      <c r="C34" s="1006"/>
      <c r="D34" s="902">
        <v>2014</v>
      </c>
      <c r="E34" s="481"/>
      <c r="F34" s="481"/>
      <c r="G34" s="481"/>
      <c r="H34" s="481"/>
      <c r="I34" s="481"/>
      <c r="J34" s="481"/>
      <c r="K34" s="481"/>
      <c r="L34" s="481"/>
      <c r="M34" s="481"/>
    </row>
    <row r="35" spans="2:13" ht="12.75" x14ac:dyDescent="0.2">
      <c r="B35" s="1047"/>
      <c r="C35" s="1048" t="s">
        <v>1081</v>
      </c>
      <c r="D35" s="1048" t="s">
        <v>1020</v>
      </c>
      <c r="E35" s="1049"/>
      <c r="F35" s="1049"/>
      <c r="G35" s="1049"/>
      <c r="H35" s="1050"/>
      <c r="I35" s="481"/>
      <c r="J35" s="481"/>
      <c r="K35" s="481"/>
      <c r="L35" s="481"/>
      <c r="M35" s="481"/>
    </row>
    <row r="36" spans="2:13" ht="12.75" x14ac:dyDescent="0.2">
      <c r="B36" s="1051"/>
      <c r="C36" s="1052" t="s">
        <v>396</v>
      </c>
      <c r="D36" s="1052" t="s">
        <v>396</v>
      </c>
      <c r="E36" s="1053" t="s">
        <v>985</v>
      </c>
      <c r="F36" s="1053" t="s">
        <v>408</v>
      </c>
      <c r="G36" s="1052" t="s">
        <v>398</v>
      </c>
      <c r="H36" s="1054" t="s">
        <v>397</v>
      </c>
      <c r="I36" s="481"/>
      <c r="J36" s="873"/>
      <c r="K36" s="481"/>
      <c r="L36" s="873"/>
      <c r="M36" s="481"/>
    </row>
    <row r="37" spans="2:13" ht="14.25" x14ac:dyDescent="0.25">
      <c r="B37" s="1055" t="s">
        <v>72</v>
      </c>
      <c r="C37" s="1056" t="s">
        <v>399</v>
      </c>
      <c r="D37" s="1056" t="s">
        <v>399</v>
      </c>
      <c r="E37" s="1057" t="s">
        <v>1099</v>
      </c>
      <c r="F37" s="1057" t="s">
        <v>1100</v>
      </c>
      <c r="G37" s="1056"/>
      <c r="H37" s="1058" t="s">
        <v>1101</v>
      </c>
      <c r="I37" s="481"/>
      <c r="J37" s="1017"/>
      <c r="K37" s="481"/>
      <c r="L37" s="873"/>
      <c r="M37" s="481"/>
    </row>
    <row r="38" spans="2:13" ht="12.75" x14ac:dyDescent="0.2">
      <c r="B38" s="858" t="s">
        <v>1083</v>
      </c>
      <c r="C38" s="821">
        <v>0</v>
      </c>
      <c r="D38" s="821">
        <v>0</v>
      </c>
      <c r="E38" s="1059">
        <v>1.5034545899835E-3</v>
      </c>
      <c r="F38" s="1060">
        <f t="shared" ref="F38:F59" si="7">(C38-D38)*E38</f>
        <v>0</v>
      </c>
      <c r="G38" s="821">
        <f t="shared" ref="G38:G60" si="8">$M$11</f>
        <v>265</v>
      </c>
      <c r="H38" s="1061">
        <f t="shared" ref="H38:H60" si="9">F38*G38/1000000</f>
        <v>0</v>
      </c>
      <c r="I38" s="1027"/>
      <c r="J38" s="884"/>
      <c r="K38" s="1027"/>
      <c r="L38" s="884"/>
      <c r="M38" s="481"/>
    </row>
    <row r="39" spans="2:13" ht="12.75" x14ac:dyDescent="0.2">
      <c r="B39" s="858" t="s">
        <v>1084</v>
      </c>
      <c r="C39" s="1062">
        <v>15627</v>
      </c>
      <c r="D39" s="821">
        <v>232</v>
      </c>
      <c r="E39" s="1059">
        <v>1.5034545899835E-3</v>
      </c>
      <c r="F39" s="1060">
        <f t="shared" si="7"/>
        <v>23.145683412795982</v>
      </c>
      <c r="G39" s="821">
        <f t="shared" si="8"/>
        <v>265</v>
      </c>
      <c r="H39" s="1061">
        <f t="shared" si="9"/>
        <v>6.1336061043909349E-3</v>
      </c>
      <c r="I39" s="1027"/>
      <c r="J39" s="884"/>
      <c r="K39" s="1027"/>
      <c r="L39" s="884"/>
      <c r="M39" s="481"/>
    </row>
    <row r="40" spans="2:13" ht="12.75" x14ac:dyDescent="0.2">
      <c r="B40" s="858" t="s">
        <v>1085</v>
      </c>
      <c r="C40" s="1062">
        <v>15346</v>
      </c>
      <c r="D40" s="821">
        <v>17999</v>
      </c>
      <c r="E40" s="1059">
        <v>6.0138183599339984E-4</v>
      </c>
      <c r="F40" s="1060">
        <f t="shared" si="7"/>
        <v>-1.5954660108904897</v>
      </c>
      <c r="G40" s="821">
        <f t="shared" si="8"/>
        <v>265</v>
      </c>
      <c r="H40" s="1061">
        <f t="shared" si="9"/>
        <v>-4.2279849288597981E-4</v>
      </c>
      <c r="I40" s="1027"/>
      <c r="J40" s="884"/>
      <c r="K40" s="1027"/>
      <c r="L40" s="884"/>
      <c r="M40" s="481"/>
    </row>
    <row r="41" spans="2:13" ht="25.5" x14ac:dyDescent="0.2">
      <c r="B41" s="1063" t="s">
        <v>1086</v>
      </c>
      <c r="C41" s="821">
        <v>0</v>
      </c>
      <c r="D41" s="821">
        <v>0</v>
      </c>
      <c r="E41" s="1059">
        <v>6.0138183599339984E-4</v>
      </c>
      <c r="F41" s="1060">
        <f t="shared" si="7"/>
        <v>0</v>
      </c>
      <c r="G41" s="821">
        <f t="shared" si="8"/>
        <v>265</v>
      </c>
      <c r="H41" s="1061">
        <f t="shared" si="9"/>
        <v>0</v>
      </c>
      <c r="I41" s="1027"/>
      <c r="J41" s="884"/>
      <c r="K41" s="1027"/>
      <c r="L41" s="884"/>
      <c r="M41" s="481"/>
    </row>
    <row r="42" spans="2:13" ht="12.75" x14ac:dyDescent="0.2">
      <c r="B42" s="1063" t="s">
        <v>1087</v>
      </c>
      <c r="C42" s="821">
        <v>0</v>
      </c>
      <c r="D42" s="821">
        <v>0</v>
      </c>
      <c r="E42" s="1059">
        <v>6.0138183599339984E-4</v>
      </c>
      <c r="F42" s="1060">
        <f t="shared" si="7"/>
        <v>0</v>
      </c>
      <c r="G42" s="821">
        <f t="shared" si="8"/>
        <v>265</v>
      </c>
      <c r="H42" s="1061">
        <f t="shared" si="9"/>
        <v>0</v>
      </c>
      <c r="I42" s="1027"/>
      <c r="J42" s="884"/>
      <c r="K42" s="1027"/>
      <c r="L42" s="884"/>
      <c r="M42" s="481"/>
    </row>
    <row r="43" spans="2:13" ht="12.75" x14ac:dyDescent="0.2">
      <c r="B43" s="858" t="s">
        <v>403</v>
      </c>
      <c r="C43" s="1062">
        <v>6743</v>
      </c>
      <c r="D43" s="821">
        <v>106</v>
      </c>
      <c r="E43" s="1059">
        <v>6.0138183599339984E-4</v>
      </c>
      <c r="F43" s="1060">
        <f t="shared" si="7"/>
        <v>3.9913712454881947</v>
      </c>
      <c r="G43" s="821">
        <f t="shared" si="8"/>
        <v>265</v>
      </c>
      <c r="H43" s="1061">
        <f t="shared" si="9"/>
        <v>1.0577133800543715E-3</v>
      </c>
      <c r="I43" s="1027"/>
      <c r="J43" s="884"/>
      <c r="K43" s="1027"/>
      <c r="L43" s="884"/>
      <c r="M43" s="481"/>
    </row>
    <row r="44" spans="2:13" ht="25.5" x14ac:dyDescent="0.2">
      <c r="B44" s="1063" t="s">
        <v>1088</v>
      </c>
      <c r="C44" s="1064">
        <v>0</v>
      </c>
      <c r="D44" s="821"/>
      <c r="E44" s="1059">
        <v>6.0138183599339984E-4</v>
      </c>
      <c r="F44" s="1060">
        <f t="shared" si="7"/>
        <v>0</v>
      </c>
      <c r="G44" s="821">
        <f t="shared" si="8"/>
        <v>265</v>
      </c>
      <c r="H44" s="1061">
        <f t="shared" si="9"/>
        <v>0</v>
      </c>
      <c r="I44" s="1027"/>
      <c r="J44" s="884"/>
      <c r="K44" s="1027"/>
      <c r="L44" s="884"/>
      <c r="M44" s="481"/>
    </row>
    <row r="45" spans="2:13" ht="25.5" x14ac:dyDescent="0.2">
      <c r="B45" s="1063" t="s">
        <v>1089</v>
      </c>
      <c r="C45" s="1064">
        <v>0</v>
      </c>
      <c r="D45" s="821"/>
      <c r="E45" s="1059">
        <v>6.0138183599339984E-4</v>
      </c>
      <c r="F45" s="1060">
        <f t="shared" si="7"/>
        <v>0</v>
      </c>
      <c r="G45" s="821">
        <f t="shared" si="8"/>
        <v>265</v>
      </c>
      <c r="H45" s="1061">
        <f t="shared" si="9"/>
        <v>0</v>
      </c>
      <c r="I45" s="1027"/>
      <c r="J45" s="884"/>
      <c r="K45" s="1027"/>
      <c r="L45" s="884"/>
      <c r="M45" s="481"/>
    </row>
    <row r="46" spans="2:13" ht="12.75" x14ac:dyDescent="0.2">
      <c r="B46" s="858" t="s">
        <v>446</v>
      </c>
      <c r="C46" s="1062">
        <v>15</v>
      </c>
      <c r="D46" s="821">
        <v>0</v>
      </c>
      <c r="E46" s="1059">
        <v>6.0138183599339984E-4</v>
      </c>
      <c r="F46" s="1060">
        <f t="shared" si="7"/>
        <v>9.0207275399009981E-3</v>
      </c>
      <c r="G46" s="821">
        <f t="shared" si="8"/>
        <v>265</v>
      </c>
      <c r="H46" s="1061">
        <f t="shared" si="9"/>
        <v>2.3904927980737644E-6</v>
      </c>
      <c r="I46" s="1027"/>
      <c r="J46" s="884"/>
      <c r="K46" s="1027"/>
      <c r="L46" s="884"/>
      <c r="M46" s="481"/>
    </row>
    <row r="47" spans="2:13" ht="12.75" x14ac:dyDescent="0.2">
      <c r="B47" s="858" t="s">
        <v>1039</v>
      </c>
      <c r="C47" s="1062">
        <v>1313</v>
      </c>
      <c r="D47" s="821">
        <v>1413</v>
      </c>
      <c r="E47" s="1059">
        <v>6.0138183599339984E-4</v>
      </c>
      <c r="F47" s="1060">
        <f t="shared" si="7"/>
        <v>-6.0138183599339985E-2</v>
      </c>
      <c r="G47" s="821">
        <f t="shared" si="8"/>
        <v>265</v>
      </c>
      <c r="H47" s="1061">
        <f t="shared" si="9"/>
        <v>-1.5936618653825096E-5</v>
      </c>
      <c r="I47" s="1027"/>
      <c r="J47" s="884"/>
      <c r="K47" s="1027"/>
      <c r="L47" s="884"/>
      <c r="M47" s="481"/>
    </row>
    <row r="48" spans="2:13" ht="12.75" x14ac:dyDescent="0.2">
      <c r="B48" s="858" t="s">
        <v>1024</v>
      </c>
      <c r="C48" s="1062">
        <v>1988</v>
      </c>
      <c r="D48" s="821">
        <v>1781</v>
      </c>
      <c r="E48" s="1059">
        <v>6.0138183599339984E-4</v>
      </c>
      <c r="F48" s="1060">
        <f t="shared" si="7"/>
        <v>0.12448604005063377</v>
      </c>
      <c r="G48" s="821">
        <f t="shared" si="8"/>
        <v>265</v>
      </c>
      <c r="H48" s="1061">
        <f t="shared" si="9"/>
        <v>3.2988800613417952E-5</v>
      </c>
      <c r="I48" s="1027"/>
      <c r="J48" s="884"/>
      <c r="K48" s="1027"/>
      <c r="L48" s="884"/>
      <c r="M48" s="481"/>
    </row>
    <row r="49" spans="2:13" ht="12.75" x14ac:dyDescent="0.2">
      <c r="B49" s="858" t="s">
        <v>1060</v>
      </c>
      <c r="C49" s="1029">
        <v>4253</v>
      </c>
      <c r="D49" s="821">
        <v>0</v>
      </c>
      <c r="E49" s="1059">
        <v>6.0138183599339984E-4</v>
      </c>
      <c r="F49" s="1060">
        <f t="shared" si="7"/>
        <v>2.5576769484799295</v>
      </c>
      <c r="G49" s="821">
        <f t="shared" si="8"/>
        <v>265</v>
      </c>
      <c r="H49" s="1061">
        <f t="shared" si="9"/>
        <v>6.7778439134718129E-4</v>
      </c>
      <c r="I49" s="1027"/>
      <c r="J49" s="884"/>
      <c r="K49" s="1027"/>
      <c r="L49" s="884"/>
      <c r="M49" s="481"/>
    </row>
    <row r="50" spans="2:13" ht="25.5" x14ac:dyDescent="0.2">
      <c r="B50" s="1063" t="s">
        <v>1090</v>
      </c>
      <c r="C50" s="821">
        <v>0</v>
      </c>
      <c r="D50" s="821">
        <v>0</v>
      </c>
      <c r="E50" s="1059">
        <v>6.0138183599339984E-4</v>
      </c>
      <c r="F50" s="1060">
        <f t="shared" si="7"/>
        <v>0</v>
      </c>
      <c r="G50" s="821">
        <f t="shared" si="8"/>
        <v>265</v>
      </c>
      <c r="H50" s="1061">
        <f t="shared" si="9"/>
        <v>0</v>
      </c>
      <c r="I50" s="1027"/>
      <c r="J50" s="884"/>
      <c r="K50" s="1027"/>
      <c r="L50" s="884"/>
      <c r="M50" s="481"/>
    </row>
    <row r="51" spans="2:13" ht="12.75" x14ac:dyDescent="0.2">
      <c r="B51" s="858" t="s">
        <v>1091</v>
      </c>
      <c r="C51" s="1062">
        <v>270</v>
      </c>
      <c r="D51" s="821">
        <v>0</v>
      </c>
      <c r="E51" s="1059">
        <v>6.0138183599339984E-4</v>
      </c>
      <c r="F51" s="1060">
        <f t="shared" si="7"/>
        <v>0.16237309571821795</v>
      </c>
      <c r="G51" s="821">
        <f t="shared" si="8"/>
        <v>265</v>
      </c>
      <c r="H51" s="1061">
        <f t="shared" si="9"/>
        <v>4.3028870365327758E-5</v>
      </c>
      <c r="I51" s="1027"/>
      <c r="J51" s="884"/>
      <c r="K51" s="1027"/>
      <c r="L51" s="884"/>
      <c r="M51" s="481"/>
    </row>
    <row r="52" spans="2:13" ht="12.75" x14ac:dyDescent="0.2">
      <c r="B52" s="858" t="s">
        <v>1092</v>
      </c>
      <c r="C52" s="821">
        <v>0</v>
      </c>
      <c r="D52" s="821">
        <v>0</v>
      </c>
      <c r="E52" s="1059">
        <v>6.0138183599339984E-4</v>
      </c>
      <c r="F52" s="1060">
        <f t="shared" si="7"/>
        <v>0</v>
      </c>
      <c r="G52" s="821">
        <f t="shared" si="8"/>
        <v>265</v>
      </c>
      <c r="H52" s="1061">
        <f t="shared" si="9"/>
        <v>0</v>
      </c>
      <c r="I52" s="1027"/>
      <c r="J52" s="884"/>
      <c r="K52" s="1027"/>
      <c r="L52" s="884"/>
      <c r="M52" s="481"/>
    </row>
    <row r="53" spans="2:13" ht="12.75" x14ac:dyDescent="0.2">
      <c r="B53" s="858" t="s">
        <v>1093</v>
      </c>
      <c r="C53" s="821"/>
      <c r="D53" s="821"/>
      <c r="E53" s="1059">
        <v>6.0138183599339984E-4</v>
      </c>
      <c r="F53" s="1060">
        <f t="shared" si="7"/>
        <v>0</v>
      </c>
      <c r="G53" s="821">
        <f t="shared" si="8"/>
        <v>265</v>
      </c>
      <c r="H53" s="1061">
        <f t="shared" si="9"/>
        <v>0</v>
      </c>
      <c r="I53" s="1027"/>
      <c r="J53" s="884"/>
      <c r="K53" s="1027"/>
      <c r="L53" s="884"/>
      <c r="M53" s="481"/>
    </row>
    <row r="54" spans="2:13" ht="12.75" x14ac:dyDescent="0.2">
      <c r="B54" s="858" t="s">
        <v>404</v>
      </c>
      <c r="C54" s="1062">
        <v>241</v>
      </c>
      <c r="D54" s="821">
        <v>0</v>
      </c>
      <c r="E54" s="1059">
        <v>6.0138183599339984E-4</v>
      </c>
      <c r="F54" s="1060">
        <f t="shared" si="7"/>
        <v>0.14493302247440937</v>
      </c>
      <c r="G54" s="821">
        <f t="shared" si="8"/>
        <v>265</v>
      </c>
      <c r="H54" s="1061">
        <f t="shared" si="9"/>
        <v>3.840725095571848E-5</v>
      </c>
      <c r="I54" s="1027"/>
      <c r="J54" s="884"/>
      <c r="K54" s="1027"/>
      <c r="L54" s="884"/>
      <c r="M54" s="481"/>
    </row>
    <row r="55" spans="2:13" ht="12.75" x14ac:dyDescent="0.2">
      <c r="B55" s="858" t="s">
        <v>1094</v>
      </c>
      <c r="C55" s="821">
        <v>0</v>
      </c>
      <c r="D55" s="821">
        <v>0</v>
      </c>
      <c r="E55" s="1059">
        <v>6.0138183599339984E-4</v>
      </c>
      <c r="F55" s="1060">
        <f t="shared" si="7"/>
        <v>0</v>
      </c>
      <c r="G55" s="821">
        <f t="shared" si="8"/>
        <v>265</v>
      </c>
      <c r="H55" s="1061">
        <f t="shared" si="9"/>
        <v>0</v>
      </c>
      <c r="I55" s="1027"/>
      <c r="J55" s="884"/>
      <c r="K55" s="1027"/>
      <c r="L55" s="884"/>
      <c r="M55" s="481"/>
    </row>
    <row r="56" spans="2:13" ht="12.75" x14ac:dyDescent="0.2">
      <c r="B56" s="858" t="s">
        <v>1095</v>
      </c>
      <c r="C56" s="1062">
        <v>2956</v>
      </c>
      <c r="D56" s="821">
        <v>516</v>
      </c>
      <c r="E56" s="1059">
        <v>6.0138183599339984E-4</v>
      </c>
      <c r="F56" s="1060">
        <f t="shared" si="7"/>
        <v>1.4673716798238956</v>
      </c>
      <c r="G56" s="821">
        <f t="shared" si="8"/>
        <v>265</v>
      </c>
      <c r="H56" s="1061">
        <f t="shared" si="9"/>
        <v>3.8885349515333233E-4</v>
      </c>
      <c r="I56" s="1027"/>
      <c r="J56" s="884"/>
      <c r="K56" s="1027"/>
      <c r="L56" s="884"/>
      <c r="M56" s="481"/>
    </row>
    <row r="57" spans="2:13" ht="12.75" x14ac:dyDescent="0.2">
      <c r="B57" s="858" t="s">
        <v>1096</v>
      </c>
      <c r="C57" s="821">
        <v>0</v>
      </c>
      <c r="D57" s="821">
        <v>0</v>
      </c>
      <c r="E57" s="1059">
        <v>6.0138183599339984E-4</v>
      </c>
      <c r="F57" s="1060">
        <f t="shared" si="7"/>
        <v>0</v>
      </c>
      <c r="G57" s="821">
        <f t="shared" si="8"/>
        <v>265</v>
      </c>
      <c r="H57" s="1061">
        <f t="shared" si="9"/>
        <v>0</v>
      </c>
      <c r="I57" s="1027"/>
      <c r="J57" s="884"/>
      <c r="K57" s="1027"/>
      <c r="L57" s="884"/>
      <c r="M57" s="481"/>
    </row>
    <row r="58" spans="2:13" ht="12.75" x14ac:dyDescent="0.2">
      <c r="B58" s="858" t="s">
        <v>1097</v>
      </c>
      <c r="C58" s="1062">
        <v>146</v>
      </c>
      <c r="D58" s="821">
        <v>106</v>
      </c>
      <c r="E58" s="1059">
        <v>6.0138183599339984E-4</v>
      </c>
      <c r="F58" s="1060">
        <f t="shared" si="7"/>
        <v>2.4055273439735993E-2</v>
      </c>
      <c r="G58" s="821">
        <f t="shared" si="8"/>
        <v>265</v>
      </c>
      <c r="H58" s="1061">
        <f t="shared" si="9"/>
        <v>6.3746474615300377E-6</v>
      </c>
      <c r="I58" s="1027"/>
      <c r="J58" s="884"/>
      <c r="K58" s="1027"/>
      <c r="L58" s="884"/>
      <c r="M58" s="481"/>
    </row>
    <row r="59" spans="2:13" ht="12.75" x14ac:dyDescent="0.2">
      <c r="B59" s="858" t="s">
        <v>331</v>
      </c>
      <c r="C59" s="1062">
        <v>15474</v>
      </c>
      <c r="D59" s="821">
        <v>599</v>
      </c>
      <c r="E59" s="1059">
        <v>9.4955026735800017E-5</v>
      </c>
      <c r="F59" s="1060">
        <f t="shared" si="7"/>
        <v>1.4124560226950253</v>
      </c>
      <c r="G59" s="821">
        <f t="shared" si="8"/>
        <v>265</v>
      </c>
      <c r="H59" s="1061">
        <f t="shared" si="9"/>
        <v>3.7430084601418172E-4</v>
      </c>
      <c r="I59" s="1027"/>
      <c r="J59" s="884"/>
      <c r="K59" s="1027"/>
      <c r="L59" s="884"/>
      <c r="M59" s="481"/>
    </row>
    <row r="60" spans="2:13" ht="12.75" x14ac:dyDescent="0.2">
      <c r="B60" s="184" t="s">
        <v>579</v>
      </c>
      <c r="C60" s="821">
        <v>8205</v>
      </c>
      <c r="D60" s="1065" t="s">
        <v>1102</v>
      </c>
      <c r="E60" s="1059">
        <v>3.7982010694320003E-3</v>
      </c>
      <c r="F60" s="1060">
        <f>C60*E60</f>
        <v>31.164239774689563</v>
      </c>
      <c r="G60" s="821">
        <f t="shared" si="8"/>
        <v>265</v>
      </c>
      <c r="H60" s="1061">
        <f t="shared" si="9"/>
        <v>8.2585235402927344E-3</v>
      </c>
      <c r="I60" s="1027"/>
      <c r="J60" s="884"/>
      <c r="K60" s="1027"/>
      <c r="L60" s="884"/>
      <c r="M60" s="481"/>
    </row>
    <row r="61" spans="2:13" ht="12.75" x14ac:dyDescent="0.2">
      <c r="B61" s="184"/>
      <c r="C61" s="816"/>
      <c r="D61" s="816"/>
      <c r="E61" s="816"/>
      <c r="F61" s="816"/>
      <c r="G61" s="1066" t="s">
        <v>393</v>
      </c>
      <c r="H61" s="1067">
        <f>SUM(H38:H60)</f>
        <v>1.6575236707907001E-2</v>
      </c>
      <c r="I61" s="883"/>
      <c r="J61" s="920"/>
      <c r="K61" s="883"/>
      <c r="L61" s="920"/>
      <c r="M61" s="481"/>
    </row>
    <row r="62" spans="2:13" ht="12.75" x14ac:dyDescent="0.2">
      <c r="B62" s="206"/>
      <c r="C62" s="191"/>
      <c r="D62" s="191"/>
      <c r="E62" s="191"/>
      <c r="F62" s="191"/>
      <c r="G62" s="191"/>
      <c r="H62" s="192"/>
    </row>
    <row r="65" spans="2:13" ht="21" x14ac:dyDescent="0.4">
      <c r="B65" s="902" t="s">
        <v>1103</v>
      </c>
      <c r="C65" s="1006"/>
      <c r="D65" s="902">
        <v>2014</v>
      </c>
      <c r="E65" s="481"/>
      <c r="F65" s="481"/>
      <c r="G65" s="481"/>
      <c r="H65" s="481"/>
      <c r="I65" s="481"/>
      <c r="J65" s="481"/>
      <c r="K65" s="481"/>
      <c r="L65" s="481"/>
      <c r="M65" s="481"/>
    </row>
    <row r="66" spans="2:13" ht="12.75" x14ac:dyDescent="0.2">
      <c r="B66" s="1007"/>
      <c r="C66" s="1008" t="s">
        <v>1081</v>
      </c>
      <c r="D66" s="1008" t="s">
        <v>1020</v>
      </c>
      <c r="E66" s="1009"/>
      <c r="F66" s="1009"/>
      <c r="G66" s="1009"/>
      <c r="H66" s="1010"/>
      <c r="I66" s="481"/>
      <c r="J66" s="481"/>
      <c r="K66" s="481"/>
      <c r="L66" s="481"/>
      <c r="M66" s="481"/>
    </row>
    <row r="67" spans="2:13" ht="12.75" x14ac:dyDescent="0.2">
      <c r="B67" s="1011"/>
      <c r="C67" s="1012" t="s">
        <v>396</v>
      </c>
      <c r="D67" s="1012" t="s">
        <v>396</v>
      </c>
      <c r="E67" s="95" t="s">
        <v>985</v>
      </c>
      <c r="F67" s="95" t="s">
        <v>397</v>
      </c>
      <c r="G67" s="1012" t="s">
        <v>398</v>
      </c>
      <c r="H67" s="933" t="s">
        <v>397</v>
      </c>
      <c r="I67" s="481"/>
      <c r="J67" s="873"/>
      <c r="K67" s="481"/>
      <c r="L67" s="873"/>
      <c r="M67" s="481"/>
    </row>
    <row r="68" spans="2:13" ht="14.25" x14ac:dyDescent="0.25">
      <c r="B68" s="1068" t="s">
        <v>72</v>
      </c>
      <c r="C68" s="1069" t="s">
        <v>399</v>
      </c>
      <c r="D68" s="1069" t="s">
        <v>399</v>
      </c>
      <c r="E68" s="875" t="s">
        <v>1104</v>
      </c>
      <c r="F68" s="875" t="s">
        <v>1105</v>
      </c>
      <c r="G68" s="1069"/>
      <c r="H68" s="876" t="s">
        <v>1106</v>
      </c>
      <c r="I68" s="481"/>
      <c r="J68" s="1017"/>
      <c r="K68" s="481"/>
      <c r="L68" s="873"/>
      <c r="M68" s="481"/>
    </row>
    <row r="69" spans="2:13" ht="12.75" x14ac:dyDescent="0.2">
      <c r="B69" s="1070" t="s">
        <v>1083</v>
      </c>
      <c r="C69" s="1030">
        <v>0</v>
      </c>
      <c r="D69" s="1071">
        <v>0</v>
      </c>
      <c r="E69" s="1072">
        <v>1.0023030599889999E-2</v>
      </c>
      <c r="F69" s="1073">
        <f t="shared" ref="F69:F90" si="10">(C69-D69)*E69</f>
        <v>0</v>
      </c>
      <c r="G69" s="1074">
        <f t="shared" ref="G69:G91" si="11">$M$10</f>
        <v>28</v>
      </c>
      <c r="H69" s="1075">
        <f t="shared" ref="H69:H91" si="12">F69*G69/1000000</f>
        <v>0</v>
      </c>
      <c r="I69" s="1027"/>
      <c r="J69" s="884"/>
      <c r="K69" s="1027"/>
      <c r="L69" s="884"/>
      <c r="M69" s="481"/>
    </row>
    <row r="70" spans="2:13" ht="12.75" x14ac:dyDescent="0.2">
      <c r="B70" s="1028" t="s">
        <v>1084</v>
      </c>
      <c r="C70" s="1029">
        <v>15627</v>
      </c>
      <c r="D70" s="1076">
        <v>232</v>
      </c>
      <c r="E70" s="1077">
        <v>1.0023030599889999E-2</v>
      </c>
      <c r="F70" s="1078">
        <f t="shared" si="10"/>
        <v>154.30455608530653</v>
      </c>
      <c r="G70" s="1074">
        <f t="shared" si="11"/>
        <v>28</v>
      </c>
      <c r="H70" s="1035">
        <f t="shared" si="12"/>
        <v>4.3205275703885829E-3</v>
      </c>
      <c r="I70" s="1027"/>
      <c r="J70" s="884"/>
      <c r="K70" s="1027"/>
      <c r="L70" s="884"/>
      <c r="M70" s="481"/>
    </row>
    <row r="71" spans="2:13" ht="12.75" x14ac:dyDescent="0.2">
      <c r="B71" s="1028" t="s">
        <v>1085</v>
      </c>
      <c r="C71" s="1029">
        <v>15346</v>
      </c>
      <c r="D71" s="1076">
        <v>17999</v>
      </c>
      <c r="E71" s="1077">
        <v>3.006909179967E-3</v>
      </c>
      <c r="F71" s="1078">
        <f t="shared" si="10"/>
        <v>-7.9773300544524508</v>
      </c>
      <c r="G71" s="1074">
        <f t="shared" si="11"/>
        <v>28</v>
      </c>
      <c r="H71" s="1035">
        <f t="shared" si="12"/>
        <v>-2.2336524152466862E-4</v>
      </c>
      <c r="I71" s="1027"/>
      <c r="J71" s="884"/>
      <c r="K71" s="1027"/>
      <c r="L71" s="884"/>
      <c r="M71" s="481"/>
    </row>
    <row r="72" spans="2:13" ht="25.5" x14ac:dyDescent="0.2">
      <c r="B72" s="1036" t="s">
        <v>1086</v>
      </c>
      <c r="C72" s="1030">
        <v>0</v>
      </c>
      <c r="D72" s="1076">
        <v>0</v>
      </c>
      <c r="E72" s="1077">
        <v>3.006909179967E-3</v>
      </c>
      <c r="F72" s="1078">
        <f t="shared" si="10"/>
        <v>0</v>
      </c>
      <c r="G72" s="1074">
        <f t="shared" si="11"/>
        <v>28</v>
      </c>
      <c r="H72" s="1035">
        <f t="shared" si="12"/>
        <v>0</v>
      </c>
      <c r="I72" s="1027"/>
      <c r="J72" s="884"/>
      <c r="K72" s="1027"/>
      <c r="L72" s="884"/>
      <c r="M72" s="481"/>
    </row>
    <row r="73" spans="2:13" ht="12.75" x14ac:dyDescent="0.2">
      <c r="B73" s="1036" t="s">
        <v>1087</v>
      </c>
      <c r="C73" s="1030">
        <v>0</v>
      </c>
      <c r="D73" s="1076">
        <v>0</v>
      </c>
      <c r="E73" s="1077">
        <v>3.006909179967E-3</v>
      </c>
      <c r="F73" s="1078">
        <f t="shared" si="10"/>
        <v>0</v>
      </c>
      <c r="G73" s="1074">
        <f t="shared" si="11"/>
        <v>28</v>
      </c>
      <c r="H73" s="1035">
        <f t="shared" si="12"/>
        <v>0</v>
      </c>
      <c r="I73" s="1027"/>
      <c r="J73" s="884"/>
      <c r="K73" s="1027"/>
      <c r="L73" s="884"/>
      <c r="M73" s="481"/>
    </row>
    <row r="74" spans="2:13" ht="12.75" x14ac:dyDescent="0.2">
      <c r="B74" s="1028" t="s">
        <v>403</v>
      </c>
      <c r="C74" s="1029">
        <v>6743</v>
      </c>
      <c r="D74" s="1076">
        <v>106</v>
      </c>
      <c r="E74" s="1077">
        <v>3.006909179967E-3</v>
      </c>
      <c r="F74" s="1078">
        <f t="shared" si="10"/>
        <v>19.95685622744098</v>
      </c>
      <c r="G74" s="1074">
        <f t="shared" si="11"/>
        <v>28</v>
      </c>
      <c r="H74" s="1035">
        <f t="shared" si="12"/>
        <v>5.587919743683474E-4</v>
      </c>
      <c r="I74" s="1027"/>
      <c r="J74" s="884"/>
      <c r="K74" s="1027"/>
      <c r="L74" s="884"/>
      <c r="M74" s="481"/>
    </row>
    <row r="75" spans="2:13" ht="25.5" x14ac:dyDescent="0.2">
      <c r="B75" s="1036" t="s">
        <v>1088</v>
      </c>
      <c r="C75" s="1038">
        <v>0</v>
      </c>
      <c r="D75" s="1076"/>
      <c r="E75" s="1077">
        <v>3.006909179967E-3</v>
      </c>
      <c r="F75" s="1078">
        <f t="shared" si="10"/>
        <v>0</v>
      </c>
      <c r="G75" s="1074">
        <f t="shared" si="11"/>
        <v>28</v>
      </c>
      <c r="H75" s="1035">
        <f t="shared" si="12"/>
        <v>0</v>
      </c>
      <c r="I75" s="1027"/>
      <c r="J75" s="884"/>
      <c r="K75" s="1027"/>
      <c r="L75" s="884"/>
      <c r="M75" s="481"/>
    </row>
    <row r="76" spans="2:13" ht="25.5" x14ac:dyDescent="0.2">
      <c r="B76" s="1036" t="s">
        <v>1089</v>
      </c>
      <c r="C76" s="1038">
        <v>0</v>
      </c>
      <c r="D76" s="1076"/>
      <c r="E76" s="1077">
        <v>3.006909179967E-3</v>
      </c>
      <c r="F76" s="1078">
        <f t="shared" si="10"/>
        <v>0</v>
      </c>
      <c r="G76" s="1074">
        <f t="shared" si="11"/>
        <v>28</v>
      </c>
      <c r="H76" s="1035">
        <f t="shared" si="12"/>
        <v>0</v>
      </c>
      <c r="I76" s="1027"/>
      <c r="J76" s="884"/>
      <c r="K76" s="1027"/>
      <c r="L76" s="884"/>
      <c r="M76" s="481"/>
    </row>
    <row r="77" spans="2:13" ht="12.75" x14ac:dyDescent="0.2">
      <c r="B77" s="1028" t="s">
        <v>446</v>
      </c>
      <c r="C77" s="1029">
        <v>15</v>
      </c>
      <c r="D77" s="1076">
        <v>0</v>
      </c>
      <c r="E77" s="1077">
        <v>3.006909179967E-3</v>
      </c>
      <c r="F77" s="1078">
        <f t="shared" si="10"/>
        <v>4.5103637699504998E-2</v>
      </c>
      <c r="G77" s="1074">
        <f t="shared" si="11"/>
        <v>28</v>
      </c>
      <c r="H77" s="1035">
        <f t="shared" si="12"/>
        <v>1.2629018555861399E-6</v>
      </c>
      <c r="I77" s="1027"/>
      <c r="J77" s="884"/>
      <c r="K77" s="1027"/>
      <c r="L77" s="884"/>
      <c r="M77" s="481"/>
    </row>
    <row r="78" spans="2:13" ht="12.75" x14ac:dyDescent="0.2">
      <c r="B78" s="1028" t="s">
        <v>1039</v>
      </c>
      <c r="C78" s="1029">
        <v>1313</v>
      </c>
      <c r="D78" s="1076">
        <v>1413</v>
      </c>
      <c r="E78" s="1077">
        <v>3.006909179967E-3</v>
      </c>
      <c r="F78" s="1078">
        <f t="shared" si="10"/>
        <v>-0.3006909179967</v>
      </c>
      <c r="G78" s="1074">
        <f t="shared" si="11"/>
        <v>28</v>
      </c>
      <c r="H78" s="1035">
        <f t="shared" si="12"/>
        <v>-8.4193457039076003E-6</v>
      </c>
      <c r="I78" s="1027"/>
      <c r="J78" s="884"/>
      <c r="K78" s="1027"/>
      <c r="L78" s="884"/>
      <c r="M78" s="481"/>
    </row>
    <row r="79" spans="2:13" ht="12.75" x14ac:dyDescent="0.2">
      <c r="B79" s="1028" t="s">
        <v>1024</v>
      </c>
      <c r="C79" s="1029">
        <v>1988</v>
      </c>
      <c r="D79" s="1076">
        <v>1781</v>
      </c>
      <c r="E79" s="1077">
        <v>3.006909179967E-3</v>
      </c>
      <c r="F79" s="1078">
        <f t="shared" si="10"/>
        <v>0.62243020025316897</v>
      </c>
      <c r="G79" s="1074">
        <f t="shared" si="11"/>
        <v>28</v>
      </c>
      <c r="H79" s="1035">
        <f t="shared" si="12"/>
        <v>1.742804560708873E-5</v>
      </c>
      <c r="I79" s="1027"/>
      <c r="J79" s="884"/>
      <c r="K79" s="1027"/>
      <c r="L79" s="884"/>
      <c r="M79" s="481"/>
    </row>
    <row r="80" spans="2:13" ht="12.75" x14ac:dyDescent="0.2">
      <c r="B80" s="1028" t="s">
        <v>1060</v>
      </c>
      <c r="C80" s="1029">
        <v>4253</v>
      </c>
      <c r="D80" s="1076">
        <v>0</v>
      </c>
      <c r="E80" s="1077">
        <v>3.006909179967E-3</v>
      </c>
      <c r="F80" s="1078">
        <f t="shared" si="10"/>
        <v>12.78838474239965</v>
      </c>
      <c r="G80" s="1074">
        <f t="shared" si="11"/>
        <v>28</v>
      </c>
      <c r="H80" s="1035">
        <f t="shared" si="12"/>
        <v>3.5807477278719025E-4</v>
      </c>
      <c r="I80" s="1027"/>
      <c r="J80" s="884"/>
      <c r="K80" s="1027"/>
      <c r="L80" s="884"/>
      <c r="M80" s="481"/>
    </row>
    <row r="81" spans="2:13" ht="25.5" x14ac:dyDescent="0.2">
      <c r="B81" s="1036" t="s">
        <v>1090</v>
      </c>
      <c r="C81" s="1030">
        <v>0</v>
      </c>
      <c r="D81" s="1076">
        <v>0</v>
      </c>
      <c r="E81" s="1077">
        <v>3.006909179967E-3</v>
      </c>
      <c r="F81" s="1078">
        <f t="shared" si="10"/>
        <v>0</v>
      </c>
      <c r="G81" s="1074">
        <f t="shared" si="11"/>
        <v>28</v>
      </c>
      <c r="H81" s="1035">
        <f t="shared" si="12"/>
        <v>0</v>
      </c>
      <c r="I81" s="1027"/>
      <c r="J81" s="884"/>
      <c r="K81" s="1027"/>
      <c r="L81" s="884"/>
      <c r="M81" s="481"/>
    </row>
    <row r="82" spans="2:13" ht="12.75" x14ac:dyDescent="0.2">
      <c r="B82" s="1028" t="s">
        <v>1091</v>
      </c>
      <c r="C82" s="1029">
        <v>270</v>
      </c>
      <c r="D82" s="1076">
        <v>0</v>
      </c>
      <c r="E82" s="1077">
        <v>3.006909179967E-3</v>
      </c>
      <c r="F82" s="1078">
        <f t="shared" si="10"/>
        <v>0.81186547859109004</v>
      </c>
      <c r="G82" s="1074">
        <f t="shared" si="11"/>
        <v>28</v>
      </c>
      <c r="H82" s="1035">
        <f t="shared" si="12"/>
        <v>2.273223340055052E-5</v>
      </c>
      <c r="I82" s="1027"/>
      <c r="J82" s="884"/>
      <c r="K82" s="1027"/>
      <c r="L82" s="884"/>
      <c r="M82" s="481"/>
    </row>
    <row r="83" spans="2:13" ht="12.75" x14ac:dyDescent="0.2">
      <c r="B83" s="1028" t="s">
        <v>1092</v>
      </c>
      <c r="C83" s="1030">
        <v>0</v>
      </c>
      <c r="D83" s="1076">
        <v>0</v>
      </c>
      <c r="E83" s="1077">
        <v>3.006909179967E-3</v>
      </c>
      <c r="F83" s="1078">
        <f t="shared" si="10"/>
        <v>0</v>
      </c>
      <c r="G83" s="1074">
        <f t="shared" si="11"/>
        <v>28</v>
      </c>
      <c r="H83" s="1035">
        <f t="shared" si="12"/>
        <v>0</v>
      </c>
      <c r="I83" s="1027"/>
      <c r="J83" s="884"/>
      <c r="K83" s="1027"/>
      <c r="L83" s="884"/>
      <c r="M83" s="481"/>
    </row>
    <row r="84" spans="2:13" ht="12.75" x14ac:dyDescent="0.2">
      <c r="B84" s="1028" t="s">
        <v>1093</v>
      </c>
      <c r="C84" s="1030"/>
      <c r="D84" s="1076"/>
      <c r="E84" s="1077">
        <v>3.006909179967E-3</v>
      </c>
      <c r="F84" s="1078">
        <f t="shared" si="10"/>
        <v>0</v>
      </c>
      <c r="G84" s="1074">
        <f t="shared" si="11"/>
        <v>28</v>
      </c>
      <c r="H84" s="1035">
        <f t="shared" si="12"/>
        <v>0</v>
      </c>
      <c r="I84" s="1027"/>
      <c r="J84" s="884"/>
      <c r="K84" s="1027"/>
      <c r="L84" s="884"/>
      <c r="M84" s="481"/>
    </row>
    <row r="85" spans="2:13" ht="12.75" x14ac:dyDescent="0.2">
      <c r="B85" s="1028" t="s">
        <v>404</v>
      </c>
      <c r="C85" s="1029">
        <v>241</v>
      </c>
      <c r="D85" s="1076">
        <v>0</v>
      </c>
      <c r="E85" s="1077">
        <v>3.006909179967E-3</v>
      </c>
      <c r="F85" s="1078">
        <f t="shared" si="10"/>
        <v>0.724665112372047</v>
      </c>
      <c r="G85" s="1074">
        <f t="shared" si="11"/>
        <v>28</v>
      </c>
      <c r="H85" s="1035">
        <f t="shared" si="12"/>
        <v>2.0290623146417317E-5</v>
      </c>
      <c r="I85" s="1027"/>
      <c r="J85" s="884"/>
      <c r="K85" s="1027"/>
      <c r="L85" s="884"/>
      <c r="M85" s="481"/>
    </row>
    <row r="86" spans="2:13" ht="12.75" x14ac:dyDescent="0.2">
      <c r="B86" s="1028" t="s">
        <v>1094</v>
      </c>
      <c r="C86" s="1030">
        <v>0</v>
      </c>
      <c r="D86" s="1076">
        <v>0</v>
      </c>
      <c r="E86" s="1077">
        <v>3.006909179967E-3</v>
      </c>
      <c r="F86" s="1078">
        <f t="shared" si="10"/>
        <v>0</v>
      </c>
      <c r="G86" s="1074">
        <f t="shared" si="11"/>
        <v>28</v>
      </c>
      <c r="H86" s="1035">
        <f t="shared" si="12"/>
        <v>0</v>
      </c>
      <c r="I86" s="1027"/>
      <c r="J86" s="884"/>
      <c r="K86" s="1027"/>
      <c r="L86" s="884"/>
      <c r="M86" s="481"/>
    </row>
    <row r="87" spans="2:13" ht="12.75" x14ac:dyDescent="0.2">
      <c r="B87" s="1028" t="s">
        <v>1095</v>
      </c>
      <c r="C87" s="1029">
        <v>2956</v>
      </c>
      <c r="D87" s="1076">
        <v>516</v>
      </c>
      <c r="E87" s="1077">
        <v>3.006909179967E-3</v>
      </c>
      <c r="F87" s="1078">
        <f t="shared" si="10"/>
        <v>7.33685839911948</v>
      </c>
      <c r="G87" s="1074">
        <f t="shared" si="11"/>
        <v>28</v>
      </c>
      <c r="H87" s="1035">
        <f t="shared" si="12"/>
        <v>2.0543203517534546E-4</v>
      </c>
      <c r="I87" s="1027"/>
      <c r="J87" s="884"/>
      <c r="K87" s="1027"/>
      <c r="L87" s="884"/>
      <c r="M87" s="481"/>
    </row>
    <row r="88" spans="2:13" ht="12.75" x14ac:dyDescent="0.2">
      <c r="B88" s="1028" t="s">
        <v>1096</v>
      </c>
      <c r="C88" s="1030"/>
      <c r="D88" s="1076">
        <v>0</v>
      </c>
      <c r="E88" s="1077">
        <v>3.006909179967E-3</v>
      </c>
      <c r="F88" s="1078">
        <f t="shared" si="10"/>
        <v>0</v>
      </c>
      <c r="G88" s="1074">
        <f t="shared" si="11"/>
        <v>28</v>
      </c>
      <c r="H88" s="1035">
        <f t="shared" si="12"/>
        <v>0</v>
      </c>
      <c r="I88" s="1027"/>
      <c r="J88" s="884"/>
      <c r="K88" s="1027"/>
      <c r="L88" s="884"/>
      <c r="M88" s="481"/>
    </row>
    <row r="89" spans="2:13" ht="12.75" x14ac:dyDescent="0.2">
      <c r="B89" s="1028" t="s">
        <v>1097</v>
      </c>
      <c r="C89" s="1029">
        <v>146</v>
      </c>
      <c r="D89" s="1076">
        <v>106</v>
      </c>
      <c r="E89" s="1077">
        <v>3.006909179967E-3</v>
      </c>
      <c r="F89" s="1078">
        <f t="shared" si="10"/>
        <v>0.12027636719868</v>
      </c>
      <c r="G89" s="1074">
        <f t="shared" si="11"/>
        <v>28</v>
      </c>
      <c r="H89" s="1035">
        <f t="shared" si="12"/>
        <v>3.36773828156304E-6</v>
      </c>
      <c r="I89" s="1027"/>
      <c r="J89" s="884"/>
      <c r="K89" s="1027"/>
      <c r="L89" s="884"/>
      <c r="M89" s="481"/>
    </row>
    <row r="90" spans="2:13" ht="12.75" x14ac:dyDescent="0.2">
      <c r="B90" s="1028" t="s">
        <v>331</v>
      </c>
      <c r="C90" s="1029">
        <v>15474</v>
      </c>
      <c r="D90" s="1076">
        <v>599</v>
      </c>
      <c r="E90" s="1077">
        <v>9.4955026735800007E-4</v>
      </c>
      <c r="F90" s="1078">
        <f t="shared" si="10"/>
        <v>14.124560226950251</v>
      </c>
      <c r="G90" s="1074">
        <f t="shared" si="11"/>
        <v>28</v>
      </c>
      <c r="H90" s="1035">
        <f t="shared" si="12"/>
        <v>3.9548768635460702E-4</v>
      </c>
      <c r="I90" s="1027"/>
      <c r="J90" s="884"/>
      <c r="K90" s="1027"/>
      <c r="L90" s="884"/>
      <c r="M90" s="481"/>
    </row>
    <row r="91" spans="2:13" ht="12.75" x14ac:dyDescent="0.2">
      <c r="B91" s="885" t="s">
        <v>579</v>
      </c>
      <c r="C91" s="1030">
        <v>8205</v>
      </c>
      <c r="D91" s="1076" t="s">
        <v>1102</v>
      </c>
      <c r="E91" s="1077">
        <v>2.8486508020740004E-2</v>
      </c>
      <c r="F91" s="1078">
        <f>C91*E91</f>
        <v>233.73179831017174</v>
      </c>
      <c r="G91" s="1074">
        <f t="shared" si="11"/>
        <v>28</v>
      </c>
      <c r="H91" s="1035">
        <f t="shared" si="12"/>
        <v>6.5444903526848085E-3</v>
      </c>
      <c r="I91" s="1027"/>
      <c r="J91" s="884"/>
      <c r="K91" s="1027"/>
      <c r="L91" s="884"/>
      <c r="M91" s="481"/>
    </row>
    <row r="92" spans="2:13" ht="12.75" x14ac:dyDescent="0.2">
      <c r="B92" s="1028"/>
      <c r="C92" s="1040"/>
      <c r="D92" s="1040"/>
      <c r="E92" s="1040"/>
      <c r="F92" s="1040"/>
      <c r="G92" s="1079" t="s">
        <v>393</v>
      </c>
      <c r="H92" s="1080">
        <f>SUM(H69:H91)</f>
        <v>1.2216101346821511E-2</v>
      </c>
      <c r="I92" s="883"/>
      <c r="J92" s="920"/>
      <c r="K92" s="883"/>
      <c r="L92" s="920"/>
      <c r="M92" s="481"/>
    </row>
    <row r="93" spans="2:13" ht="12.75" x14ac:dyDescent="0.2">
      <c r="B93" s="1081"/>
      <c r="C93" s="1082"/>
      <c r="D93" s="1082"/>
      <c r="E93" s="1082"/>
      <c r="F93" s="1082"/>
      <c r="G93" s="1082"/>
      <c r="H93" s="1083"/>
      <c r="I93" s="481"/>
      <c r="J93" s="481"/>
      <c r="K93" s="481"/>
      <c r="L93" s="481"/>
      <c r="M93" s="481"/>
    </row>
    <row r="96" spans="2:13" ht="21" x14ac:dyDescent="0.4">
      <c r="B96" s="931" t="s">
        <v>1107</v>
      </c>
      <c r="C96" s="1084"/>
      <c r="D96" s="931">
        <v>2014</v>
      </c>
      <c r="E96" s="481"/>
      <c r="F96" s="481"/>
      <c r="G96" s="481"/>
      <c r="H96" s="481"/>
    </row>
    <row r="97" spans="2:8" ht="14.25" x14ac:dyDescent="0.25">
      <c r="B97" s="1007"/>
      <c r="C97" s="1008" t="s">
        <v>1081</v>
      </c>
      <c r="D97" s="1008" t="s">
        <v>1020</v>
      </c>
      <c r="E97" s="1008" t="s">
        <v>1108</v>
      </c>
      <c r="F97" s="1008" t="s">
        <v>1109</v>
      </c>
      <c r="G97" s="1008" t="s">
        <v>1110</v>
      </c>
      <c r="H97" s="1085" t="s">
        <v>1072</v>
      </c>
    </row>
    <row r="98" spans="2:8" ht="12.75" x14ac:dyDescent="0.2">
      <c r="B98" s="1011"/>
      <c r="C98" s="1012" t="s">
        <v>396</v>
      </c>
      <c r="D98" s="1012" t="s">
        <v>396</v>
      </c>
      <c r="E98" s="95" t="s">
        <v>397</v>
      </c>
      <c r="F98" s="95" t="s">
        <v>397</v>
      </c>
      <c r="G98" s="95" t="s">
        <v>397</v>
      </c>
      <c r="H98" s="933" t="s">
        <v>397</v>
      </c>
    </row>
    <row r="99" spans="2:8" ht="14.25" x14ac:dyDescent="0.25">
      <c r="B99" s="1068" t="s">
        <v>72</v>
      </c>
      <c r="C99" s="1069" t="s">
        <v>399</v>
      </c>
      <c r="D99" s="1069" t="s">
        <v>399</v>
      </c>
      <c r="E99" s="875" t="s">
        <v>1111</v>
      </c>
      <c r="F99" s="875" t="s">
        <v>1112</v>
      </c>
      <c r="G99" s="875" t="s">
        <v>1113</v>
      </c>
      <c r="H99" s="876" t="s">
        <v>1114</v>
      </c>
    </row>
    <row r="100" spans="2:8" ht="12.75" x14ac:dyDescent="0.2">
      <c r="B100" s="1070" t="s">
        <v>1083</v>
      </c>
      <c r="C100" s="1030">
        <v>0</v>
      </c>
      <c r="D100" s="1071">
        <v>0</v>
      </c>
      <c r="E100" s="1073">
        <v>0</v>
      </c>
      <c r="F100" s="1073">
        <v>0</v>
      </c>
      <c r="G100" s="1086">
        <v>0</v>
      </c>
      <c r="H100" s="1075">
        <f t="shared" ref="H100:H122" si="13">SUM(E100:G100)</f>
        <v>0</v>
      </c>
    </row>
    <row r="101" spans="2:8" ht="12.75" x14ac:dyDescent="0.2">
      <c r="B101" s="1028" t="s">
        <v>1084</v>
      </c>
      <c r="C101" s="1029">
        <v>15627</v>
      </c>
      <c r="D101" s="1076">
        <v>232</v>
      </c>
      <c r="E101" s="1078">
        <f t="shared" ref="E101:E102" si="14">J9</f>
        <v>1.47804190624461</v>
      </c>
      <c r="F101" s="1078">
        <f t="shared" ref="F101:F102" si="15">H70</f>
        <v>4.3205275703885829E-3</v>
      </c>
      <c r="G101" s="1087">
        <f t="shared" ref="G101:G102" si="16">H39</f>
        <v>6.1336061043909349E-3</v>
      </c>
      <c r="H101" s="1035">
        <f t="shared" si="13"/>
        <v>1.4884960399193894</v>
      </c>
    </row>
    <row r="102" spans="2:8" ht="12.75" x14ac:dyDescent="0.2">
      <c r="B102" s="1028" t="s">
        <v>1085</v>
      </c>
      <c r="C102" s="1029">
        <v>15346</v>
      </c>
      <c r="D102" s="1076">
        <v>17999</v>
      </c>
      <c r="E102" s="1078">
        <f t="shared" si="14"/>
        <v>-0.19980556355413503</v>
      </c>
      <c r="F102" s="1078">
        <f t="shared" si="15"/>
        <v>-2.2336524152466862E-4</v>
      </c>
      <c r="G102" s="1087">
        <f t="shared" si="16"/>
        <v>-4.2279849288597981E-4</v>
      </c>
      <c r="H102" s="1035">
        <f t="shared" si="13"/>
        <v>-0.20045172728854568</v>
      </c>
    </row>
    <row r="103" spans="2:8" ht="25.5" x14ac:dyDescent="0.2">
      <c r="B103" s="1036" t="s">
        <v>1086</v>
      </c>
      <c r="C103" s="1030">
        <v>0</v>
      </c>
      <c r="D103" s="1076">
        <v>0</v>
      </c>
      <c r="E103" s="1078">
        <v>0</v>
      </c>
      <c r="F103" s="1078">
        <v>0</v>
      </c>
      <c r="G103" s="1087">
        <v>0</v>
      </c>
      <c r="H103" s="1035">
        <f t="shared" si="13"/>
        <v>0</v>
      </c>
    </row>
    <row r="104" spans="2:8" ht="12.75" x14ac:dyDescent="0.2">
      <c r="B104" s="1036" t="s">
        <v>1087</v>
      </c>
      <c r="C104" s="1030">
        <v>0</v>
      </c>
      <c r="D104" s="1076">
        <v>0</v>
      </c>
      <c r="E104" s="1078">
        <v>0</v>
      </c>
      <c r="F104" s="1078">
        <v>0</v>
      </c>
      <c r="G104" s="1087">
        <v>0</v>
      </c>
      <c r="H104" s="1035">
        <f t="shared" si="13"/>
        <v>0</v>
      </c>
    </row>
    <row r="105" spans="2:8" ht="12.75" x14ac:dyDescent="0.2">
      <c r="B105" s="1028" t="s">
        <v>403</v>
      </c>
      <c r="C105" s="1029">
        <v>6743</v>
      </c>
      <c r="D105" s="1076">
        <v>106</v>
      </c>
      <c r="E105" s="1078">
        <f>J13</f>
        <v>0.49449540852195001</v>
      </c>
      <c r="F105" s="1078">
        <f>H74</f>
        <v>5.587919743683474E-4</v>
      </c>
      <c r="G105" s="1087">
        <f>H43</f>
        <v>1.0577133800543715E-3</v>
      </c>
      <c r="H105" s="1035">
        <f t="shared" si="13"/>
        <v>0.49611191387637277</v>
      </c>
    </row>
    <row r="106" spans="2:8" ht="25.5" x14ac:dyDescent="0.2">
      <c r="B106" s="1036" t="s">
        <v>1088</v>
      </c>
      <c r="C106" s="1038">
        <v>0</v>
      </c>
      <c r="D106" s="1076"/>
      <c r="E106" s="1078">
        <v>0</v>
      </c>
      <c r="F106" s="1078">
        <f>6.92530067534525E-07*($M$10/21)</f>
        <v>9.2337342337936654E-7</v>
      </c>
      <c r="G106" s="1087">
        <f>2.04461258034003E-06*($M$11/310)</f>
        <v>1.7478139799680903E-6</v>
      </c>
      <c r="H106" s="1035">
        <f t="shared" si="13"/>
        <v>2.6711874033474568E-6</v>
      </c>
    </row>
    <row r="107" spans="2:8" ht="25.5" x14ac:dyDescent="0.2">
      <c r="B107" s="1036" t="s">
        <v>1089</v>
      </c>
      <c r="C107" s="1038">
        <v>0</v>
      </c>
      <c r="D107" s="1076"/>
      <c r="E107" s="1078">
        <v>0</v>
      </c>
      <c r="F107" s="1078">
        <f>0.0000158779945318073*($M$10/21)</f>
        <v>2.1170659375743068E-5</v>
      </c>
      <c r="G107" s="1087">
        <f>0.0000468778886177167*($M$11/310)</f>
        <v>4.0073033818370732E-5</v>
      </c>
      <c r="H107" s="1035">
        <f t="shared" si="13"/>
        <v>6.1243693194113801E-5</v>
      </c>
    </row>
    <row r="108" spans="2:8" ht="12.75" x14ac:dyDescent="0.2">
      <c r="B108" s="1028" t="s">
        <v>446</v>
      </c>
      <c r="C108" s="1029">
        <v>15</v>
      </c>
      <c r="D108" s="1076">
        <v>0</v>
      </c>
      <c r="E108" s="1078">
        <f t="shared" ref="E108:E111" si="17">J16</f>
        <v>1.097254971175E-3</v>
      </c>
      <c r="F108" s="1078">
        <f t="shared" ref="F108:F111" si="18">H77</f>
        <v>1.2629018555861399E-6</v>
      </c>
      <c r="G108" s="1087">
        <f t="shared" ref="G108:G111" si="19">H46</f>
        <v>2.3904927980737644E-6</v>
      </c>
      <c r="H108" s="1035">
        <f t="shared" si="13"/>
        <v>1.10090836582866E-3</v>
      </c>
    </row>
    <row r="109" spans="2:8" ht="12.75" x14ac:dyDescent="0.2">
      <c r="B109" s="1028" t="s">
        <v>1039</v>
      </c>
      <c r="C109" s="1029">
        <v>1313</v>
      </c>
      <c r="D109" s="1076">
        <v>1413</v>
      </c>
      <c r="E109" s="1078">
        <f t="shared" si="17"/>
        <v>2.7165649783345736E-2</v>
      </c>
      <c r="F109" s="1078">
        <f t="shared" si="18"/>
        <v>-8.4193457039076003E-6</v>
      </c>
      <c r="G109" s="1087">
        <f t="shared" si="19"/>
        <v>-1.5936618653825096E-5</v>
      </c>
      <c r="H109" s="1035">
        <f t="shared" si="13"/>
        <v>2.7141293818988003E-2</v>
      </c>
    </row>
    <row r="110" spans="2:8" ht="12.75" x14ac:dyDescent="0.2">
      <c r="B110" s="1028" t="s">
        <v>1024</v>
      </c>
      <c r="C110" s="1029">
        <v>1988</v>
      </c>
      <c r="D110" s="1076">
        <v>1781</v>
      </c>
      <c r="E110" s="1078">
        <f t="shared" si="17"/>
        <v>0.13338573496969339</v>
      </c>
      <c r="F110" s="1078">
        <f t="shared" si="18"/>
        <v>1.742804560708873E-5</v>
      </c>
      <c r="G110" s="1087">
        <f t="shared" si="19"/>
        <v>3.2988800613417952E-5</v>
      </c>
      <c r="H110" s="1035">
        <f t="shared" si="13"/>
        <v>0.13343615181591389</v>
      </c>
    </row>
    <row r="111" spans="2:8" ht="12.75" x14ac:dyDescent="0.2">
      <c r="B111" s="1028" t="s">
        <v>1060</v>
      </c>
      <c r="C111" s="1029">
        <v>4253</v>
      </c>
      <c r="D111" s="1076">
        <v>0</v>
      </c>
      <c r="E111" s="1078">
        <f t="shared" si="17"/>
        <v>0.3035428519887049</v>
      </c>
      <c r="F111" s="1078">
        <f t="shared" si="18"/>
        <v>3.5807477278719025E-4</v>
      </c>
      <c r="G111" s="1087">
        <f t="shared" si="19"/>
        <v>6.7778439134718129E-4</v>
      </c>
      <c r="H111" s="1035">
        <f t="shared" si="13"/>
        <v>0.3045787111528393</v>
      </c>
    </row>
    <row r="112" spans="2:8" ht="25.5" x14ac:dyDescent="0.2">
      <c r="B112" s="1036" t="s">
        <v>1090</v>
      </c>
      <c r="C112" s="1030">
        <v>0</v>
      </c>
      <c r="D112" s="1076">
        <v>0</v>
      </c>
      <c r="E112" s="1078">
        <v>0</v>
      </c>
      <c r="F112" s="1078">
        <v>0</v>
      </c>
      <c r="G112" s="1087">
        <v>0</v>
      </c>
      <c r="H112" s="1035">
        <f t="shared" si="13"/>
        <v>0</v>
      </c>
    </row>
    <row r="113" spans="2:8" ht="12.75" x14ac:dyDescent="0.2">
      <c r="B113" s="1028" t="s">
        <v>1091</v>
      </c>
      <c r="C113" s="1029">
        <v>270</v>
      </c>
      <c r="D113" s="1076">
        <v>0</v>
      </c>
      <c r="E113" s="1078">
        <f>J21</f>
        <v>2.0111580975436583E-2</v>
      </c>
      <c r="F113" s="1078">
        <v>0</v>
      </c>
      <c r="G113" s="1087">
        <v>0</v>
      </c>
      <c r="H113" s="1035">
        <f t="shared" si="13"/>
        <v>2.0111580975436583E-2</v>
      </c>
    </row>
    <row r="114" spans="2:8" ht="12.75" x14ac:dyDescent="0.2">
      <c r="B114" s="1028" t="s">
        <v>1092</v>
      </c>
      <c r="C114" s="1030">
        <v>0</v>
      </c>
      <c r="D114" s="1076">
        <v>0</v>
      </c>
      <c r="E114" s="1078">
        <v>0</v>
      </c>
      <c r="F114" s="1078">
        <v>0</v>
      </c>
      <c r="G114" s="1087">
        <v>0</v>
      </c>
      <c r="H114" s="1035">
        <f t="shared" si="13"/>
        <v>0</v>
      </c>
    </row>
    <row r="115" spans="2:8" ht="12.75" x14ac:dyDescent="0.2">
      <c r="B115" s="1028" t="s">
        <v>1093</v>
      </c>
      <c r="C115" s="1030"/>
      <c r="D115" s="1076">
        <v>0</v>
      </c>
      <c r="E115" s="1078">
        <v>0</v>
      </c>
      <c r="F115" s="1078">
        <f>2.50884419783495E-06*($M$10/21)</f>
        <v>3.3451255971132669E-6</v>
      </c>
      <c r="G115" s="1087">
        <f>7.40706382217939E-06*($M$11/310)</f>
        <v>6.331844880250124E-6</v>
      </c>
      <c r="H115" s="1035">
        <f t="shared" si="13"/>
        <v>9.6769704773633918E-6</v>
      </c>
    </row>
    <row r="116" spans="2:8" ht="12.75" x14ac:dyDescent="0.2">
      <c r="B116" s="1028" t="s">
        <v>404</v>
      </c>
      <c r="C116" s="1029">
        <v>241</v>
      </c>
      <c r="D116" s="1076">
        <v>0</v>
      </c>
      <c r="E116" s="1078">
        <f>J24</f>
        <v>1.8086298827501665E-2</v>
      </c>
      <c r="F116" s="1078">
        <f>H85</f>
        <v>2.0290623146417317E-5</v>
      </c>
      <c r="G116" s="1087">
        <f>H54</f>
        <v>3.840725095571848E-5</v>
      </c>
      <c r="H116" s="1035">
        <f t="shared" si="13"/>
        <v>1.8144996701603799E-2</v>
      </c>
    </row>
    <row r="117" spans="2:8" ht="12.75" x14ac:dyDescent="0.2">
      <c r="B117" s="1028" t="s">
        <v>1094</v>
      </c>
      <c r="C117" s="1030">
        <v>0</v>
      </c>
      <c r="D117" s="1076">
        <v>0</v>
      </c>
      <c r="E117" s="1078">
        <v>0</v>
      </c>
      <c r="F117" s="1078">
        <v>0</v>
      </c>
      <c r="G117" s="1087">
        <v>0</v>
      </c>
      <c r="H117" s="1035">
        <f t="shared" si="13"/>
        <v>0</v>
      </c>
    </row>
    <row r="118" spans="2:8" ht="12.75" x14ac:dyDescent="0.2">
      <c r="B118" s="1028" t="s">
        <v>1095</v>
      </c>
      <c r="C118" s="1029">
        <v>2956</v>
      </c>
      <c r="D118" s="1076">
        <v>516</v>
      </c>
      <c r="E118" s="1078">
        <f>J26</f>
        <v>0.21377351702322001</v>
      </c>
      <c r="F118" s="1078">
        <f>H87</f>
        <v>2.0543203517534546E-4</v>
      </c>
      <c r="G118" s="1087">
        <f>H56</f>
        <v>3.8885349515333233E-4</v>
      </c>
      <c r="H118" s="1035">
        <f t="shared" si="13"/>
        <v>0.21436780255354868</v>
      </c>
    </row>
    <row r="119" spans="2:8" ht="12.75" x14ac:dyDescent="0.2">
      <c r="B119" s="1028" t="s">
        <v>1096</v>
      </c>
      <c r="C119" s="1030">
        <v>0</v>
      </c>
      <c r="D119" s="1076">
        <v>0</v>
      </c>
      <c r="E119" s="1078">
        <v>0</v>
      </c>
      <c r="F119" s="1078">
        <v>0</v>
      </c>
      <c r="G119" s="1087">
        <v>0</v>
      </c>
      <c r="H119" s="1035">
        <f t="shared" si="13"/>
        <v>0</v>
      </c>
    </row>
    <row r="120" spans="2:8" ht="12.75" x14ac:dyDescent="0.2">
      <c r="B120" s="1028" t="s">
        <v>1097</v>
      </c>
      <c r="C120" s="1029">
        <v>146</v>
      </c>
      <c r="D120" s="1076">
        <v>106</v>
      </c>
      <c r="E120" s="1078">
        <f t="shared" ref="E120:E121" si="20">J28</f>
        <v>6.1306399380453361E-3</v>
      </c>
      <c r="F120" s="1078">
        <v>0</v>
      </c>
      <c r="G120" s="1087">
        <v>0</v>
      </c>
      <c r="H120" s="1035">
        <f t="shared" si="13"/>
        <v>6.1306399380453361E-3</v>
      </c>
    </row>
    <row r="121" spans="2:8" ht="12.75" x14ac:dyDescent="0.2">
      <c r="B121" s="1028" t="s">
        <v>331</v>
      </c>
      <c r="C121" s="1029">
        <v>15474</v>
      </c>
      <c r="D121" s="1076">
        <v>599</v>
      </c>
      <c r="E121" s="1078">
        <f t="shared" si="20"/>
        <v>0.80077076184812013</v>
      </c>
      <c r="F121" s="1078">
        <f t="shared" ref="F121:F122" si="21">H90</f>
        <v>3.9548768635460702E-4</v>
      </c>
      <c r="G121" s="1087">
        <f t="shared" ref="G121:G122" si="22">H59</f>
        <v>3.7430084601418172E-4</v>
      </c>
      <c r="H121" s="1035">
        <f t="shared" si="13"/>
        <v>0.80154055038048888</v>
      </c>
    </row>
    <row r="122" spans="2:8" ht="12.75" x14ac:dyDescent="0.2">
      <c r="B122" s="885" t="s">
        <v>579</v>
      </c>
      <c r="C122" s="1030">
        <v>8205</v>
      </c>
      <c r="D122" s="1076" t="s">
        <v>1102</v>
      </c>
      <c r="E122" s="1078">
        <v>0</v>
      </c>
      <c r="F122" s="1078">
        <f t="shared" si="21"/>
        <v>6.5444903526848085E-3</v>
      </c>
      <c r="G122" s="1088">
        <f t="shared" si="22"/>
        <v>8.2585235402927344E-3</v>
      </c>
      <c r="H122" s="1039">
        <f t="shared" si="13"/>
        <v>1.4803013892977543E-2</v>
      </c>
    </row>
    <row r="123" spans="2:8" ht="12.75" x14ac:dyDescent="0.2">
      <c r="B123" s="1028"/>
      <c r="C123" s="1040"/>
      <c r="D123" s="1040"/>
      <c r="E123" s="1040"/>
      <c r="F123" s="1087"/>
      <c r="G123" s="1089" t="s">
        <v>393</v>
      </c>
      <c r="H123" s="1090">
        <f>SUM(H100:H122)</f>
        <v>3.3255854679539625</v>
      </c>
    </row>
    <row r="124" spans="2:8" ht="12.75" x14ac:dyDescent="0.2">
      <c r="B124" s="1081"/>
      <c r="C124" s="1082"/>
      <c r="D124" s="1082"/>
      <c r="E124" s="1082"/>
      <c r="F124" s="1082"/>
      <c r="G124" s="1082"/>
      <c r="H124" s="1083"/>
    </row>
    <row r="128" spans="2:8" ht="11.25" x14ac:dyDescent="0.2">
      <c r="B128" s="583" t="s">
        <v>1056</v>
      </c>
    </row>
  </sheetData>
  <sheetProtection algorithmName="SHA-512" hashValue="uLIGQckzISIx2Ov8g64lSFdzjjnJxCmKOPJFwQW70HksGCE3v5DG+NPgyk8ozrLPik7KctVfPIQLyzzBl6dJBA==" saltValue="JMh3aotic/sFUv5q5V8CaA==" spinCount="100000" sheet="1" objects="1" scenarios="1"/>
  <mergeCells count="2">
    <mergeCell ref="A2:J2"/>
    <mergeCell ref="L7:M7"/>
  </mergeCells>
  <pageMargins left="0.75" right="0.75" top="1" bottom="1" header="0" footer="0"/>
  <pageSetup orientation="portrait"/>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6.83203125" defaultRowHeight="15" customHeight="1" x14ac:dyDescent="0.2"/>
  <cols>
    <col min="1" max="2" width="8.83203125" customWidth="1"/>
    <col min="3" max="3" width="34" customWidth="1"/>
    <col min="4" max="4" width="19.6640625" customWidth="1"/>
    <col min="5" max="5" width="3.83203125" customWidth="1"/>
    <col min="6" max="6" width="15.83203125" customWidth="1"/>
    <col min="7" max="7" width="3.83203125" customWidth="1"/>
    <col min="8" max="8" width="12.5" customWidth="1"/>
    <col min="9" max="9" width="3.83203125" customWidth="1"/>
    <col min="10" max="10" width="11.6640625" customWidth="1"/>
    <col min="11" max="11" width="8.83203125" customWidth="1"/>
    <col min="12" max="12" width="13.1640625" customWidth="1"/>
    <col min="13" max="26" width="8.83203125" customWidth="1"/>
  </cols>
  <sheetData>
    <row r="1" spans="1:26" ht="11.25" customHeight="1" x14ac:dyDescent="0.45">
      <c r="A1" s="1091" t="s">
        <v>1115</v>
      </c>
      <c r="N1" s="482"/>
    </row>
    <row r="2" spans="1:26" ht="213.75" customHeight="1" x14ac:dyDescent="0.3">
      <c r="A2" s="466"/>
      <c r="B2" s="1092"/>
      <c r="C2" s="578"/>
      <c r="D2" s="578"/>
      <c r="E2" s="578"/>
      <c r="F2" s="578"/>
      <c r="G2" s="578"/>
      <c r="H2" s="578"/>
      <c r="I2" s="578"/>
      <c r="J2" s="578"/>
      <c r="K2" s="578"/>
      <c r="L2" s="578"/>
      <c r="M2" s="466"/>
      <c r="N2" s="466"/>
      <c r="O2" s="466"/>
      <c r="P2" s="466"/>
      <c r="Q2" s="466"/>
      <c r="R2" s="466"/>
      <c r="S2" s="466"/>
      <c r="T2" s="466"/>
      <c r="U2" s="466"/>
      <c r="V2" s="466"/>
      <c r="W2" s="466"/>
      <c r="X2" s="466"/>
      <c r="Y2" s="466"/>
      <c r="Z2" s="466"/>
    </row>
    <row r="3" spans="1:26" ht="11.25" customHeight="1" x14ac:dyDescent="0.4">
      <c r="A3" s="466"/>
      <c r="B3" s="466"/>
      <c r="C3" s="712" t="s">
        <v>1116</v>
      </c>
      <c r="D3" s="713"/>
      <c r="E3" s="713"/>
      <c r="F3" s="713"/>
      <c r="G3" s="713"/>
      <c r="H3" s="713"/>
      <c r="I3" s="713"/>
      <c r="J3" s="713"/>
      <c r="K3" s="713"/>
      <c r="L3" s="714"/>
      <c r="M3" s="466"/>
      <c r="N3" s="466"/>
      <c r="O3" s="466"/>
      <c r="P3" s="466"/>
      <c r="Q3" s="466"/>
      <c r="R3" s="466"/>
      <c r="S3" s="466"/>
      <c r="T3" s="466"/>
      <c r="U3" s="466"/>
      <c r="V3" s="466"/>
      <c r="W3" s="466"/>
      <c r="X3" s="466"/>
      <c r="Y3" s="466"/>
      <c r="Z3" s="466"/>
    </row>
    <row r="4" spans="1:26" ht="11.25" customHeight="1" x14ac:dyDescent="0.25">
      <c r="A4" s="1093"/>
      <c r="B4" s="1093"/>
      <c r="C4" s="1094"/>
      <c r="D4" s="1095" t="s">
        <v>1117</v>
      </c>
      <c r="E4" s="1096"/>
      <c r="F4" s="1097" t="s">
        <v>1118</v>
      </c>
      <c r="G4" s="1093"/>
      <c r="H4" s="1097" t="s">
        <v>1119</v>
      </c>
      <c r="I4" s="1093"/>
      <c r="J4" s="1097" t="s">
        <v>1120</v>
      </c>
      <c r="K4" s="1093"/>
      <c r="L4" s="1098"/>
      <c r="M4" s="1093"/>
      <c r="N4" s="1093"/>
      <c r="O4" s="1093"/>
      <c r="P4" s="1093"/>
      <c r="Q4" s="1093"/>
      <c r="R4" s="1093"/>
      <c r="S4" s="1093"/>
      <c r="T4" s="1093"/>
      <c r="U4" s="1093"/>
      <c r="V4" s="1093"/>
      <c r="W4" s="1093"/>
      <c r="X4" s="1093"/>
      <c r="Y4" s="1093"/>
      <c r="Z4" s="1093"/>
    </row>
    <row r="5" spans="1:26" ht="11.25" customHeight="1" x14ac:dyDescent="0.2">
      <c r="A5" s="1093"/>
      <c r="B5" s="1093"/>
      <c r="C5" s="1094" t="s">
        <v>1121</v>
      </c>
      <c r="D5" s="1099">
        <v>327081</v>
      </c>
      <c r="E5" s="1100" t="s">
        <v>1002</v>
      </c>
      <c r="F5" s="1101">
        <v>0.44</v>
      </c>
      <c r="G5" s="1102" t="s">
        <v>649</v>
      </c>
      <c r="H5" s="1099">
        <f t="shared" ref="H5:H7" si="0">J5*12/44</f>
        <v>39249.72</v>
      </c>
      <c r="I5" s="1102" t="s">
        <v>649</v>
      </c>
      <c r="J5" s="1099">
        <f t="shared" ref="J5:J7" si="1">IF(ISERROR(D5*F5),0,D5*F5)</f>
        <v>143915.64000000001</v>
      </c>
      <c r="K5" s="1093"/>
      <c r="L5" s="1098"/>
      <c r="M5" s="1093"/>
      <c r="N5" s="1093"/>
      <c r="O5" s="1093"/>
      <c r="P5" s="1093"/>
      <c r="Q5" s="1093"/>
      <c r="R5" s="1093"/>
      <c r="S5" s="1093"/>
      <c r="T5" s="1093"/>
      <c r="U5" s="1093"/>
      <c r="V5" s="1093"/>
      <c r="W5" s="1093"/>
      <c r="X5" s="1093"/>
      <c r="Y5" s="1093"/>
      <c r="Z5" s="1093"/>
    </row>
    <row r="6" spans="1:26" ht="11.25" customHeight="1" x14ac:dyDescent="0.2">
      <c r="A6" s="1093"/>
      <c r="B6" s="1093"/>
      <c r="C6" s="1094" t="s">
        <v>1122</v>
      </c>
      <c r="D6" s="1099">
        <v>0</v>
      </c>
      <c r="E6" s="1100" t="s">
        <v>1002</v>
      </c>
      <c r="F6" s="1101">
        <v>0.48400000000000004</v>
      </c>
      <c r="G6" s="1102" t="s">
        <v>649</v>
      </c>
      <c r="H6" s="1099">
        <f t="shared" si="0"/>
        <v>0</v>
      </c>
      <c r="I6" s="1102" t="s">
        <v>649</v>
      </c>
      <c r="J6" s="1099">
        <f t="shared" si="1"/>
        <v>0</v>
      </c>
      <c r="K6" s="1093"/>
      <c r="L6" s="1098"/>
      <c r="M6" s="1093"/>
      <c r="N6" s="1093"/>
      <c r="O6" s="1093"/>
      <c r="P6" s="1093"/>
      <c r="Q6" s="1093"/>
      <c r="R6" s="1093"/>
      <c r="S6" s="1093"/>
      <c r="T6" s="1093"/>
      <c r="U6" s="1093"/>
      <c r="V6" s="1093"/>
      <c r="W6" s="1093"/>
      <c r="X6" s="1093"/>
      <c r="Y6" s="1093"/>
      <c r="Z6" s="1093"/>
    </row>
    <row r="7" spans="1:26" ht="11.25" customHeight="1" x14ac:dyDescent="0.2">
      <c r="A7" s="1093"/>
      <c r="B7" s="1093"/>
      <c r="C7" s="1094" t="s">
        <v>1123</v>
      </c>
      <c r="D7" s="1103"/>
      <c r="E7" s="1100" t="s">
        <v>1002</v>
      </c>
      <c r="F7" s="1101">
        <v>1.7966666666666669</v>
      </c>
      <c r="G7" s="1102" t="s">
        <v>649</v>
      </c>
      <c r="H7" s="1099">
        <f t="shared" si="0"/>
        <v>0</v>
      </c>
      <c r="I7" s="1102" t="s">
        <v>649</v>
      </c>
      <c r="J7" s="1099">
        <f t="shared" si="1"/>
        <v>0</v>
      </c>
      <c r="K7" s="1093"/>
      <c r="L7" s="1098"/>
      <c r="M7" s="1093"/>
      <c r="N7" s="1093"/>
      <c r="O7" s="1093"/>
      <c r="P7" s="1093"/>
      <c r="Q7" s="1093"/>
      <c r="R7" s="1093"/>
      <c r="S7" s="1093"/>
      <c r="T7" s="1093"/>
      <c r="U7" s="1093"/>
      <c r="V7" s="1093"/>
      <c r="W7" s="1093"/>
      <c r="X7" s="1093"/>
      <c r="Y7" s="1093"/>
      <c r="Z7" s="1093"/>
    </row>
    <row r="8" spans="1:26" ht="11.25" customHeight="1" x14ac:dyDescent="0.3">
      <c r="A8" s="466"/>
      <c r="B8" s="1092"/>
      <c r="C8" s="577"/>
      <c r="D8" s="578"/>
      <c r="E8" s="578"/>
      <c r="F8" s="578"/>
      <c r="G8" s="578"/>
      <c r="H8" s="578"/>
      <c r="I8" s="578"/>
      <c r="J8" s="578"/>
      <c r="K8" s="578"/>
      <c r="L8" s="1104"/>
      <c r="M8" s="466"/>
      <c r="N8" s="466"/>
      <c r="O8" s="466"/>
      <c r="P8" s="466"/>
      <c r="Q8" s="466"/>
      <c r="R8" s="466"/>
      <c r="S8" s="466"/>
      <c r="T8" s="466"/>
      <c r="U8" s="466"/>
      <c r="V8" s="466"/>
      <c r="W8" s="466"/>
      <c r="X8" s="466"/>
      <c r="Y8" s="466"/>
      <c r="Z8" s="466"/>
    </row>
    <row r="9" spans="1:26" ht="11.25" customHeight="1" x14ac:dyDescent="0.4">
      <c r="A9" s="466"/>
      <c r="B9" s="1092"/>
      <c r="C9" s="1105" t="s">
        <v>1124</v>
      </c>
      <c r="D9" s="466"/>
      <c r="E9" s="466"/>
      <c r="F9" s="466"/>
      <c r="G9" s="466"/>
      <c r="H9" s="466"/>
      <c r="I9" s="466"/>
      <c r="J9" s="466"/>
      <c r="K9" s="466"/>
      <c r="L9" s="1106"/>
      <c r="M9" s="466"/>
      <c r="N9" s="466"/>
      <c r="O9" s="466"/>
      <c r="P9" s="466"/>
      <c r="Q9" s="466"/>
      <c r="R9" s="466"/>
      <c r="S9" s="466"/>
      <c r="T9" s="466"/>
      <c r="U9" s="466"/>
      <c r="V9" s="466"/>
      <c r="W9" s="466"/>
      <c r="X9" s="466"/>
      <c r="Y9" s="466"/>
      <c r="Z9" s="466"/>
    </row>
    <row r="10" spans="1:26" ht="11.25" customHeight="1" x14ac:dyDescent="0.25">
      <c r="A10" s="1093"/>
      <c r="B10" s="1107"/>
      <c r="C10" s="1094"/>
      <c r="D10" s="1097" t="s">
        <v>1125</v>
      </c>
      <c r="E10" s="1096"/>
      <c r="F10" s="1097" t="s">
        <v>1126</v>
      </c>
      <c r="G10" s="1093"/>
      <c r="H10" s="1097" t="s">
        <v>1119</v>
      </c>
      <c r="I10" s="1093"/>
      <c r="J10" s="1097" t="s">
        <v>1127</v>
      </c>
      <c r="K10" s="1093"/>
      <c r="L10" s="1098"/>
      <c r="M10" s="1093"/>
      <c r="N10" s="1093"/>
      <c r="O10" s="1093"/>
      <c r="P10" s="1093"/>
      <c r="Q10" s="1093"/>
      <c r="R10" s="1093"/>
      <c r="S10" s="1093"/>
      <c r="T10" s="1093"/>
      <c r="U10" s="1093"/>
      <c r="V10" s="1093"/>
      <c r="W10" s="1093"/>
      <c r="X10" s="1093"/>
      <c r="Y10" s="1093"/>
      <c r="Z10" s="1093"/>
    </row>
    <row r="11" spans="1:26" ht="11.25" customHeight="1" x14ac:dyDescent="0.2">
      <c r="A11" s="1093"/>
      <c r="B11" s="1107"/>
      <c r="C11" s="1094" t="s">
        <v>1128</v>
      </c>
      <c r="D11" s="1099">
        <v>0</v>
      </c>
      <c r="E11" s="1100" t="s">
        <v>1002</v>
      </c>
      <c r="F11" s="1101">
        <v>9.74E-2</v>
      </c>
      <c r="G11" s="1102" t="s">
        <v>649</v>
      </c>
      <c r="H11" s="1099">
        <f t="shared" ref="H11:H12" si="2">J11*12/44</f>
        <v>0</v>
      </c>
      <c r="I11" s="1102" t="s">
        <v>649</v>
      </c>
      <c r="J11" s="1099">
        <f t="shared" ref="J11:J12" si="3">IF(ISERROR(D11*F11),0,D11*F11)</f>
        <v>0</v>
      </c>
      <c r="K11" s="1093"/>
      <c r="L11" s="1098"/>
      <c r="M11" s="1093"/>
      <c r="N11" s="1093"/>
      <c r="O11" s="1093"/>
      <c r="P11" s="1093"/>
      <c r="Q11" s="1093"/>
      <c r="R11" s="1093"/>
      <c r="S11" s="1093"/>
      <c r="T11" s="1093"/>
      <c r="U11" s="1093"/>
      <c r="V11" s="1093"/>
      <c r="W11" s="1093"/>
      <c r="X11" s="1093"/>
      <c r="Y11" s="1093"/>
      <c r="Z11" s="1093"/>
    </row>
    <row r="12" spans="1:26" ht="11.25" customHeight="1" x14ac:dyDescent="0.2">
      <c r="A12" s="1093"/>
      <c r="B12" s="1107"/>
      <c r="C12" s="1094" t="s">
        <v>396</v>
      </c>
      <c r="D12" s="1099">
        <v>95590.41</v>
      </c>
      <c r="E12" s="1100" t="s">
        <v>1002</v>
      </c>
      <c r="F12" s="1101">
        <v>0.41499999999999998</v>
      </c>
      <c r="G12" s="1102" t="s">
        <v>649</v>
      </c>
      <c r="H12" s="1099">
        <f t="shared" si="2"/>
        <v>10819.096404545453</v>
      </c>
      <c r="I12" s="1102" t="s">
        <v>649</v>
      </c>
      <c r="J12" s="1099">
        <f t="shared" si="3"/>
        <v>39670.020149999997</v>
      </c>
      <c r="K12" s="1093"/>
      <c r="L12" s="1098"/>
      <c r="M12" s="1093"/>
      <c r="N12" s="1093"/>
      <c r="O12" s="1093"/>
      <c r="P12" s="1093"/>
      <c r="Q12" s="1093"/>
      <c r="R12" s="1093"/>
      <c r="S12" s="1093"/>
      <c r="T12" s="1093"/>
      <c r="U12" s="1093"/>
      <c r="V12" s="1093"/>
      <c r="W12" s="1093"/>
      <c r="X12" s="1093"/>
      <c r="Y12" s="1093"/>
      <c r="Z12" s="1093"/>
    </row>
    <row r="13" spans="1:26" ht="11.25" customHeight="1" x14ac:dyDescent="0.3">
      <c r="A13" s="466"/>
      <c r="B13" s="1092"/>
      <c r="C13" s="577"/>
      <c r="D13" s="578"/>
      <c r="E13" s="578"/>
      <c r="F13" s="578"/>
      <c r="G13" s="578"/>
      <c r="H13" s="578"/>
      <c r="I13" s="578"/>
      <c r="J13" s="578"/>
      <c r="K13" s="578"/>
      <c r="L13" s="1104"/>
      <c r="M13" s="466"/>
      <c r="N13" s="466"/>
      <c r="O13" s="466"/>
      <c r="P13" s="466"/>
      <c r="Q13" s="466"/>
      <c r="R13" s="466"/>
      <c r="S13" s="466"/>
      <c r="T13" s="466"/>
      <c r="U13" s="466"/>
      <c r="V13" s="466"/>
      <c r="W13" s="466"/>
      <c r="X13" s="466"/>
      <c r="Y13" s="466"/>
      <c r="Z13" s="466"/>
    </row>
    <row r="14" spans="1:26" ht="11.25" customHeight="1" x14ac:dyDescent="0.4">
      <c r="A14" s="466"/>
      <c r="B14" s="1092"/>
      <c r="C14" s="1105" t="s">
        <v>1129</v>
      </c>
      <c r="D14" s="466"/>
      <c r="E14" s="466"/>
      <c r="F14" s="466"/>
      <c r="G14" s="466"/>
      <c r="H14" s="466"/>
      <c r="I14" s="466"/>
      <c r="J14" s="466"/>
      <c r="K14" s="466"/>
      <c r="L14" s="1106"/>
      <c r="M14" s="466"/>
      <c r="N14" s="466"/>
      <c r="O14" s="466"/>
      <c r="P14" s="466"/>
      <c r="Q14" s="466"/>
      <c r="R14" s="466"/>
      <c r="S14" s="466"/>
      <c r="T14" s="466"/>
      <c r="U14" s="466"/>
      <c r="V14" s="466"/>
      <c r="W14" s="466"/>
      <c r="X14" s="466"/>
      <c r="Y14" s="466"/>
      <c r="Z14" s="466"/>
    </row>
    <row r="15" spans="1:26" ht="11.25" customHeight="1" x14ac:dyDescent="0.25">
      <c r="A15" s="1093"/>
      <c r="B15" s="1107"/>
      <c r="C15" s="1094"/>
      <c r="D15" s="1097" t="s">
        <v>1130</v>
      </c>
      <c r="E15" s="1096"/>
      <c r="F15" s="1097" t="s">
        <v>1131</v>
      </c>
      <c r="G15" s="1093"/>
      <c r="H15" s="1097" t="s">
        <v>1132</v>
      </c>
      <c r="I15" s="1093"/>
      <c r="J15" s="1097" t="s">
        <v>1119</v>
      </c>
      <c r="K15" s="1093"/>
      <c r="L15" s="1108" t="s">
        <v>1133</v>
      </c>
      <c r="M15" s="1093"/>
      <c r="N15" s="1093"/>
      <c r="O15" s="1093"/>
      <c r="P15" s="1093"/>
      <c r="Q15" s="1093"/>
      <c r="R15" s="1093"/>
      <c r="S15" s="1093"/>
      <c r="T15" s="1093"/>
      <c r="U15" s="1093"/>
      <c r="V15" s="1093"/>
      <c r="W15" s="1093"/>
      <c r="X15" s="1093"/>
      <c r="Y15" s="1093"/>
      <c r="Z15" s="1093"/>
    </row>
    <row r="16" spans="1:26" ht="11.25" customHeight="1" x14ac:dyDescent="0.2">
      <c r="A16" s="1093"/>
      <c r="B16" s="1107"/>
      <c r="C16" s="1109" t="s">
        <v>1134</v>
      </c>
      <c r="D16" s="1099">
        <v>0</v>
      </c>
      <c r="E16" s="1100" t="s">
        <v>1002</v>
      </c>
      <c r="F16" s="1110">
        <v>1.2</v>
      </c>
      <c r="G16" s="1102" t="s">
        <v>1025</v>
      </c>
      <c r="H16" s="1099">
        <f>D17*F17</f>
        <v>548.23</v>
      </c>
      <c r="I16" s="1100" t="s">
        <v>1026</v>
      </c>
      <c r="J16" s="1099">
        <f t="shared" ref="J16:J17" si="4">L16*12/44</f>
        <v>0</v>
      </c>
      <c r="K16" s="1102" t="s">
        <v>649</v>
      </c>
      <c r="L16" s="1111">
        <f>IF(D16&gt;0,D16*F16-(H16),0)</f>
        <v>0</v>
      </c>
      <c r="M16" s="1093"/>
      <c r="N16" s="1093"/>
      <c r="O16" s="1093"/>
      <c r="P16" s="1093"/>
      <c r="Q16" s="1093"/>
      <c r="R16" s="1093"/>
      <c r="S16" s="1093"/>
      <c r="T16" s="1093"/>
      <c r="U16" s="1093"/>
      <c r="V16" s="1093"/>
      <c r="W16" s="1093"/>
      <c r="X16" s="1093"/>
      <c r="Y16" s="1093"/>
      <c r="Z16" s="1093"/>
    </row>
    <row r="17" spans="1:26" ht="11.25" customHeight="1" x14ac:dyDescent="0.2">
      <c r="A17" s="1093"/>
      <c r="B17" s="1107"/>
      <c r="C17" s="1109" t="s">
        <v>1135</v>
      </c>
      <c r="D17" s="1099">
        <v>751</v>
      </c>
      <c r="E17" s="1100"/>
      <c r="F17" s="1112">
        <v>0.73</v>
      </c>
      <c r="G17" s="1100"/>
      <c r="H17" s="1100"/>
      <c r="I17" s="1102" t="s">
        <v>1136</v>
      </c>
      <c r="J17" s="1099">
        <f t="shared" si="4"/>
        <v>149.51727272727274</v>
      </c>
      <c r="K17" s="1100" t="s">
        <v>649</v>
      </c>
      <c r="L17" s="1111">
        <f>D17*F17</f>
        <v>548.23</v>
      </c>
      <c r="M17" s="1093"/>
      <c r="N17" s="1093"/>
      <c r="O17" s="1093"/>
      <c r="P17" s="1093"/>
      <c r="Q17" s="1093"/>
      <c r="R17" s="1093"/>
      <c r="S17" s="1093"/>
      <c r="T17" s="1093"/>
      <c r="U17" s="1093"/>
      <c r="V17" s="1093"/>
      <c r="W17" s="1093"/>
      <c r="X17" s="1093"/>
      <c r="Y17" s="1093"/>
      <c r="Z17" s="1093"/>
    </row>
    <row r="18" spans="1:26" ht="11.25" customHeight="1" x14ac:dyDescent="0.3">
      <c r="A18" s="466"/>
      <c r="B18" s="1092"/>
      <c r="C18" s="577"/>
      <c r="D18" s="578"/>
      <c r="E18" s="578"/>
      <c r="F18" s="578"/>
      <c r="G18" s="578"/>
      <c r="H18" s="578"/>
      <c r="I18" s="578"/>
      <c r="J18" s="578"/>
      <c r="K18" s="578"/>
      <c r="L18" s="1104"/>
      <c r="M18" s="466"/>
      <c r="N18" s="466"/>
      <c r="O18" s="466"/>
      <c r="P18" s="466"/>
      <c r="Q18" s="466"/>
      <c r="R18" s="466"/>
      <c r="S18" s="466"/>
      <c r="T18" s="466"/>
      <c r="U18" s="466"/>
      <c r="V18" s="466"/>
      <c r="W18" s="466"/>
      <c r="X18" s="466"/>
      <c r="Y18" s="466"/>
      <c r="Z18" s="466"/>
    </row>
    <row r="19" spans="1:26" ht="11.25" customHeight="1" x14ac:dyDescent="0.3">
      <c r="A19" s="466"/>
      <c r="B19" s="1092"/>
      <c r="C19" s="577"/>
      <c r="D19" s="578"/>
      <c r="E19" s="578"/>
      <c r="F19" s="578"/>
      <c r="G19" s="578"/>
      <c r="H19" s="578"/>
      <c r="I19" s="578"/>
      <c r="J19" s="578"/>
      <c r="K19" s="578"/>
      <c r="L19" s="1104"/>
      <c r="M19" s="466"/>
      <c r="N19" s="466"/>
      <c r="O19" s="466"/>
      <c r="P19" s="466"/>
      <c r="Q19" s="466"/>
      <c r="R19" s="466"/>
      <c r="S19" s="466"/>
      <c r="T19" s="466"/>
      <c r="U19" s="466"/>
      <c r="V19" s="466"/>
      <c r="W19" s="466"/>
      <c r="X19" s="466"/>
      <c r="Y19" s="466"/>
      <c r="Z19" s="466"/>
    </row>
    <row r="20" spans="1:26" ht="11.25" customHeight="1" x14ac:dyDescent="0.4">
      <c r="A20" s="466"/>
      <c r="B20" s="1092"/>
      <c r="C20" s="1105" t="s">
        <v>1137</v>
      </c>
      <c r="D20" s="466"/>
      <c r="E20" s="466"/>
      <c r="F20" s="466"/>
      <c r="G20" s="466"/>
      <c r="H20" s="466"/>
      <c r="I20" s="466"/>
      <c r="J20" s="466"/>
      <c r="K20" s="466"/>
      <c r="L20" s="1106"/>
      <c r="M20" s="466"/>
      <c r="N20" s="466"/>
      <c r="O20" s="466"/>
      <c r="P20" s="466"/>
      <c r="Q20" s="466"/>
      <c r="R20" s="466"/>
      <c r="S20" s="466"/>
      <c r="T20" s="466"/>
      <c r="U20" s="466"/>
      <c r="V20" s="466"/>
      <c r="W20" s="466"/>
      <c r="X20" s="466"/>
      <c r="Y20" s="466"/>
      <c r="Z20" s="466"/>
    </row>
    <row r="21" spans="1:26" ht="47.25" customHeight="1" x14ac:dyDescent="0.25">
      <c r="A21" s="1093"/>
      <c r="B21" s="1107"/>
      <c r="C21" s="1094"/>
      <c r="D21" s="1097" t="s">
        <v>1138</v>
      </c>
      <c r="E21" s="1096"/>
      <c r="F21" s="1097" t="s">
        <v>1139</v>
      </c>
      <c r="G21" s="1113"/>
      <c r="H21" s="1097" t="s">
        <v>1140</v>
      </c>
      <c r="I21" s="1093"/>
      <c r="J21" s="1097" t="s">
        <v>1141</v>
      </c>
      <c r="K21" s="1093"/>
      <c r="L21" s="1108" t="s">
        <v>1142</v>
      </c>
      <c r="M21" s="1093"/>
      <c r="N21" s="1093"/>
      <c r="O21" s="2501" t="s">
        <v>0</v>
      </c>
      <c r="P21" s="2502"/>
      <c r="Q21" s="1093"/>
      <c r="R21" s="1093"/>
      <c r="S21" s="1093"/>
      <c r="T21" s="1093"/>
      <c r="U21" s="1093"/>
      <c r="V21" s="1093"/>
      <c r="W21" s="1093"/>
      <c r="X21" s="1093"/>
      <c r="Y21" s="1093"/>
      <c r="Z21" s="1093"/>
    </row>
    <row r="22" spans="1:26" ht="11.25" customHeight="1" x14ac:dyDescent="0.2">
      <c r="A22" s="1093"/>
      <c r="B22" s="1107"/>
      <c r="C22" s="1114">
        <v>2014</v>
      </c>
      <c r="D22" s="1099">
        <f>158.6*1000000</f>
        <v>158600000</v>
      </c>
      <c r="E22" s="1100" t="s">
        <v>1002</v>
      </c>
      <c r="F22" s="1099">
        <v>5976407</v>
      </c>
      <c r="G22" s="1102" t="s">
        <v>1143</v>
      </c>
      <c r="H22" s="1099">
        <v>318857056</v>
      </c>
      <c r="I22" s="1102" t="s">
        <v>649</v>
      </c>
      <c r="J22" s="1099">
        <f>L22*12/44</f>
        <v>810729.33269622747</v>
      </c>
      <c r="K22" s="1102" t="s">
        <v>649</v>
      </c>
      <c r="L22" s="1111">
        <f>D22*F22/H22</f>
        <v>2972674.2198861674</v>
      </c>
      <c r="M22" s="1093"/>
      <c r="N22" s="1093"/>
      <c r="O22" s="198"/>
      <c r="P22" s="198"/>
      <c r="Q22" s="1093"/>
      <c r="R22" s="1093"/>
      <c r="S22" s="1093"/>
      <c r="T22" s="1093"/>
      <c r="U22" s="1093"/>
      <c r="V22" s="1093"/>
      <c r="W22" s="1093"/>
      <c r="X22" s="1093"/>
      <c r="Y22" s="1093"/>
      <c r="Z22" s="1093"/>
    </row>
    <row r="23" spans="1:26" ht="11.25" customHeight="1" x14ac:dyDescent="0.3">
      <c r="A23" s="466"/>
      <c r="B23" s="1092"/>
      <c r="C23" s="577"/>
      <c r="D23" s="578"/>
      <c r="E23" s="578"/>
      <c r="F23" s="578"/>
      <c r="G23" s="578"/>
      <c r="H23" s="578"/>
      <c r="I23" s="578"/>
      <c r="J23" s="578"/>
      <c r="K23" s="578"/>
      <c r="L23" s="1104"/>
      <c r="M23" s="466"/>
      <c r="N23" s="466"/>
      <c r="O23" s="200" t="s">
        <v>4</v>
      </c>
      <c r="P23" s="201">
        <f>'Summ GHG Rpt Expanded'!G4</f>
        <v>1</v>
      </c>
      <c r="Q23" s="466"/>
      <c r="R23" s="466"/>
      <c r="S23" s="466"/>
      <c r="T23" s="466"/>
      <c r="U23" s="466"/>
      <c r="V23" s="466"/>
      <c r="W23" s="466"/>
      <c r="X23" s="466"/>
      <c r="Y23" s="466"/>
      <c r="Z23" s="466"/>
    </row>
    <row r="24" spans="1:26" ht="11.25" customHeight="1" x14ac:dyDescent="0.3">
      <c r="A24" s="466"/>
      <c r="B24" s="1092"/>
      <c r="C24" s="577"/>
      <c r="D24" s="578"/>
      <c r="E24" s="578"/>
      <c r="F24" s="578"/>
      <c r="G24" s="578"/>
      <c r="H24" s="578"/>
      <c r="I24" s="578"/>
      <c r="J24" s="578"/>
      <c r="K24" s="578"/>
      <c r="L24" s="1104"/>
      <c r="M24" s="466"/>
      <c r="N24" s="466"/>
      <c r="O24" s="200" t="s">
        <v>5</v>
      </c>
      <c r="P24" s="201">
        <f>'Summ GHG Rpt Expanded'!G5</f>
        <v>28</v>
      </c>
      <c r="Q24" s="466"/>
      <c r="R24" s="466"/>
      <c r="S24" s="466"/>
      <c r="T24" s="466"/>
      <c r="U24" s="466"/>
      <c r="V24" s="466"/>
      <c r="W24" s="466"/>
      <c r="X24" s="466"/>
      <c r="Y24" s="466"/>
      <c r="Z24" s="466"/>
    </row>
    <row r="25" spans="1:26" ht="11.25" customHeight="1" x14ac:dyDescent="0.4">
      <c r="A25" s="466"/>
      <c r="B25" s="1092"/>
      <c r="C25" s="1105" t="s">
        <v>1144</v>
      </c>
      <c r="D25" s="466"/>
      <c r="E25" s="466"/>
      <c r="F25" s="466"/>
      <c r="G25" s="466"/>
      <c r="H25" s="466"/>
      <c r="I25" s="466"/>
      <c r="J25" s="466"/>
      <c r="K25" s="466"/>
      <c r="L25" s="1106"/>
      <c r="M25" s="466"/>
      <c r="N25" s="466"/>
      <c r="O25" s="200" t="s">
        <v>6</v>
      </c>
      <c r="P25" s="201">
        <f>'Summ GHG Rpt Expanded'!G6</f>
        <v>265</v>
      </c>
      <c r="Q25" s="466"/>
      <c r="R25" s="466"/>
      <c r="S25" s="466"/>
      <c r="T25" s="466"/>
      <c r="U25" s="466"/>
      <c r="V25" s="466"/>
      <c r="W25" s="466"/>
      <c r="X25" s="466"/>
      <c r="Y25" s="466"/>
      <c r="Z25" s="466"/>
    </row>
    <row r="26" spans="1:26" ht="11.25" customHeight="1" x14ac:dyDescent="0.2">
      <c r="A26" s="1093"/>
      <c r="B26" s="1107"/>
      <c r="C26" s="1094"/>
      <c r="D26" s="1095" t="s">
        <v>1145</v>
      </c>
      <c r="E26" s="1115"/>
      <c r="F26" s="1095" t="s">
        <v>1146</v>
      </c>
      <c r="G26" s="1116"/>
      <c r="H26" s="1095" t="s">
        <v>1147</v>
      </c>
      <c r="I26" s="1116"/>
      <c r="J26" s="1115" t="s">
        <v>397</v>
      </c>
      <c r="K26" s="1116"/>
      <c r="L26" s="1117" t="s">
        <v>1148</v>
      </c>
      <c r="M26" s="1093"/>
      <c r="N26" s="1093"/>
      <c r="O26" s="200" t="s">
        <v>7</v>
      </c>
      <c r="P26" s="202">
        <f>'Summ GHG Rpt Expanded'!G7</f>
        <v>23500</v>
      </c>
      <c r="Q26" s="1093"/>
      <c r="R26" s="1093"/>
      <c r="S26" s="1093"/>
      <c r="T26" s="1093"/>
      <c r="U26" s="1093"/>
      <c r="V26" s="1093"/>
      <c r="W26" s="1093"/>
      <c r="X26" s="1093"/>
      <c r="Y26" s="1093"/>
      <c r="Z26" s="1093"/>
    </row>
    <row r="27" spans="1:26" ht="11.25" customHeight="1" x14ac:dyDescent="0.2">
      <c r="A27" s="1093"/>
      <c r="B27" s="1107"/>
      <c r="C27" s="1114">
        <v>2014</v>
      </c>
      <c r="D27" s="1103">
        <v>1.98</v>
      </c>
      <c r="E27" s="1100" t="s">
        <v>1002</v>
      </c>
      <c r="F27" s="1110">
        <v>1</v>
      </c>
      <c r="G27" s="1102" t="s">
        <v>649</v>
      </c>
      <c r="H27" s="1099">
        <f>IF(ISERROR(D27*F27),,D27*F27)</f>
        <v>1.98</v>
      </c>
      <c r="I27" s="1102" t="s">
        <v>649</v>
      </c>
      <c r="J27" s="1099">
        <f>H27*$P$26*12/44</f>
        <v>12690</v>
      </c>
      <c r="K27" s="1102" t="s">
        <v>649</v>
      </c>
      <c r="L27" s="1111">
        <f>J27/(12/44)</f>
        <v>46530</v>
      </c>
      <c r="M27" s="1093"/>
      <c r="N27" s="1093"/>
      <c r="O27" s="200" t="s">
        <v>8</v>
      </c>
      <c r="P27" s="202">
        <f>'Summ GHG Rpt Expanded'!G8</f>
        <v>11100</v>
      </c>
      <c r="Q27" s="1093"/>
      <c r="R27" s="1093"/>
      <c r="S27" s="1093"/>
      <c r="T27" s="1093"/>
      <c r="U27" s="1093"/>
      <c r="V27" s="1093"/>
      <c r="W27" s="1093"/>
      <c r="X27" s="1093"/>
      <c r="Y27" s="1093"/>
      <c r="Z27" s="1093"/>
    </row>
    <row r="28" spans="1:26" ht="11.25" customHeight="1" x14ac:dyDescent="0.3">
      <c r="A28" s="466"/>
      <c r="B28" s="1092"/>
      <c r="C28" s="577"/>
      <c r="D28" s="578"/>
      <c r="E28" s="578"/>
      <c r="F28" s="578"/>
      <c r="G28" s="578"/>
      <c r="H28" s="578"/>
      <c r="I28" s="578"/>
      <c r="J28" s="578"/>
      <c r="K28" s="578"/>
      <c r="L28" s="1104"/>
      <c r="M28" s="466"/>
      <c r="N28" s="466"/>
      <c r="O28" s="466"/>
      <c r="P28" s="466"/>
      <c r="Q28" s="466"/>
      <c r="R28" s="466"/>
      <c r="S28" s="466"/>
      <c r="T28" s="466"/>
      <c r="U28" s="466"/>
      <c r="V28" s="466"/>
      <c r="W28" s="466"/>
      <c r="X28" s="466"/>
      <c r="Y28" s="466"/>
      <c r="Z28" s="466"/>
    </row>
    <row r="29" spans="1:26" ht="11.25" customHeight="1" x14ac:dyDescent="0.3">
      <c r="A29" s="466"/>
      <c r="B29" s="1092"/>
      <c r="C29" s="577"/>
      <c r="D29" s="578"/>
      <c r="E29" s="578"/>
      <c r="F29" s="578"/>
      <c r="G29" s="578"/>
      <c r="H29" s="578"/>
      <c r="I29" s="578"/>
      <c r="J29" s="578"/>
      <c r="K29" s="578"/>
      <c r="L29" s="1104"/>
      <c r="M29" s="466"/>
      <c r="N29" s="466"/>
      <c r="O29" s="466"/>
      <c r="P29" s="466"/>
      <c r="Q29" s="466"/>
      <c r="R29" s="466"/>
      <c r="S29" s="466"/>
      <c r="T29" s="466"/>
      <c r="U29" s="466"/>
      <c r="V29" s="466"/>
      <c r="W29" s="466"/>
      <c r="X29" s="466"/>
      <c r="Y29" s="466"/>
      <c r="Z29" s="466"/>
    </row>
    <row r="30" spans="1:26" ht="11.25" customHeight="1" x14ac:dyDescent="0.4">
      <c r="A30" s="466"/>
      <c r="B30" s="1092"/>
      <c r="C30" s="1105" t="s">
        <v>1149</v>
      </c>
      <c r="D30" s="466"/>
      <c r="E30" s="466"/>
      <c r="F30" s="466"/>
      <c r="G30" s="466"/>
      <c r="H30" s="466"/>
      <c r="I30" s="466"/>
      <c r="J30" s="466"/>
      <c r="K30" s="466"/>
      <c r="L30" s="1106"/>
      <c r="M30" s="466"/>
      <c r="N30" s="466"/>
      <c r="O30" s="466"/>
      <c r="P30" s="466"/>
      <c r="Q30" s="466"/>
      <c r="R30" s="466"/>
      <c r="S30" s="466"/>
      <c r="T30" s="466"/>
      <c r="U30" s="466"/>
      <c r="V30" s="466"/>
      <c r="W30" s="466"/>
      <c r="X30" s="466"/>
      <c r="Y30" s="466"/>
      <c r="Z30" s="466"/>
    </row>
    <row r="31" spans="1:26" ht="11.25" customHeight="1" x14ac:dyDescent="0.2">
      <c r="A31" s="1093"/>
      <c r="B31" s="1107"/>
      <c r="C31" s="1094"/>
      <c r="D31" s="1095" t="s">
        <v>1150</v>
      </c>
      <c r="E31" s="1115"/>
      <c r="F31" s="1095" t="s">
        <v>1151</v>
      </c>
      <c r="G31" s="1116"/>
      <c r="H31" s="1093"/>
      <c r="I31" s="1093"/>
      <c r="J31" s="1095" t="s">
        <v>1119</v>
      </c>
      <c r="K31" s="1116"/>
      <c r="L31" s="1117" t="s">
        <v>1152</v>
      </c>
      <c r="M31" s="1093"/>
      <c r="N31" s="1093"/>
      <c r="O31" s="1093"/>
      <c r="P31" s="1093"/>
      <c r="Q31" s="1093"/>
      <c r="R31" s="1093"/>
      <c r="S31" s="1093"/>
      <c r="T31" s="1093"/>
      <c r="U31" s="1093"/>
      <c r="V31" s="1093"/>
      <c r="W31" s="1093"/>
      <c r="X31" s="1093"/>
      <c r="Y31" s="1093"/>
      <c r="Z31" s="1093"/>
    </row>
    <row r="32" spans="1:26" ht="11.25" customHeight="1" x14ac:dyDescent="0.2">
      <c r="A32" s="1093"/>
      <c r="B32" s="1107"/>
      <c r="C32" s="1114">
        <v>2014</v>
      </c>
      <c r="D32" s="1118">
        <v>0</v>
      </c>
      <c r="E32" s="1119" t="s">
        <v>1002</v>
      </c>
      <c r="F32" s="1120">
        <v>0.42545454545454542</v>
      </c>
      <c r="G32" s="1121" t="s">
        <v>649</v>
      </c>
      <c r="H32" s="1093"/>
      <c r="I32" s="1093"/>
      <c r="J32" s="1122">
        <f>IF(ISERROR(D32*F32),0,D32*F32)</f>
        <v>0</v>
      </c>
      <c r="K32" s="1121" t="s">
        <v>649</v>
      </c>
      <c r="L32" s="1123">
        <f>J32/(12/44)</f>
        <v>0</v>
      </c>
      <c r="M32" s="1093"/>
      <c r="N32" s="1093"/>
      <c r="O32" s="1093"/>
      <c r="P32" s="1093"/>
      <c r="Q32" s="1093"/>
      <c r="R32" s="1093"/>
      <c r="S32" s="1093"/>
      <c r="T32" s="1093"/>
      <c r="U32" s="1093"/>
      <c r="V32" s="1093"/>
      <c r="W32" s="1093"/>
      <c r="X32" s="1093"/>
      <c r="Y32" s="1093"/>
      <c r="Z32" s="1093"/>
    </row>
    <row r="33" spans="1:26" ht="11.25" customHeight="1" x14ac:dyDescent="0.3">
      <c r="A33" s="466"/>
      <c r="B33" s="1092"/>
      <c r="C33" s="577"/>
      <c r="D33" s="578"/>
      <c r="E33" s="578"/>
      <c r="F33" s="578"/>
      <c r="G33" s="578"/>
      <c r="H33" s="578"/>
      <c r="I33" s="578"/>
      <c r="J33" s="578"/>
      <c r="K33" s="578"/>
      <c r="L33" s="1104"/>
      <c r="M33" s="466"/>
      <c r="N33" s="466"/>
      <c r="O33" s="466"/>
      <c r="P33" s="466"/>
      <c r="Q33" s="466"/>
      <c r="R33" s="466"/>
      <c r="S33" s="466"/>
      <c r="T33" s="466"/>
      <c r="U33" s="466"/>
      <c r="V33" s="466"/>
      <c r="W33" s="466"/>
      <c r="X33" s="466"/>
      <c r="Y33" s="466"/>
      <c r="Z33" s="466"/>
    </row>
    <row r="34" spans="1:26" ht="11.25" customHeight="1" x14ac:dyDescent="0.3">
      <c r="A34" s="466"/>
      <c r="B34" s="1092"/>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spans="1:26" ht="11.25" customHeight="1" x14ac:dyDescent="0.3">
      <c r="A35" s="466"/>
      <c r="B35" s="1092"/>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spans="1:26" ht="11.25" customHeight="1" x14ac:dyDescent="0.3">
      <c r="A36" s="466"/>
      <c r="B36" s="1092"/>
      <c r="C36" s="869"/>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spans="1:26" ht="11.25" customHeight="1" x14ac:dyDescent="0.3">
      <c r="A37" s="466"/>
      <c r="B37" s="1092"/>
      <c r="C37" s="869"/>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spans="1:26" ht="11.25" customHeight="1" x14ac:dyDescent="0.3">
      <c r="A38" s="466"/>
      <c r="B38" s="1092"/>
      <c r="C38" s="869"/>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spans="1:26" ht="11.25" customHeight="1" x14ac:dyDescent="0.3">
      <c r="B39" s="869"/>
      <c r="C39" s="1124"/>
      <c r="D39" s="1125">
        <v>2014</v>
      </c>
    </row>
    <row r="40" spans="1:26" ht="11.25" customHeight="1" x14ac:dyDescent="0.25">
      <c r="B40" s="869"/>
      <c r="C40" s="1126" t="s">
        <v>1153</v>
      </c>
      <c r="D40" s="1127">
        <f>D41+D42+D43+D44+D45+D46</f>
        <v>184133.89015000002</v>
      </c>
    </row>
    <row r="41" spans="1:26" ht="11.25" customHeight="1" x14ac:dyDescent="0.25">
      <c r="B41" s="869"/>
      <c r="C41" s="1128" t="s">
        <v>1154</v>
      </c>
      <c r="D41" s="1129">
        <v>0</v>
      </c>
    </row>
    <row r="42" spans="1:26" ht="11.25" customHeight="1" x14ac:dyDescent="0.25">
      <c r="B42" s="869"/>
      <c r="C42" s="1128" t="s">
        <v>1155</v>
      </c>
      <c r="D42" s="1129">
        <v>0</v>
      </c>
    </row>
    <row r="43" spans="1:26" ht="11.25" customHeight="1" x14ac:dyDescent="0.25">
      <c r="B43" s="869"/>
      <c r="C43" s="1128" t="s">
        <v>1116</v>
      </c>
      <c r="D43" s="1129">
        <f>J5</f>
        <v>143915.64000000001</v>
      </c>
    </row>
    <row r="44" spans="1:26" ht="11.25" customHeight="1" x14ac:dyDescent="0.25">
      <c r="B44" s="869"/>
      <c r="C44" s="1128" t="s">
        <v>1156</v>
      </c>
      <c r="D44" s="1129">
        <f>J12</f>
        <v>39670.020149999997</v>
      </c>
    </row>
    <row r="45" spans="1:26" ht="11.25" customHeight="1" x14ac:dyDescent="0.25">
      <c r="B45" s="869"/>
      <c r="C45" s="1128" t="s">
        <v>1157</v>
      </c>
      <c r="D45" s="1129">
        <f>L17</f>
        <v>548.23</v>
      </c>
    </row>
    <row r="46" spans="1:26" ht="11.25" customHeight="1" x14ac:dyDescent="0.25">
      <c r="B46" s="869"/>
      <c r="C46" s="1128" t="s">
        <v>1158</v>
      </c>
      <c r="D46" s="1129">
        <v>0</v>
      </c>
    </row>
    <row r="47" spans="1:26" ht="11.25" customHeight="1" x14ac:dyDescent="0.25">
      <c r="B47" s="869"/>
      <c r="C47" s="1130" t="s">
        <v>1159</v>
      </c>
      <c r="D47" s="1131">
        <f>D48+D49</f>
        <v>0</v>
      </c>
    </row>
    <row r="48" spans="1:26" ht="11.25" customHeight="1" x14ac:dyDescent="0.25">
      <c r="B48" s="869"/>
      <c r="C48" s="1128" t="s">
        <v>1160</v>
      </c>
      <c r="D48" s="1129">
        <v>0</v>
      </c>
    </row>
    <row r="49" spans="2:4" ht="11.25" customHeight="1" x14ac:dyDescent="0.25">
      <c r="B49" s="869"/>
      <c r="C49" s="1128" t="s">
        <v>1161</v>
      </c>
      <c r="D49" s="1129">
        <v>0</v>
      </c>
    </row>
    <row r="50" spans="2:4" ht="11.25" customHeight="1" x14ac:dyDescent="0.25">
      <c r="B50" s="869"/>
      <c r="C50" s="1132" t="s">
        <v>1162</v>
      </c>
      <c r="D50" s="1133">
        <f>D51+D52+D53+D54+D55+D56</f>
        <v>3019204.2198861674</v>
      </c>
    </row>
    <row r="51" spans="2:4" ht="11.25" customHeight="1" x14ac:dyDescent="0.25">
      <c r="B51" s="869"/>
      <c r="C51" s="1128" t="s">
        <v>1163</v>
      </c>
      <c r="D51" s="1129">
        <f>L22</f>
        <v>2972674.2198861674</v>
      </c>
    </row>
    <row r="52" spans="2:4" ht="11.25" customHeight="1" x14ac:dyDescent="0.25">
      <c r="B52" s="869"/>
      <c r="C52" s="1128" t="s">
        <v>1164</v>
      </c>
      <c r="D52" s="1129">
        <v>0</v>
      </c>
    </row>
    <row r="53" spans="2:4" ht="11.25" customHeight="1" x14ac:dyDescent="0.25">
      <c r="B53" s="869"/>
      <c r="C53" s="1128" t="s">
        <v>1165</v>
      </c>
      <c r="D53" s="1129">
        <v>0</v>
      </c>
    </row>
    <row r="54" spans="2:4" ht="11.25" customHeight="1" x14ac:dyDescent="0.25">
      <c r="B54" s="869"/>
      <c r="C54" s="1134" t="s">
        <v>1166</v>
      </c>
      <c r="D54" s="1129">
        <f>L27</f>
        <v>46530</v>
      </c>
    </row>
    <row r="55" spans="2:4" ht="11.25" customHeight="1" x14ac:dyDescent="0.25">
      <c r="B55" s="869"/>
      <c r="C55" s="1128" t="s">
        <v>1167</v>
      </c>
      <c r="D55" s="1129">
        <v>0</v>
      </c>
    </row>
    <row r="56" spans="2:4" ht="11.25" customHeight="1" x14ac:dyDescent="0.25">
      <c r="B56" s="869"/>
      <c r="C56" s="1128" t="s">
        <v>1168</v>
      </c>
      <c r="D56" s="1129">
        <f>L32</f>
        <v>0</v>
      </c>
    </row>
    <row r="57" spans="2:4" ht="11.25" customHeight="1" x14ac:dyDescent="0.3">
      <c r="B57" s="869"/>
      <c r="C57" s="1135" t="s">
        <v>1169</v>
      </c>
      <c r="D57" s="1136">
        <f>D40+D47+D50</f>
        <v>3203338.1100361673</v>
      </c>
    </row>
    <row r="58" spans="2:4" ht="11.25" customHeight="1" x14ac:dyDescent="0.2"/>
    <row r="59" spans="2:4" ht="11.25" customHeight="1" x14ac:dyDescent="0.2"/>
    <row r="60" spans="2:4" ht="11.25" customHeight="1" x14ac:dyDescent="0.2"/>
    <row r="61" spans="2:4" ht="11.25" customHeight="1" x14ac:dyDescent="0.2"/>
    <row r="62" spans="2:4" ht="11.25" customHeight="1" x14ac:dyDescent="0.2"/>
    <row r="63" spans="2:4" ht="11.25" customHeight="1" x14ac:dyDescent="0.2"/>
    <row r="64" spans="2: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4oJFsOJr+VLf+At1UszA2dg1DyZ1LI2y3DdMf2DnG5ZnGQI5GORoSQQ8roYmobFneIjuRtX/jQmHNBrwikGQyw==" saltValue="k7+oqscggd/T1Rumk0A5mg==" spinCount="100000" sheet="1" objects="1" scenarios="1"/>
  <mergeCells count="1">
    <mergeCell ref="O21:P21"/>
  </mergeCells>
  <pageMargins left="0.75" right="0.75" top="1" bottom="1" header="0" footer="0"/>
  <pageSetup orientation="portrait"/>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00"/>
  <sheetViews>
    <sheetView workbookViewId="0"/>
  </sheetViews>
  <sheetFormatPr defaultColWidth="16.83203125" defaultRowHeight="15" customHeight="1" x14ac:dyDescent="0.2"/>
  <cols>
    <col min="1" max="1" width="3" customWidth="1"/>
    <col min="2" max="2" width="5.6640625" customWidth="1"/>
    <col min="3" max="3" width="59.1640625" customWidth="1"/>
    <col min="4" max="4" width="18.6640625" customWidth="1"/>
    <col min="5" max="5" width="12.33203125" customWidth="1"/>
    <col min="6" max="6" width="17.83203125" customWidth="1"/>
    <col min="7" max="7" width="14.1640625" customWidth="1"/>
    <col min="8" max="8" width="16.5" customWidth="1"/>
    <col min="9" max="9" width="19" customWidth="1"/>
    <col min="10" max="26" width="8.83203125" customWidth="1"/>
  </cols>
  <sheetData>
    <row r="1" spans="1:9" ht="11.25" customHeight="1" x14ac:dyDescent="0.45">
      <c r="A1" s="9" t="s">
        <v>1170</v>
      </c>
      <c r="B1" s="480"/>
      <c r="D1" s="482"/>
      <c r="G1" s="466"/>
      <c r="H1" s="466"/>
    </row>
    <row r="2" spans="1:9" ht="80.25" customHeight="1" x14ac:dyDescent="0.2"/>
    <row r="3" spans="1:9" ht="11.25" customHeight="1" x14ac:dyDescent="0.2">
      <c r="D3" s="468" t="s">
        <v>1171</v>
      </c>
    </row>
    <row r="4" spans="1:9" ht="11.25" customHeight="1" x14ac:dyDescent="0.2"/>
    <row r="5" spans="1:9" ht="11.25" customHeight="1" x14ac:dyDescent="0.2"/>
    <row r="6" spans="1:9" ht="11.25" customHeight="1" x14ac:dyDescent="0.2">
      <c r="C6" s="1137"/>
      <c r="D6" s="1138"/>
      <c r="E6" s="1138"/>
      <c r="F6" s="1138" t="s">
        <v>1172</v>
      </c>
      <c r="G6" s="1138"/>
      <c r="H6" s="1138"/>
      <c r="I6" s="1139"/>
    </row>
    <row r="7" spans="1:9" ht="11.25" customHeight="1" x14ac:dyDescent="0.2">
      <c r="C7" s="1140"/>
      <c r="D7" s="1141" t="s">
        <v>396</v>
      </c>
      <c r="E7" s="1141" t="s">
        <v>80</v>
      </c>
      <c r="F7" s="1141"/>
      <c r="G7" s="1141" t="s">
        <v>1173</v>
      </c>
      <c r="H7" s="1141" t="s">
        <v>1174</v>
      </c>
      <c r="I7" s="1142" t="s">
        <v>1175</v>
      </c>
    </row>
    <row r="8" spans="1:9" ht="11.25" customHeight="1" x14ac:dyDescent="0.25">
      <c r="B8" s="1143" t="s">
        <v>1176</v>
      </c>
      <c r="C8" s="1144" t="s">
        <v>1177</v>
      </c>
      <c r="D8" s="1145"/>
      <c r="E8" s="1145"/>
      <c r="F8" s="1145"/>
      <c r="G8" s="1145"/>
      <c r="H8" s="1145"/>
      <c r="I8" s="1146"/>
    </row>
    <row r="9" spans="1:9" ht="11.25" customHeight="1" x14ac:dyDescent="0.25">
      <c r="B9" s="1147"/>
      <c r="C9" s="1148"/>
      <c r="D9" s="1149"/>
      <c r="E9" s="1149"/>
      <c r="F9" s="1149"/>
      <c r="G9" s="1149"/>
      <c r="H9" s="1149"/>
      <c r="I9" s="1150"/>
    </row>
    <row r="10" spans="1:9" ht="11.25" customHeight="1" x14ac:dyDescent="0.2">
      <c r="C10" s="1151" t="s">
        <v>1178</v>
      </c>
      <c r="D10" s="1152">
        <v>244729</v>
      </c>
      <c r="E10" s="1153" t="s">
        <v>1179</v>
      </c>
      <c r="F10" s="1154"/>
      <c r="G10" s="1152">
        <v>417125.79074384988</v>
      </c>
      <c r="H10" s="1155">
        <v>60.51</v>
      </c>
      <c r="I10" s="1156">
        <v>8.8000000000000007</v>
      </c>
    </row>
    <row r="11" spans="1:9" ht="11.25" customHeight="1" x14ac:dyDescent="0.2">
      <c r="C11" s="1151"/>
      <c r="D11" s="1152"/>
      <c r="E11" s="1152"/>
      <c r="F11" s="1155"/>
      <c r="G11" s="1152"/>
      <c r="H11" s="1154"/>
      <c r="I11" s="1157"/>
    </row>
    <row r="12" spans="1:9" ht="11.25" customHeight="1" x14ac:dyDescent="0.2">
      <c r="C12" s="1158" t="s">
        <v>1180</v>
      </c>
      <c r="D12" s="1152">
        <v>21339</v>
      </c>
      <c r="E12" s="1153" t="s">
        <v>1179</v>
      </c>
      <c r="F12" s="1159">
        <v>0.02</v>
      </c>
      <c r="G12" s="1160">
        <f>G20*F12</f>
        <v>34485.800000000003</v>
      </c>
      <c r="H12" s="1161">
        <v>7.82</v>
      </c>
      <c r="I12" s="1162">
        <v>1.03</v>
      </c>
    </row>
    <row r="13" spans="1:9" ht="11.25" customHeight="1" x14ac:dyDescent="0.2">
      <c r="C13" s="1151"/>
      <c r="D13" s="1152"/>
      <c r="E13" s="1152"/>
      <c r="F13" s="1155"/>
      <c r="G13" s="1152"/>
      <c r="H13" s="1154"/>
      <c r="I13" s="1157"/>
    </row>
    <row r="14" spans="1:9" ht="11.25" customHeight="1" x14ac:dyDescent="0.2">
      <c r="C14" s="1151" t="s">
        <v>1181</v>
      </c>
      <c r="D14" s="1152">
        <v>951638.33499999996</v>
      </c>
      <c r="E14" s="1152" t="s">
        <v>1182</v>
      </c>
      <c r="F14" s="1154"/>
      <c r="G14" s="1152">
        <v>4778.3350808639998</v>
      </c>
      <c r="H14" s="1163">
        <v>0.39</v>
      </c>
      <c r="I14" s="1156">
        <v>0.08</v>
      </c>
    </row>
    <row r="15" spans="1:9" ht="11.25" customHeight="1" x14ac:dyDescent="0.2">
      <c r="C15" s="1151"/>
      <c r="D15" s="1152"/>
      <c r="E15" s="1152"/>
      <c r="F15" s="1154"/>
      <c r="G15" s="1164"/>
      <c r="H15" s="1164"/>
      <c r="I15" s="1165"/>
    </row>
    <row r="16" spans="1:9" ht="11.25" customHeight="1" x14ac:dyDescent="0.2">
      <c r="C16" s="1151" t="s">
        <v>1183</v>
      </c>
      <c r="D16" s="1152">
        <v>80044</v>
      </c>
      <c r="E16" s="1152" t="s">
        <v>1184</v>
      </c>
      <c r="F16" s="1154"/>
      <c r="G16" s="1166">
        <v>33967.650235176814</v>
      </c>
      <c r="H16" s="1155">
        <v>1.62</v>
      </c>
      <c r="I16" s="1167">
        <v>0.23599999999999999</v>
      </c>
    </row>
    <row r="17" spans="3:9" ht="11.25" customHeight="1" x14ac:dyDescent="0.2">
      <c r="C17" s="1168"/>
      <c r="D17" s="1169"/>
      <c r="E17" s="1169"/>
      <c r="F17" s="1170"/>
      <c r="G17" s="1171"/>
      <c r="H17" s="1172"/>
      <c r="I17" s="1173"/>
    </row>
    <row r="18" spans="3:9" ht="11.25" customHeight="1" x14ac:dyDescent="0.2">
      <c r="C18" s="1174" t="s">
        <v>1185</v>
      </c>
      <c r="D18" s="1175"/>
      <c r="E18" s="1175"/>
      <c r="F18" s="1176"/>
      <c r="G18" s="1177">
        <f t="shared" ref="G18:I18" si="0">G10+G12+G14+G16</f>
        <v>490357.57605989068</v>
      </c>
      <c r="H18" s="1178">
        <f t="shared" si="0"/>
        <v>70.34</v>
      </c>
      <c r="I18" s="1179">
        <f t="shared" si="0"/>
        <v>10.146000000000001</v>
      </c>
    </row>
    <row r="19" spans="3:9" ht="11.25" customHeight="1" x14ac:dyDescent="0.2">
      <c r="C19" s="1180"/>
      <c r="D19" s="1181"/>
      <c r="E19" s="1181"/>
      <c r="F19" s="1182"/>
      <c r="G19" s="1183"/>
      <c r="H19" s="1184"/>
      <c r="I19" s="1185"/>
    </row>
    <row r="20" spans="3:9" ht="11.25" customHeight="1" x14ac:dyDescent="0.2">
      <c r="C20" s="1186" t="s">
        <v>1186</v>
      </c>
      <c r="D20" s="1187"/>
      <c r="E20" s="1187"/>
      <c r="F20" s="1188"/>
      <c r="G20" s="1189">
        <v>1724290</v>
      </c>
      <c r="H20" s="1190">
        <f t="shared" ref="H20:I20" si="1">H18</f>
        <v>70.34</v>
      </c>
      <c r="I20" s="1191">
        <f t="shared" si="1"/>
        <v>10.146000000000001</v>
      </c>
    </row>
    <row r="21" spans="3:9" ht="11.25" customHeight="1" x14ac:dyDescent="0.2">
      <c r="C21" s="1180"/>
      <c r="D21" s="1181"/>
      <c r="E21" s="1181"/>
      <c r="F21" s="1182"/>
      <c r="G21" s="1192"/>
      <c r="H21" s="1192"/>
      <c r="I21" s="1193"/>
    </row>
    <row r="22" spans="3:9" ht="11.25" customHeight="1" x14ac:dyDescent="0.2">
      <c r="C22" s="1194" t="s">
        <v>1187</v>
      </c>
      <c r="D22" s="1195"/>
      <c r="E22" s="1195"/>
      <c r="F22" s="1196"/>
      <c r="G22" s="1195">
        <f>G20-G18</f>
        <v>1233932.4239401093</v>
      </c>
      <c r="H22" s="1197"/>
      <c r="I22" s="1198"/>
    </row>
    <row r="23" spans="3:9" ht="11.25" customHeight="1" x14ac:dyDescent="0.2">
      <c r="C23" s="1199"/>
      <c r="D23" s="1200"/>
      <c r="E23" s="1200"/>
      <c r="F23" s="1201"/>
      <c r="G23" s="1200"/>
      <c r="H23" s="1202"/>
      <c r="I23" s="1203"/>
    </row>
    <row r="24" spans="3:9" ht="11.25" customHeight="1" x14ac:dyDescent="0.2">
      <c r="C24" s="1204" t="s">
        <v>1188</v>
      </c>
      <c r="D24" s="1205"/>
      <c r="E24" s="1205"/>
      <c r="F24" s="1206"/>
      <c r="G24" s="1205"/>
      <c r="H24" s="1207"/>
      <c r="I24" s="1208"/>
    </row>
    <row r="25" spans="3:9" ht="11.25" customHeight="1" x14ac:dyDescent="0.2">
      <c r="C25" s="1209"/>
      <c r="D25" s="1210"/>
      <c r="E25" s="1210"/>
      <c r="F25" s="1211"/>
      <c r="G25" s="1210"/>
      <c r="H25" s="1192"/>
      <c r="I25" s="1193"/>
    </row>
    <row r="26" spans="3:9" ht="11.25" customHeight="1" x14ac:dyDescent="0.2">
      <c r="C26" s="1212" t="s">
        <v>1189</v>
      </c>
      <c r="D26" s="1213">
        <v>6389.7</v>
      </c>
      <c r="E26" s="1213" t="s">
        <v>142</v>
      </c>
      <c r="F26" s="1214"/>
      <c r="G26" s="1215">
        <v>663.49</v>
      </c>
      <c r="H26" s="1216">
        <v>2.69E-2</v>
      </c>
      <c r="I26" s="1217">
        <v>5.4000000000000003E-3</v>
      </c>
    </row>
    <row r="27" spans="3:9" ht="11.25" customHeight="1" x14ac:dyDescent="0.2">
      <c r="C27" s="1218"/>
      <c r="D27" s="1181"/>
      <c r="E27" s="1181"/>
      <c r="F27" s="1211"/>
      <c r="G27" s="1192"/>
      <c r="H27" s="1192"/>
      <c r="I27" s="1193"/>
    </row>
    <row r="28" spans="3:9" ht="11.25" customHeight="1" x14ac:dyDescent="0.2">
      <c r="C28" s="1219" t="s">
        <v>1190</v>
      </c>
      <c r="D28" s="1220"/>
      <c r="E28" s="1220"/>
      <c r="F28" s="1221"/>
      <c r="G28" s="1222">
        <f>G20+G26</f>
        <v>1724953.49</v>
      </c>
      <c r="H28" s="1222">
        <f t="shared" ref="H28:I28" si="2">H26+H20</f>
        <v>70.366900000000001</v>
      </c>
      <c r="I28" s="1223">
        <f t="shared" si="2"/>
        <v>10.151400000000001</v>
      </c>
    </row>
    <row r="29" spans="3:9" ht="11.25" customHeight="1" x14ac:dyDescent="0.2">
      <c r="C29" s="1209"/>
      <c r="D29" s="1181"/>
      <c r="E29" s="1181"/>
      <c r="F29" s="1211"/>
      <c r="G29" s="1192"/>
      <c r="H29" s="1192"/>
      <c r="I29" s="1193"/>
    </row>
    <row r="30" spans="3:9" ht="11.25" customHeight="1" x14ac:dyDescent="0.2">
      <c r="C30" s="1224"/>
      <c r="D30" s="1225"/>
      <c r="E30" s="1226" t="s">
        <v>1191</v>
      </c>
      <c r="F30" s="1227"/>
      <c r="G30" s="1228"/>
      <c r="H30" s="1228"/>
      <c r="I30" s="1229"/>
    </row>
    <row r="31" spans="3:9" ht="11.25" customHeight="1" x14ac:dyDescent="0.2">
      <c r="C31" s="1209"/>
      <c r="D31" s="1181"/>
      <c r="E31" s="1181"/>
      <c r="F31" s="1211"/>
      <c r="G31" s="1192"/>
      <c r="H31" s="1192"/>
      <c r="I31" s="1193"/>
    </row>
    <row r="32" spans="3:9" ht="11.25" customHeight="1" x14ac:dyDescent="0.2">
      <c r="C32" s="1218"/>
      <c r="D32" s="1181"/>
      <c r="E32" s="1181"/>
      <c r="F32" s="1211"/>
      <c r="G32" s="1192"/>
      <c r="H32" s="1192"/>
      <c r="I32" s="1193"/>
    </row>
    <row r="33" spans="2:9" ht="11.25" customHeight="1" x14ac:dyDescent="0.2">
      <c r="C33" s="1174" t="s">
        <v>1192</v>
      </c>
      <c r="D33" s="1175"/>
      <c r="E33" s="1175"/>
      <c r="F33" s="1176"/>
      <c r="G33" s="1177">
        <f t="shared" ref="G33:I33" si="3">G18*1.10249937</f>
        <v>540618.91868075659</v>
      </c>
      <c r="H33" s="1178">
        <f t="shared" si="3"/>
        <v>77.54980568580001</v>
      </c>
      <c r="I33" s="1179">
        <f t="shared" si="3"/>
        <v>11.185958608020002</v>
      </c>
    </row>
    <row r="34" spans="2:9" ht="11.25" customHeight="1" x14ac:dyDescent="0.2">
      <c r="C34" s="1230"/>
      <c r="D34" s="1181"/>
      <c r="E34" s="1181"/>
      <c r="F34" s="1182"/>
      <c r="G34" s="1183"/>
      <c r="H34" s="1184"/>
      <c r="I34" s="1185"/>
    </row>
    <row r="35" spans="2:9" ht="11.25" customHeight="1" x14ac:dyDescent="0.2">
      <c r="C35" s="1231" t="s">
        <v>1193</v>
      </c>
      <c r="D35" s="1187"/>
      <c r="E35" s="1187"/>
      <c r="F35" s="1188"/>
      <c r="G35" s="1189">
        <f t="shared" ref="G35:I35" si="4">G20*1.10249937</f>
        <v>1901028.6386973001</v>
      </c>
      <c r="H35" s="1190">
        <f t="shared" si="4"/>
        <v>77.54980568580001</v>
      </c>
      <c r="I35" s="1191">
        <f t="shared" si="4"/>
        <v>11.185958608020002</v>
      </c>
    </row>
    <row r="36" spans="2:9" ht="11.25" customHeight="1" x14ac:dyDescent="0.2">
      <c r="C36" s="1168"/>
      <c r="D36" s="1181"/>
      <c r="E36" s="1181"/>
      <c r="F36" s="1182"/>
      <c r="G36" s="1192"/>
      <c r="H36" s="1192"/>
      <c r="I36" s="1193"/>
    </row>
    <row r="37" spans="2:9" ht="11.25" customHeight="1" x14ac:dyDescent="0.2">
      <c r="C37" s="1232" t="s">
        <v>1194</v>
      </c>
      <c r="D37" s="1195"/>
      <c r="E37" s="1195"/>
      <c r="F37" s="1196"/>
      <c r="G37" s="1195">
        <f>G22*1.10249937</f>
        <v>1360409.7200165435</v>
      </c>
      <c r="H37" s="1197"/>
      <c r="I37" s="1198"/>
    </row>
    <row r="38" spans="2:9" ht="11.25" customHeight="1" x14ac:dyDescent="0.2">
      <c r="C38" s="1233"/>
      <c r="D38" s="1210"/>
      <c r="E38" s="1210"/>
      <c r="F38" s="1211"/>
      <c r="G38" s="1210"/>
      <c r="H38" s="1192"/>
      <c r="I38" s="1193"/>
    </row>
    <row r="39" spans="2:9" ht="11.25" customHeight="1" x14ac:dyDescent="0.2">
      <c r="C39" s="1219" t="s">
        <v>1195</v>
      </c>
      <c r="D39" s="1220"/>
      <c r="E39" s="1220"/>
      <c r="F39" s="1221"/>
      <c r="G39" s="1222">
        <f>G28*1.10249937</f>
        <v>1901760.1360043015</v>
      </c>
      <c r="H39" s="1222">
        <f t="shared" ref="H39:I39" si="5">H28*1.1023</f>
        <v>77.565433870000007</v>
      </c>
      <c r="I39" s="1223">
        <f t="shared" si="5"/>
        <v>11.189888220000002</v>
      </c>
    </row>
    <row r="40" spans="2:9" ht="11.25" customHeight="1" x14ac:dyDescent="0.2">
      <c r="C40" s="1234"/>
      <c r="D40" s="688"/>
      <c r="E40" s="688"/>
      <c r="F40" s="688"/>
      <c r="G40" s="688"/>
      <c r="H40" s="688"/>
      <c r="I40" s="1235"/>
    </row>
    <row r="41" spans="2:9" ht="11.25" customHeight="1" x14ac:dyDescent="0.2">
      <c r="C41" s="955"/>
      <c r="D41" s="466"/>
      <c r="E41" s="466"/>
      <c r="F41" s="466"/>
      <c r="G41" s="466"/>
      <c r="H41" s="466"/>
      <c r="I41" s="956"/>
    </row>
    <row r="42" spans="2:9" ht="11.25" customHeight="1" x14ac:dyDescent="0.2">
      <c r="C42" s="955"/>
      <c r="D42" s="466"/>
      <c r="E42" s="466"/>
      <c r="F42" s="466"/>
      <c r="G42" s="466"/>
      <c r="H42" s="466"/>
      <c r="I42" s="956"/>
    </row>
    <row r="43" spans="2:9" ht="11.25" customHeight="1" x14ac:dyDescent="0.25">
      <c r="B43" s="1143" t="s">
        <v>1196</v>
      </c>
      <c r="C43" s="1236" t="s">
        <v>1197</v>
      </c>
      <c r="D43" s="1237"/>
      <c r="E43" s="1237"/>
      <c r="F43" s="1238"/>
      <c r="G43" s="1237"/>
      <c r="H43" s="1237"/>
      <c r="I43" s="1239"/>
    </row>
    <row r="44" spans="2:9" ht="11.25" customHeight="1" x14ac:dyDescent="0.2">
      <c r="C44" s="1240"/>
      <c r="D44" s="1241" t="s">
        <v>396</v>
      </c>
      <c r="E44" s="1241" t="s">
        <v>80</v>
      </c>
      <c r="F44" s="492"/>
      <c r="G44" s="1241" t="s">
        <v>1198</v>
      </c>
      <c r="H44" s="1241" t="s">
        <v>1199</v>
      </c>
      <c r="I44" s="1242" t="s">
        <v>1200</v>
      </c>
    </row>
    <row r="45" spans="2:9" ht="11.25" customHeight="1" x14ac:dyDescent="0.2">
      <c r="C45" s="1243" t="s">
        <v>1201</v>
      </c>
      <c r="D45" s="1244"/>
      <c r="E45" s="1244"/>
      <c r="F45" s="597"/>
      <c r="G45" s="1244"/>
      <c r="H45" s="1244"/>
      <c r="I45" s="1245"/>
    </row>
    <row r="46" spans="2:9" ht="11.25" customHeight="1" x14ac:dyDescent="0.2">
      <c r="C46" s="1246"/>
      <c r="D46" s="1247"/>
      <c r="E46" s="1247"/>
      <c r="F46" s="492"/>
      <c r="G46" s="1247"/>
      <c r="H46" s="1247"/>
      <c r="I46" s="1248"/>
    </row>
    <row r="47" spans="2:9" ht="11.25" customHeight="1" x14ac:dyDescent="0.2">
      <c r="C47" s="1151" t="s">
        <v>1178</v>
      </c>
      <c r="D47" s="1249">
        <v>78935</v>
      </c>
      <c r="E47" s="1153" t="s">
        <v>1202</v>
      </c>
      <c r="F47" s="492"/>
      <c r="G47" s="1154">
        <v>149315</v>
      </c>
      <c r="H47" s="1155">
        <v>1.56</v>
      </c>
      <c r="I47" s="1167">
        <v>2.33</v>
      </c>
    </row>
    <row r="48" spans="2:9" ht="11.25" customHeight="1" x14ac:dyDescent="0.2">
      <c r="C48" s="1151"/>
      <c r="D48" s="1152"/>
      <c r="E48" s="1153"/>
      <c r="F48" s="492"/>
      <c r="G48" s="1154"/>
      <c r="H48" s="1155"/>
      <c r="I48" s="1167"/>
    </row>
    <row r="49" spans="3:9" ht="11.25" customHeight="1" x14ac:dyDescent="0.2">
      <c r="C49" s="1151" t="s">
        <v>1181</v>
      </c>
      <c r="D49" s="1249">
        <v>546426</v>
      </c>
      <c r="E49" s="1152" t="s">
        <v>1182</v>
      </c>
      <c r="F49" s="492"/>
      <c r="G49" s="1154">
        <v>5569</v>
      </c>
      <c r="H49" s="1164">
        <v>0.08</v>
      </c>
      <c r="I49" s="1167">
        <v>0.11</v>
      </c>
    </row>
    <row r="50" spans="3:9" ht="11.25" customHeight="1" x14ac:dyDescent="0.2">
      <c r="C50" s="1151"/>
      <c r="D50" s="1152"/>
      <c r="E50" s="1152"/>
      <c r="F50" s="492"/>
      <c r="G50" s="1155"/>
      <c r="H50" s="1152"/>
      <c r="I50" s="1165"/>
    </row>
    <row r="51" spans="3:9" ht="11.25" customHeight="1" x14ac:dyDescent="0.2">
      <c r="C51" s="1151" t="s">
        <v>1203</v>
      </c>
      <c r="D51" s="1249">
        <v>8273</v>
      </c>
      <c r="E51" s="1153" t="s">
        <v>1202</v>
      </c>
      <c r="F51" s="492"/>
      <c r="G51" s="1154">
        <v>22264</v>
      </c>
      <c r="H51" s="1155">
        <v>0.26</v>
      </c>
      <c r="I51" s="1167">
        <v>0.39</v>
      </c>
    </row>
    <row r="52" spans="3:9" ht="11.25" customHeight="1" x14ac:dyDescent="0.2">
      <c r="C52" s="1151"/>
      <c r="D52" s="1169"/>
      <c r="E52" s="1169"/>
      <c r="F52" s="581"/>
      <c r="G52" s="1172"/>
      <c r="H52" s="1169"/>
      <c r="I52" s="1250"/>
    </row>
    <row r="53" spans="3:9" ht="11.25" customHeight="1" x14ac:dyDescent="0.2">
      <c r="C53" s="1251" t="s">
        <v>1204</v>
      </c>
      <c r="D53" s="1252"/>
      <c r="E53" s="1252"/>
      <c r="F53" s="1253"/>
      <c r="G53" s="1254">
        <f t="shared" ref="G53:I53" si="6">G47+G49+G51</f>
        <v>177148</v>
      </c>
      <c r="H53" s="1255">
        <f t="shared" si="6"/>
        <v>1.9000000000000001</v>
      </c>
      <c r="I53" s="1256">
        <f t="shared" si="6"/>
        <v>2.83</v>
      </c>
    </row>
    <row r="54" spans="3:9" ht="11.25" customHeight="1" x14ac:dyDescent="0.2">
      <c r="C54" s="1151"/>
      <c r="D54" s="1257"/>
      <c r="E54" s="1257"/>
      <c r="F54" s="1258"/>
      <c r="G54" s="1200"/>
      <c r="H54" s="1200"/>
      <c r="I54" s="1259"/>
    </row>
    <row r="55" spans="3:9" ht="11.25" customHeight="1" x14ac:dyDescent="0.2">
      <c r="C55" s="1260" t="s">
        <v>1205</v>
      </c>
      <c r="D55" s="1261"/>
      <c r="E55" s="1261"/>
      <c r="F55" s="1262"/>
      <c r="G55" s="1263"/>
      <c r="H55" s="1264"/>
      <c r="I55" s="1265"/>
    </row>
    <row r="56" spans="3:9" ht="11.25" customHeight="1" x14ac:dyDescent="0.2">
      <c r="C56" s="1218"/>
      <c r="D56" s="1181"/>
      <c r="E56" s="1181"/>
      <c r="F56" s="466"/>
      <c r="G56" s="1266"/>
      <c r="H56" s="1210"/>
      <c r="I56" s="1267"/>
    </row>
    <row r="57" spans="3:9" ht="11.25" customHeight="1" x14ac:dyDescent="0.2">
      <c r="C57" s="1268" t="s">
        <v>1206</v>
      </c>
      <c r="D57" s="1269">
        <v>467573</v>
      </c>
      <c r="E57" s="1213" t="s">
        <v>1182</v>
      </c>
      <c r="F57" s="1270"/>
      <c r="G57" s="1271">
        <v>2015.8</v>
      </c>
      <c r="H57" s="1272">
        <v>8.2000000000000003E-2</v>
      </c>
      <c r="I57" s="1273">
        <v>1.6E-2</v>
      </c>
    </row>
    <row r="58" spans="3:9" ht="11.25" customHeight="1" x14ac:dyDescent="0.2">
      <c r="C58" s="1218"/>
      <c r="D58" s="1181"/>
      <c r="E58" s="1181"/>
      <c r="F58" s="466"/>
      <c r="G58" s="1266"/>
      <c r="H58" s="1210"/>
      <c r="I58" s="1267"/>
    </row>
    <row r="59" spans="3:9" ht="11.25" customHeight="1" x14ac:dyDescent="0.2">
      <c r="C59" s="1274" t="s">
        <v>1207</v>
      </c>
      <c r="D59" s="1187"/>
      <c r="E59" s="1187"/>
      <c r="F59" s="1275"/>
      <c r="G59" s="1276">
        <v>523731</v>
      </c>
      <c r="H59" s="1277">
        <v>25.591999999999999</v>
      </c>
      <c r="I59" s="1278">
        <v>3.629</v>
      </c>
    </row>
    <row r="60" spans="3:9" ht="11.25" customHeight="1" x14ac:dyDescent="0.2">
      <c r="C60" s="1279"/>
      <c r="D60" s="1181"/>
      <c r="E60" s="1181"/>
      <c r="F60" s="466"/>
      <c r="G60" s="1211"/>
      <c r="H60" s="1210"/>
      <c r="I60" s="1267"/>
    </row>
    <row r="61" spans="3:9" ht="11.25" customHeight="1" x14ac:dyDescent="0.2">
      <c r="C61" s="1280" t="s">
        <v>1208</v>
      </c>
      <c r="D61" s="1252"/>
      <c r="E61" s="1252"/>
      <c r="F61" s="1253"/>
      <c r="G61" s="1281">
        <f t="shared" ref="G61:I61" si="7">G53</f>
        <v>177148</v>
      </c>
      <c r="H61" s="1281">
        <f t="shared" si="7"/>
        <v>1.9000000000000001</v>
      </c>
      <c r="I61" s="1256">
        <f t="shared" si="7"/>
        <v>2.83</v>
      </c>
    </row>
    <row r="62" spans="3:9" ht="11.25" customHeight="1" x14ac:dyDescent="0.2">
      <c r="C62" s="1218"/>
      <c r="D62" s="1181"/>
      <c r="E62" s="1181"/>
      <c r="F62" s="466"/>
      <c r="G62" s="1266"/>
      <c r="H62" s="1210"/>
      <c r="I62" s="1267"/>
    </row>
    <row r="63" spans="3:9" ht="11.25" customHeight="1" x14ac:dyDescent="0.2">
      <c r="C63" s="1282" t="s">
        <v>1209</v>
      </c>
      <c r="D63" s="1283"/>
      <c r="E63" s="1283"/>
      <c r="F63" s="1284"/>
      <c r="G63" s="1196">
        <f>G59-G61</f>
        <v>346583</v>
      </c>
      <c r="H63" s="1195">
        <v>51.633558473950004</v>
      </c>
      <c r="I63" s="1285">
        <v>7.4036724867899988</v>
      </c>
    </row>
    <row r="64" spans="3:9" ht="11.25" customHeight="1" x14ac:dyDescent="0.2">
      <c r="C64" s="1218"/>
      <c r="D64" s="1181"/>
      <c r="E64" s="1181"/>
      <c r="F64" s="466"/>
      <c r="G64" s="1266"/>
      <c r="H64" s="1210"/>
      <c r="I64" s="1267"/>
    </row>
    <row r="65" spans="2:9" ht="11.25" customHeight="1" x14ac:dyDescent="0.2">
      <c r="C65" s="1286" t="s">
        <v>1210</v>
      </c>
      <c r="D65" s="1220"/>
      <c r="E65" s="1220"/>
      <c r="F65" s="1287"/>
      <c r="G65" s="1288">
        <f t="shared" ref="G65:H65" si="8">G59+G57</f>
        <v>525746.80000000005</v>
      </c>
      <c r="H65" s="1288">
        <f t="shared" si="8"/>
        <v>25.673999999999999</v>
      </c>
      <c r="I65" s="1289">
        <f>I61+I57</f>
        <v>2.8460000000000001</v>
      </c>
    </row>
    <row r="66" spans="2:9" ht="11.25" customHeight="1" x14ac:dyDescent="0.2">
      <c r="C66" s="1290"/>
      <c r="D66" s="1181"/>
      <c r="E66" s="1181"/>
      <c r="F66" s="466"/>
      <c r="G66" s="1266"/>
      <c r="H66" s="1266"/>
      <c r="I66" s="1291"/>
    </row>
    <row r="67" spans="2:9" ht="11.25" customHeight="1" x14ac:dyDescent="0.2">
      <c r="C67" s="1292"/>
      <c r="D67" s="1225"/>
      <c r="E67" s="1226" t="s">
        <v>1191</v>
      </c>
      <c r="F67" s="1293"/>
      <c r="G67" s="1294"/>
      <c r="H67" s="1294"/>
      <c r="I67" s="1295"/>
    </row>
    <row r="68" spans="2:9" ht="11.25" customHeight="1" x14ac:dyDescent="0.2">
      <c r="C68" s="1290"/>
      <c r="D68" s="1181"/>
      <c r="E68" s="1181"/>
      <c r="F68" s="466"/>
      <c r="G68" s="1266"/>
      <c r="H68" s="1266"/>
      <c r="I68" s="1291"/>
    </row>
    <row r="69" spans="2:9" ht="11.25" customHeight="1" x14ac:dyDescent="0.2">
      <c r="C69" s="1290"/>
      <c r="D69" s="1181"/>
      <c r="E69" s="1181"/>
      <c r="F69" s="466"/>
      <c r="G69" s="1266"/>
      <c r="H69" s="1210"/>
      <c r="I69" s="1267"/>
    </row>
    <row r="70" spans="2:9" ht="11.25" customHeight="1" x14ac:dyDescent="0.2">
      <c r="C70" s="1274" t="s">
        <v>1211</v>
      </c>
      <c r="D70" s="1296"/>
      <c r="E70" s="1296"/>
      <c r="F70" s="1275"/>
      <c r="G70" s="1297">
        <f t="shared" ref="G70:I70" si="9">G59*1.102312065</f>
        <v>577315.00011451496</v>
      </c>
      <c r="H70" s="1298">
        <f t="shared" si="9"/>
        <v>28.210370367479999</v>
      </c>
      <c r="I70" s="1299">
        <f t="shared" si="9"/>
        <v>4.0002904838850002</v>
      </c>
    </row>
    <row r="71" spans="2:9" ht="11.25" customHeight="1" x14ac:dyDescent="0.2">
      <c r="C71" s="1279"/>
      <c r="D71" s="1181"/>
      <c r="E71" s="1181"/>
      <c r="F71" s="466"/>
      <c r="G71" s="1266"/>
      <c r="H71" s="1210"/>
      <c r="I71" s="1267"/>
    </row>
    <row r="72" spans="2:9" ht="11.25" customHeight="1" x14ac:dyDescent="0.2">
      <c r="C72" s="1280" t="s">
        <v>1212</v>
      </c>
      <c r="D72" s="1252"/>
      <c r="E72" s="1252"/>
      <c r="F72" s="1253"/>
      <c r="G72" s="1281">
        <f t="shared" ref="G72:I72" si="10">G53*1.102312065</f>
        <v>195272.37769061999</v>
      </c>
      <c r="H72" s="1254">
        <f t="shared" si="10"/>
        <v>2.0943929235000001</v>
      </c>
      <c r="I72" s="1300">
        <f t="shared" si="10"/>
        <v>3.1195431439500001</v>
      </c>
    </row>
    <row r="73" spans="2:9" ht="11.25" customHeight="1" x14ac:dyDescent="0.2">
      <c r="C73" s="1218"/>
      <c r="D73" s="1181"/>
      <c r="E73" s="1181"/>
      <c r="F73" s="466"/>
      <c r="G73" s="1266"/>
      <c r="H73" s="1210"/>
      <c r="I73" s="1267"/>
    </row>
    <row r="74" spans="2:9" ht="11.25" customHeight="1" x14ac:dyDescent="0.2">
      <c r="C74" s="1282" t="s">
        <v>1213</v>
      </c>
      <c r="D74" s="1283"/>
      <c r="E74" s="1283"/>
      <c r="F74" s="1284"/>
      <c r="G74" s="1301">
        <f t="shared" ref="G74:I74" si="11">G63*1.1023</f>
        <v>382038.44090000005</v>
      </c>
      <c r="H74" s="1195">
        <f t="shared" si="11"/>
        <v>56.915671505835093</v>
      </c>
      <c r="I74" s="1285">
        <f t="shared" si="11"/>
        <v>8.1610681821886164</v>
      </c>
    </row>
    <row r="75" spans="2:9" ht="11.25" customHeight="1" x14ac:dyDescent="0.2">
      <c r="C75" s="1218"/>
      <c r="D75" s="1181"/>
      <c r="E75" s="1181"/>
      <c r="F75" s="466"/>
      <c r="G75" s="1266"/>
      <c r="H75" s="1210"/>
      <c r="I75" s="1267"/>
    </row>
    <row r="76" spans="2:9" ht="11.25" customHeight="1" x14ac:dyDescent="0.2">
      <c r="C76" s="1286" t="s">
        <v>1214</v>
      </c>
      <c r="D76" s="1220"/>
      <c r="E76" s="1220"/>
      <c r="F76" s="1287"/>
      <c r="G76" s="1288">
        <f t="shared" ref="G76:I76" si="12">G65*1.1023</f>
        <v>579530.69764000003</v>
      </c>
      <c r="H76" s="1288">
        <f t="shared" si="12"/>
        <v>28.3004502</v>
      </c>
      <c r="I76" s="1289">
        <f t="shared" si="12"/>
        <v>3.1371458000000003</v>
      </c>
    </row>
    <row r="77" spans="2:9" ht="11.25" customHeight="1" x14ac:dyDescent="0.2">
      <c r="C77" s="1302"/>
      <c r="D77" s="609"/>
      <c r="E77" s="609"/>
      <c r="F77" s="1303"/>
      <c r="G77" s="609"/>
      <c r="H77" s="609"/>
      <c r="I77" s="1304"/>
    </row>
    <row r="78" spans="2:9" ht="11.25" customHeight="1" x14ac:dyDescent="0.2">
      <c r="C78" s="955"/>
      <c r="D78" s="466"/>
      <c r="E78" s="466"/>
      <c r="F78" s="466"/>
      <c r="G78" s="466"/>
      <c r="H78" s="466"/>
      <c r="I78" s="956"/>
    </row>
    <row r="79" spans="2:9" ht="11.25" customHeight="1" x14ac:dyDescent="0.2">
      <c r="C79" s="955"/>
      <c r="D79" s="466"/>
      <c r="E79" s="466"/>
      <c r="F79" s="466"/>
      <c r="G79" s="466"/>
      <c r="H79" s="466"/>
      <c r="I79" s="956"/>
    </row>
    <row r="80" spans="2:9" ht="11.25" customHeight="1" x14ac:dyDescent="0.25">
      <c r="B80" s="1143" t="s">
        <v>1215</v>
      </c>
      <c r="C80" s="1305" t="s">
        <v>1216</v>
      </c>
      <c r="D80" s="1306"/>
      <c r="E80" s="1306"/>
      <c r="F80" s="1306"/>
      <c r="G80" s="1307">
        <f>G74+G37</f>
        <v>1742448.1609165436</v>
      </c>
      <c r="H80" s="466"/>
      <c r="I80" s="956"/>
    </row>
    <row r="81" spans="3:9" ht="11.25" customHeight="1" x14ac:dyDescent="0.2">
      <c r="C81" s="1308"/>
      <c r="D81" s="466"/>
      <c r="E81" s="466"/>
      <c r="F81" s="466"/>
      <c r="G81" s="1309"/>
      <c r="H81" s="466"/>
      <c r="I81" s="956"/>
    </row>
    <row r="82" spans="3:9" ht="11.25" customHeight="1" x14ac:dyDescent="0.2">
      <c r="C82" s="1305" t="s">
        <v>1217</v>
      </c>
      <c r="D82" s="466"/>
      <c r="E82" s="466"/>
      <c r="F82" s="466"/>
      <c r="G82" s="1310">
        <f>G80*0.907184</f>
        <v>1580721.0924129137</v>
      </c>
      <c r="H82" s="466"/>
      <c r="I82" s="956"/>
    </row>
    <row r="83" spans="3:9" ht="11.25" customHeight="1" x14ac:dyDescent="0.2">
      <c r="C83" s="1308"/>
      <c r="D83" s="466"/>
      <c r="E83" s="466"/>
      <c r="F83" s="466"/>
      <c r="H83" s="466"/>
      <c r="I83" s="956"/>
    </row>
    <row r="84" spans="3:9" ht="11.25" customHeight="1" x14ac:dyDescent="0.2">
      <c r="C84" s="1305" t="s">
        <v>1218</v>
      </c>
      <c r="D84" s="466"/>
      <c r="E84" s="466"/>
      <c r="F84" s="466"/>
      <c r="G84" s="1309">
        <f>G82/1000000</f>
        <v>1.5807210924129136</v>
      </c>
      <c r="H84" s="466"/>
      <c r="I84" s="956"/>
    </row>
    <row r="85" spans="3:9" ht="11.25" customHeight="1" x14ac:dyDescent="0.2">
      <c r="C85" s="1308"/>
      <c r="D85" s="466"/>
      <c r="E85" s="466"/>
      <c r="F85" s="466"/>
      <c r="G85" s="1309"/>
      <c r="H85" s="466"/>
      <c r="I85" s="956"/>
    </row>
    <row r="86" spans="3:9" ht="11.25" customHeight="1" x14ac:dyDescent="0.2">
      <c r="C86" s="474"/>
      <c r="D86" s="1311"/>
      <c r="E86" s="1311"/>
      <c r="F86" s="1311"/>
      <c r="G86" s="1311"/>
      <c r="H86" s="1311"/>
      <c r="I86" s="1312"/>
    </row>
    <row r="87" spans="3:9" ht="11.25" customHeight="1" x14ac:dyDescent="0.2"/>
    <row r="88" spans="3:9" ht="11.25" customHeight="1" x14ac:dyDescent="0.2"/>
    <row r="89" spans="3:9" ht="11.25" customHeight="1" x14ac:dyDescent="0.2"/>
    <row r="90" spans="3:9" ht="11.25" customHeight="1" x14ac:dyDescent="0.2"/>
    <row r="91" spans="3:9" ht="11.25" customHeight="1" x14ac:dyDescent="0.2"/>
    <row r="92" spans="3:9" ht="11.25" customHeight="1" x14ac:dyDescent="0.2"/>
    <row r="93" spans="3:9" ht="11.25" customHeight="1" x14ac:dyDescent="0.2"/>
    <row r="94" spans="3:9" ht="11.25" customHeight="1" x14ac:dyDescent="0.2"/>
    <row r="95" spans="3:9" ht="11.25" customHeight="1" x14ac:dyDescent="0.2"/>
    <row r="96" spans="3:9"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W4E/A319xEeQy/+6CBIK9kAv3gA/7JxR3FnZFw97nGEpcnB3lH5kcCkhzEGsPyybe/Utoj/efX52NR2+Fak0Dw==" saltValue="hetuecb66uqXtL7pBFU04w==" spinCount="100000" sheet="1" objects="1" scenarios="1"/>
  <printOptions gridLines="1"/>
  <pageMargins left="0.75" right="0.75" top="0.21" bottom="0.25" header="0" footer="0"/>
  <pageSetup orientation="landscape"/>
  <rowBreaks count="1" manualBreakCount="1">
    <brk id="40" man="1"/>
  </rowBreaks>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4"/>
  <sheetViews>
    <sheetView zoomScaleNormal="100" workbookViewId="0"/>
  </sheetViews>
  <sheetFormatPr defaultColWidth="16.83203125" defaultRowHeight="15" customHeight="1" x14ac:dyDescent="0.2"/>
  <cols>
    <col min="1" max="1" width="3.1640625" customWidth="1"/>
    <col min="2" max="2" width="17.1640625" bestFit="1" customWidth="1"/>
    <col min="3" max="3" width="58.83203125" customWidth="1"/>
    <col min="4" max="4" width="13.33203125" customWidth="1"/>
    <col min="5" max="5" width="14.1640625" customWidth="1"/>
    <col min="6" max="7" width="12.5" customWidth="1"/>
    <col min="8" max="9" width="10.6640625" customWidth="1"/>
    <col min="10" max="10" width="15.6640625" bestFit="1" customWidth="1"/>
    <col min="11" max="11" width="15.5" bestFit="1" customWidth="1"/>
    <col min="12" max="12" width="10.6640625" customWidth="1"/>
    <col min="13" max="13" width="15.33203125" customWidth="1"/>
    <col min="14" max="14" width="10.6640625" customWidth="1"/>
    <col min="15" max="18" width="15.33203125" customWidth="1"/>
    <col min="19" max="19" width="10.6640625" customWidth="1"/>
    <col min="20" max="24" width="15.33203125" customWidth="1"/>
    <col min="25" max="26" width="8" customWidth="1"/>
  </cols>
  <sheetData>
    <row r="1" spans="1:27" ht="33" customHeight="1" x14ac:dyDescent="0.45">
      <c r="A1" s="9" t="s">
        <v>1219</v>
      </c>
      <c r="B1" s="480"/>
      <c r="C1" s="466"/>
      <c r="D1" s="482"/>
      <c r="E1" s="466"/>
      <c r="F1" s="466"/>
      <c r="G1" s="466"/>
      <c r="H1" s="466"/>
      <c r="I1" s="466"/>
      <c r="J1" s="466"/>
      <c r="K1" s="466"/>
      <c r="L1" s="466"/>
      <c r="M1" s="466"/>
      <c r="N1" s="466"/>
      <c r="O1" s="466"/>
      <c r="P1" s="466"/>
      <c r="Q1" s="466"/>
      <c r="R1" s="466"/>
      <c r="S1" s="466"/>
      <c r="T1" s="466"/>
      <c r="U1" s="466"/>
      <c r="V1" s="466"/>
      <c r="W1" s="466"/>
      <c r="X1" s="466"/>
      <c r="Y1" s="466"/>
      <c r="Z1" s="466"/>
      <c r="AA1" s="466"/>
    </row>
    <row r="2" spans="1:27" ht="107.25" customHeight="1" x14ac:dyDescent="0.2">
      <c r="A2" s="466"/>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row>
    <row r="3" spans="1:27" ht="11.25" customHeight="1" x14ac:dyDescent="0.2">
      <c r="A3" s="466"/>
      <c r="B3" s="466"/>
      <c r="C3" s="466"/>
      <c r="D3" s="466"/>
      <c r="E3" s="466"/>
      <c r="F3" s="466"/>
      <c r="G3" s="466"/>
      <c r="H3" s="2362"/>
      <c r="I3" s="223" t="s">
        <v>1220</v>
      </c>
      <c r="J3" s="466"/>
      <c r="K3" s="466"/>
      <c r="L3" s="466"/>
      <c r="M3" s="466"/>
      <c r="N3" s="466"/>
      <c r="O3" s="466"/>
      <c r="P3" s="466"/>
      <c r="Q3" s="466"/>
      <c r="R3" s="466"/>
      <c r="S3" s="466"/>
      <c r="T3" s="466"/>
      <c r="U3" s="466"/>
      <c r="V3" s="466"/>
      <c r="W3" s="466"/>
      <c r="X3" s="466"/>
      <c r="Y3" s="466"/>
      <c r="Z3" s="466"/>
      <c r="AA3" s="466"/>
    </row>
    <row r="4" spans="1:27" ht="11.25" customHeight="1" x14ac:dyDescent="0.2">
      <c r="A4" s="466"/>
      <c r="B4" s="466"/>
      <c r="C4" s="466"/>
      <c r="D4" s="466"/>
      <c r="E4" s="466"/>
      <c r="F4" s="466"/>
      <c r="G4" s="466"/>
      <c r="H4" s="2363"/>
      <c r="I4" s="223" t="s">
        <v>1221</v>
      </c>
      <c r="J4" s="466"/>
      <c r="K4" s="466"/>
      <c r="L4" s="466"/>
      <c r="M4" s="466"/>
      <c r="N4" s="466"/>
      <c r="O4" s="466"/>
      <c r="P4" s="466"/>
      <c r="Q4" s="466"/>
      <c r="R4" s="466"/>
      <c r="S4" s="466"/>
      <c r="T4" s="466"/>
      <c r="U4" s="466"/>
      <c r="V4" s="466"/>
      <c r="W4" s="466"/>
      <c r="X4" s="466"/>
      <c r="Y4" s="466"/>
      <c r="Z4" s="466"/>
      <c r="AA4" s="466"/>
    </row>
    <row r="5" spans="1:27" ht="11.25" customHeight="1" x14ac:dyDescent="0.2">
      <c r="A5" s="466"/>
      <c r="B5" s="466"/>
      <c r="C5" s="466"/>
      <c r="D5" s="466"/>
      <c r="E5" s="466"/>
      <c r="F5" s="466"/>
      <c r="G5" s="466"/>
      <c r="H5" s="2364"/>
      <c r="I5" s="223" t="s">
        <v>1222</v>
      </c>
      <c r="J5" s="466"/>
      <c r="K5" s="466"/>
      <c r="L5" s="466"/>
      <c r="M5" s="466"/>
      <c r="N5" s="466"/>
      <c r="O5" s="466"/>
      <c r="P5" s="466"/>
      <c r="Q5" s="466"/>
      <c r="R5" s="466"/>
      <c r="S5" s="466"/>
      <c r="T5" s="466"/>
      <c r="U5" s="466"/>
      <c r="V5" s="466"/>
      <c r="W5" s="466"/>
      <c r="X5" s="466"/>
      <c r="Y5" s="466"/>
      <c r="Z5" s="466"/>
      <c r="AA5" s="466"/>
    </row>
    <row r="6" spans="1:27" ht="12.75" customHeight="1" x14ac:dyDescent="0.2">
      <c r="A6" s="466"/>
      <c r="B6" s="466"/>
      <c r="C6" s="266"/>
      <c r="D6" s="466"/>
      <c r="E6" s="1313"/>
      <c r="F6" s="883"/>
      <c r="G6" s="466"/>
      <c r="H6" s="1313"/>
      <c r="I6" s="1313"/>
      <c r="J6" s="883"/>
      <c r="K6" s="883"/>
      <c r="L6" s="266"/>
      <c r="M6" s="266"/>
      <c r="N6" s="266"/>
      <c r="O6" s="266"/>
      <c r="P6" s="266"/>
      <c r="Q6" s="883"/>
      <c r="R6" s="883"/>
      <c r="S6" s="883"/>
      <c r="T6" s="883"/>
      <c r="U6" s="883"/>
      <c r="V6" s="883"/>
      <c r="W6" s="466"/>
      <c r="X6" s="466"/>
      <c r="Y6" s="466"/>
      <c r="Z6" s="466"/>
      <c r="AA6" s="466"/>
    </row>
    <row r="7" spans="1:27" ht="13.5" customHeight="1" thickBot="1" x14ac:dyDescent="0.25">
      <c r="A7" s="466"/>
      <c r="B7" s="466"/>
      <c r="C7" s="466"/>
      <c r="D7" s="466"/>
      <c r="E7" s="1314"/>
      <c r="F7" s="883"/>
      <c r="G7" s="466"/>
      <c r="H7" s="1313"/>
      <c r="I7" s="1315"/>
      <c r="J7" s="883"/>
      <c r="K7" s="883"/>
      <c r="L7" s="466"/>
      <c r="M7" s="466"/>
      <c r="N7" s="466"/>
      <c r="O7" s="466"/>
      <c r="P7" s="466"/>
      <c r="Q7" s="466"/>
      <c r="R7" s="466"/>
      <c r="S7" s="466"/>
      <c r="T7" s="466"/>
      <c r="U7" s="466"/>
      <c r="V7" s="466"/>
      <c r="W7" s="466"/>
      <c r="X7" s="466"/>
      <c r="Y7" s="466"/>
      <c r="Z7" s="466"/>
      <c r="AA7" s="466"/>
    </row>
    <row r="8" spans="1:27" ht="61.5" thickTop="1" x14ac:dyDescent="0.25">
      <c r="A8" s="466"/>
      <c r="B8" s="2432" t="s">
        <v>594</v>
      </c>
      <c r="C8" s="2427" t="s">
        <v>1223</v>
      </c>
      <c r="D8" s="2428" t="s">
        <v>1224</v>
      </c>
      <c r="E8" s="2429" t="s">
        <v>1225</v>
      </c>
      <c r="F8" s="2428" t="s">
        <v>1226</v>
      </c>
      <c r="G8" s="2428" t="s">
        <v>1889</v>
      </c>
      <c r="H8" s="2429" t="s">
        <v>1227</v>
      </c>
      <c r="I8" s="2429" t="s">
        <v>1228</v>
      </c>
      <c r="J8" s="2365" t="s">
        <v>1879</v>
      </c>
      <c r="K8" s="2366" t="s">
        <v>1880</v>
      </c>
      <c r="L8" s="2430" t="s">
        <v>1890</v>
      </c>
      <c r="M8" s="2428" t="s">
        <v>1891</v>
      </c>
      <c r="N8" s="2428" t="s">
        <v>1229</v>
      </c>
      <c r="O8" s="2428" t="s">
        <v>1892</v>
      </c>
      <c r="P8" s="2365" t="s">
        <v>1881</v>
      </c>
      <c r="Q8" s="2428" t="s">
        <v>1882</v>
      </c>
      <c r="R8" s="2428" t="s">
        <v>1893</v>
      </c>
      <c r="S8" s="2428" t="s">
        <v>1230</v>
      </c>
      <c r="T8" s="2367" t="s">
        <v>1878</v>
      </c>
      <c r="U8" s="2428" t="s">
        <v>1883</v>
      </c>
      <c r="V8" s="2428" t="s">
        <v>1894</v>
      </c>
      <c r="W8" s="2428" t="s">
        <v>1895</v>
      </c>
      <c r="X8" s="2431" t="s">
        <v>1896</v>
      </c>
      <c r="Y8" s="466"/>
      <c r="Z8" s="466"/>
      <c r="AA8" s="466"/>
    </row>
    <row r="9" spans="1:27" ht="12.75" customHeight="1" x14ac:dyDescent="0.2">
      <c r="A9" s="466"/>
      <c r="B9" s="2368"/>
      <c r="C9" s="2369"/>
      <c r="D9" s="2369"/>
      <c r="E9" s="2372"/>
      <c r="F9" s="2372"/>
      <c r="G9" s="2372"/>
      <c r="H9" s="2371"/>
      <c r="I9" s="2384"/>
      <c r="J9" s="2440"/>
      <c r="K9" s="2440"/>
      <c r="L9" s="2369"/>
      <c r="M9" s="2369"/>
      <c r="N9" s="2369"/>
      <c r="O9" s="2375"/>
      <c r="P9" s="2440"/>
      <c r="Q9" s="2375"/>
      <c r="R9" s="2375"/>
      <c r="S9" s="2369"/>
      <c r="T9" s="2440"/>
      <c r="U9" s="2375"/>
      <c r="V9" s="2375"/>
      <c r="W9" s="2375"/>
      <c r="X9" s="2452"/>
      <c r="Y9" s="466"/>
      <c r="Z9" s="466"/>
      <c r="AA9" s="466"/>
    </row>
    <row r="10" spans="1:27" ht="12.75" customHeight="1" x14ac:dyDescent="0.2">
      <c r="A10" s="466"/>
      <c r="B10" s="2385" t="s">
        <v>599</v>
      </c>
      <c r="C10" s="2392" t="s">
        <v>1231</v>
      </c>
      <c r="D10" s="2393">
        <v>4.26</v>
      </c>
      <c r="E10" s="2433">
        <f t="shared" ref="E10:E11" si="0">D10*1000000*0.9071847</f>
        <v>3864606.8219999997</v>
      </c>
      <c r="F10" s="2394">
        <v>125000</v>
      </c>
      <c r="G10" s="2394">
        <f t="shared" ref="G10:G11" si="1">F10*0.9071847</f>
        <v>113398.08749999999</v>
      </c>
      <c r="H10" s="2395">
        <v>1992</v>
      </c>
      <c r="I10" s="2396">
        <v>2015</v>
      </c>
      <c r="J10" s="2398">
        <v>11300</v>
      </c>
      <c r="K10" s="2398">
        <v>4118</v>
      </c>
      <c r="L10" s="2397">
        <v>0.60960000000000003</v>
      </c>
      <c r="M10" s="2398">
        <f>K10*L10</f>
        <v>2510.3328000000001</v>
      </c>
      <c r="N10" s="2397">
        <v>0.98</v>
      </c>
      <c r="O10" s="2398">
        <f>M10*N10</f>
        <v>2460.1261440000003</v>
      </c>
      <c r="P10" s="2398">
        <f>O10*2.75</f>
        <v>6765.3468960000009</v>
      </c>
      <c r="Q10" s="2398">
        <f>M10*(1-N10)</f>
        <v>50.206656000000045</v>
      </c>
      <c r="R10" s="2398">
        <f>K10*(1-L10)</f>
        <v>1607.6671999999999</v>
      </c>
      <c r="S10" s="2397">
        <v>0.1</v>
      </c>
      <c r="T10" s="2398">
        <f t="shared" ref="T10:T11" si="2">R10*S10</f>
        <v>160.76671999999999</v>
      </c>
      <c r="U10" s="2398">
        <f t="shared" ref="U10:U11" si="3">R10*(1-S10)</f>
        <v>1446.90048</v>
      </c>
      <c r="V10" s="2398">
        <f>U10+Q10</f>
        <v>1497.1071360000001</v>
      </c>
      <c r="W10" s="2398">
        <f>V10*$C$85</f>
        <v>41918.999808</v>
      </c>
      <c r="X10" s="2453">
        <f>J10+P10+W10</f>
        <v>59984.346704000003</v>
      </c>
      <c r="Y10" s="466"/>
      <c r="Z10" s="466"/>
      <c r="AA10" s="466"/>
    </row>
    <row r="11" spans="1:27" ht="12.75" customHeight="1" x14ac:dyDescent="0.2">
      <c r="A11" s="466"/>
      <c r="B11" s="2368"/>
      <c r="C11" s="2369" t="s">
        <v>1232</v>
      </c>
      <c r="D11" s="2373">
        <v>1.5</v>
      </c>
      <c r="E11" s="2434">
        <f t="shared" si="0"/>
        <v>1360777.05</v>
      </c>
      <c r="F11" s="2372">
        <v>75000</v>
      </c>
      <c r="G11" s="2372">
        <f t="shared" si="1"/>
        <v>68038.852499999994</v>
      </c>
      <c r="H11" s="2370">
        <v>1971</v>
      </c>
      <c r="I11" s="2386">
        <v>1992</v>
      </c>
      <c r="J11" s="2441">
        <v>3136</v>
      </c>
      <c r="K11" s="2442">
        <v>1143</v>
      </c>
      <c r="L11" s="2374"/>
      <c r="M11" s="2375"/>
      <c r="N11" s="2374"/>
      <c r="O11" s="2375"/>
      <c r="P11" s="2440"/>
      <c r="Q11" s="2375"/>
      <c r="R11" s="2375">
        <f>K11</f>
        <v>1143</v>
      </c>
      <c r="S11" s="2374">
        <v>0.1</v>
      </c>
      <c r="T11" s="2440">
        <f t="shared" si="2"/>
        <v>114.30000000000001</v>
      </c>
      <c r="U11" s="2375">
        <f t="shared" si="3"/>
        <v>1028.7</v>
      </c>
      <c r="V11" s="2375">
        <f>U11</f>
        <v>1028.7</v>
      </c>
      <c r="W11" s="2375">
        <f>V11*$C$85</f>
        <v>28803.600000000002</v>
      </c>
      <c r="X11" s="2452">
        <f>J11+W11</f>
        <v>31939.600000000002</v>
      </c>
      <c r="Y11" s="466"/>
      <c r="Z11" s="466"/>
      <c r="AA11" s="466"/>
    </row>
    <row r="12" spans="1:27" ht="12.75" customHeight="1" x14ac:dyDescent="0.2">
      <c r="A12" s="466"/>
      <c r="B12" s="2368"/>
      <c r="C12" s="2369"/>
      <c r="D12" s="2373"/>
      <c r="E12" s="2434"/>
      <c r="F12" s="2372"/>
      <c r="G12" s="2372"/>
      <c r="H12" s="2370"/>
      <c r="I12" s="2386"/>
      <c r="J12" s="2440"/>
      <c r="K12" s="2440"/>
      <c r="L12" s="2374"/>
      <c r="M12" s="2375"/>
      <c r="N12" s="2374"/>
      <c r="O12" s="2375"/>
      <c r="P12" s="2440"/>
      <c r="Q12" s="2375"/>
      <c r="R12" s="2375"/>
      <c r="S12" s="2369"/>
      <c r="T12" s="2440"/>
      <c r="U12" s="2375"/>
      <c r="V12" s="2375"/>
      <c r="W12" s="2375"/>
      <c r="X12" s="2452"/>
      <c r="Y12" s="466"/>
      <c r="Z12" s="466"/>
      <c r="AA12" s="466"/>
    </row>
    <row r="13" spans="1:27" ht="12.75" customHeight="1" x14ac:dyDescent="0.2">
      <c r="A13" s="466"/>
      <c r="B13" s="2385" t="s">
        <v>600</v>
      </c>
      <c r="C13" s="2369" t="s">
        <v>1233</v>
      </c>
      <c r="D13" s="2373">
        <v>0.85</v>
      </c>
      <c r="E13" s="2434">
        <f t="shared" ref="E13:E16" si="4">D13*1000000*0.9071847</f>
        <v>771106.995</v>
      </c>
      <c r="F13" s="2372">
        <v>23000</v>
      </c>
      <c r="G13" s="2372">
        <f t="shared" ref="G13:G16" si="5">F13*0.9071847</f>
        <v>20865.248100000001</v>
      </c>
      <c r="H13" s="2370">
        <v>1960</v>
      </c>
      <c r="I13" s="2386">
        <v>1993</v>
      </c>
      <c r="J13" s="2441">
        <v>1674</v>
      </c>
      <c r="K13" s="2442">
        <v>610.20000000000005</v>
      </c>
      <c r="L13" s="2374"/>
      <c r="M13" s="2375"/>
      <c r="N13" s="2374"/>
      <c r="O13" s="2375"/>
      <c r="P13" s="2440"/>
      <c r="Q13" s="2375"/>
      <c r="R13" s="2375">
        <f t="shared" ref="R13:R14" si="6">K13</f>
        <v>610.20000000000005</v>
      </c>
      <c r="S13" s="2374">
        <v>0.1</v>
      </c>
      <c r="T13" s="2440">
        <f t="shared" ref="T13:T23" si="7">R13*S13</f>
        <v>61.02000000000001</v>
      </c>
      <c r="U13" s="2375">
        <f t="shared" ref="U13:U18" si="8">R13*(1-S13)</f>
        <v>549.18000000000006</v>
      </c>
      <c r="V13" s="2375">
        <f t="shared" ref="V13:V14" si="9">U13</f>
        <v>549.18000000000006</v>
      </c>
      <c r="W13" s="2375">
        <f>V13*$C$85</f>
        <v>15377.04</v>
      </c>
      <c r="X13" s="2452">
        <f t="shared" ref="X13:X16" si="10">J13+W13</f>
        <v>17051.04</v>
      </c>
      <c r="Y13" s="466"/>
      <c r="Z13" s="466"/>
      <c r="AA13" s="466"/>
    </row>
    <row r="14" spans="1:27" ht="12.75" customHeight="1" x14ac:dyDescent="0.2">
      <c r="A14" s="466"/>
      <c r="B14" s="2368"/>
      <c r="C14" s="2369" t="s">
        <v>1234</v>
      </c>
      <c r="D14" s="2373">
        <v>0.67</v>
      </c>
      <c r="E14" s="2434">
        <f t="shared" si="4"/>
        <v>607813.74899999995</v>
      </c>
      <c r="F14" s="2372">
        <v>11000</v>
      </c>
      <c r="G14" s="2372">
        <f t="shared" si="5"/>
        <v>9979.0316999999995</v>
      </c>
      <c r="H14" s="2370">
        <v>1976</v>
      </c>
      <c r="I14" s="2386">
        <v>1996</v>
      </c>
      <c r="J14" s="2441">
        <f>2728</f>
        <v>2728</v>
      </c>
      <c r="K14" s="2442">
        <f>994.2</f>
        <v>994.2</v>
      </c>
      <c r="L14" s="2374"/>
      <c r="M14" s="2375"/>
      <c r="N14" s="2374"/>
      <c r="O14" s="2375"/>
      <c r="P14" s="2440"/>
      <c r="Q14" s="2375"/>
      <c r="R14" s="2375">
        <f t="shared" si="6"/>
        <v>994.2</v>
      </c>
      <c r="S14" s="2374">
        <v>0.1</v>
      </c>
      <c r="T14" s="2440">
        <f t="shared" si="7"/>
        <v>99.420000000000016</v>
      </c>
      <c r="U14" s="2375">
        <f t="shared" si="8"/>
        <v>894.78000000000009</v>
      </c>
      <c r="V14" s="2375">
        <f t="shared" si="9"/>
        <v>894.78000000000009</v>
      </c>
      <c r="W14" s="2375">
        <f>V14*$C$85</f>
        <v>25053.840000000004</v>
      </c>
      <c r="X14" s="2452">
        <f t="shared" si="10"/>
        <v>27781.840000000004</v>
      </c>
      <c r="Y14" s="466"/>
      <c r="Z14" s="466"/>
      <c r="AA14" s="466"/>
    </row>
    <row r="15" spans="1:27" ht="12.75" customHeight="1" x14ac:dyDescent="0.2">
      <c r="A15" s="466"/>
      <c r="B15" s="2368"/>
      <c r="C15" s="2399" t="s">
        <v>1235</v>
      </c>
      <c r="D15" s="2400">
        <v>14.3</v>
      </c>
      <c r="E15" s="2435">
        <f t="shared" si="4"/>
        <v>12972741.209999999</v>
      </c>
      <c r="F15" s="2401">
        <v>358288</v>
      </c>
      <c r="G15" s="2401">
        <f t="shared" si="5"/>
        <v>325033.39179359999</v>
      </c>
      <c r="H15" s="2402">
        <v>1975</v>
      </c>
      <c r="I15" s="2403">
        <v>2060</v>
      </c>
      <c r="J15" s="2405">
        <v>25460</v>
      </c>
      <c r="K15" s="2405">
        <v>9280</v>
      </c>
      <c r="L15" s="2404">
        <v>0.92290000000000005</v>
      </c>
      <c r="M15" s="2405">
        <f>K15*L15</f>
        <v>8564.5120000000006</v>
      </c>
      <c r="N15" s="2406">
        <v>0.99909999999999999</v>
      </c>
      <c r="O15" s="2405">
        <f>M15*N15</f>
        <v>8556.803939200001</v>
      </c>
      <c r="P15" s="2405">
        <f>O15*2.75</f>
        <v>23531.210832800003</v>
      </c>
      <c r="Q15" s="2405">
        <f>M15*(1-N15)</f>
        <v>7.7080608000001023</v>
      </c>
      <c r="R15" s="2405">
        <f>K15*(1-L15)</f>
        <v>715.48799999999949</v>
      </c>
      <c r="S15" s="2404">
        <v>0.1</v>
      </c>
      <c r="T15" s="2405">
        <f t="shared" si="7"/>
        <v>71.548799999999957</v>
      </c>
      <c r="U15" s="2405">
        <f t="shared" si="8"/>
        <v>643.93919999999957</v>
      </c>
      <c r="V15" s="2405">
        <f>U15+Q15</f>
        <v>651.64726079999969</v>
      </c>
      <c r="W15" s="2405">
        <f>V15*$C$85</f>
        <v>18246.123302399992</v>
      </c>
      <c r="X15" s="2454">
        <f t="shared" ref="X15" si="11">J15+P15+W15</f>
        <v>67237.334135199999</v>
      </c>
      <c r="Y15" s="466"/>
      <c r="Z15" s="466"/>
      <c r="AA15" s="466"/>
    </row>
    <row r="16" spans="1:27" ht="12.75" customHeight="1" x14ac:dyDescent="0.2">
      <c r="A16" s="466"/>
      <c r="B16" s="2368"/>
      <c r="C16" s="2369" t="s">
        <v>1236</v>
      </c>
      <c r="D16" s="2373">
        <v>0.7</v>
      </c>
      <c r="E16" s="2434">
        <f t="shared" si="4"/>
        <v>635029.28999999992</v>
      </c>
      <c r="F16" s="2372">
        <v>61000</v>
      </c>
      <c r="G16" s="2372">
        <f t="shared" si="5"/>
        <v>55338.2667</v>
      </c>
      <c r="H16" s="2370">
        <v>1982</v>
      </c>
      <c r="I16" s="2386">
        <v>1993</v>
      </c>
      <c r="J16" s="2441">
        <v>1977</v>
      </c>
      <c r="K16" s="2442">
        <v>720.6</v>
      </c>
      <c r="L16" s="2374"/>
      <c r="M16" s="2375"/>
      <c r="N16" s="2374"/>
      <c r="O16" s="2375"/>
      <c r="P16" s="2440"/>
      <c r="Q16" s="2375"/>
      <c r="R16" s="2375">
        <f>K16</f>
        <v>720.6</v>
      </c>
      <c r="S16" s="2374">
        <v>0.1</v>
      </c>
      <c r="T16" s="2440">
        <f t="shared" si="7"/>
        <v>72.06</v>
      </c>
      <c r="U16" s="2375">
        <f t="shared" si="8"/>
        <v>648.54000000000008</v>
      </c>
      <c r="V16" s="2375">
        <f>U16</f>
        <v>648.54000000000008</v>
      </c>
      <c r="W16" s="2375">
        <f>V16*$C$85</f>
        <v>18159.120000000003</v>
      </c>
      <c r="X16" s="2452">
        <f t="shared" si="10"/>
        <v>20136.120000000003</v>
      </c>
      <c r="Y16" s="466"/>
      <c r="Z16" s="466"/>
      <c r="AA16" s="466"/>
    </row>
    <row r="17" spans="1:27" ht="12.75" customHeight="1" x14ac:dyDescent="0.2">
      <c r="A17" s="466"/>
      <c r="B17" s="2368"/>
      <c r="C17" s="2414" t="s">
        <v>1237</v>
      </c>
      <c r="D17" s="2415"/>
      <c r="E17" s="2433">
        <v>1122641.432</v>
      </c>
      <c r="F17" s="2394"/>
      <c r="G17" s="2394"/>
      <c r="H17" s="2395">
        <v>1963</v>
      </c>
      <c r="I17" s="2416">
        <v>1982</v>
      </c>
      <c r="J17" s="2418">
        <f>1805</f>
        <v>1805</v>
      </c>
      <c r="K17" s="2418">
        <f>657.8</f>
        <v>657.8</v>
      </c>
      <c r="L17" s="2417">
        <v>0.27829999999999999</v>
      </c>
      <c r="M17" s="2418">
        <f>K17*L17</f>
        <v>183.06573999999998</v>
      </c>
      <c r="N17" s="2417">
        <v>0.98</v>
      </c>
      <c r="O17" s="2418">
        <f>M17*N17</f>
        <v>179.40442519999996</v>
      </c>
      <c r="P17" s="2418">
        <f>O17*2.75</f>
        <v>493.36216929999989</v>
      </c>
      <c r="Q17" s="2418">
        <f>M17*(1-N17)</f>
        <v>3.6613148000000026</v>
      </c>
      <c r="R17" s="2418">
        <f>K17*(1-L17)</f>
        <v>474.73425999999995</v>
      </c>
      <c r="S17" s="2417">
        <v>0.1</v>
      </c>
      <c r="T17" s="2418">
        <f t="shared" si="7"/>
        <v>47.473425999999996</v>
      </c>
      <c r="U17" s="2418">
        <f t="shared" si="8"/>
        <v>427.26083399999999</v>
      </c>
      <c r="V17" s="2418">
        <f>U17+Q17</f>
        <v>430.9221488</v>
      </c>
      <c r="W17" s="2418">
        <f>V17*$C$85</f>
        <v>12065.820166400001</v>
      </c>
      <c r="X17" s="2453">
        <f>J17+P17+W17</f>
        <v>14364.182335700001</v>
      </c>
      <c r="Y17" s="466"/>
      <c r="Z17" s="466"/>
      <c r="AA17" s="466"/>
    </row>
    <row r="18" spans="1:27" ht="12.75" customHeight="1" x14ac:dyDescent="0.2">
      <c r="A18" s="466"/>
      <c r="B18" s="2368"/>
      <c r="C18" s="2379" t="s">
        <v>1238</v>
      </c>
      <c r="D18" s="2379"/>
      <c r="E18" s="2434">
        <v>3487273</v>
      </c>
      <c r="F18" s="2372"/>
      <c r="G18" s="2372"/>
      <c r="H18" s="2370">
        <v>1953</v>
      </c>
      <c r="I18" s="2378">
        <v>1982</v>
      </c>
      <c r="J18" s="2441">
        <f>5112</f>
        <v>5112</v>
      </c>
      <c r="K18" s="2442">
        <f>1863</f>
        <v>1863</v>
      </c>
      <c r="L18" s="2419"/>
      <c r="M18" s="2420"/>
      <c r="N18" s="2421"/>
      <c r="O18" s="2420"/>
      <c r="P18" s="2440"/>
      <c r="Q18" s="2420"/>
      <c r="R18" s="2448">
        <f>K18</f>
        <v>1863</v>
      </c>
      <c r="S18" s="2422">
        <v>0.1</v>
      </c>
      <c r="T18" s="2440">
        <f t="shared" si="7"/>
        <v>186.3</v>
      </c>
      <c r="U18" s="2448">
        <f t="shared" si="8"/>
        <v>1676.7</v>
      </c>
      <c r="V18" s="2448">
        <f>U18</f>
        <v>1676.7</v>
      </c>
      <c r="W18" s="2448">
        <f>V18*$C$85</f>
        <v>46947.6</v>
      </c>
      <c r="X18" s="2455">
        <f>J18+W18</f>
        <v>52059.6</v>
      </c>
      <c r="Y18" s="466"/>
      <c r="Z18" s="466"/>
      <c r="AA18" s="466"/>
    </row>
    <row r="19" spans="1:27" ht="12.75" customHeight="1" x14ac:dyDescent="0.2">
      <c r="A19" s="466"/>
      <c r="B19" s="2368"/>
      <c r="C19" s="2369"/>
      <c r="D19" s="2369"/>
      <c r="E19" s="2434"/>
      <c r="F19" s="2372"/>
      <c r="G19" s="2372"/>
      <c r="H19" s="2370"/>
      <c r="I19" s="2386"/>
      <c r="J19" s="2440"/>
      <c r="K19" s="2440"/>
      <c r="L19" s="2374"/>
      <c r="M19" s="2375"/>
      <c r="N19" s="2374"/>
      <c r="O19" s="2375"/>
      <c r="P19" s="2440"/>
      <c r="Q19" s="2375"/>
      <c r="R19" s="2375"/>
      <c r="S19" s="2369"/>
      <c r="T19" s="2440">
        <f t="shared" si="7"/>
        <v>0</v>
      </c>
      <c r="U19" s="2375"/>
      <c r="V19" s="2375"/>
      <c r="W19" s="2375"/>
      <c r="X19" s="2452"/>
      <c r="Y19" s="466"/>
      <c r="Z19" s="466"/>
      <c r="AA19" s="466"/>
    </row>
    <row r="20" spans="1:27" ht="12.75" customHeight="1" x14ac:dyDescent="0.2">
      <c r="A20" s="466"/>
      <c r="B20" s="2385" t="s">
        <v>622</v>
      </c>
      <c r="C20" s="2399" t="s">
        <v>1888</v>
      </c>
      <c r="D20" s="2400">
        <v>18.320622</v>
      </c>
      <c r="E20" s="2435">
        <f t="shared" ref="E20:E22" si="12">D20*1000000*0.9071847</f>
        <v>16620187.9728834</v>
      </c>
      <c r="F20" s="2401">
        <v>523000</v>
      </c>
      <c r="G20" s="2401">
        <f t="shared" ref="G20:G22" si="13">F20*0.9071847</f>
        <v>474457.5981</v>
      </c>
      <c r="H20" s="2402">
        <v>1985</v>
      </c>
      <c r="I20" s="2403">
        <v>2019</v>
      </c>
      <c r="J20" s="2405">
        <v>37210</v>
      </c>
      <c r="K20" s="2405">
        <v>13560</v>
      </c>
      <c r="L20" s="2404">
        <v>0.2727</v>
      </c>
      <c r="M20" s="2405">
        <f t="shared" ref="M20:M23" si="14">K20*L20</f>
        <v>3697.8119999999999</v>
      </c>
      <c r="N20" s="2406">
        <v>0.99909999999999999</v>
      </c>
      <c r="O20" s="2405">
        <f t="shared" ref="O20:O23" si="15">M20*N20</f>
        <v>3694.4839692</v>
      </c>
      <c r="P20" s="2405">
        <f t="shared" ref="P20:P23" si="16">O20*2.75</f>
        <v>10159.830915300001</v>
      </c>
      <c r="Q20" s="2405">
        <f t="shared" ref="Q20:Q23" si="17">M20*(1-N20)</f>
        <v>3.328030800000044</v>
      </c>
      <c r="R20" s="2405">
        <f t="shared" ref="R20:R23" si="18">K20*(1-L20)</f>
        <v>9862.1880000000001</v>
      </c>
      <c r="S20" s="2404">
        <v>0.1</v>
      </c>
      <c r="T20" s="2405">
        <f t="shared" si="7"/>
        <v>986.2188000000001</v>
      </c>
      <c r="U20" s="2405">
        <f t="shared" ref="U20:U23" si="19">R20*(1-S20)</f>
        <v>8875.9691999999995</v>
      </c>
      <c r="V20" s="2405">
        <f>U20</f>
        <v>8875.9691999999995</v>
      </c>
      <c r="W20" s="2405">
        <f>V20*$C$85</f>
        <v>248527.13759999999</v>
      </c>
      <c r="X20" s="2454">
        <f t="shared" ref="X20:X22" si="20">J20+P20+W20</f>
        <v>295896.96851529996</v>
      </c>
      <c r="Y20" s="466"/>
      <c r="Z20" s="466"/>
      <c r="AA20" s="466"/>
    </row>
    <row r="21" spans="1:27" s="2481" customFormat="1" ht="12.75" customHeight="1" x14ac:dyDescent="0.2">
      <c r="A21" s="2482"/>
      <c r="B21" s="2368"/>
      <c r="C21" s="2369"/>
      <c r="D21" s="2369"/>
      <c r="E21" s="2434"/>
      <c r="F21" s="2372"/>
      <c r="G21" s="2372"/>
      <c r="H21" s="2370"/>
      <c r="I21" s="2386"/>
      <c r="J21" s="2440"/>
      <c r="K21" s="2440"/>
      <c r="L21" s="2374"/>
      <c r="M21" s="2375"/>
      <c r="N21" s="2374"/>
      <c r="O21" s="2375"/>
      <c r="P21" s="2440"/>
      <c r="Q21" s="2375"/>
      <c r="R21" s="2375"/>
      <c r="S21" s="2369"/>
      <c r="T21" s="2440"/>
      <c r="U21" s="2375"/>
      <c r="V21" s="2375"/>
      <c r="W21" s="2375"/>
      <c r="X21" s="2452"/>
      <c r="Y21" s="2482"/>
      <c r="Z21" s="2482"/>
      <c r="AA21" s="2482"/>
    </row>
    <row r="22" spans="1:27" ht="12.75" customHeight="1" x14ac:dyDescent="0.2">
      <c r="A22" s="466"/>
      <c r="B22" s="2385" t="s">
        <v>1918</v>
      </c>
      <c r="C22" s="2399" t="s">
        <v>1917</v>
      </c>
      <c r="D22" s="2400">
        <v>22.812999999999999</v>
      </c>
      <c r="E22" s="2435">
        <f t="shared" si="12"/>
        <v>20695604.561099999</v>
      </c>
      <c r="F22" s="2401">
        <v>250000</v>
      </c>
      <c r="G22" s="2401">
        <f t="shared" si="13"/>
        <v>226796.17499999999</v>
      </c>
      <c r="H22" s="2402">
        <v>1982</v>
      </c>
      <c r="I22" s="2403">
        <v>2033</v>
      </c>
      <c r="J22" s="2405">
        <f>15020</f>
        <v>15020</v>
      </c>
      <c r="K22" s="2405">
        <f>7878</f>
        <v>7878</v>
      </c>
      <c r="L22" s="2404">
        <v>0.436</v>
      </c>
      <c r="M22" s="2405">
        <f t="shared" si="14"/>
        <v>3434.808</v>
      </c>
      <c r="N22" s="2404">
        <v>0.98</v>
      </c>
      <c r="O22" s="2405">
        <f t="shared" si="15"/>
        <v>3366.11184</v>
      </c>
      <c r="P22" s="2405">
        <f t="shared" si="16"/>
        <v>9256.8075599999993</v>
      </c>
      <c r="Q22" s="2405">
        <f t="shared" si="17"/>
        <v>68.696160000000063</v>
      </c>
      <c r="R22" s="2405">
        <f t="shared" si="18"/>
        <v>4443.192</v>
      </c>
      <c r="S22" s="2404">
        <v>0.1</v>
      </c>
      <c r="T22" s="2405">
        <f t="shared" si="7"/>
        <v>444.31920000000002</v>
      </c>
      <c r="U22" s="2405">
        <f t="shared" si="19"/>
        <v>3998.8728000000001</v>
      </c>
      <c r="V22" s="2405">
        <f t="shared" ref="V22:V23" si="21">U22+Q22</f>
        <v>4067.5689600000001</v>
      </c>
      <c r="W22" s="2405">
        <f>V22*$C$85</f>
        <v>113891.93088</v>
      </c>
      <c r="X22" s="2454">
        <f t="shared" si="20"/>
        <v>138168.73843999999</v>
      </c>
      <c r="Y22" s="466"/>
      <c r="Z22" s="466"/>
      <c r="AA22" s="466"/>
    </row>
    <row r="23" spans="1:27" ht="12.75" customHeight="1" x14ac:dyDescent="0.2">
      <c r="A23" s="466"/>
      <c r="B23" s="2368"/>
      <c r="C23" s="2414" t="s">
        <v>1239</v>
      </c>
      <c r="D23" s="2423"/>
      <c r="E23" s="2433">
        <v>7259745.9500000002</v>
      </c>
      <c r="F23" s="2394"/>
      <c r="G23" s="2394"/>
      <c r="H23" s="2395">
        <v>1968</v>
      </c>
      <c r="I23" s="2424">
        <v>1986</v>
      </c>
      <c r="J23" s="2426">
        <f>13940</f>
        <v>13940</v>
      </c>
      <c r="K23" s="2426">
        <f>5079</f>
        <v>5079</v>
      </c>
      <c r="L23" s="2425">
        <v>0.54479999999999995</v>
      </c>
      <c r="M23" s="2426">
        <f t="shared" si="14"/>
        <v>2767.0391999999997</v>
      </c>
      <c r="N23" s="2425">
        <v>0.98</v>
      </c>
      <c r="O23" s="2426">
        <f t="shared" si="15"/>
        <v>2711.6984159999997</v>
      </c>
      <c r="P23" s="2426">
        <f t="shared" si="16"/>
        <v>7457.1706439999989</v>
      </c>
      <c r="Q23" s="2426">
        <f t="shared" si="17"/>
        <v>55.340784000000042</v>
      </c>
      <c r="R23" s="2426">
        <f t="shared" si="18"/>
        <v>2311.9608000000003</v>
      </c>
      <c r="S23" s="2425">
        <v>0.1</v>
      </c>
      <c r="T23" s="2426">
        <f t="shared" si="7"/>
        <v>231.19608000000005</v>
      </c>
      <c r="U23" s="2426">
        <f t="shared" si="19"/>
        <v>2080.7647200000001</v>
      </c>
      <c r="V23" s="2426">
        <f t="shared" si="21"/>
        <v>2136.1055040000001</v>
      </c>
      <c r="W23" s="2426">
        <f>V23*$C$85</f>
        <v>59810.954112000007</v>
      </c>
      <c r="X23" s="2453">
        <f>J23+P23+W23</f>
        <v>81208.124756000005</v>
      </c>
      <c r="Y23" s="466"/>
      <c r="Z23" s="466"/>
      <c r="AA23" s="466"/>
    </row>
    <row r="24" spans="1:27" ht="12.75" customHeight="1" x14ac:dyDescent="0.2">
      <c r="A24" s="466"/>
      <c r="B24" s="2368"/>
      <c r="C24" s="2369"/>
      <c r="D24" s="2373"/>
      <c r="E24" s="2434"/>
      <c r="F24" s="2372"/>
      <c r="G24" s="2372"/>
      <c r="H24" s="2370"/>
      <c r="I24" s="2386"/>
      <c r="J24" s="2440"/>
      <c r="K24" s="2440"/>
      <c r="L24" s="2374"/>
      <c r="M24" s="2375"/>
      <c r="N24" s="2374"/>
      <c r="O24" s="2375"/>
      <c r="P24" s="2440"/>
      <c r="Q24" s="2375"/>
      <c r="R24" s="2375"/>
      <c r="S24" s="2369"/>
      <c r="T24" s="2440"/>
      <c r="U24" s="2375"/>
      <c r="V24" s="2375"/>
      <c r="W24" s="2375"/>
      <c r="X24" s="2452"/>
      <c r="Y24" s="466"/>
      <c r="Z24" s="466"/>
      <c r="AA24" s="466"/>
    </row>
    <row r="25" spans="1:27" ht="12.75" customHeight="1" x14ac:dyDescent="0.2">
      <c r="A25" s="466"/>
      <c r="B25" s="2385" t="s">
        <v>602</v>
      </c>
      <c r="C25" s="2369" t="s">
        <v>1919</v>
      </c>
      <c r="D25" s="2373">
        <v>2.7992900000000001</v>
      </c>
      <c r="E25" s="2434">
        <f t="shared" ref="E25:E26" si="22">D25*1000000*0.9071847</f>
        <v>2539473.058863</v>
      </c>
      <c r="F25" s="2372">
        <v>20000</v>
      </c>
      <c r="G25" s="2372">
        <f t="shared" ref="G25:G26" si="23">F25*0.9071847</f>
        <v>18143.694</v>
      </c>
      <c r="H25" s="2370">
        <v>1992</v>
      </c>
      <c r="I25" s="2386">
        <v>2037</v>
      </c>
      <c r="J25" s="2441">
        <f>1927</f>
        <v>1927</v>
      </c>
      <c r="K25" s="2442">
        <f>702.5</f>
        <v>702.5</v>
      </c>
      <c r="L25" s="2374"/>
      <c r="M25" s="2375"/>
      <c r="N25" s="2374"/>
      <c r="O25" s="2375"/>
      <c r="P25" s="2440"/>
      <c r="Q25" s="2375"/>
      <c r="R25" s="2375">
        <f t="shared" ref="R25:R26" si="24">K25</f>
        <v>702.5</v>
      </c>
      <c r="S25" s="2374">
        <v>0.1</v>
      </c>
      <c r="T25" s="2440">
        <f t="shared" ref="T25:T26" si="25">R25*S25</f>
        <v>70.25</v>
      </c>
      <c r="U25" s="2375">
        <f t="shared" ref="U25:U26" si="26">R25*(1-S25)</f>
        <v>632.25</v>
      </c>
      <c r="V25" s="2375">
        <f t="shared" ref="V25:V26" si="27">U25</f>
        <v>632.25</v>
      </c>
      <c r="W25" s="2375">
        <f t="shared" ref="W25:W26" si="28">V25*$C$85</f>
        <v>17703</v>
      </c>
      <c r="X25" s="2452">
        <f t="shared" ref="X25:X26" si="29">J25+W25</f>
        <v>19630</v>
      </c>
      <c r="Y25" s="466"/>
      <c r="Z25" s="466"/>
      <c r="AA25" s="466"/>
    </row>
    <row r="26" spans="1:27" ht="12.75" customHeight="1" x14ac:dyDescent="0.2">
      <c r="A26" s="466"/>
      <c r="B26" s="2368"/>
      <c r="C26" s="2369" t="s">
        <v>1240</v>
      </c>
      <c r="D26" s="2373">
        <v>0.6</v>
      </c>
      <c r="E26" s="2434">
        <f t="shared" si="22"/>
        <v>544310.81999999995</v>
      </c>
      <c r="F26" s="2372">
        <v>28000</v>
      </c>
      <c r="G26" s="2372">
        <f t="shared" si="23"/>
        <v>25401.171599999998</v>
      </c>
      <c r="H26" s="2370">
        <v>1975</v>
      </c>
      <c r="I26" s="2386">
        <v>1993</v>
      </c>
      <c r="J26" s="2441">
        <v>1433</v>
      </c>
      <c r="K26" s="2442">
        <v>5223</v>
      </c>
      <c r="L26" s="2374"/>
      <c r="M26" s="2375"/>
      <c r="N26" s="2374"/>
      <c r="O26" s="2375"/>
      <c r="P26" s="2440"/>
      <c r="Q26" s="2375"/>
      <c r="R26" s="2375">
        <f t="shared" si="24"/>
        <v>5223</v>
      </c>
      <c r="S26" s="2374">
        <v>0.1</v>
      </c>
      <c r="T26" s="2440">
        <f t="shared" si="25"/>
        <v>522.30000000000007</v>
      </c>
      <c r="U26" s="2375">
        <f t="shared" si="26"/>
        <v>4700.7</v>
      </c>
      <c r="V26" s="2375">
        <f t="shared" si="27"/>
        <v>4700.7</v>
      </c>
      <c r="W26" s="2375">
        <f t="shared" si="28"/>
        <v>131619.6</v>
      </c>
      <c r="X26" s="2452">
        <f t="shared" si="29"/>
        <v>133052.6</v>
      </c>
      <c r="Y26" s="466"/>
      <c r="Z26" s="466"/>
      <c r="AA26" s="466"/>
    </row>
    <row r="27" spans="1:27" ht="12.75" customHeight="1" x14ac:dyDescent="0.2">
      <c r="A27" s="466"/>
      <c r="B27" s="2368"/>
      <c r="C27" s="2369"/>
      <c r="D27" s="2373"/>
      <c r="E27" s="2434"/>
      <c r="F27" s="2372"/>
      <c r="G27" s="2372"/>
      <c r="H27" s="2370"/>
      <c r="I27" s="2386"/>
      <c r="J27" s="2440"/>
      <c r="K27" s="2440"/>
      <c r="L27" s="2374"/>
      <c r="M27" s="2375"/>
      <c r="N27" s="2374"/>
      <c r="O27" s="2375"/>
      <c r="P27" s="2440"/>
      <c r="Q27" s="2375"/>
      <c r="R27" s="2375"/>
      <c r="S27" s="2374"/>
      <c r="T27" s="2440"/>
      <c r="U27" s="2375"/>
      <c r="V27" s="2375"/>
      <c r="W27" s="2375"/>
      <c r="X27" s="2452"/>
      <c r="Y27" s="466"/>
      <c r="Z27" s="466"/>
      <c r="AA27" s="466"/>
    </row>
    <row r="28" spans="1:27" ht="12.75" customHeight="1" x14ac:dyDescent="0.2">
      <c r="A28" s="466"/>
      <c r="B28" s="2385" t="s">
        <v>603</v>
      </c>
      <c r="C28" s="2392" t="s">
        <v>1887</v>
      </c>
      <c r="D28" s="2393"/>
      <c r="E28" s="2433"/>
      <c r="F28" s="2394"/>
      <c r="G28" s="2394"/>
      <c r="H28" s="2395"/>
      <c r="I28" s="2396"/>
      <c r="J28" s="2398">
        <f>10200</f>
        <v>10200</v>
      </c>
      <c r="K28" s="2398">
        <f>3720</f>
        <v>3720</v>
      </c>
      <c r="L28" s="2397">
        <v>0.64</v>
      </c>
      <c r="M28" s="2398">
        <f>K28*L28</f>
        <v>2380.8000000000002</v>
      </c>
      <c r="N28" s="2397">
        <v>0.98</v>
      </c>
      <c r="O28" s="2398">
        <f>M28*N28</f>
        <v>2333.1840000000002</v>
      </c>
      <c r="P28" s="2398">
        <f>O28*2.75</f>
        <v>6416.2560000000003</v>
      </c>
      <c r="Q28" s="2398">
        <f>M28*(1-N28)</f>
        <v>47.616000000000049</v>
      </c>
      <c r="R28" s="2398">
        <f>K28*(1-L28)</f>
        <v>1339.2</v>
      </c>
      <c r="S28" s="2397">
        <v>0.1</v>
      </c>
      <c r="T28" s="2398">
        <f>R28*S28</f>
        <v>133.92000000000002</v>
      </c>
      <c r="U28" s="2398">
        <f>R28*(1-S28)</f>
        <v>1205.28</v>
      </c>
      <c r="V28" s="2398">
        <f>U28+Q28</f>
        <v>1252.896</v>
      </c>
      <c r="W28" s="2398">
        <f>V28*$C$85</f>
        <v>35081.087999999996</v>
      </c>
      <c r="X28" s="2453">
        <f>J28+P28+W28</f>
        <v>51697.343999999997</v>
      </c>
      <c r="Y28" s="466"/>
      <c r="Z28" s="466"/>
      <c r="AA28" s="466"/>
    </row>
    <row r="29" spans="1:27" ht="12.75" customHeight="1" x14ac:dyDescent="0.2">
      <c r="A29" s="466"/>
      <c r="B29" s="2368"/>
      <c r="C29" s="2369"/>
      <c r="D29" s="2373"/>
      <c r="E29" s="2434"/>
      <c r="F29" s="2372"/>
      <c r="G29" s="2372"/>
      <c r="H29" s="2370"/>
      <c r="I29" s="2386"/>
      <c r="J29" s="2440"/>
      <c r="K29" s="2440"/>
      <c r="L29" s="2374"/>
      <c r="M29" s="2375"/>
      <c r="N29" s="2374"/>
      <c r="O29" s="2375"/>
      <c r="P29" s="2440"/>
      <c r="Q29" s="2375"/>
      <c r="R29" s="2375"/>
      <c r="S29" s="2369"/>
      <c r="T29" s="2440"/>
      <c r="U29" s="2375"/>
      <c r="V29" s="2375"/>
      <c r="W29" s="2375"/>
      <c r="X29" s="2452"/>
      <c r="Y29" s="466"/>
      <c r="Z29" s="466"/>
      <c r="AA29" s="466"/>
    </row>
    <row r="30" spans="1:27" ht="12.75" customHeight="1" x14ac:dyDescent="0.2">
      <c r="A30" s="466"/>
      <c r="B30" s="2385" t="s">
        <v>604</v>
      </c>
      <c r="C30" s="2369" t="s">
        <v>1241</v>
      </c>
      <c r="D30" s="2369">
        <v>0.5</v>
      </c>
      <c r="E30" s="2434">
        <f t="shared" ref="E30:E31" si="30">D30*1000000*0.9071847</f>
        <v>453592.35</v>
      </c>
      <c r="F30" s="2372">
        <v>35000</v>
      </c>
      <c r="G30" s="2372">
        <f t="shared" ref="G30:G31" si="31">F30*0.9071847</f>
        <v>31751.464499999998</v>
      </c>
      <c r="H30" s="2370">
        <v>1981</v>
      </c>
      <c r="I30" s="2386">
        <v>1994</v>
      </c>
      <c r="J30" s="2441">
        <v>1283</v>
      </c>
      <c r="K30" s="2442">
        <v>467.6</v>
      </c>
      <c r="L30" s="2374"/>
      <c r="M30" s="2375"/>
      <c r="N30" s="2374"/>
      <c r="O30" s="2375"/>
      <c r="P30" s="2440"/>
      <c r="Q30" s="2375"/>
      <c r="R30" s="2375">
        <f>K30</f>
        <v>467.6</v>
      </c>
      <c r="S30" s="2374">
        <v>0.1</v>
      </c>
      <c r="T30" s="2440">
        <f t="shared" ref="T30:T31" si="32">R30*S30</f>
        <v>46.760000000000005</v>
      </c>
      <c r="U30" s="2375">
        <f t="shared" ref="U30:U31" si="33">R30*(1-S30)</f>
        <v>420.84000000000003</v>
      </c>
      <c r="V30" s="2375">
        <f t="shared" ref="V30:V31" si="34">U30</f>
        <v>420.84000000000003</v>
      </c>
      <c r="W30" s="2375">
        <f t="shared" ref="W30:W31" si="35">V30*$C$85</f>
        <v>11783.52</v>
      </c>
      <c r="X30" s="2452">
        <f t="shared" ref="X30" si="36">J30+W30</f>
        <v>13066.52</v>
      </c>
      <c r="Y30" s="466"/>
      <c r="Z30" s="466"/>
      <c r="AA30" s="466"/>
    </row>
    <row r="31" spans="1:27" ht="12.75" customHeight="1" x14ac:dyDescent="0.2">
      <c r="A31" s="466"/>
      <c r="B31" s="2368"/>
      <c r="C31" s="2392" t="s">
        <v>1242</v>
      </c>
      <c r="D31" s="2393">
        <v>3.5041869999999999</v>
      </c>
      <c r="E31" s="2433">
        <f t="shared" si="30"/>
        <v>3178944.8323388998</v>
      </c>
      <c r="F31" s="2394">
        <v>80000</v>
      </c>
      <c r="G31" s="2394">
        <f t="shared" si="31"/>
        <v>72574.775999999998</v>
      </c>
      <c r="H31" s="2395">
        <v>1988</v>
      </c>
      <c r="I31" s="2396">
        <v>2053</v>
      </c>
      <c r="J31" s="2398">
        <v>3728</v>
      </c>
      <c r="K31" s="2398">
        <v>1359</v>
      </c>
      <c r="L31" s="2397">
        <v>0.12809999999999999</v>
      </c>
      <c r="M31" s="2398">
        <f>K31*L31</f>
        <v>174.08789999999999</v>
      </c>
      <c r="N31" s="2397">
        <v>0.97699999999999998</v>
      </c>
      <c r="O31" s="2398">
        <f>M31*N31</f>
        <v>170.08387829999998</v>
      </c>
      <c r="P31" s="2398">
        <f>O31*2.75</f>
        <v>467.73066532499996</v>
      </c>
      <c r="Q31" s="2398">
        <f>M31*(1-N31)</f>
        <v>4.0040217000000036</v>
      </c>
      <c r="R31" s="2398">
        <f>K31*(1-L31)</f>
        <v>1184.9121</v>
      </c>
      <c r="S31" s="2397">
        <v>0.1</v>
      </c>
      <c r="T31" s="2398">
        <f t="shared" si="32"/>
        <v>118.49121000000001</v>
      </c>
      <c r="U31" s="2398">
        <f t="shared" si="33"/>
        <v>1066.4208900000001</v>
      </c>
      <c r="V31" s="2398">
        <f t="shared" si="34"/>
        <v>1066.4208900000001</v>
      </c>
      <c r="W31" s="2398">
        <f t="shared" si="35"/>
        <v>29859.784920000002</v>
      </c>
      <c r="X31" s="2453">
        <f>J31+P31+W31</f>
        <v>34055.515585325003</v>
      </c>
      <c r="Y31" s="466"/>
      <c r="Z31" s="466"/>
      <c r="AA31" s="466"/>
    </row>
    <row r="32" spans="1:27" ht="12.75" customHeight="1" x14ac:dyDescent="0.2">
      <c r="A32" s="466"/>
      <c r="B32" s="2368"/>
      <c r="C32" s="2369"/>
      <c r="D32" s="2373"/>
      <c r="E32" s="2434"/>
      <c r="F32" s="2372"/>
      <c r="G32" s="2372"/>
      <c r="H32" s="2370"/>
      <c r="I32" s="2386"/>
      <c r="J32" s="2440"/>
      <c r="K32" s="2440"/>
      <c r="L32" s="2374"/>
      <c r="M32" s="2375"/>
      <c r="N32" s="2374"/>
      <c r="O32" s="2375"/>
      <c r="P32" s="2440"/>
      <c r="Q32" s="2375"/>
      <c r="R32" s="2375"/>
      <c r="S32" s="2369"/>
      <c r="T32" s="2440"/>
      <c r="U32" s="2375"/>
      <c r="V32" s="2375"/>
      <c r="W32" s="2375"/>
      <c r="X32" s="2452"/>
      <c r="Y32" s="466"/>
      <c r="Z32" s="466"/>
      <c r="AA32" s="466"/>
    </row>
    <row r="33" spans="1:27" ht="12.75" customHeight="1" x14ac:dyDescent="0.2">
      <c r="A33" s="466"/>
      <c r="B33" s="2385" t="s">
        <v>605</v>
      </c>
      <c r="C33" s="2392" t="s">
        <v>1243</v>
      </c>
      <c r="D33" s="2393">
        <v>4.5049999999999999</v>
      </c>
      <c r="E33" s="2433">
        <f>D33*1000000*0.9071847</f>
        <v>4086867.0734999999</v>
      </c>
      <c r="F33" s="2394"/>
      <c r="G33" s="2394">
        <v>60623.332999999999</v>
      </c>
      <c r="H33" s="2395">
        <v>1978</v>
      </c>
      <c r="I33" s="2396">
        <v>2046</v>
      </c>
      <c r="J33" s="2398">
        <f>12020</f>
        <v>12020</v>
      </c>
      <c r="K33" s="2398">
        <f>4381</f>
        <v>4381</v>
      </c>
      <c r="L33" s="2397">
        <v>0.66620000000000001</v>
      </c>
      <c r="M33" s="2398">
        <f>K33*L33</f>
        <v>2918.6222000000002</v>
      </c>
      <c r="N33" s="2397">
        <v>0.98</v>
      </c>
      <c r="O33" s="2398">
        <f>M33*N33</f>
        <v>2860.2497560000002</v>
      </c>
      <c r="P33" s="2398">
        <f>O33*2.75</f>
        <v>7865.6868290000002</v>
      </c>
      <c r="Q33" s="2398">
        <f>M33*(1-N33)</f>
        <v>58.372444000000058</v>
      </c>
      <c r="R33" s="2398">
        <f>K33*(1-L33)</f>
        <v>1462.3778</v>
      </c>
      <c r="S33" s="2397">
        <v>0.1</v>
      </c>
      <c r="T33" s="2398">
        <f>R33*S33</f>
        <v>146.23778000000001</v>
      </c>
      <c r="U33" s="2398">
        <f>R33*(1-S33)</f>
        <v>1316.14002</v>
      </c>
      <c r="V33" s="2398">
        <f>U33+Q33</f>
        <v>1374.5124640000001</v>
      </c>
      <c r="W33" s="2398">
        <f>V33*$C$85</f>
        <v>38486.348992000007</v>
      </c>
      <c r="X33" s="2453">
        <f>J33+P33+W33</f>
        <v>58372.035821000005</v>
      </c>
      <c r="Y33" s="466"/>
      <c r="Z33" s="466"/>
      <c r="AA33" s="466"/>
    </row>
    <row r="34" spans="1:27" ht="12.75" customHeight="1" x14ac:dyDescent="0.2">
      <c r="A34" s="466"/>
      <c r="B34" s="2368"/>
      <c r="C34" s="2369"/>
      <c r="D34" s="2373"/>
      <c r="E34" s="2434"/>
      <c r="F34" s="2372"/>
      <c r="G34" s="2372"/>
      <c r="H34" s="2370"/>
      <c r="I34" s="2386"/>
      <c r="J34" s="2440"/>
      <c r="K34" s="2440"/>
      <c r="L34" s="2374"/>
      <c r="M34" s="2375"/>
      <c r="N34" s="2374"/>
      <c r="O34" s="2375"/>
      <c r="P34" s="2440"/>
      <c r="Q34" s="2375"/>
      <c r="R34" s="2375"/>
      <c r="S34" s="2369"/>
      <c r="T34" s="2440"/>
      <c r="U34" s="2375"/>
      <c r="V34" s="2375"/>
      <c r="W34" s="2375"/>
      <c r="X34" s="2452"/>
      <c r="Y34" s="466"/>
      <c r="Z34" s="466"/>
      <c r="AA34" s="466"/>
    </row>
    <row r="35" spans="1:27" ht="12.75" customHeight="1" x14ac:dyDescent="0.2">
      <c r="A35" s="466"/>
      <c r="B35" s="2385" t="s">
        <v>606</v>
      </c>
      <c r="C35" s="2392" t="s">
        <v>1244</v>
      </c>
      <c r="D35" s="2393">
        <v>4.3746999999999998</v>
      </c>
      <c r="E35" s="2433">
        <f t="shared" ref="E35:E36" si="37">D35*1000000*0.9071847</f>
        <v>3968660.9070899999</v>
      </c>
      <c r="F35" s="2394">
        <v>82000</v>
      </c>
      <c r="G35" s="2394">
        <f t="shared" ref="G35:G36" si="38">F35*0.9071847</f>
        <v>74389.145399999994</v>
      </c>
      <c r="H35" s="2395">
        <v>1994</v>
      </c>
      <c r="I35" s="2396">
        <v>2040</v>
      </c>
      <c r="J35" s="2398">
        <f>12690</f>
        <v>12690</v>
      </c>
      <c r="K35" s="2398">
        <f>4625</f>
        <v>4625</v>
      </c>
      <c r="L35" s="2397">
        <v>0.7</v>
      </c>
      <c r="M35" s="2398">
        <f>K35*L35</f>
        <v>3237.5</v>
      </c>
      <c r="N35" s="2397">
        <v>0.98</v>
      </c>
      <c r="O35" s="2398">
        <f>M35*N35</f>
        <v>3172.75</v>
      </c>
      <c r="P35" s="2398">
        <f>O35*2.75</f>
        <v>8725.0625</v>
      </c>
      <c r="Q35" s="2398">
        <f>M35*(1-N35)</f>
        <v>64.750000000000057</v>
      </c>
      <c r="R35" s="2398">
        <f>K35*(1-L35)</f>
        <v>1387.5000000000002</v>
      </c>
      <c r="S35" s="2397">
        <v>0.1</v>
      </c>
      <c r="T35" s="2398">
        <f t="shared" ref="T35:T36" si="39">R35*S35</f>
        <v>138.75000000000003</v>
      </c>
      <c r="U35" s="2398">
        <f t="shared" ref="U35:U36" si="40">R35*(1-S35)</f>
        <v>1248.7500000000002</v>
      </c>
      <c r="V35" s="2398">
        <f>U35+Q35</f>
        <v>1313.5000000000002</v>
      </c>
      <c r="W35" s="2398">
        <f t="shared" ref="W35:W36" si="41">V35*$C$85</f>
        <v>36778.000000000007</v>
      </c>
      <c r="X35" s="2453">
        <f>J35+P35+W35</f>
        <v>58193.062500000007</v>
      </c>
      <c r="Y35" s="466"/>
      <c r="Z35" s="466"/>
      <c r="AA35" s="466"/>
    </row>
    <row r="36" spans="1:27" ht="12.75" customHeight="1" x14ac:dyDescent="0.2">
      <c r="A36" s="466"/>
      <c r="B36" s="2368"/>
      <c r="C36" s="2369" t="s">
        <v>1245</v>
      </c>
      <c r="D36" s="2373">
        <v>1.5</v>
      </c>
      <c r="E36" s="2434">
        <f t="shared" si="37"/>
        <v>1360777.05</v>
      </c>
      <c r="F36" s="2372">
        <v>75000</v>
      </c>
      <c r="G36" s="2372">
        <f t="shared" si="38"/>
        <v>68038.852499999994</v>
      </c>
      <c r="H36" s="2370">
        <v>1974</v>
      </c>
      <c r="I36" s="2386">
        <v>1994</v>
      </c>
      <c r="J36" s="2440">
        <f>4021</f>
        <v>4021</v>
      </c>
      <c r="K36" s="2440">
        <f>1466</f>
        <v>1466</v>
      </c>
      <c r="L36" s="2374"/>
      <c r="M36" s="2375"/>
      <c r="N36" s="2374"/>
      <c r="O36" s="2375"/>
      <c r="P36" s="2440"/>
      <c r="Q36" s="2375"/>
      <c r="R36" s="2375">
        <f>K36</f>
        <v>1466</v>
      </c>
      <c r="S36" s="2374">
        <v>0.1</v>
      </c>
      <c r="T36" s="2440">
        <f t="shared" si="39"/>
        <v>146.6</v>
      </c>
      <c r="U36" s="2375">
        <f t="shared" si="40"/>
        <v>1319.4</v>
      </c>
      <c r="V36" s="2375">
        <f t="shared" ref="V36" si="42">U36</f>
        <v>1319.4</v>
      </c>
      <c r="W36" s="2375">
        <f t="shared" si="41"/>
        <v>36943.200000000004</v>
      </c>
      <c r="X36" s="2452">
        <f t="shared" ref="X36" si="43">J36+W36</f>
        <v>40964.200000000004</v>
      </c>
      <c r="Y36" s="466"/>
      <c r="Z36" s="466"/>
      <c r="AA36" s="466"/>
    </row>
    <row r="37" spans="1:27" ht="12.75" customHeight="1" x14ac:dyDescent="0.2">
      <c r="A37" s="466"/>
      <c r="B37" s="2368"/>
      <c r="C37" s="2369"/>
      <c r="D37" s="2373"/>
      <c r="E37" s="2434"/>
      <c r="F37" s="2372"/>
      <c r="G37" s="2372"/>
      <c r="H37" s="2370"/>
      <c r="I37" s="2386"/>
      <c r="J37" s="2440"/>
      <c r="K37" s="2440"/>
      <c r="L37" s="2374"/>
      <c r="M37" s="2375"/>
      <c r="N37" s="2374"/>
      <c r="O37" s="2375"/>
      <c r="P37" s="2440"/>
      <c r="Q37" s="2375"/>
      <c r="R37" s="2375"/>
      <c r="S37" s="2369"/>
      <c r="T37" s="2440"/>
      <c r="U37" s="2375"/>
      <c r="V37" s="2375"/>
      <c r="W37" s="2375"/>
      <c r="X37" s="2452"/>
      <c r="Y37" s="466"/>
      <c r="Z37" s="466"/>
      <c r="AA37" s="466"/>
    </row>
    <row r="38" spans="1:27" ht="12.75" customHeight="1" x14ac:dyDescent="0.2">
      <c r="A38" s="466"/>
      <c r="B38" s="2385" t="s">
        <v>1246</v>
      </c>
      <c r="C38" s="2369" t="s">
        <v>1247</v>
      </c>
      <c r="D38" s="2373">
        <v>0.8</v>
      </c>
      <c r="E38" s="2434">
        <f t="shared" ref="E38:E39" si="44">D38*1000000*0.9071847</f>
        <v>725747.76</v>
      </c>
      <c r="F38" s="2372">
        <v>35000</v>
      </c>
      <c r="G38" s="2372">
        <f>F38*0.9071847</f>
        <v>31751.464499999998</v>
      </c>
      <c r="H38" s="2370">
        <v>1973</v>
      </c>
      <c r="I38" s="2386">
        <v>1995</v>
      </c>
      <c r="J38" s="2441">
        <v>1251</v>
      </c>
      <c r="K38" s="2442">
        <v>456</v>
      </c>
      <c r="L38" s="2374"/>
      <c r="M38" s="2375"/>
      <c r="N38" s="2374"/>
      <c r="O38" s="2375"/>
      <c r="P38" s="2440"/>
      <c r="Q38" s="2375"/>
      <c r="R38" s="2375">
        <f t="shared" ref="R38" si="45">K38</f>
        <v>456</v>
      </c>
      <c r="S38" s="2374">
        <v>0.1</v>
      </c>
      <c r="T38" s="2440">
        <f t="shared" ref="T38:T39" si="46">R38*S38</f>
        <v>45.6</v>
      </c>
      <c r="U38" s="2375">
        <f t="shared" ref="U38:U39" si="47">R38*(1-S38)</f>
        <v>410.40000000000003</v>
      </c>
      <c r="V38" s="2375">
        <f t="shared" ref="V38" si="48">U38</f>
        <v>410.40000000000003</v>
      </c>
      <c r="W38" s="2375">
        <f t="shared" ref="W38:W39" si="49">V38*$C$85</f>
        <v>11491.2</v>
      </c>
      <c r="X38" s="2452">
        <f t="shared" ref="X38" si="50">J38+W38</f>
        <v>12742.2</v>
      </c>
      <c r="Y38" s="466"/>
      <c r="Z38" s="466"/>
      <c r="AA38" s="466"/>
    </row>
    <row r="39" spans="1:27" ht="12.75" customHeight="1" x14ac:dyDescent="0.2">
      <c r="A39" s="466"/>
      <c r="B39" s="2368"/>
      <c r="C39" s="2415" t="s">
        <v>1248</v>
      </c>
      <c r="D39" s="2485">
        <v>4.0999999999999996</v>
      </c>
      <c r="E39" s="2433">
        <f t="shared" si="44"/>
        <v>3719457.2699999996</v>
      </c>
      <c r="F39" s="2394"/>
      <c r="G39" s="2394"/>
      <c r="H39" s="2395">
        <v>1996</v>
      </c>
      <c r="I39" s="2486">
        <v>2010</v>
      </c>
      <c r="J39" s="2487">
        <f>5366</f>
        <v>5366</v>
      </c>
      <c r="K39" s="2488">
        <f>1956</f>
        <v>1956</v>
      </c>
      <c r="L39" s="2489">
        <v>0.29730000000000001</v>
      </c>
      <c r="M39" s="2398">
        <f>K39*L39</f>
        <v>581.51880000000006</v>
      </c>
      <c r="N39" s="2489">
        <v>0.98</v>
      </c>
      <c r="O39" s="2398">
        <f>M39*N39</f>
        <v>569.8884240000001</v>
      </c>
      <c r="P39" s="2398">
        <f>O39*2.75</f>
        <v>1567.1931660000002</v>
      </c>
      <c r="Q39" s="2398">
        <f>M39*(1-N39)</f>
        <v>11.630376000000011</v>
      </c>
      <c r="R39" s="2398">
        <f>K39*(1-L39)</f>
        <v>1374.4811999999999</v>
      </c>
      <c r="S39" s="2489">
        <v>0.1</v>
      </c>
      <c r="T39" s="2433">
        <f t="shared" si="46"/>
        <v>137.44811999999999</v>
      </c>
      <c r="U39" s="2433">
        <f t="shared" si="47"/>
        <v>1237.0330799999999</v>
      </c>
      <c r="V39" s="2398">
        <f>U39+Q39</f>
        <v>1248.663456</v>
      </c>
      <c r="W39" s="2433">
        <f t="shared" si="49"/>
        <v>34962.576767999999</v>
      </c>
      <c r="X39" s="2453">
        <f>J39+P39+W39</f>
        <v>41895.769933999996</v>
      </c>
      <c r="Y39" s="466"/>
      <c r="Z39" s="466"/>
      <c r="AA39" s="466"/>
    </row>
    <row r="40" spans="1:27" ht="12.75" customHeight="1" x14ac:dyDescent="0.2">
      <c r="A40" s="466"/>
      <c r="B40" s="2368"/>
      <c r="C40" s="2369"/>
      <c r="D40" s="2373"/>
      <c r="E40" s="2434"/>
      <c r="F40" s="2372"/>
      <c r="G40" s="2372"/>
      <c r="H40" s="2370"/>
      <c r="I40" s="2386"/>
      <c r="J40" s="2440"/>
      <c r="K40" s="2440"/>
      <c r="L40" s="2374"/>
      <c r="M40" s="2375"/>
      <c r="N40" s="2374"/>
      <c r="O40" s="2375"/>
      <c r="P40" s="2440"/>
      <c r="Q40" s="2375"/>
      <c r="R40" s="2375"/>
      <c r="S40" s="2369"/>
      <c r="T40" s="2440"/>
      <c r="U40" s="2375"/>
      <c r="V40" s="2375"/>
      <c r="W40" s="2375"/>
      <c r="X40" s="2452"/>
      <c r="Y40" s="466"/>
      <c r="Z40" s="466"/>
      <c r="AA40" s="466"/>
    </row>
    <row r="41" spans="1:27" ht="12.75" customHeight="1" x14ac:dyDescent="0.2">
      <c r="A41" s="466"/>
      <c r="B41" s="2385" t="s">
        <v>608</v>
      </c>
      <c r="C41" s="2369" t="s">
        <v>1249</v>
      </c>
      <c r="D41" s="2373">
        <v>1.0008999999999999</v>
      </c>
      <c r="E41" s="2434">
        <f t="shared" ref="E41:E43" si="51">D41*1000000*0.9071847</f>
        <v>908001.16622999986</v>
      </c>
      <c r="F41" s="2372"/>
      <c r="G41" s="2372">
        <f t="shared" ref="G41:G43" si="52">F41*0.9071847</f>
        <v>0</v>
      </c>
      <c r="H41" s="2370">
        <v>1991</v>
      </c>
      <c r="I41" s="2386">
        <v>2504</v>
      </c>
      <c r="J41" s="2441">
        <f>176.3</f>
        <v>176.3</v>
      </c>
      <c r="K41" s="2442">
        <f>64.24</f>
        <v>64.239999999999995</v>
      </c>
      <c r="L41" s="2374"/>
      <c r="M41" s="2375"/>
      <c r="N41" s="2374"/>
      <c r="O41" s="2375"/>
      <c r="P41" s="2440"/>
      <c r="Q41" s="2375"/>
      <c r="R41" s="2375">
        <f>K41</f>
        <v>64.239999999999995</v>
      </c>
      <c r="S41" s="2374">
        <v>0.1</v>
      </c>
      <c r="T41" s="2440">
        <f t="shared" ref="T41:T43" si="53">R41*S41</f>
        <v>6.4239999999999995</v>
      </c>
      <c r="U41" s="2375">
        <f t="shared" ref="U41:U43" si="54">R41*(1-S41)</f>
        <v>57.815999999999995</v>
      </c>
      <c r="V41" s="2375">
        <f>U41</f>
        <v>57.815999999999995</v>
      </c>
      <c r="W41" s="2375">
        <f t="shared" ref="W41:W43" si="55">V41*$C$85</f>
        <v>1618.848</v>
      </c>
      <c r="X41" s="2452">
        <f>J41+W41</f>
        <v>1795.1479999999999</v>
      </c>
      <c r="Y41" s="466"/>
      <c r="Z41" s="466"/>
      <c r="AA41" s="466"/>
    </row>
    <row r="42" spans="1:27" ht="12.75" customHeight="1" x14ac:dyDescent="0.2">
      <c r="A42" s="466"/>
      <c r="B42" s="2368"/>
      <c r="C42" s="2399" t="s">
        <v>1250</v>
      </c>
      <c r="D42" s="2400">
        <v>2.1</v>
      </c>
      <c r="E42" s="2435">
        <f t="shared" si="51"/>
        <v>1905087.8699999999</v>
      </c>
      <c r="F42" s="2401">
        <v>69200</v>
      </c>
      <c r="G42" s="2401">
        <f t="shared" si="52"/>
        <v>62777.181239999998</v>
      </c>
      <c r="H42" s="2402">
        <v>1968</v>
      </c>
      <c r="I42" s="2403">
        <v>1997</v>
      </c>
      <c r="J42" s="2405">
        <f>10890</f>
        <v>10890</v>
      </c>
      <c r="K42" s="2405">
        <f>3970</f>
        <v>3970</v>
      </c>
      <c r="L42" s="2404">
        <v>0.74829999999999997</v>
      </c>
      <c r="M42" s="2405">
        <f>K42*L42</f>
        <v>2970.7509999999997</v>
      </c>
      <c r="N42" s="2404">
        <v>0.98</v>
      </c>
      <c r="O42" s="2405">
        <f>M42*N42</f>
        <v>2911.3359799999998</v>
      </c>
      <c r="P42" s="2405">
        <f>O42*2.75</f>
        <v>8006.1739449999995</v>
      </c>
      <c r="Q42" s="2405">
        <f>M42*(1-N42)</f>
        <v>59.415020000000048</v>
      </c>
      <c r="R42" s="2405">
        <f>K42*(1-L42)</f>
        <v>999.24900000000014</v>
      </c>
      <c r="S42" s="2404">
        <v>0.1</v>
      </c>
      <c r="T42" s="2405">
        <f t="shared" si="53"/>
        <v>99.924900000000022</v>
      </c>
      <c r="U42" s="2405">
        <f t="shared" si="54"/>
        <v>899.32410000000016</v>
      </c>
      <c r="V42" s="2405">
        <f t="shared" ref="V42:V43" si="56">U42+Q42</f>
        <v>958.73912000000018</v>
      </c>
      <c r="W42" s="2405">
        <f t="shared" si="55"/>
        <v>26844.695360000005</v>
      </c>
      <c r="X42" s="2454">
        <f t="shared" ref="X42" si="57">J42+P42+W42</f>
        <v>45740.869305</v>
      </c>
      <c r="Y42" s="466"/>
      <c r="Z42" s="466"/>
      <c r="AA42" s="466"/>
    </row>
    <row r="43" spans="1:27" ht="12.75" customHeight="1" x14ac:dyDescent="0.2">
      <c r="A43" s="466"/>
      <c r="B43" s="2368"/>
      <c r="C43" s="2380" t="s">
        <v>1251</v>
      </c>
      <c r="D43" s="2381">
        <v>4.2261879999999996</v>
      </c>
      <c r="E43" s="2434">
        <f t="shared" si="51"/>
        <v>3833933.0929235998</v>
      </c>
      <c r="F43" s="2372">
        <v>100000</v>
      </c>
      <c r="G43" s="2372">
        <f t="shared" si="52"/>
        <v>90718.47</v>
      </c>
      <c r="H43" s="2370">
        <v>1995</v>
      </c>
      <c r="I43" s="2387">
        <v>2045</v>
      </c>
      <c r="J43" s="2441">
        <f>929</f>
        <v>929</v>
      </c>
      <c r="K43" s="2442">
        <v>366.8</v>
      </c>
      <c r="L43" s="2382"/>
      <c r="M43" s="2383"/>
      <c r="N43" s="2382"/>
      <c r="O43" s="2383"/>
      <c r="P43" s="2449"/>
      <c r="Q43" s="2383"/>
      <c r="R43" s="2383">
        <f>K43</f>
        <v>366.8</v>
      </c>
      <c r="S43" s="2382">
        <v>0.1</v>
      </c>
      <c r="T43" s="2449">
        <f t="shared" si="53"/>
        <v>36.68</v>
      </c>
      <c r="U43" s="2383">
        <f t="shared" si="54"/>
        <v>330.12</v>
      </c>
      <c r="V43" s="2383">
        <f t="shared" si="56"/>
        <v>330.12</v>
      </c>
      <c r="W43" s="2383">
        <f t="shared" si="55"/>
        <v>9243.36</v>
      </c>
      <c r="X43" s="2456">
        <f t="shared" ref="X43" si="58">J43+P43+W43</f>
        <v>10172.36</v>
      </c>
      <c r="Y43" s="466"/>
      <c r="Z43" s="466"/>
      <c r="AA43" s="466"/>
    </row>
    <row r="44" spans="1:27" ht="12.75" customHeight="1" x14ac:dyDescent="0.2">
      <c r="A44" s="466"/>
      <c r="B44" s="2368"/>
      <c r="C44" s="2369"/>
      <c r="D44" s="2373"/>
      <c r="E44" s="2434"/>
      <c r="F44" s="2372"/>
      <c r="G44" s="2372"/>
      <c r="H44" s="2370"/>
      <c r="I44" s="2386"/>
      <c r="J44" s="2440"/>
      <c r="K44" s="2440"/>
      <c r="L44" s="2374"/>
      <c r="M44" s="2375"/>
      <c r="N44" s="2374"/>
      <c r="O44" s="2375"/>
      <c r="P44" s="2440"/>
      <c r="Q44" s="2375"/>
      <c r="R44" s="2375"/>
      <c r="S44" s="2369"/>
      <c r="T44" s="2440"/>
      <c r="U44" s="2375"/>
      <c r="V44" s="2375"/>
      <c r="W44" s="2375"/>
      <c r="X44" s="2452"/>
      <c r="Y44" s="466"/>
      <c r="Z44" s="466"/>
      <c r="AA44" s="466"/>
    </row>
    <row r="45" spans="1:27" ht="12.75" customHeight="1" x14ac:dyDescent="0.2">
      <c r="A45" s="466"/>
      <c r="B45" s="2385" t="s">
        <v>609</v>
      </c>
      <c r="C45" s="2369" t="s">
        <v>1252</v>
      </c>
      <c r="D45" s="2373">
        <v>1.537185</v>
      </c>
      <c r="E45" s="2434">
        <f t="shared" ref="E45:E46" si="59">D45*1000000*0.9071847</f>
        <v>1394510.7130694999</v>
      </c>
      <c r="F45" s="2372">
        <v>38000</v>
      </c>
      <c r="G45" s="2372">
        <f t="shared" ref="G45:G46" si="60">F45*0.9071847</f>
        <v>34473.018599999996</v>
      </c>
      <c r="H45" s="2370">
        <v>1994</v>
      </c>
      <c r="I45" s="2386">
        <v>2028</v>
      </c>
      <c r="J45" s="2441">
        <v>2581</v>
      </c>
      <c r="K45" s="2442">
        <v>940.8</v>
      </c>
      <c r="L45" s="2374"/>
      <c r="M45" s="2375"/>
      <c r="N45" s="2374"/>
      <c r="O45" s="2375"/>
      <c r="P45" s="2440"/>
      <c r="Q45" s="2375"/>
      <c r="R45" s="2375">
        <f t="shared" ref="R45:R46" si="61">K45</f>
        <v>940.8</v>
      </c>
      <c r="S45" s="2374">
        <v>0.1</v>
      </c>
      <c r="T45" s="2440">
        <f t="shared" ref="T45:T46" si="62">R45*S45</f>
        <v>94.08</v>
      </c>
      <c r="U45" s="2375">
        <f t="shared" ref="U45:U46" si="63">R45*(1-S45)</f>
        <v>846.72</v>
      </c>
      <c r="V45" s="2375">
        <f t="shared" ref="V45:V46" si="64">U45</f>
        <v>846.72</v>
      </c>
      <c r="W45" s="2375">
        <f t="shared" ref="W45:W46" si="65">V45*$C$85</f>
        <v>23708.16</v>
      </c>
      <c r="X45" s="2452">
        <f t="shared" ref="X45:X46" si="66">J45+W45</f>
        <v>26289.16</v>
      </c>
      <c r="Y45" s="466"/>
      <c r="Z45" s="466"/>
      <c r="AA45" s="466"/>
    </row>
    <row r="46" spans="1:27" ht="12.75" customHeight="1" x14ac:dyDescent="0.2">
      <c r="A46" s="466"/>
      <c r="B46" s="2368"/>
      <c r="C46" s="2369" t="s">
        <v>1253</v>
      </c>
      <c r="D46" s="2373">
        <v>0.8</v>
      </c>
      <c r="E46" s="2434">
        <f t="shared" si="59"/>
        <v>725747.76</v>
      </c>
      <c r="F46" s="2372">
        <v>20000</v>
      </c>
      <c r="G46" s="2372">
        <f t="shared" si="60"/>
        <v>18143.694</v>
      </c>
      <c r="H46" s="2370">
        <v>1974</v>
      </c>
      <c r="I46" s="2386">
        <v>1994</v>
      </c>
      <c r="J46" s="2441">
        <v>1825</v>
      </c>
      <c r="K46" s="2442">
        <v>665.2</v>
      </c>
      <c r="L46" s="2374"/>
      <c r="M46" s="2375"/>
      <c r="N46" s="2374"/>
      <c r="O46" s="2375"/>
      <c r="P46" s="2440"/>
      <c r="Q46" s="2375"/>
      <c r="R46" s="2375">
        <f t="shared" si="61"/>
        <v>665.2</v>
      </c>
      <c r="S46" s="2374">
        <v>0.1</v>
      </c>
      <c r="T46" s="2440">
        <f t="shared" si="62"/>
        <v>66.52000000000001</v>
      </c>
      <c r="U46" s="2375">
        <f t="shared" si="63"/>
        <v>598.68000000000006</v>
      </c>
      <c r="V46" s="2375">
        <f t="shared" si="64"/>
        <v>598.68000000000006</v>
      </c>
      <c r="W46" s="2375">
        <f t="shared" si="65"/>
        <v>16763.04</v>
      </c>
      <c r="X46" s="2452">
        <f t="shared" si="66"/>
        <v>18588.04</v>
      </c>
      <c r="Y46" s="466"/>
      <c r="Z46" s="466"/>
      <c r="AA46" s="466"/>
    </row>
    <row r="47" spans="1:27" ht="12.75" customHeight="1" x14ac:dyDescent="0.2">
      <c r="A47" s="466"/>
      <c r="B47" s="2368"/>
      <c r="C47" s="2369"/>
      <c r="D47" s="2373"/>
      <c r="E47" s="2434"/>
      <c r="F47" s="2372"/>
      <c r="G47" s="2372"/>
      <c r="H47" s="2370"/>
      <c r="I47" s="2386"/>
      <c r="J47" s="2440"/>
      <c r="K47" s="2440"/>
      <c r="L47" s="2374"/>
      <c r="M47" s="2375"/>
      <c r="N47" s="2374"/>
      <c r="O47" s="2375"/>
      <c r="P47" s="2440"/>
      <c r="Q47" s="2375"/>
      <c r="R47" s="2375"/>
      <c r="S47" s="2369"/>
      <c r="T47" s="2440"/>
      <c r="U47" s="2375"/>
      <c r="V47" s="2375"/>
      <c r="W47" s="2375"/>
      <c r="X47" s="2452"/>
      <c r="Y47" s="466"/>
      <c r="Z47" s="466"/>
      <c r="AA47" s="466"/>
    </row>
    <row r="48" spans="1:27" ht="12.75" customHeight="1" x14ac:dyDescent="0.2">
      <c r="A48" s="466"/>
      <c r="B48" s="2385" t="s">
        <v>610</v>
      </c>
      <c r="C48" s="2369" t="s">
        <v>1254</v>
      </c>
      <c r="D48" s="2373">
        <v>2.98</v>
      </c>
      <c r="E48" s="2434">
        <f>D48*1000000*0.9071847</f>
        <v>2703410.406</v>
      </c>
      <c r="F48" s="2372">
        <v>74000</v>
      </c>
      <c r="G48" s="2372">
        <f>F48*0.9071847</f>
        <v>67131.667799999996</v>
      </c>
      <c r="H48" s="2370">
        <v>1986</v>
      </c>
      <c r="I48" s="2386">
        <v>2008</v>
      </c>
      <c r="J48" s="2440">
        <f>5420</f>
        <v>5420</v>
      </c>
      <c r="K48" s="2440">
        <f>1975</f>
        <v>1975</v>
      </c>
      <c r="L48" s="2374"/>
      <c r="M48" s="2375"/>
      <c r="N48" s="2374"/>
      <c r="O48" s="2375"/>
      <c r="P48" s="2440"/>
      <c r="Q48" s="2375"/>
      <c r="R48" s="2375">
        <f>K48</f>
        <v>1975</v>
      </c>
      <c r="S48" s="2374">
        <v>0.1</v>
      </c>
      <c r="T48" s="2440">
        <f>R48*S48</f>
        <v>197.5</v>
      </c>
      <c r="U48" s="2375">
        <f>R48*(1-S48)</f>
        <v>1777.5</v>
      </c>
      <c r="V48" s="2375">
        <f>U48</f>
        <v>1777.5</v>
      </c>
      <c r="W48" s="2375">
        <f>V48*$C$85</f>
        <v>49770</v>
      </c>
      <c r="X48" s="2452">
        <f>J48+W48</f>
        <v>55190</v>
      </c>
      <c r="Y48" s="466"/>
      <c r="Z48" s="466"/>
      <c r="AA48" s="466"/>
    </row>
    <row r="49" spans="1:27" ht="12.75" customHeight="1" x14ac:dyDescent="0.2">
      <c r="A49" s="466"/>
      <c r="B49" s="2385"/>
      <c r="C49" s="2369"/>
      <c r="D49" s="2373"/>
      <c r="E49" s="2434"/>
      <c r="F49" s="2372"/>
      <c r="G49" s="2372"/>
      <c r="H49" s="2370"/>
      <c r="I49" s="2386"/>
      <c r="J49" s="2440"/>
      <c r="K49" s="2440"/>
      <c r="L49" s="2374"/>
      <c r="M49" s="2375"/>
      <c r="N49" s="2374"/>
      <c r="O49" s="2375"/>
      <c r="P49" s="2440"/>
      <c r="Q49" s="2375"/>
      <c r="R49" s="2375"/>
      <c r="S49" s="2374"/>
      <c r="T49" s="2440"/>
      <c r="U49" s="2375"/>
      <c r="V49" s="2375"/>
      <c r="W49" s="2375"/>
      <c r="X49" s="2452"/>
      <c r="Y49" s="466"/>
      <c r="Z49" s="466"/>
      <c r="AA49" s="466"/>
    </row>
    <row r="50" spans="1:27" ht="12.75" customHeight="1" x14ac:dyDescent="0.2">
      <c r="A50" s="466"/>
      <c r="B50" s="2385" t="s">
        <v>613</v>
      </c>
      <c r="C50" s="2407" t="s">
        <v>1255</v>
      </c>
      <c r="D50" s="2408"/>
      <c r="E50" s="2436">
        <f>4560132*1.1023/1000000</f>
        <v>5.0266335036000003</v>
      </c>
      <c r="F50" s="2436">
        <v>4560132</v>
      </c>
      <c r="G50" s="2401"/>
      <c r="H50" s="2402">
        <v>1982</v>
      </c>
      <c r="I50" s="2409">
        <v>1998</v>
      </c>
      <c r="J50" s="2443">
        <f>15800</f>
        <v>15800</v>
      </c>
      <c r="K50" s="2444">
        <f>5758</f>
        <v>5758</v>
      </c>
      <c r="L50" s="2410">
        <v>0.47299999999999998</v>
      </c>
      <c r="M50" s="2411">
        <f t="shared" ref="M50:M51" si="67">K50*L50</f>
        <v>2723.5339999999997</v>
      </c>
      <c r="N50" s="2410">
        <v>0.97</v>
      </c>
      <c r="O50" s="2411">
        <f t="shared" ref="O50:O51" si="68">M50*N50</f>
        <v>2641.8279799999996</v>
      </c>
      <c r="P50" s="2411">
        <f t="shared" ref="P50:P51" si="69">O50*2.75</f>
        <v>7265.0269449999987</v>
      </c>
      <c r="Q50" s="2411">
        <f t="shared" ref="Q50:Q51" si="70">M50*(1-N50)</f>
        <v>81.706020000000066</v>
      </c>
      <c r="R50" s="2411">
        <f t="shared" ref="R50:R51" si="71">K50*(1-L50)</f>
        <v>3034.4660000000003</v>
      </c>
      <c r="S50" s="2410">
        <v>0.1</v>
      </c>
      <c r="T50" s="2411">
        <f t="shared" ref="T50:T51" si="72">R50*S50</f>
        <v>303.44660000000005</v>
      </c>
      <c r="U50" s="2411">
        <f t="shared" ref="U50:U51" si="73">R50*(1-S50)</f>
        <v>2731.0194000000006</v>
      </c>
      <c r="V50" s="2411">
        <f t="shared" ref="V50:V51" si="74">U50+Q50</f>
        <v>2812.7254200000007</v>
      </c>
      <c r="W50" s="2411">
        <f t="shared" ref="W50:W51" si="75">V50*$C$85</f>
        <v>78756.311760000011</v>
      </c>
      <c r="X50" s="2454">
        <f t="shared" ref="X50:X51" si="76">J50+P50+W50</f>
        <v>101821.338705</v>
      </c>
      <c r="Y50" s="466"/>
      <c r="Z50" s="466"/>
      <c r="AA50" s="466"/>
    </row>
    <row r="51" spans="1:27" ht="12.75" customHeight="1" x14ac:dyDescent="0.2">
      <c r="A51" s="466"/>
      <c r="B51" s="2385"/>
      <c r="C51" s="2407" t="s">
        <v>1256</v>
      </c>
      <c r="D51" s="2408"/>
      <c r="E51" s="2436">
        <f>4354487*1.1023/10000000</f>
        <v>0.47999510201000001</v>
      </c>
      <c r="F51" s="2436">
        <v>4354487</v>
      </c>
      <c r="G51" s="2401"/>
      <c r="H51" s="2402">
        <v>1962</v>
      </c>
      <c r="I51" s="2409">
        <v>1983</v>
      </c>
      <c r="J51" s="2443">
        <f>14010</f>
        <v>14010</v>
      </c>
      <c r="K51" s="2444">
        <f>5107</f>
        <v>5107</v>
      </c>
      <c r="L51" s="2410">
        <v>0.93159999999999998</v>
      </c>
      <c r="M51" s="2411">
        <f t="shared" si="67"/>
        <v>4757.6812</v>
      </c>
      <c r="N51" s="2410">
        <v>0.97</v>
      </c>
      <c r="O51" s="2411">
        <f t="shared" si="68"/>
        <v>4614.9507640000002</v>
      </c>
      <c r="P51" s="2411">
        <f t="shared" si="69"/>
        <v>12691.114601000001</v>
      </c>
      <c r="Q51" s="2411">
        <f t="shared" si="70"/>
        <v>142.73043600000014</v>
      </c>
      <c r="R51" s="2411">
        <f t="shared" si="71"/>
        <v>349.31880000000007</v>
      </c>
      <c r="S51" s="2410">
        <v>0.1</v>
      </c>
      <c r="T51" s="2411">
        <f t="shared" si="72"/>
        <v>34.931880000000007</v>
      </c>
      <c r="U51" s="2411">
        <f t="shared" si="73"/>
        <v>314.38692000000009</v>
      </c>
      <c r="V51" s="2411">
        <f t="shared" si="74"/>
        <v>457.1173560000002</v>
      </c>
      <c r="W51" s="2411">
        <f t="shared" si="75"/>
        <v>12799.285968000006</v>
      </c>
      <c r="X51" s="2454">
        <f t="shared" si="76"/>
        <v>39500.400569000005</v>
      </c>
      <c r="Y51" s="466"/>
      <c r="Z51" s="466"/>
      <c r="AA51" s="466"/>
    </row>
    <row r="52" spans="1:27" ht="12.75" customHeight="1" x14ac:dyDescent="0.2">
      <c r="A52" s="466"/>
      <c r="B52" s="2368"/>
      <c r="C52" s="2376"/>
      <c r="D52" s="2376"/>
      <c r="E52" s="2437"/>
      <c r="F52" s="2439"/>
      <c r="G52" s="2439"/>
      <c r="H52" s="2377"/>
      <c r="I52" s="2376"/>
      <c r="J52" s="2484"/>
      <c r="K52" s="2445"/>
      <c r="L52" s="2376"/>
      <c r="M52" s="2376"/>
      <c r="N52" s="2376"/>
      <c r="O52" s="2450"/>
      <c r="P52" s="2445"/>
      <c r="Q52" s="2450"/>
      <c r="R52" s="2450"/>
      <c r="S52" s="2376"/>
      <c r="T52" s="2445"/>
      <c r="U52" s="2450"/>
      <c r="V52" s="2450"/>
      <c r="W52" s="2450"/>
      <c r="X52" s="2457"/>
      <c r="Y52" s="466"/>
      <c r="Z52" s="466"/>
      <c r="AA52" s="466"/>
    </row>
    <row r="53" spans="1:27" ht="12.75" customHeight="1" x14ac:dyDescent="0.2">
      <c r="A53" s="466"/>
      <c r="B53" s="2385" t="s">
        <v>611</v>
      </c>
      <c r="C53" s="2399" t="s">
        <v>1257</v>
      </c>
      <c r="D53" s="2400">
        <v>9.9779999999999998</v>
      </c>
      <c r="E53" s="2435">
        <f>D53*1000000*0.9071847</f>
        <v>9051888.9365999997</v>
      </c>
      <c r="F53" s="2401">
        <v>225000</v>
      </c>
      <c r="G53" s="2401">
        <f>F53*0.9071847</f>
        <v>204116.5575</v>
      </c>
      <c r="H53" s="2402">
        <v>1980</v>
      </c>
      <c r="I53" s="2403">
        <v>2122</v>
      </c>
      <c r="J53" s="2483">
        <v>9595</v>
      </c>
      <c r="K53" s="2405">
        <v>3497</v>
      </c>
      <c r="L53" s="2404">
        <v>0.79</v>
      </c>
      <c r="M53" s="2405">
        <f>K53*L53</f>
        <v>2762.63</v>
      </c>
      <c r="N53" s="2404">
        <v>0.98</v>
      </c>
      <c r="O53" s="2405">
        <f>M53*N53</f>
        <v>2707.3773999999999</v>
      </c>
      <c r="P53" s="2405">
        <f>O53*2.75</f>
        <v>7445.2878499999997</v>
      </c>
      <c r="Q53" s="2405">
        <f>M53*(1-N53)</f>
        <v>55.252600000000051</v>
      </c>
      <c r="R53" s="2405">
        <f>K53*(1-L53)</f>
        <v>734.36999999999989</v>
      </c>
      <c r="S53" s="2404">
        <v>0.1</v>
      </c>
      <c r="T53" s="2405">
        <f>R53*S53</f>
        <v>73.436999999999998</v>
      </c>
      <c r="U53" s="2405">
        <f>R53*(1-S53)</f>
        <v>660.93299999999988</v>
      </c>
      <c r="V53" s="2405">
        <f>U53+Q53</f>
        <v>716.18559999999991</v>
      </c>
      <c r="W53" s="2405">
        <f>V53*$C$85</f>
        <v>20053.196799999998</v>
      </c>
      <c r="X53" s="2454">
        <f t="shared" ref="X53" si="77">J53+P53+W53</f>
        <v>37093.484649999999</v>
      </c>
      <c r="Y53" s="466"/>
      <c r="Z53" s="466"/>
      <c r="AA53" s="466"/>
    </row>
    <row r="54" spans="1:27" ht="12.75" customHeight="1" x14ac:dyDescent="0.2">
      <c r="A54" s="466"/>
      <c r="B54" s="2385"/>
      <c r="C54" s="2369"/>
      <c r="D54" s="2373"/>
      <c r="E54" s="2434"/>
      <c r="F54" s="2372"/>
      <c r="G54" s="2372"/>
      <c r="H54" s="2370"/>
      <c r="I54" s="2386"/>
      <c r="J54" s="2440"/>
      <c r="K54" s="2440"/>
      <c r="L54" s="2374"/>
      <c r="M54" s="2375"/>
      <c r="N54" s="2374"/>
      <c r="O54" s="2375"/>
      <c r="P54" s="2440"/>
      <c r="Q54" s="2375"/>
      <c r="R54" s="2375"/>
      <c r="S54" s="2369"/>
      <c r="T54" s="2440"/>
      <c r="U54" s="2375"/>
      <c r="V54" s="2375"/>
      <c r="W54" s="2375"/>
      <c r="X54" s="2452"/>
      <c r="Y54" s="466"/>
      <c r="Z54" s="466"/>
      <c r="AA54" s="466"/>
    </row>
    <row r="55" spans="1:27" ht="12.75" customHeight="1" x14ac:dyDescent="0.2">
      <c r="A55" s="466"/>
      <c r="B55" s="2385" t="s">
        <v>612</v>
      </c>
      <c r="C55" s="2369" t="s">
        <v>1258</v>
      </c>
      <c r="D55" s="2373">
        <v>0.6</v>
      </c>
      <c r="E55" s="2434">
        <f>D55*1000000*0.9071847</f>
        <v>544310.81999999995</v>
      </c>
      <c r="F55" s="2372">
        <v>20000</v>
      </c>
      <c r="G55" s="2372">
        <f>F55*0.9071847</f>
        <v>18143.694</v>
      </c>
      <c r="H55" s="2370">
        <v>1964</v>
      </c>
      <c r="I55" s="2386">
        <v>1992</v>
      </c>
      <c r="J55" s="2441">
        <v>1144</v>
      </c>
      <c r="K55" s="2442">
        <v>416.8</v>
      </c>
      <c r="L55" s="2374"/>
      <c r="M55" s="2375"/>
      <c r="N55" s="2374"/>
      <c r="O55" s="2375"/>
      <c r="P55" s="2440"/>
      <c r="Q55" s="2375"/>
      <c r="R55" s="2375">
        <f>K55</f>
        <v>416.8</v>
      </c>
      <c r="S55" s="2374">
        <v>0.1</v>
      </c>
      <c r="T55" s="2440">
        <f>R55*S55</f>
        <v>41.680000000000007</v>
      </c>
      <c r="U55" s="2375">
        <f>R55*(1-S55)</f>
        <v>375.12</v>
      </c>
      <c r="V55" s="2375">
        <f>U55</f>
        <v>375.12</v>
      </c>
      <c r="W55" s="2375">
        <f>V55*$C$85</f>
        <v>10503.36</v>
      </c>
      <c r="X55" s="2452">
        <f>J55+W55</f>
        <v>11647.36</v>
      </c>
      <c r="Y55" s="466"/>
      <c r="Z55" s="466"/>
      <c r="AA55" s="466"/>
    </row>
    <row r="56" spans="1:27" ht="12.75" customHeight="1" x14ac:dyDescent="0.2">
      <c r="A56" s="466"/>
      <c r="B56" s="2368"/>
      <c r="C56" s="2369"/>
      <c r="D56" s="2373"/>
      <c r="E56" s="2434"/>
      <c r="F56" s="2372"/>
      <c r="G56" s="2372"/>
      <c r="H56" s="2370"/>
      <c r="I56" s="2386"/>
      <c r="J56" s="2440"/>
      <c r="K56" s="2440"/>
      <c r="L56" s="2374"/>
      <c r="M56" s="2375"/>
      <c r="N56" s="2374"/>
      <c r="O56" s="2375"/>
      <c r="P56" s="2440"/>
      <c r="Q56" s="2375"/>
      <c r="R56" s="2375"/>
      <c r="S56" s="2374"/>
      <c r="T56" s="2440"/>
      <c r="U56" s="2375"/>
      <c r="V56" s="2375"/>
      <c r="W56" s="2375"/>
      <c r="X56" s="2452"/>
      <c r="Y56" s="466"/>
      <c r="Z56" s="466"/>
      <c r="AA56" s="466"/>
    </row>
    <row r="57" spans="1:27" ht="12.75" customHeight="1" x14ac:dyDescent="0.2">
      <c r="A57" s="466"/>
      <c r="B57" s="2368"/>
      <c r="C57" s="2369"/>
      <c r="D57" s="2373"/>
      <c r="E57" s="2434"/>
      <c r="F57" s="2372"/>
      <c r="G57" s="2372"/>
      <c r="H57" s="2370"/>
      <c r="I57" s="2386"/>
      <c r="J57" s="2440"/>
      <c r="K57" s="2440"/>
      <c r="L57" s="2374"/>
      <c r="M57" s="2375"/>
      <c r="N57" s="2374"/>
      <c r="O57" s="2375"/>
      <c r="P57" s="2440"/>
      <c r="Q57" s="2375"/>
      <c r="R57" s="2375"/>
      <c r="S57" s="2369"/>
      <c r="T57" s="2440"/>
      <c r="U57" s="2375"/>
      <c r="V57" s="2375"/>
      <c r="W57" s="2375"/>
      <c r="X57" s="2452"/>
      <c r="Y57" s="466"/>
      <c r="Z57" s="466"/>
      <c r="AA57" s="466"/>
    </row>
    <row r="58" spans="1:27" ht="12.75" customHeight="1" x14ac:dyDescent="0.2">
      <c r="A58" s="466"/>
      <c r="B58" s="2385" t="s">
        <v>1259</v>
      </c>
      <c r="C58" s="2407" t="s">
        <v>1260</v>
      </c>
      <c r="D58" s="2408">
        <v>7.1</v>
      </c>
      <c r="E58" s="2435">
        <v>14730</v>
      </c>
      <c r="F58" s="2401">
        <v>5368</v>
      </c>
      <c r="G58" s="2401"/>
      <c r="H58" s="2402">
        <v>1968</v>
      </c>
      <c r="I58" s="2412">
        <v>1993</v>
      </c>
      <c r="J58" s="2446">
        <v>14730</v>
      </c>
      <c r="K58" s="2444">
        <v>5368</v>
      </c>
      <c r="L58" s="2413">
        <v>0.84079999999999999</v>
      </c>
      <c r="M58" s="2411">
        <f t="shared" ref="M58:M60" si="78">K58*L58</f>
        <v>4513.4143999999997</v>
      </c>
      <c r="N58" s="2413">
        <v>0.997</v>
      </c>
      <c r="O58" s="2411">
        <f t="shared" ref="O58:O60" si="79">M58*N58</f>
        <v>4499.8741567999996</v>
      </c>
      <c r="P58" s="2411">
        <f t="shared" ref="P58:P60" si="80">O58*2.75</f>
        <v>12374.653931199999</v>
      </c>
      <c r="Q58" s="2411">
        <f t="shared" ref="Q58:Q60" si="81">M58*(1-N58)</f>
        <v>13.540243200000011</v>
      </c>
      <c r="R58" s="2411">
        <f t="shared" ref="R58:R60" si="82">K58*(1-L58)</f>
        <v>854.5856</v>
      </c>
      <c r="S58" s="2410">
        <v>0.1</v>
      </c>
      <c r="T58" s="2411">
        <f t="shared" ref="T58:T61" si="83">R58*S58</f>
        <v>85.458560000000006</v>
      </c>
      <c r="U58" s="2411">
        <f t="shared" ref="U58:U61" si="84">R58*(1-S58)</f>
        <v>769.12703999999997</v>
      </c>
      <c r="V58" s="2411">
        <f t="shared" ref="V58:V60" si="85">U58+Q58</f>
        <v>782.66728319999993</v>
      </c>
      <c r="W58" s="2411">
        <f t="shared" ref="W58:W61" si="86">V58*$C$85</f>
        <v>21914.683929599996</v>
      </c>
      <c r="X58" s="2454">
        <f t="shared" ref="X58:X60" si="87">J58+P58+W58</f>
        <v>49019.337860799991</v>
      </c>
      <c r="Y58" s="466"/>
      <c r="Z58" s="466"/>
      <c r="AA58" s="466"/>
    </row>
    <row r="59" spans="1:27" ht="12.75" customHeight="1" x14ac:dyDescent="0.2">
      <c r="A59" s="466"/>
      <c r="B59" s="2368"/>
      <c r="C59" s="2407" t="s">
        <v>1261</v>
      </c>
      <c r="D59" s="2408">
        <v>16</v>
      </c>
      <c r="E59" s="2435">
        <v>38110</v>
      </c>
      <c r="F59" s="2401">
        <v>13890</v>
      </c>
      <c r="G59" s="2401"/>
      <c r="H59" s="2402">
        <v>1992</v>
      </c>
      <c r="I59" s="2412">
        <v>2016</v>
      </c>
      <c r="J59" s="2446">
        <v>38110</v>
      </c>
      <c r="K59" s="2444">
        <v>13890</v>
      </c>
      <c r="L59" s="2413">
        <v>0.84079999999999999</v>
      </c>
      <c r="M59" s="2411">
        <f t="shared" si="78"/>
        <v>11678.712</v>
      </c>
      <c r="N59" s="2413">
        <v>0.97199999999999998</v>
      </c>
      <c r="O59" s="2411">
        <f t="shared" si="79"/>
        <v>11351.708063999999</v>
      </c>
      <c r="P59" s="2411">
        <f t="shared" si="80"/>
        <v>31217.197175999994</v>
      </c>
      <c r="Q59" s="2411">
        <f t="shared" si="81"/>
        <v>327.00393600000029</v>
      </c>
      <c r="R59" s="2411">
        <f t="shared" si="82"/>
        <v>2211.288</v>
      </c>
      <c r="S59" s="2410">
        <v>0.1</v>
      </c>
      <c r="T59" s="2411">
        <f t="shared" si="83"/>
        <v>221.12880000000001</v>
      </c>
      <c r="U59" s="2411">
        <f t="shared" si="84"/>
        <v>1990.1592000000001</v>
      </c>
      <c r="V59" s="2411">
        <f t="shared" si="85"/>
        <v>2317.1631360000001</v>
      </c>
      <c r="W59" s="2411">
        <f t="shared" si="86"/>
        <v>64880.567808000007</v>
      </c>
      <c r="X59" s="2454">
        <f t="shared" si="87"/>
        <v>134207.76498400001</v>
      </c>
      <c r="Y59" s="466"/>
      <c r="Z59" s="466"/>
      <c r="AA59" s="466"/>
    </row>
    <row r="60" spans="1:27" ht="12.75" customHeight="1" x14ac:dyDescent="0.2">
      <c r="A60" s="466"/>
      <c r="B60" s="2368"/>
      <c r="C60" s="2399" t="s">
        <v>1262</v>
      </c>
      <c r="D60" s="2400">
        <v>7.5</v>
      </c>
      <c r="E60" s="2435">
        <v>15790</v>
      </c>
      <c r="F60" s="2401">
        <v>6779</v>
      </c>
      <c r="G60" s="2401"/>
      <c r="H60" s="2402">
        <v>1978</v>
      </c>
      <c r="I60" s="2403">
        <v>2000</v>
      </c>
      <c r="J60" s="2405">
        <f>18600</f>
        <v>18600</v>
      </c>
      <c r="K60" s="2405">
        <f>(LFGTE!M46+LFGTE!N46+LFGTE!O46)/LFGTE!Q46</f>
        <v>9178.9275135854987</v>
      </c>
      <c r="L60" s="2404">
        <v>0.95</v>
      </c>
      <c r="M60" s="2405">
        <f t="shared" si="78"/>
        <v>8719.981137906223</v>
      </c>
      <c r="N60" s="2404">
        <v>0.98</v>
      </c>
      <c r="O60" s="2405">
        <f t="shared" si="79"/>
        <v>8545.5815151480983</v>
      </c>
      <c r="P60" s="2405">
        <f t="shared" si="80"/>
        <v>23500.34916665727</v>
      </c>
      <c r="Q60" s="2405">
        <f t="shared" si="81"/>
        <v>174.39962275812462</v>
      </c>
      <c r="R60" s="2405">
        <f t="shared" si="82"/>
        <v>458.94637567927532</v>
      </c>
      <c r="S60" s="2404">
        <v>0.1</v>
      </c>
      <c r="T60" s="2405">
        <f t="shared" si="83"/>
        <v>45.894637567927532</v>
      </c>
      <c r="U60" s="2405">
        <f t="shared" si="84"/>
        <v>413.05173811134779</v>
      </c>
      <c r="V60" s="2405">
        <f t="shared" si="85"/>
        <v>587.45136086947241</v>
      </c>
      <c r="W60" s="2405">
        <f t="shared" si="86"/>
        <v>16448.638104345227</v>
      </c>
      <c r="X60" s="2454">
        <f t="shared" si="87"/>
        <v>58548.987271002494</v>
      </c>
      <c r="Y60" s="466"/>
      <c r="Z60" s="466"/>
      <c r="AA60" s="466"/>
    </row>
    <row r="61" spans="1:27" ht="12.75" customHeight="1" x14ac:dyDescent="0.2">
      <c r="A61" s="466"/>
      <c r="B61" s="2368"/>
      <c r="C61" s="2369" t="s">
        <v>1263</v>
      </c>
      <c r="D61" s="2373">
        <v>1.6</v>
      </c>
      <c r="E61" s="2434">
        <v>3769</v>
      </c>
      <c r="F61" s="2372">
        <v>1374</v>
      </c>
      <c r="G61" s="2372">
        <f>F61*0.9071847</f>
        <v>1246.4717777999999</v>
      </c>
      <c r="H61" s="2370">
        <v>1960</v>
      </c>
      <c r="I61" s="2386">
        <v>2004</v>
      </c>
      <c r="J61" s="2441">
        <v>3769</v>
      </c>
      <c r="K61" s="2442">
        <v>1374</v>
      </c>
      <c r="L61" s="2374"/>
      <c r="M61" s="2375"/>
      <c r="N61" s="2374"/>
      <c r="O61" s="2375"/>
      <c r="P61" s="2440"/>
      <c r="Q61" s="2375"/>
      <c r="R61" s="2375">
        <f>K61</f>
        <v>1374</v>
      </c>
      <c r="S61" s="2374">
        <v>0.1</v>
      </c>
      <c r="T61" s="2440">
        <f t="shared" si="83"/>
        <v>137.4</v>
      </c>
      <c r="U61" s="2375">
        <f t="shared" si="84"/>
        <v>1236.6000000000001</v>
      </c>
      <c r="V61" s="2375">
        <f>U61</f>
        <v>1236.6000000000001</v>
      </c>
      <c r="W61" s="2375">
        <f t="shared" si="86"/>
        <v>34624.800000000003</v>
      </c>
      <c r="X61" s="2452">
        <f>J61+W61</f>
        <v>38393.800000000003</v>
      </c>
      <c r="Y61" s="466"/>
      <c r="Z61" s="466"/>
      <c r="AA61" s="466"/>
    </row>
    <row r="62" spans="1:27" ht="12.75" customHeight="1" x14ac:dyDescent="0.2">
      <c r="A62" s="466"/>
      <c r="B62" s="2368"/>
      <c r="C62" s="2369"/>
      <c r="D62" s="2373"/>
      <c r="E62" s="2434"/>
      <c r="F62" s="2372"/>
      <c r="G62" s="2372"/>
      <c r="H62" s="2370"/>
      <c r="I62" s="2386"/>
      <c r="J62" s="2440"/>
      <c r="K62" s="2440"/>
      <c r="L62" s="2374"/>
      <c r="M62" s="2375"/>
      <c r="N62" s="2374"/>
      <c r="O62" s="2375"/>
      <c r="P62" s="2440"/>
      <c r="Q62" s="2375"/>
      <c r="R62" s="2375"/>
      <c r="S62" s="2369"/>
      <c r="T62" s="2440"/>
      <c r="U62" s="2375"/>
      <c r="V62" s="2375"/>
      <c r="W62" s="2375"/>
      <c r="X62" s="2452"/>
      <c r="Y62" s="466"/>
      <c r="Z62" s="466"/>
      <c r="AA62" s="466"/>
    </row>
    <row r="63" spans="1:27" ht="12.75" customHeight="1" x14ac:dyDescent="0.2">
      <c r="A63" s="466"/>
      <c r="B63" s="2385" t="s">
        <v>617</v>
      </c>
      <c r="C63" s="2369" t="s">
        <v>1264</v>
      </c>
      <c r="D63" s="2373">
        <v>1.61</v>
      </c>
      <c r="E63" s="2434">
        <v>393341</v>
      </c>
      <c r="F63" s="2372"/>
      <c r="G63" s="2372">
        <f t="shared" ref="G63:G64" si="88">F63*0.9071847</f>
        <v>0</v>
      </c>
      <c r="H63" s="2378">
        <v>1998</v>
      </c>
      <c r="I63" s="2386">
        <v>2023</v>
      </c>
      <c r="J63" s="2441">
        <v>1752</v>
      </c>
      <c r="K63" s="2442">
        <v>638.5</v>
      </c>
      <c r="L63" s="2374"/>
      <c r="M63" s="2375"/>
      <c r="N63" s="2374"/>
      <c r="O63" s="2375"/>
      <c r="P63" s="2440"/>
      <c r="Q63" s="2375"/>
      <c r="R63" s="2375">
        <f t="shared" ref="R63:R64" si="89">K63</f>
        <v>638.5</v>
      </c>
      <c r="S63" s="2374">
        <v>0.1</v>
      </c>
      <c r="T63" s="2440">
        <f t="shared" ref="T63:T64" si="90">R63*S63</f>
        <v>63.85</v>
      </c>
      <c r="U63" s="2375">
        <f t="shared" ref="U63:U64" si="91">R63*(1-S63)</f>
        <v>574.65</v>
      </c>
      <c r="V63" s="2375">
        <f t="shared" ref="V63:V64" si="92">U63</f>
        <v>574.65</v>
      </c>
      <c r="W63" s="2375">
        <f t="shared" ref="W63:W64" si="93">V63*$C$85</f>
        <v>16090.199999999999</v>
      </c>
      <c r="X63" s="2452">
        <f t="shared" ref="X63:X64" si="94">J63+W63</f>
        <v>17842.199999999997</v>
      </c>
      <c r="Y63" s="466"/>
      <c r="Z63" s="466"/>
      <c r="AA63" s="466"/>
    </row>
    <row r="64" spans="1:27" ht="12.75" customHeight="1" x14ac:dyDescent="0.2">
      <c r="A64" s="466"/>
      <c r="B64" s="2368"/>
      <c r="C64" s="2369" t="s">
        <v>1265</v>
      </c>
      <c r="D64" s="2373"/>
      <c r="E64" s="2434">
        <v>368200</v>
      </c>
      <c r="F64" s="2372"/>
      <c r="G64" s="2372">
        <f t="shared" si="88"/>
        <v>0</v>
      </c>
      <c r="H64" s="2370">
        <v>1977</v>
      </c>
      <c r="I64" s="2386">
        <v>1998</v>
      </c>
      <c r="J64" s="2441">
        <v>1198</v>
      </c>
      <c r="K64" s="2442">
        <v>436.6</v>
      </c>
      <c r="L64" s="2374"/>
      <c r="M64" s="2375"/>
      <c r="N64" s="2374"/>
      <c r="O64" s="2375"/>
      <c r="P64" s="2440"/>
      <c r="Q64" s="2375"/>
      <c r="R64" s="2375">
        <f t="shared" si="89"/>
        <v>436.6</v>
      </c>
      <c r="S64" s="2374">
        <v>0.1</v>
      </c>
      <c r="T64" s="2440">
        <f t="shared" si="90"/>
        <v>43.660000000000004</v>
      </c>
      <c r="U64" s="2375">
        <f t="shared" si="91"/>
        <v>392.94000000000005</v>
      </c>
      <c r="V64" s="2375">
        <f t="shared" si="92"/>
        <v>392.94000000000005</v>
      </c>
      <c r="W64" s="2375">
        <f t="shared" si="93"/>
        <v>11002.320000000002</v>
      </c>
      <c r="X64" s="2452">
        <f t="shared" si="94"/>
        <v>12200.320000000002</v>
      </c>
      <c r="Y64" s="466"/>
      <c r="Z64" s="466"/>
      <c r="AA64" s="466"/>
    </row>
    <row r="65" spans="1:27" ht="12.75" customHeight="1" x14ac:dyDescent="0.2">
      <c r="A65" s="466"/>
      <c r="B65" s="2368"/>
      <c r="C65" s="2369"/>
      <c r="D65" s="2373"/>
      <c r="E65" s="2434"/>
      <c r="F65" s="2372"/>
      <c r="G65" s="2372"/>
      <c r="H65" s="2370"/>
      <c r="I65" s="2386"/>
      <c r="J65" s="2440"/>
      <c r="K65" s="2440"/>
      <c r="L65" s="2374"/>
      <c r="M65" s="2375"/>
      <c r="N65" s="2374"/>
      <c r="O65" s="2375"/>
      <c r="P65" s="2440"/>
      <c r="Q65" s="2375"/>
      <c r="R65" s="2375"/>
      <c r="S65" s="2369"/>
      <c r="T65" s="2440"/>
      <c r="U65" s="2375"/>
      <c r="V65" s="2375"/>
      <c r="W65" s="2375"/>
      <c r="X65" s="2452"/>
      <c r="Y65" s="466"/>
      <c r="Z65" s="466"/>
      <c r="AA65" s="466"/>
    </row>
    <row r="66" spans="1:27" ht="12.75" customHeight="1" x14ac:dyDescent="0.2">
      <c r="A66" s="466"/>
      <c r="B66" s="2385" t="s">
        <v>618</v>
      </c>
      <c r="C66" s="2369" t="s">
        <v>1884</v>
      </c>
      <c r="D66" s="2373">
        <v>3.7512439999999998</v>
      </c>
      <c r="E66" s="2434">
        <f>D66*1000000*0.9071847</f>
        <v>3403071.1627667998</v>
      </c>
      <c r="F66" s="2372">
        <v>81800</v>
      </c>
      <c r="G66" s="2372">
        <f>F66*0.9071847</f>
        <v>74207.708459999994</v>
      </c>
      <c r="H66" s="2370">
        <v>1991</v>
      </c>
      <c r="I66" s="2386">
        <v>2010</v>
      </c>
      <c r="J66" s="2441">
        <f>2281</f>
        <v>2281</v>
      </c>
      <c r="K66" s="2442">
        <f>831.4</f>
        <v>831.4</v>
      </c>
      <c r="L66" s="2374"/>
      <c r="M66" s="2375"/>
      <c r="N66" s="2374"/>
      <c r="O66" s="2375"/>
      <c r="P66" s="2440"/>
      <c r="Q66" s="2375"/>
      <c r="R66" s="2375">
        <f>K66</f>
        <v>831.4</v>
      </c>
      <c r="S66" s="2374">
        <v>0.1</v>
      </c>
      <c r="T66" s="2440">
        <f>R66*S66</f>
        <v>83.14</v>
      </c>
      <c r="U66" s="2375">
        <f>R66*(1-S66)</f>
        <v>748.26</v>
      </c>
      <c r="V66" s="2375">
        <f>U66</f>
        <v>748.26</v>
      </c>
      <c r="W66" s="2375">
        <f>V66*$C$85</f>
        <v>20951.28</v>
      </c>
      <c r="X66" s="2452">
        <f>J66+W66</f>
        <v>23232.28</v>
      </c>
      <c r="Y66" s="466"/>
      <c r="Z66" s="466"/>
      <c r="AA66" s="466"/>
    </row>
    <row r="67" spans="1:27" ht="12.75" customHeight="1" x14ac:dyDescent="0.2">
      <c r="A67" s="466"/>
      <c r="B67" s="2368"/>
      <c r="C67" s="2369"/>
      <c r="D67" s="2373"/>
      <c r="E67" s="2434"/>
      <c r="F67" s="2372"/>
      <c r="G67" s="2372"/>
      <c r="H67" s="2370"/>
      <c r="I67" s="2386"/>
      <c r="J67" s="2440"/>
      <c r="K67" s="2440"/>
      <c r="L67" s="2374"/>
      <c r="M67" s="2375"/>
      <c r="N67" s="2374"/>
      <c r="O67" s="2375"/>
      <c r="P67" s="2440"/>
      <c r="Q67" s="2375"/>
      <c r="R67" s="2375"/>
      <c r="S67" s="2369"/>
      <c r="T67" s="2440"/>
      <c r="U67" s="2375"/>
      <c r="V67" s="2375"/>
      <c r="W67" s="2375"/>
      <c r="X67" s="2452"/>
      <c r="Y67" s="466"/>
      <c r="Z67" s="466"/>
      <c r="AA67" s="466"/>
    </row>
    <row r="68" spans="1:27" ht="12.75" customHeight="1" x14ac:dyDescent="0.2">
      <c r="A68" s="466"/>
      <c r="B68" s="2385" t="s">
        <v>619</v>
      </c>
      <c r="C68" s="2369" t="s">
        <v>1266</v>
      </c>
      <c r="D68" s="2369"/>
      <c r="E68" s="2434">
        <v>89729.73</v>
      </c>
      <c r="F68" s="2372"/>
      <c r="G68" s="2372">
        <f t="shared" ref="G68:G70" si="95">F68*0.9071847</f>
        <v>0</v>
      </c>
      <c r="H68" s="2370">
        <v>1981</v>
      </c>
      <c r="I68" s="2386">
        <v>1993</v>
      </c>
      <c r="J68" s="2441">
        <v>274.89999999999998</v>
      </c>
      <c r="K68" s="2442">
        <v>100.2</v>
      </c>
      <c r="L68" s="2374"/>
      <c r="M68" s="2375"/>
      <c r="N68" s="2374"/>
      <c r="O68" s="2375"/>
      <c r="P68" s="2440"/>
      <c r="Q68" s="2375"/>
      <c r="R68" s="2375">
        <f t="shared" ref="R68:R70" si="96">K68</f>
        <v>100.2</v>
      </c>
      <c r="S68" s="2374">
        <v>0.1</v>
      </c>
      <c r="T68" s="2440">
        <f t="shared" ref="T68:T70" si="97">R68*S68</f>
        <v>10.020000000000001</v>
      </c>
      <c r="U68" s="2375">
        <f t="shared" ref="U68:U70" si="98">R68*(1-S68)</f>
        <v>90.18</v>
      </c>
      <c r="V68" s="2375">
        <f t="shared" ref="V68:V70" si="99">U68</f>
        <v>90.18</v>
      </c>
      <c r="W68" s="2375">
        <f t="shared" ref="W68:W70" si="100">V68*$C$85</f>
        <v>2525.04</v>
      </c>
      <c r="X68" s="2452">
        <f t="shared" ref="X68:X70" si="101">J68+W68</f>
        <v>2799.94</v>
      </c>
      <c r="Y68" s="466"/>
      <c r="Z68" s="466"/>
      <c r="AA68" s="466"/>
    </row>
    <row r="69" spans="1:27" ht="12.75" customHeight="1" x14ac:dyDescent="0.2">
      <c r="A69" s="466"/>
      <c r="B69" s="2368"/>
      <c r="C69" s="2369" t="s">
        <v>1267</v>
      </c>
      <c r="D69" s="2373">
        <v>2.5499999999999998</v>
      </c>
      <c r="E69" s="2434">
        <f t="shared" ref="E69:E70" si="102">D69*1000000*0.9071847</f>
        <v>2313320.9849999999</v>
      </c>
      <c r="F69" s="2372">
        <v>150000</v>
      </c>
      <c r="G69" s="2372">
        <f t="shared" si="95"/>
        <v>136077.70499999999</v>
      </c>
      <c r="H69" s="2370">
        <v>1982</v>
      </c>
      <c r="I69" s="2386">
        <v>2000</v>
      </c>
      <c r="J69" s="2441">
        <v>1827</v>
      </c>
      <c r="K69" s="2442">
        <v>665.9</v>
      </c>
      <c r="L69" s="2374"/>
      <c r="M69" s="2375"/>
      <c r="N69" s="2374"/>
      <c r="O69" s="2375"/>
      <c r="P69" s="2440"/>
      <c r="Q69" s="2375"/>
      <c r="R69" s="2375">
        <f t="shared" si="96"/>
        <v>665.9</v>
      </c>
      <c r="S69" s="2374">
        <v>0.1</v>
      </c>
      <c r="T69" s="2440">
        <f t="shared" si="97"/>
        <v>66.59</v>
      </c>
      <c r="U69" s="2375">
        <f t="shared" si="98"/>
        <v>599.30999999999995</v>
      </c>
      <c r="V69" s="2375">
        <f t="shared" si="99"/>
        <v>599.30999999999995</v>
      </c>
      <c r="W69" s="2375">
        <f t="shared" si="100"/>
        <v>16780.68</v>
      </c>
      <c r="X69" s="2452">
        <f t="shared" si="101"/>
        <v>18607.68</v>
      </c>
      <c r="Y69" s="466"/>
      <c r="Z69" s="466"/>
      <c r="AA69" s="466"/>
    </row>
    <row r="70" spans="1:27" ht="12.75" customHeight="1" x14ac:dyDescent="0.2">
      <c r="A70" s="466"/>
      <c r="B70" s="2368"/>
      <c r="C70" s="2369" t="s">
        <v>1268</v>
      </c>
      <c r="D70" s="2373">
        <v>20.273</v>
      </c>
      <c r="E70" s="2434">
        <f t="shared" si="102"/>
        <v>18391355.423099998</v>
      </c>
      <c r="F70" s="2372"/>
      <c r="G70" s="2372">
        <f t="shared" si="95"/>
        <v>0</v>
      </c>
      <c r="H70" s="2370">
        <v>2000</v>
      </c>
      <c r="I70" s="2386">
        <v>2047</v>
      </c>
      <c r="J70" s="2441">
        <f>15740</f>
        <v>15740</v>
      </c>
      <c r="K70" s="2442">
        <f>5735</f>
        <v>5735</v>
      </c>
      <c r="L70" s="2374"/>
      <c r="M70" s="2375"/>
      <c r="N70" s="2374"/>
      <c r="O70" s="2375"/>
      <c r="P70" s="2440"/>
      <c r="Q70" s="2375"/>
      <c r="R70" s="2375">
        <f t="shared" si="96"/>
        <v>5735</v>
      </c>
      <c r="S70" s="2374">
        <v>0.1</v>
      </c>
      <c r="T70" s="2440">
        <f t="shared" si="97"/>
        <v>573.5</v>
      </c>
      <c r="U70" s="2375">
        <f t="shared" si="98"/>
        <v>5161.5</v>
      </c>
      <c r="V70" s="2375">
        <f t="shared" si="99"/>
        <v>5161.5</v>
      </c>
      <c r="W70" s="2375">
        <f t="shared" si="100"/>
        <v>144522</v>
      </c>
      <c r="X70" s="2452">
        <f t="shared" si="101"/>
        <v>160262</v>
      </c>
      <c r="Y70" s="466"/>
      <c r="Z70" s="466"/>
      <c r="AA70" s="466"/>
    </row>
    <row r="71" spans="1:27" ht="12.75" customHeight="1" x14ac:dyDescent="0.2">
      <c r="A71" s="466"/>
      <c r="B71" s="2368"/>
      <c r="C71" s="2369"/>
      <c r="D71" s="2373"/>
      <c r="E71" s="2434"/>
      <c r="F71" s="2372"/>
      <c r="G71" s="2372"/>
      <c r="H71" s="2370"/>
      <c r="I71" s="2386"/>
      <c r="J71" s="2440"/>
      <c r="K71" s="2440"/>
      <c r="L71" s="2374"/>
      <c r="M71" s="2375"/>
      <c r="N71" s="2374"/>
      <c r="O71" s="2375"/>
      <c r="P71" s="2440"/>
      <c r="Q71" s="2375"/>
      <c r="R71" s="2375"/>
      <c r="S71" s="2369"/>
      <c r="T71" s="2440"/>
      <c r="U71" s="2375"/>
      <c r="V71" s="2375"/>
      <c r="W71" s="2375"/>
      <c r="X71" s="2452"/>
      <c r="Y71" s="466"/>
      <c r="Z71" s="466"/>
      <c r="AA71" s="466"/>
    </row>
    <row r="72" spans="1:27" ht="12.75" customHeight="1" x14ac:dyDescent="0.2">
      <c r="A72" s="466"/>
      <c r="B72" s="2385" t="s">
        <v>620</v>
      </c>
      <c r="C72" s="2399" t="s">
        <v>1885</v>
      </c>
      <c r="D72" s="2400">
        <v>7.2</v>
      </c>
      <c r="E72" s="2435">
        <f>D72*1000000*0.9071847</f>
        <v>6531729.8399999999</v>
      </c>
      <c r="F72" s="2401">
        <v>82000</v>
      </c>
      <c r="G72" s="2401">
        <f>F72*0.9071847</f>
        <v>74389.145399999994</v>
      </c>
      <c r="H72" s="2402">
        <v>1955</v>
      </c>
      <c r="I72" s="2403">
        <v>2031</v>
      </c>
      <c r="J72" s="2405">
        <f>11780</f>
        <v>11780</v>
      </c>
      <c r="K72" s="2405">
        <f>4293</f>
        <v>4293</v>
      </c>
      <c r="L72" s="2404">
        <v>0.8206</v>
      </c>
      <c r="M72" s="2405">
        <f>K72*L72</f>
        <v>3522.8357999999998</v>
      </c>
      <c r="N72" s="2404">
        <v>0.98</v>
      </c>
      <c r="O72" s="2405">
        <f>M72*N72</f>
        <v>3452.3790839999997</v>
      </c>
      <c r="P72" s="2405">
        <f>O72*2.75</f>
        <v>9494.0424809999986</v>
      </c>
      <c r="Q72" s="2405">
        <f>M72*(1-N72)</f>
        <v>70.456716000000057</v>
      </c>
      <c r="R72" s="2405">
        <f>K72*(1-L72)</f>
        <v>770.16420000000005</v>
      </c>
      <c r="S72" s="2404">
        <v>0.1</v>
      </c>
      <c r="T72" s="2405">
        <f>R72*S72</f>
        <v>77.016420000000011</v>
      </c>
      <c r="U72" s="2405">
        <f>R72*(1-S72)</f>
        <v>693.14778000000001</v>
      </c>
      <c r="V72" s="2405">
        <f>U72</f>
        <v>693.14778000000001</v>
      </c>
      <c r="W72" s="2405">
        <f>V72*$C$85</f>
        <v>19408.137839999999</v>
      </c>
      <c r="X72" s="2454">
        <f t="shared" ref="X72" si="103">J72+P72+W72</f>
        <v>40682.180320999993</v>
      </c>
      <c r="Y72" s="466"/>
      <c r="Z72" s="466"/>
      <c r="AA72" s="466"/>
    </row>
    <row r="73" spans="1:27" ht="11.25" customHeight="1" x14ac:dyDescent="0.2">
      <c r="A73" s="466"/>
      <c r="B73" s="2368"/>
      <c r="C73" s="2369"/>
      <c r="D73" s="2369"/>
      <c r="E73" s="2434"/>
      <c r="F73" s="2372"/>
      <c r="G73" s="2372"/>
      <c r="H73" s="2379"/>
      <c r="I73" s="2369"/>
      <c r="J73" s="2441"/>
      <c r="K73" s="2442"/>
      <c r="L73" s="2374"/>
      <c r="M73" s="2375"/>
      <c r="N73" s="2374"/>
      <c r="O73" s="2375"/>
      <c r="P73" s="2440"/>
      <c r="Q73" s="2375"/>
      <c r="R73" s="2375"/>
      <c r="S73" s="2369"/>
      <c r="T73" s="2440"/>
      <c r="U73" s="2375"/>
      <c r="V73" s="2375"/>
      <c r="W73" s="2375"/>
      <c r="X73" s="2452"/>
      <c r="Y73" s="466"/>
      <c r="Z73" s="466"/>
      <c r="AA73" s="466"/>
    </row>
    <row r="74" spans="1:27" ht="12.75" customHeight="1" x14ac:dyDescent="0.2">
      <c r="A74" s="466"/>
      <c r="B74" s="2385" t="s">
        <v>621</v>
      </c>
      <c r="C74" s="2380" t="s">
        <v>1886</v>
      </c>
      <c r="D74" s="2381">
        <v>4.8</v>
      </c>
      <c r="E74" s="2434">
        <f>D74*1000000*0.9071847</f>
        <v>4354486.5599999996</v>
      </c>
      <c r="F74" s="2372">
        <v>70000</v>
      </c>
      <c r="G74" s="2372">
        <f>F74*0.9071847</f>
        <v>63502.928999999996</v>
      </c>
      <c r="H74" s="2370">
        <v>1990</v>
      </c>
      <c r="I74" s="2387">
        <v>2028</v>
      </c>
      <c r="J74" s="2440">
        <f>3920</f>
        <v>3920</v>
      </c>
      <c r="K74" s="2440">
        <f>1429</f>
        <v>1429</v>
      </c>
      <c r="L74" s="2382"/>
      <c r="M74" s="2383"/>
      <c r="N74" s="2382"/>
      <c r="O74" s="2383"/>
      <c r="P74" s="2449"/>
      <c r="Q74" s="2383"/>
      <c r="R74" s="2383">
        <f t="shared" ref="R74" si="104">K74</f>
        <v>1429</v>
      </c>
      <c r="S74" s="2382">
        <v>0.1</v>
      </c>
      <c r="T74" s="2449">
        <f t="shared" ref="T74:T75" si="105">R74*S74</f>
        <v>142.9</v>
      </c>
      <c r="U74" s="2383">
        <f t="shared" ref="U74:U75" si="106">R74*(1-S74)</f>
        <v>1286.1000000000001</v>
      </c>
      <c r="V74" s="2383">
        <f t="shared" ref="V74:V75" si="107">U74+Q74</f>
        <v>1286.1000000000001</v>
      </c>
      <c r="W74" s="2383">
        <f t="shared" ref="W74:W75" si="108">V74*$C$85</f>
        <v>36010.800000000003</v>
      </c>
      <c r="X74" s="2456">
        <f t="shared" ref="X74" si="109">J74+P74+W74</f>
        <v>39930.800000000003</v>
      </c>
      <c r="Y74" s="466"/>
      <c r="Z74" s="466"/>
      <c r="AA74" s="719"/>
    </row>
    <row r="75" spans="1:27" ht="11.25" customHeight="1" x14ac:dyDescent="0.2">
      <c r="A75" s="466"/>
      <c r="B75" s="2368"/>
      <c r="C75" s="2415" t="s">
        <v>1269</v>
      </c>
      <c r="D75" s="2415"/>
      <c r="E75" s="2433"/>
      <c r="F75" s="2394"/>
      <c r="G75" s="2394"/>
      <c r="H75" s="2415"/>
      <c r="I75" s="2415"/>
      <c r="J75" s="2487">
        <v>307.7</v>
      </c>
      <c r="K75" s="2488">
        <f>112.2</f>
        <v>112.2</v>
      </c>
      <c r="L75" s="2489">
        <v>0.89390000000000003</v>
      </c>
      <c r="M75" s="2398">
        <f>K75*L75</f>
        <v>100.29558</v>
      </c>
      <c r="N75" s="2489">
        <v>0.98</v>
      </c>
      <c r="O75" s="2398">
        <f>M75*N75</f>
        <v>98.289668399999996</v>
      </c>
      <c r="P75" s="2398">
        <f>O75*2.75</f>
        <v>270.29658810000001</v>
      </c>
      <c r="Q75" s="2398">
        <f>M75*(1-N75)</f>
        <v>2.0059116000000019</v>
      </c>
      <c r="R75" s="2398">
        <f>K75*(1-L75)</f>
        <v>11.904419999999996</v>
      </c>
      <c r="S75" s="2489">
        <v>0.1</v>
      </c>
      <c r="T75" s="2433">
        <f t="shared" si="105"/>
        <v>1.1904419999999998</v>
      </c>
      <c r="U75" s="2433">
        <f t="shared" si="106"/>
        <v>10.713977999999997</v>
      </c>
      <c r="V75" s="2433">
        <f t="shared" si="107"/>
        <v>12.719889599999998</v>
      </c>
      <c r="W75" s="2433">
        <f t="shared" si="108"/>
        <v>356.15690879999994</v>
      </c>
      <c r="X75" s="2453">
        <f>J75+P75+W75</f>
        <v>934.15349689999994</v>
      </c>
      <c r="Y75" s="466"/>
      <c r="Z75" s="466"/>
      <c r="AA75" s="466"/>
    </row>
    <row r="76" spans="1:27" ht="11.25" customHeight="1" x14ac:dyDescent="0.2">
      <c r="A76" s="466"/>
      <c r="B76" s="2368"/>
      <c r="C76" s="2369"/>
      <c r="D76" s="2369"/>
      <c r="E76" s="2434"/>
      <c r="F76" s="2372"/>
      <c r="G76" s="2372"/>
      <c r="H76" s="2379"/>
      <c r="I76" s="2369"/>
      <c r="J76" s="2440"/>
      <c r="K76" s="2440"/>
      <c r="L76" s="2369"/>
      <c r="M76" s="2375"/>
      <c r="N76" s="2369"/>
      <c r="O76" s="2375"/>
      <c r="P76" s="2440"/>
      <c r="Q76" s="2375"/>
      <c r="R76" s="2375"/>
      <c r="S76" s="2369"/>
      <c r="T76" s="2440"/>
      <c r="U76" s="2375"/>
      <c r="V76" s="2375"/>
      <c r="W76" s="2375"/>
      <c r="X76" s="2452"/>
      <c r="Y76" s="466"/>
      <c r="Z76" s="466"/>
      <c r="AA76" s="466"/>
    </row>
    <row r="77" spans="1:27" ht="13.5" customHeight="1" thickBot="1" x14ac:dyDescent="0.25">
      <c r="A77" s="466"/>
      <c r="B77" s="2388"/>
      <c r="C77" s="2389"/>
      <c r="D77" s="2389"/>
      <c r="E77" s="2438"/>
      <c r="F77" s="2390"/>
      <c r="G77" s="2390"/>
      <c r="H77" s="2390"/>
      <c r="I77" s="2389"/>
      <c r="J77" s="2447">
        <f t="shared" ref="J77:K77" si="110">SUM(J10:J76)</f>
        <v>349940.9</v>
      </c>
      <c r="K77" s="2447">
        <f t="shared" si="110"/>
        <v>137073.46751358552</v>
      </c>
      <c r="L77" s="2389"/>
      <c r="M77" s="2391"/>
      <c r="N77" s="2389"/>
      <c r="O77" s="2451">
        <f t="shared" ref="O77:P77" si="111">SUM(O10:O75)</f>
        <v>70898.109404248098</v>
      </c>
      <c r="P77" s="2447">
        <f t="shared" si="111"/>
        <v>194969.80086168231</v>
      </c>
      <c r="Q77" s="2391"/>
      <c r="R77" s="2391"/>
      <c r="S77" s="2389"/>
      <c r="T77" s="2447">
        <f>SUM(T10:T76)</f>
        <v>6487.35337556793</v>
      </c>
      <c r="U77" s="2451"/>
      <c r="V77" s="2391"/>
      <c r="W77" s="2391"/>
      <c r="X77" s="2458"/>
      <c r="Y77" s="466"/>
      <c r="Z77" s="466"/>
      <c r="AA77" s="466"/>
    </row>
    <row r="78" spans="1:27" ht="12.75" customHeight="1" thickTop="1" x14ac:dyDescent="0.2">
      <c r="A78" s="466"/>
      <c r="B78" s="466"/>
      <c r="C78" s="466"/>
      <c r="D78" s="466"/>
      <c r="E78" s="466"/>
      <c r="F78" s="466"/>
      <c r="G78" s="266"/>
      <c r="H78" s="466"/>
      <c r="I78" s="466"/>
      <c r="J78" s="334"/>
      <c r="K78" s="466"/>
      <c r="L78" s="466"/>
      <c r="M78" s="1317"/>
      <c r="N78" s="466"/>
      <c r="O78" s="719"/>
      <c r="P78" s="466"/>
      <c r="Q78" s="266"/>
      <c r="R78" s="466"/>
      <c r="S78" s="466"/>
      <c r="T78" s="466"/>
      <c r="U78" s="466"/>
      <c r="V78" s="334"/>
      <c r="W78" s="466"/>
      <c r="X78" s="466"/>
      <c r="Y78" s="466"/>
      <c r="Z78" s="466"/>
      <c r="AA78" s="466"/>
    </row>
    <row r="79" spans="1:27" ht="11.25" customHeight="1" x14ac:dyDescent="0.2">
      <c r="A79" s="466"/>
      <c r="B79" s="466"/>
      <c r="C79" s="466"/>
      <c r="D79" s="466"/>
      <c r="E79" s="466"/>
      <c r="F79" s="466"/>
      <c r="G79" s="466"/>
      <c r="H79" s="466"/>
      <c r="I79" s="466"/>
      <c r="J79" s="466"/>
      <c r="K79" s="1318"/>
      <c r="L79" s="466"/>
      <c r="M79" s="1317"/>
      <c r="N79" s="466"/>
      <c r="O79" s="719"/>
      <c r="P79" s="466"/>
      <c r="Q79" s="466"/>
      <c r="R79" s="466"/>
      <c r="S79" s="466"/>
      <c r="T79" s="466"/>
      <c r="U79" s="466"/>
      <c r="V79" s="466"/>
      <c r="W79" s="466"/>
      <c r="X79" s="1319"/>
      <c r="Y79" s="466"/>
      <c r="Z79" s="466"/>
      <c r="AA79" s="466"/>
    </row>
    <row r="80" spans="1:27" ht="11.25" customHeight="1" x14ac:dyDescent="0.2">
      <c r="A80" s="466"/>
      <c r="B80" s="466"/>
      <c r="C80" s="466"/>
      <c r="D80" s="466"/>
      <c r="E80" s="466"/>
      <c r="F80" s="466"/>
      <c r="G80" s="466"/>
      <c r="H80" s="466"/>
      <c r="I80" s="466"/>
      <c r="J80" s="1320"/>
      <c r="K80" s="466"/>
      <c r="L80" s="466"/>
      <c r="M80" s="1317"/>
      <c r="N80" s="466"/>
      <c r="O80" s="719"/>
      <c r="P80" s="466"/>
      <c r="Q80" s="466"/>
      <c r="R80" s="466"/>
      <c r="S80" s="466"/>
      <c r="T80" s="466"/>
      <c r="U80" s="466"/>
      <c r="V80" s="466"/>
      <c r="W80" s="466"/>
      <c r="X80" s="466"/>
      <c r="Y80" s="466"/>
      <c r="Z80" s="466"/>
      <c r="AA80" s="466"/>
    </row>
    <row r="81" spans="1:27" ht="15.75" customHeight="1" x14ac:dyDescent="0.3">
      <c r="A81" s="466"/>
      <c r="B81" s="466"/>
      <c r="C81" s="466"/>
      <c r="D81" s="466"/>
      <c r="E81" s="466"/>
      <c r="F81" s="466"/>
      <c r="G81" s="2524" t="s">
        <v>1897</v>
      </c>
      <c r="H81" s="2525"/>
      <c r="I81" s="2525"/>
      <c r="J81" s="2526"/>
      <c r="K81" s="2459">
        <f>K77</f>
        <v>137073.46751358552</v>
      </c>
      <c r="L81" s="2330"/>
      <c r="M81" s="2527" t="s">
        <v>1898</v>
      </c>
      <c r="N81" s="2526"/>
      <c r="O81" s="2460">
        <f>LFGTE!M65</f>
        <v>25386.454347562536</v>
      </c>
      <c r="P81" s="2330"/>
      <c r="Q81" s="2528" t="s">
        <v>1270</v>
      </c>
      <c r="R81" s="2525"/>
      <c r="S81" s="2525"/>
      <c r="T81" s="2525"/>
      <c r="U81" s="2526"/>
      <c r="V81" s="2478">
        <f>LFGTE!N65+LFGTE!O65</f>
        <v>39578.273375981036</v>
      </c>
      <c r="W81" s="224"/>
      <c r="X81" s="1321"/>
      <c r="Y81" s="466"/>
      <c r="Z81" s="466"/>
      <c r="AA81" s="466"/>
    </row>
    <row r="82" spans="1:27" ht="15.75" customHeight="1" x14ac:dyDescent="0.3">
      <c r="A82" s="466"/>
      <c r="B82" s="2501" t="s">
        <v>0</v>
      </c>
      <c r="C82" s="2502"/>
      <c r="D82" s="466"/>
      <c r="E82" s="466"/>
      <c r="F82" s="466"/>
      <c r="G82" s="2524" t="s">
        <v>1899</v>
      </c>
      <c r="H82" s="2525"/>
      <c r="I82" s="2525"/>
      <c r="J82" s="2526"/>
      <c r="K82" s="2461">
        <f>$C$85</f>
        <v>28</v>
      </c>
      <c r="L82" s="2330"/>
      <c r="M82" s="2524" t="s">
        <v>1899</v>
      </c>
      <c r="N82" s="2526"/>
      <c r="O82" s="2461">
        <f>$C$85</f>
        <v>28</v>
      </c>
      <c r="P82" s="2330"/>
      <c r="Q82" s="2524" t="s">
        <v>1899</v>
      </c>
      <c r="R82" s="2525"/>
      <c r="S82" s="2525"/>
      <c r="T82" s="2525"/>
      <c r="U82" s="2526"/>
      <c r="V82" s="2461">
        <f>$C$85</f>
        <v>28</v>
      </c>
      <c r="W82" s="466"/>
      <c r="X82" s="466"/>
      <c r="Y82" s="466"/>
      <c r="Z82" s="466"/>
      <c r="AA82" s="466"/>
    </row>
    <row r="83" spans="1:27" ht="14.25" customHeight="1" x14ac:dyDescent="0.25">
      <c r="A83" s="466"/>
      <c r="B83" s="198"/>
      <c r="C83" s="198"/>
      <c r="D83" s="466"/>
      <c r="E83" s="466"/>
      <c r="F83" s="466"/>
      <c r="G83" s="2529" t="s">
        <v>1900</v>
      </c>
      <c r="H83" s="2525"/>
      <c r="I83" s="2525"/>
      <c r="J83" s="2526"/>
      <c r="K83" s="2462">
        <f>K81*K82*0.907184</f>
        <v>3481823.9834796479</v>
      </c>
      <c r="L83" s="2330"/>
      <c r="M83" s="2463" t="s">
        <v>1901</v>
      </c>
      <c r="N83" s="2464"/>
      <c r="O83" s="2465">
        <f>(O81*O82)*0.907184</f>
        <v>644845.18562349677</v>
      </c>
      <c r="P83" s="2330"/>
      <c r="Q83" s="2536" t="s">
        <v>1902</v>
      </c>
      <c r="R83" s="2525"/>
      <c r="S83" s="2525"/>
      <c r="T83" s="2525"/>
      <c r="U83" s="2526"/>
      <c r="V83" s="2466">
        <f>(V81*V82)*0.907184</f>
        <v>1005333.7379208475</v>
      </c>
      <c r="W83" s="224"/>
      <c r="X83" s="466"/>
      <c r="Y83" s="466"/>
      <c r="Z83" s="466"/>
      <c r="AA83" s="466"/>
    </row>
    <row r="84" spans="1:27" ht="14.25" customHeight="1" x14ac:dyDescent="0.25">
      <c r="A84" s="466"/>
      <c r="B84" s="200" t="s">
        <v>4</v>
      </c>
      <c r="C84" s="201">
        <f>'Summ GHG Rpt Expanded'!G4</f>
        <v>1</v>
      </c>
      <c r="D84" s="466"/>
      <c r="E84" s="466"/>
      <c r="F84" s="466"/>
      <c r="G84" s="2531" t="s">
        <v>1903</v>
      </c>
      <c r="H84" s="2525"/>
      <c r="I84" s="2525"/>
      <c r="J84" s="2526"/>
      <c r="K84" s="2467">
        <f>K83*7%</f>
        <v>243727.67884357538</v>
      </c>
      <c r="L84" s="2330"/>
      <c r="M84" s="2524"/>
      <c r="N84" s="2526"/>
      <c r="O84" s="2461"/>
      <c r="P84" s="2330"/>
      <c r="Q84" s="2524"/>
      <c r="R84" s="2525"/>
      <c r="S84" s="2525"/>
      <c r="T84" s="2525"/>
      <c r="U84" s="2526"/>
      <c r="V84" s="2461"/>
      <c r="W84" s="224"/>
      <c r="X84" s="466"/>
      <c r="Y84" s="466"/>
      <c r="Z84" s="466"/>
      <c r="AA84" s="466"/>
    </row>
    <row r="85" spans="1:27" ht="12.75" customHeight="1" x14ac:dyDescent="0.2">
      <c r="A85" s="466"/>
      <c r="B85" s="200" t="s">
        <v>5</v>
      </c>
      <c r="C85" s="201">
        <f>'Summ GHG Rpt Expanded'!G5</f>
        <v>28</v>
      </c>
      <c r="D85" s="466"/>
      <c r="E85" s="466"/>
      <c r="F85" s="466"/>
      <c r="G85" s="2524"/>
      <c r="H85" s="2525"/>
      <c r="I85" s="2525"/>
      <c r="J85" s="2526"/>
      <c r="K85" s="2468"/>
      <c r="L85" s="2330"/>
      <c r="M85" s="2532"/>
      <c r="N85" s="2526"/>
      <c r="O85" s="2468"/>
      <c r="P85" s="2330"/>
      <c r="Q85" s="2533"/>
      <c r="R85" s="2525"/>
      <c r="S85" s="2525"/>
      <c r="T85" s="2525"/>
      <c r="U85" s="2526"/>
      <c r="V85" s="2469"/>
      <c r="W85" s="224"/>
      <c r="X85" s="466"/>
      <c r="Y85" s="466"/>
      <c r="Z85" s="466"/>
      <c r="AA85" s="466"/>
    </row>
    <row r="86" spans="1:27" ht="14.25" customHeight="1" x14ac:dyDescent="0.25">
      <c r="A86" s="466"/>
      <c r="B86" s="200" t="s">
        <v>6</v>
      </c>
      <c r="C86" s="201">
        <f>'Summ GHG Rpt Expanded'!G6</f>
        <v>265</v>
      </c>
      <c r="D86" s="466"/>
      <c r="E86" s="466"/>
      <c r="F86" s="466"/>
      <c r="G86" s="2533" t="s">
        <v>1904</v>
      </c>
      <c r="H86" s="2525"/>
      <c r="I86" s="2525"/>
      <c r="J86" s="2526"/>
      <c r="K86" s="2469">
        <f>(K83+K84)</f>
        <v>3725551.6623232234</v>
      </c>
      <c r="L86" s="2330"/>
      <c r="M86" s="2534" t="s">
        <v>1905</v>
      </c>
      <c r="N86" s="2526"/>
      <c r="O86" s="2470">
        <f>O83+V83</f>
        <v>1650178.9235443443</v>
      </c>
      <c r="P86" s="2330"/>
      <c r="Q86" s="2533" t="s">
        <v>1906</v>
      </c>
      <c r="R86" s="2525"/>
      <c r="S86" s="2525"/>
      <c r="T86" s="2525"/>
      <c r="U86" s="2526"/>
      <c r="V86" s="2468">
        <f>V83*(12/44)</f>
        <v>274181.92852386745</v>
      </c>
      <c r="W86" s="224"/>
      <c r="X86" s="466"/>
      <c r="Y86" s="466"/>
      <c r="Z86" s="466"/>
      <c r="AA86" s="466"/>
    </row>
    <row r="87" spans="1:27" ht="12.75" customHeight="1" x14ac:dyDescent="0.2">
      <c r="A87" s="466"/>
      <c r="B87" s="200" t="s">
        <v>7</v>
      </c>
      <c r="C87" s="202">
        <f>'Summ GHG Rpt Expanded'!G7</f>
        <v>23500</v>
      </c>
      <c r="D87" s="466"/>
      <c r="E87" s="466"/>
      <c r="F87" s="466"/>
      <c r="G87" s="2524"/>
      <c r="H87" s="2525"/>
      <c r="I87" s="2525"/>
      <c r="J87" s="2526"/>
      <c r="K87" s="2461"/>
      <c r="L87" s="2330"/>
      <c r="M87" s="2524"/>
      <c r="N87" s="2526"/>
      <c r="O87" s="2461"/>
      <c r="P87" s="2330"/>
      <c r="Q87" s="2524"/>
      <c r="R87" s="2525"/>
      <c r="S87" s="2525"/>
      <c r="T87" s="2525"/>
      <c r="U87" s="2526"/>
      <c r="V87" s="2461"/>
      <c r="W87" s="224"/>
      <c r="X87" s="466"/>
      <c r="Y87" s="466"/>
      <c r="Z87" s="466"/>
      <c r="AA87" s="466"/>
    </row>
    <row r="88" spans="1:27" ht="14.25" customHeight="1" x14ac:dyDescent="0.25">
      <c r="A88" s="466"/>
      <c r="B88" s="200" t="s">
        <v>8</v>
      </c>
      <c r="C88" s="202">
        <f>'Summ GHG Rpt Expanded'!G8</f>
        <v>11100</v>
      </c>
      <c r="D88" s="466"/>
      <c r="E88" s="466"/>
      <c r="F88" s="466"/>
      <c r="G88" s="2530" t="s">
        <v>1907</v>
      </c>
      <c r="H88" s="2525"/>
      <c r="I88" s="2525"/>
      <c r="J88" s="2526"/>
      <c r="K88" s="2477">
        <f>K86*(12/44)</f>
        <v>1016059.5442699699</v>
      </c>
      <c r="L88" s="2330"/>
      <c r="M88" s="2535" t="s">
        <v>1908</v>
      </c>
      <c r="N88" s="2526"/>
      <c r="O88" s="2468">
        <f>O86*(12/44)</f>
        <v>450048.7973302757</v>
      </c>
      <c r="P88" s="2330"/>
      <c r="Q88" s="2537" t="s">
        <v>1271</v>
      </c>
      <c r="R88" s="2525"/>
      <c r="S88" s="2525"/>
      <c r="T88" s="2525"/>
      <c r="U88" s="2526"/>
      <c r="V88" s="2479">
        <f>T77</f>
        <v>6487.35337556793</v>
      </c>
      <c r="W88" s="224"/>
      <c r="X88" s="466"/>
      <c r="Y88" s="466"/>
      <c r="Z88" s="466"/>
      <c r="AA88" s="466"/>
    </row>
    <row r="89" spans="1:27" ht="15.75" customHeight="1" x14ac:dyDescent="0.3">
      <c r="A89" s="466"/>
      <c r="B89" s="466"/>
      <c r="C89" s="466"/>
      <c r="D89" s="466"/>
      <c r="E89" s="466"/>
      <c r="F89" s="466"/>
      <c r="G89" s="2330"/>
      <c r="H89" s="2330"/>
      <c r="I89" s="2330"/>
      <c r="J89" s="2330"/>
      <c r="K89" s="2330"/>
      <c r="L89" s="2330"/>
      <c r="M89" s="2330"/>
      <c r="N89" s="2330"/>
      <c r="O89" s="2330"/>
      <c r="P89" s="2330"/>
      <c r="Q89" s="2524" t="s">
        <v>1899</v>
      </c>
      <c r="R89" s="2525"/>
      <c r="S89" s="2525"/>
      <c r="T89" s="2525"/>
      <c r="U89" s="2526"/>
      <c r="V89" s="2461">
        <f>$C$85</f>
        <v>28</v>
      </c>
      <c r="W89" s="224"/>
      <c r="X89" s="466"/>
      <c r="Y89" s="466"/>
      <c r="Z89" s="466"/>
      <c r="AA89" s="466"/>
    </row>
    <row r="90" spans="1:27" ht="14.25" customHeight="1" x14ac:dyDescent="0.25">
      <c r="A90" s="466"/>
      <c r="B90" s="466"/>
      <c r="C90" s="466"/>
      <c r="D90" s="466"/>
      <c r="E90" s="466"/>
      <c r="F90" s="466"/>
      <c r="G90" s="2330"/>
      <c r="H90" s="2330"/>
      <c r="I90" s="2330"/>
      <c r="J90" s="2330"/>
      <c r="K90" s="2330"/>
      <c r="L90" s="2330"/>
      <c r="M90" s="2330"/>
      <c r="N90" s="2330"/>
      <c r="O90" s="2330"/>
      <c r="P90" s="2330"/>
      <c r="Q90" s="2538" t="s">
        <v>1909</v>
      </c>
      <c r="R90" s="2525"/>
      <c r="S90" s="2525"/>
      <c r="T90" s="2525"/>
      <c r="U90" s="2526"/>
      <c r="V90" s="2471">
        <f>(V88*V89)*0.907184</f>
        <v>164786.24917051409</v>
      </c>
      <c r="W90" s="224"/>
      <c r="X90" s="466"/>
      <c r="Y90" s="466"/>
      <c r="Z90" s="466"/>
      <c r="AA90" s="466"/>
    </row>
    <row r="91" spans="1:27" ht="12.75" customHeight="1" x14ac:dyDescent="0.2">
      <c r="A91" s="466"/>
      <c r="B91" s="466"/>
      <c r="C91" s="466"/>
      <c r="D91" s="466"/>
      <c r="E91" s="466"/>
      <c r="F91" s="466"/>
      <c r="G91" s="2330"/>
      <c r="H91" s="2330"/>
      <c r="I91" s="2330"/>
      <c r="J91" s="2330"/>
      <c r="K91" s="2330"/>
      <c r="L91" s="2330"/>
      <c r="M91" s="2330"/>
      <c r="N91" s="2330"/>
      <c r="O91" s="2330"/>
      <c r="P91" s="2330"/>
      <c r="Q91" s="2524"/>
      <c r="R91" s="2525"/>
      <c r="S91" s="2525"/>
      <c r="T91" s="2525"/>
      <c r="U91" s="2526"/>
      <c r="V91" s="2461"/>
      <c r="W91" s="224"/>
      <c r="X91" s="466"/>
      <c r="Y91" s="466"/>
      <c r="Z91" s="466"/>
      <c r="AA91" s="466"/>
    </row>
    <row r="92" spans="1:27" ht="12.75" customHeight="1" x14ac:dyDescent="0.2">
      <c r="A92" s="466"/>
      <c r="B92" s="466"/>
      <c r="C92" s="466"/>
      <c r="D92" s="466"/>
      <c r="E92" s="466"/>
      <c r="F92" s="466"/>
      <c r="G92" s="2330"/>
      <c r="H92" s="2330"/>
      <c r="I92" s="2330"/>
      <c r="J92" s="2330"/>
      <c r="K92" s="2330"/>
      <c r="L92" s="2330"/>
      <c r="M92" s="2330"/>
      <c r="N92" s="2330"/>
      <c r="O92" s="2330"/>
      <c r="P92" s="2330"/>
      <c r="Q92" s="2533" t="s">
        <v>1910</v>
      </c>
      <c r="R92" s="2525"/>
      <c r="S92" s="2525"/>
      <c r="T92" s="2525"/>
      <c r="U92" s="2526"/>
      <c r="V92" s="2469">
        <f>V90*(12/44)</f>
        <v>44941.70431923111</v>
      </c>
      <c r="W92" s="224"/>
      <c r="X92" s="466"/>
      <c r="Y92" s="466"/>
      <c r="Z92" s="466"/>
      <c r="AA92" s="466"/>
    </row>
    <row r="93" spans="1:27" ht="12.75" customHeight="1" x14ac:dyDescent="0.2">
      <c r="A93" s="466"/>
      <c r="B93" s="466"/>
      <c r="C93" s="466"/>
      <c r="D93" s="466"/>
      <c r="E93" s="466"/>
      <c r="F93" s="466"/>
      <c r="G93" s="2330"/>
      <c r="H93" s="2330"/>
      <c r="I93" s="2330"/>
      <c r="J93" s="2330"/>
      <c r="K93" s="2330"/>
      <c r="L93" s="2330"/>
      <c r="M93" s="2330"/>
      <c r="N93" s="2330"/>
      <c r="O93" s="2330"/>
      <c r="P93" s="2330"/>
      <c r="Q93" s="2524"/>
      <c r="R93" s="2525"/>
      <c r="S93" s="2525"/>
      <c r="T93" s="2525"/>
      <c r="U93" s="2526"/>
      <c r="V93" s="2461"/>
      <c r="W93" s="224"/>
      <c r="X93" s="466"/>
      <c r="Y93" s="466"/>
      <c r="Z93" s="466"/>
      <c r="AA93" s="466"/>
    </row>
    <row r="94" spans="1:27" ht="14.25" customHeight="1" x14ac:dyDescent="0.25">
      <c r="A94" s="466"/>
      <c r="B94" s="466"/>
      <c r="C94" s="466"/>
      <c r="D94" s="466"/>
      <c r="E94" s="466"/>
      <c r="F94" s="466"/>
      <c r="G94" s="2330"/>
      <c r="H94" s="2330"/>
      <c r="I94" s="2330"/>
      <c r="J94" s="2330"/>
      <c r="K94" s="2330"/>
      <c r="L94" s="2330"/>
      <c r="M94" s="2330"/>
      <c r="N94" s="2330"/>
      <c r="O94" s="2330"/>
      <c r="P94" s="2330"/>
      <c r="Q94" s="2539" t="s">
        <v>1911</v>
      </c>
      <c r="R94" s="2525"/>
      <c r="S94" s="2525"/>
      <c r="T94" s="2525"/>
      <c r="U94" s="2526"/>
      <c r="V94" s="2480">
        <f>V90*7%</f>
        <v>11535.037441935987</v>
      </c>
      <c r="W94" s="224"/>
      <c r="X94" s="466"/>
      <c r="Y94" s="466"/>
      <c r="Z94" s="466"/>
      <c r="AA94" s="466"/>
    </row>
    <row r="95" spans="1:27" ht="12.75" customHeight="1" x14ac:dyDescent="0.2">
      <c r="A95" s="466"/>
      <c r="B95" s="466"/>
      <c r="C95" s="466"/>
      <c r="D95" s="466"/>
      <c r="E95" s="466"/>
      <c r="F95" s="466"/>
      <c r="G95" s="2330"/>
      <c r="H95" s="2330"/>
      <c r="I95" s="2330"/>
      <c r="J95" s="2330"/>
      <c r="K95" s="2330"/>
      <c r="L95" s="2330"/>
      <c r="M95" s="2330"/>
      <c r="N95" s="2330"/>
      <c r="O95" s="2330"/>
      <c r="P95" s="2330"/>
      <c r="Q95" s="2524"/>
      <c r="R95" s="2525"/>
      <c r="S95" s="2525"/>
      <c r="T95" s="2525"/>
      <c r="U95" s="2526"/>
      <c r="V95" s="2461"/>
      <c r="W95" s="224"/>
      <c r="X95" s="466"/>
      <c r="Y95" s="466"/>
      <c r="Z95" s="466"/>
      <c r="AA95" s="466"/>
    </row>
    <row r="96" spans="1:27" ht="12.75" customHeight="1" x14ac:dyDescent="0.2">
      <c r="A96" s="466"/>
      <c r="B96" s="466"/>
      <c r="C96" s="466"/>
      <c r="D96" s="466"/>
      <c r="E96" s="466"/>
      <c r="F96" s="466"/>
      <c r="G96" s="2330"/>
      <c r="H96" s="2330"/>
      <c r="I96" s="2330"/>
      <c r="J96" s="2330"/>
      <c r="K96" s="2330"/>
      <c r="L96" s="2330"/>
      <c r="M96" s="2330"/>
      <c r="N96" s="2330"/>
      <c r="O96" s="2330"/>
      <c r="P96" s="2330"/>
      <c r="Q96" s="2533" t="s">
        <v>1912</v>
      </c>
      <c r="R96" s="2525"/>
      <c r="S96" s="2525"/>
      <c r="T96" s="2525"/>
      <c r="U96" s="2526"/>
      <c r="V96" s="2469">
        <f>V94*(12/44)</f>
        <v>3145.919302346178</v>
      </c>
      <c r="W96" s="466"/>
      <c r="X96" s="466"/>
      <c r="Y96" s="466"/>
      <c r="Z96" s="466"/>
      <c r="AA96" s="466"/>
    </row>
    <row r="97" spans="1:27" ht="11.25" customHeight="1" x14ac:dyDescent="0.2">
      <c r="A97" s="466"/>
      <c r="B97" s="466"/>
      <c r="C97" s="466"/>
      <c r="D97" s="466"/>
      <c r="E97" s="466"/>
      <c r="F97" s="466"/>
      <c r="G97" s="2330"/>
      <c r="H97" s="2330"/>
      <c r="I97" s="2330"/>
      <c r="J97" s="2330"/>
      <c r="K97" s="2330"/>
      <c r="L97" s="2330"/>
      <c r="M97" s="2330"/>
      <c r="N97" s="2330"/>
      <c r="O97" s="2330"/>
      <c r="P97" s="2330"/>
      <c r="Q97" s="2524"/>
      <c r="R97" s="2525"/>
      <c r="S97" s="2525"/>
      <c r="T97" s="2525"/>
      <c r="U97" s="2526"/>
      <c r="V97" s="2461"/>
      <c r="W97" s="466"/>
      <c r="X97" s="466"/>
      <c r="Y97" s="466"/>
      <c r="Z97" s="466"/>
      <c r="AA97" s="466"/>
    </row>
    <row r="98" spans="1:27" ht="14.25" customHeight="1" x14ac:dyDescent="0.2">
      <c r="A98" s="466"/>
      <c r="B98" s="466"/>
      <c r="C98" s="466"/>
      <c r="D98" s="466"/>
      <c r="E98" s="466"/>
      <c r="F98" s="466"/>
      <c r="G98" s="2330"/>
      <c r="H98" s="2330"/>
      <c r="I98" s="2330"/>
      <c r="J98" s="2330"/>
      <c r="K98" s="2330"/>
      <c r="L98" s="2330"/>
      <c r="M98" s="2330"/>
      <c r="N98" s="2330"/>
      <c r="O98" s="2330"/>
      <c r="P98" s="2330"/>
      <c r="Q98" s="2541" t="s">
        <v>1272</v>
      </c>
      <c r="R98" s="2525"/>
      <c r="S98" s="2525"/>
      <c r="T98" s="2525"/>
      <c r="U98" s="2526"/>
      <c r="V98" s="2472">
        <f>(K86-O86-V90-V94)+ ((LFGTE!X65+LFGTE!Y65+LFGTE!Z65)*0.907184*V89)</f>
        <v>1930115.6758561623</v>
      </c>
      <c r="W98" s="538"/>
      <c r="X98" s="466"/>
      <c r="Y98" s="466"/>
      <c r="Z98" s="466"/>
      <c r="AA98" s="466"/>
    </row>
    <row r="99" spans="1:27" ht="12.75" customHeight="1" x14ac:dyDescent="0.2">
      <c r="A99" s="466"/>
      <c r="B99" s="466"/>
      <c r="C99" s="466"/>
      <c r="D99" s="466"/>
      <c r="E99" s="466"/>
      <c r="F99" s="466"/>
      <c r="G99" s="2330"/>
      <c r="H99" s="2330"/>
      <c r="I99" s="2330"/>
      <c r="J99" s="2330"/>
      <c r="K99" s="2330"/>
      <c r="L99" s="2330"/>
      <c r="M99" s="2330"/>
      <c r="N99" s="2330"/>
      <c r="O99" s="2330"/>
      <c r="P99" s="2330"/>
      <c r="Q99" s="2533"/>
      <c r="R99" s="2525"/>
      <c r="S99" s="2525"/>
      <c r="T99" s="2525"/>
      <c r="U99" s="2526"/>
      <c r="V99" s="2469"/>
      <c r="W99" s="538"/>
      <c r="X99" s="466"/>
      <c r="Y99" s="466"/>
      <c r="Z99" s="466"/>
      <c r="AA99" s="466"/>
    </row>
    <row r="100" spans="1:27" ht="14.25" customHeight="1" x14ac:dyDescent="0.25">
      <c r="A100" s="466"/>
      <c r="B100" s="466"/>
      <c r="C100" s="466"/>
      <c r="D100" s="466"/>
      <c r="E100" s="466"/>
      <c r="F100" s="466"/>
      <c r="G100" s="2330"/>
      <c r="H100" s="2330"/>
      <c r="I100" s="2330"/>
      <c r="J100" s="2330"/>
      <c r="K100" s="2330"/>
      <c r="L100" s="2330"/>
      <c r="M100" s="2330"/>
      <c r="N100" s="2330"/>
      <c r="O100" s="2330"/>
      <c r="P100" s="2330"/>
      <c r="Q100" s="2544" t="s">
        <v>1915</v>
      </c>
      <c r="R100" s="2545"/>
      <c r="S100" s="2545"/>
      <c r="T100" s="2545"/>
      <c r="U100" s="2546"/>
      <c r="V100" s="2473">
        <f>((LFGTE!T65+LFGTE!U65+LFGTE!V65)*0.907184)</f>
        <v>162071.14427667667</v>
      </c>
      <c r="W100" s="538"/>
      <c r="X100" s="466"/>
      <c r="Y100" s="466"/>
      <c r="Z100" s="466"/>
      <c r="AA100" s="466"/>
    </row>
    <row r="101" spans="1:27" ht="12.75" customHeight="1" x14ac:dyDescent="0.2">
      <c r="A101" s="466"/>
      <c r="B101" s="466"/>
      <c r="C101" s="466"/>
      <c r="D101" s="466"/>
      <c r="E101" s="466"/>
      <c r="F101" s="466"/>
      <c r="G101" s="2330"/>
      <c r="H101" s="2330"/>
      <c r="I101" s="2330"/>
      <c r="J101" s="2330"/>
      <c r="K101" s="2330"/>
      <c r="L101" s="2330"/>
      <c r="M101" s="2330"/>
      <c r="N101" s="2330"/>
      <c r="O101" s="2330"/>
      <c r="P101" s="2330"/>
      <c r="Q101" s="2542"/>
      <c r="R101" s="2525"/>
      <c r="S101" s="2525"/>
      <c r="T101" s="2525"/>
      <c r="U101" s="2526"/>
      <c r="V101" s="2473"/>
      <c r="W101" s="538"/>
      <c r="X101" s="466"/>
      <c r="Y101" s="466"/>
      <c r="Z101" s="466"/>
      <c r="AA101" s="466"/>
    </row>
    <row r="102" spans="1:27" ht="14.25" customHeight="1" x14ac:dyDescent="0.25">
      <c r="A102" s="466"/>
      <c r="B102" s="466"/>
      <c r="C102" s="466"/>
      <c r="D102" s="466"/>
      <c r="E102" s="466"/>
      <c r="F102" s="466"/>
      <c r="G102" s="2330"/>
      <c r="H102" s="2330"/>
      <c r="I102" s="2330"/>
      <c r="J102" s="2330"/>
      <c r="K102" s="2330"/>
      <c r="L102" s="2330"/>
      <c r="M102" s="2330"/>
      <c r="N102" s="2330"/>
      <c r="O102" s="2330"/>
      <c r="P102" s="2330"/>
      <c r="Q102" s="2547" t="s">
        <v>1913</v>
      </c>
      <c r="R102" s="2548"/>
      <c r="S102" s="2548"/>
      <c r="T102" s="2548"/>
      <c r="U102" s="2549"/>
      <c r="V102" s="2474">
        <f>V100/1000000</f>
        <v>0.16207114427667668</v>
      </c>
      <c r="W102" s="538"/>
      <c r="X102" s="466"/>
      <c r="Y102" s="466"/>
      <c r="Z102" s="466"/>
      <c r="AA102" s="466"/>
    </row>
    <row r="103" spans="1:27" ht="12.75" customHeight="1" x14ac:dyDescent="0.2">
      <c r="A103" s="466"/>
      <c r="B103" s="466"/>
      <c r="C103" s="466"/>
      <c r="D103" s="466"/>
      <c r="E103" s="466"/>
      <c r="F103" s="466"/>
      <c r="G103" s="2330"/>
      <c r="H103" s="2330"/>
      <c r="I103" s="2330"/>
      <c r="J103" s="2330"/>
      <c r="K103" s="2330"/>
      <c r="L103" s="2330"/>
      <c r="M103" s="2330"/>
      <c r="N103" s="2330"/>
      <c r="O103" s="2330"/>
      <c r="P103" s="2330"/>
      <c r="Q103" s="2542"/>
      <c r="R103" s="2525"/>
      <c r="S103" s="2525"/>
      <c r="T103" s="2525"/>
      <c r="U103" s="2526"/>
      <c r="V103" s="2473"/>
      <c r="W103" s="538"/>
      <c r="X103" s="466"/>
      <c r="Y103" s="466"/>
      <c r="Z103" s="466"/>
      <c r="AA103" s="466"/>
    </row>
    <row r="104" spans="1:27" ht="14.25" customHeight="1" x14ac:dyDescent="0.2">
      <c r="A104" s="466"/>
      <c r="B104" s="466"/>
      <c r="C104" s="466"/>
      <c r="D104" s="466"/>
      <c r="E104" s="466"/>
      <c r="F104" s="466"/>
      <c r="G104" s="2330"/>
      <c r="H104" s="2330"/>
      <c r="I104" s="2330"/>
      <c r="J104" s="2330"/>
      <c r="K104" s="2330"/>
      <c r="L104" s="2330"/>
      <c r="M104" s="2330"/>
      <c r="N104" s="2330"/>
      <c r="O104" s="2330"/>
      <c r="P104" s="2330"/>
      <c r="Q104" s="2543" t="s">
        <v>1916</v>
      </c>
      <c r="R104" s="2525"/>
      <c r="S104" s="2525"/>
      <c r="T104" s="2525"/>
      <c r="U104" s="2526"/>
      <c r="V104" s="2475">
        <f>((J77*0.907184)/1000000)+V102</f>
        <v>0.4795319297022767</v>
      </c>
      <c r="W104" s="466"/>
      <c r="X104" s="466"/>
      <c r="Y104" s="466"/>
      <c r="Z104" s="466"/>
      <c r="AA104" s="466"/>
    </row>
    <row r="105" spans="1:27" ht="14.25" customHeight="1" x14ac:dyDescent="0.2">
      <c r="A105" s="466"/>
      <c r="B105" s="466"/>
      <c r="C105" s="466"/>
      <c r="D105" s="466"/>
      <c r="E105" s="466"/>
      <c r="F105" s="466"/>
      <c r="G105" s="2330"/>
      <c r="H105" s="2330"/>
      <c r="I105" s="2330"/>
      <c r="J105" s="2330"/>
      <c r="K105" s="2330"/>
      <c r="L105" s="2330"/>
      <c r="M105" s="2330"/>
      <c r="N105" s="2330"/>
      <c r="O105" s="2330"/>
      <c r="P105" s="2330"/>
      <c r="Q105" s="2524"/>
      <c r="R105" s="2525"/>
      <c r="S105" s="2525"/>
      <c r="T105" s="2525"/>
      <c r="U105" s="2526"/>
      <c r="V105" s="2461"/>
      <c r="W105" s="466"/>
      <c r="X105" s="466"/>
      <c r="Y105" s="466"/>
      <c r="Z105" s="466"/>
      <c r="AA105" s="466"/>
    </row>
    <row r="106" spans="1:27" ht="14.25" x14ac:dyDescent="0.25">
      <c r="A106" s="466"/>
      <c r="B106" s="466"/>
      <c r="C106" s="466"/>
      <c r="D106" s="466"/>
      <c r="E106" s="466"/>
      <c r="F106" s="466"/>
      <c r="G106" s="2330"/>
      <c r="H106" s="2330"/>
      <c r="I106" s="2330"/>
      <c r="J106" s="2330"/>
      <c r="K106" s="2330"/>
      <c r="L106" s="2330"/>
      <c r="M106" s="2330"/>
      <c r="N106" s="2330"/>
      <c r="O106" s="2330"/>
      <c r="P106" s="2330"/>
      <c r="Q106" s="2540" t="s">
        <v>1914</v>
      </c>
      <c r="R106" s="2525"/>
      <c r="S106" s="2525"/>
      <c r="T106" s="2525"/>
      <c r="U106" s="2526"/>
      <c r="V106" s="2476">
        <f>V98/1000000</f>
        <v>1.9301156758561624</v>
      </c>
      <c r="W106" s="466"/>
      <c r="X106" s="466"/>
      <c r="Y106" s="466"/>
      <c r="Z106" s="466"/>
      <c r="AA106" s="466"/>
    </row>
    <row r="107" spans="1:27" ht="11.25" customHeight="1" x14ac:dyDescent="0.2">
      <c r="A107" s="466"/>
      <c r="B107" s="466"/>
      <c r="C107" s="466"/>
      <c r="D107" s="466"/>
      <c r="E107" s="466"/>
      <c r="F107" s="466"/>
      <c r="G107" s="466"/>
      <c r="H107" s="466"/>
      <c r="I107" s="466"/>
      <c r="J107" s="466"/>
      <c r="K107" s="466"/>
      <c r="L107" s="466"/>
      <c r="M107" s="466"/>
      <c r="N107" s="466"/>
      <c r="O107" s="466"/>
      <c r="P107" s="466"/>
      <c r="Q107" s="10"/>
      <c r="R107" s="10"/>
      <c r="S107" s="10"/>
      <c r="T107" s="10"/>
      <c r="U107" s="10"/>
      <c r="V107" s="10"/>
      <c r="W107" s="466"/>
      <c r="X107" s="466"/>
      <c r="Y107" s="466"/>
      <c r="Z107" s="466"/>
      <c r="AA107" s="466"/>
    </row>
    <row r="108" spans="1:27" ht="11.25" customHeight="1" x14ac:dyDescent="0.2">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row>
    <row r="109" spans="1:27" ht="11.25" customHeight="1" x14ac:dyDescent="0.2">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row>
    <row r="110" spans="1:27" ht="11.25" customHeight="1" x14ac:dyDescent="0.2">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row>
    <row r="111" spans="1:27" ht="11.25" customHeight="1" x14ac:dyDescent="0.2">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row>
    <row r="112" spans="1:27" ht="11.25" customHeight="1" x14ac:dyDescent="0.2">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row>
    <row r="113" spans="1:27" ht="11.25" customHeight="1" x14ac:dyDescent="0.2">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row>
    <row r="114" spans="1:27" ht="11.25" customHeight="1" x14ac:dyDescent="0.2">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row>
    <row r="115" spans="1:27" ht="11.25" customHeight="1" x14ac:dyDescent="0.2">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row>
    <row r="116" spans="1:27" ht="11.25" customHeight="1" x14ac:dyDescent="0.2">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row>
    <row r="117" spans="1:27" ht="11.25" customHeight="1" x14ac:dyDescent="0.2">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row>
    <row r="118" spans="1:27" ht="11.25" customHeight="1" x14ac:dyDescent="0.2">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row>
    <row r="119" spans="1:27" ht="11.25" customHeight="1" x14ac:dyDescent="0.2">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row>
    <row r="120" spans="1:27" ht="11.25" customHeight="1" x14ac:dyDescent="0.2">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row>
    <row r="121" spans="1:27" ht="11.25" customHeight="1" x14ac:dyDescent="0.2">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row>
    <row r="122" spans="1:27" ht="11.25" customHeight="1" x14ac:dyDescent="0.2">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row>
    <row r="123" spans="1:27" ht="11.25" customHeight="1" x14ac:dyDescent="0.2">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row>
    <row r="124" spans="1:27" ht="11.25" customHeight="1" x14ac:dyDescent="0.2">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row>
    <row r="125" spans="1:27" ht="11.25" customHeight="1" x14ac:dyDescent="0.2">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row>
    <row r="126" spans="1:27" ht="11.25" customHeight="1" x14ac:dyDescent="0.2">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row>
    <row r="127" spans="1:27" ht="11.25" customHeight="1" x14ac:dyDescent="0.2">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row>
    <row r="128" spans="1:27" ht="11.25" customHeight="1" x14ac:dyDescent="0.2">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row>
    <row r="129" spans="1:27" ht="11.25" customHeight="1" x14ac:dyDescent="0.2">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row>
    <row r="130" spans="1:27" ht="11.25" customHeight="1" x14ac:dyDescent="0.2">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row>
    <row r="131" spans="1:27" ht="11.25" customHeight="1" x14ac:dyDescent="0.2">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row>
    <row r="132" spans="1:27" ht="11.25" customHeight="1" x14ac:dyDescent="0.2">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row>
    <row r="133" spans="1:27" ht="11.25" customHeight="1" x14ac:dyDescent="0.2">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row>
    <row r="134" spans="1:27" ht="11.25" customHeight="1" x14ac:dyDescent="0.2">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row>
    <row r="135" spans="1:27" ht="11.25" customHeight="1" x14ac:dyDescent="0.2">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row>
    <row r="136" spans="1:27" ht="11.25" customHeight="1" x14ac:dyDescent="0.2">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row>
    <row r="137" spans="1:27" ht="11.25" customHeight="1" x14ac:dyDescent="0.2">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row>
    <row r="138" spans="1:27" ht="11.25" customHeight="1" x14ac:dyDescent="0.2">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row>
    <row r="139" spans="1:27" ht="11.25" customHeight="1" x14ac:dyDescent="0.2">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row>
    <row r="140" spans="1:27" ht="11.25" customHeight="1" x14ac:dyDescent="0.2">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row>
    <row r="141" spans="1:27" ht="11.25" customHeight="1" x14ac:dyDescent="0.2">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row>
    <row r="142" spans="1:27" ht="11.25" customHeight="1" x14ac:dyDescent="0.2">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row>
    <row r="143" spans="1:27" ht="11.25" customHeight="1" x14ac:dyDescent="0.2">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row>
    <row r="144" spans="1:27" ht="11.25" customHeight="1" x14ac:dyDescent="0.2">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row>
    <row r="145" spans="1:27" ht="11.25" customHeight="1" x14ac:dyDescent="0.2">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row>
    <row r="146" spans="1:27" ht="11.25" customHeight="1" x14ac:dyDescent="0.2">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row>
    <row r="147" spans="1:27" ht="11.25" customHeight="1" x14ac:dyDescent="0.2">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row>
    <row r="148" spans="1:27" ht="11.25" customHeight="1" x14ac:dyDescent="0.2">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row>
    <row r="149" spans="1:27" ht="11.25" customHeight="1" x14ac:dyDescent="0.2">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row>
    <row r="150" spans="1:27" ht="11.25" customHeight="1" x14ac:dyDescent="0.2">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row>
    <row r="151" spans="1:27" ht="11.25" customHeight="1" x14ac:dyDescent="0.2">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row>
    <row r="152" spans="1:27" ht="11.25" customHeight="1" x14ac:dyDescent="0.2">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row>
    <row r="153" spans="1:27" ht="11.25" customHeight="1" x14ac:dyDescent="0.2">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row>
    <row r="154" spans="1:27" ht="11.25" customHeight="1" x14ac:dyDescent="0.2">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row>
    <row r="155" spans="1:27" ht="11.25" customHeight="1" x14ac:dyDescent="0.2">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row>
    <row r="156" spans="1:27" ht="11.25" customHeight="1" x14ac:dyDescent="0.2">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row>
    <row r="157" spans="1:27" ht="11.25" customHeight="1" x14ac:dyDescent="0.2">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row>
    <row r="158" spans="1:27" ht="11.25" customHeight="1" x14ac:dyDescent="0.2">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row>
    <row r="159" spans="1:27" ht="11.25" customHeight="1" x14ac:dyDescent="0.2">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row>
    <row r="160" spans="1:27" ht="11.25" customHeight="1" x14ac:dyDescent="0.2">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row>
    <row r="161" spans="1:27" ht="11.25" customHeight="1" x14ac:dyDescent="0.2">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row>
    <row r="162" spans="1:27" ht="11.25" customHeight="1" x14ac:dyDescent="0.2">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row>
    <row r="163" spans="1:27" ht="11.25" customHeight="1" x14ac:dyDescent="0.2">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c r="AA163" s="466"/>
    </row>
    <row r="164" spans="1:27" ht="11.25" customHeight="1" x14ac:dyDescent="0.2">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row>
    <row r="165" spans="1:27" ht="11.25" customHeight="1" x14ac:dyDescent="0.2">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c r="AA165" s="466"/>
    </row>
    <row r="166" spans="1:27" ht="11.25" customHeight="1" x14ac:dyDescent="0.2">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row>
    <row r="167" spans="1:27" ht="11.25" customHeight="1" x14ac:dyDescent="0.2">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c r="AA167" s="466"/>
    </row>
    <row r="168" spans="1:27" ht="11.25" customHeight="1" x14ac:dyDescent="0.2">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c r="AA168" s="466"/>
    </row>
    <row r="169" spans="1:27" ht="11.25" customHeight="1" x14ac:dyDescent="0.2">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c r="AA169" s="466"/>
    </row>
    <row r="170" spans="1:27" ht="11.25" customHeight="1" x14ac:dyDescent="0.2">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row>
    <row r="171" spans="1:27" ht="11.25" customHeight="1" x14ac:dyDescent="0.2">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row>
    <row r="172" spans="1:27" ht="11.25" customHeight="1" x14ac:dyDescent="0.2">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row>
    <row r="173" spans="1:27" ht="11.25" customHeight="1" x14ac:dyDescent="0.2">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row>
    <row r="174" spans="1:27" ht="11.25" customHeight="1" x14ac:dyDescent="0.2">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row>
    <row r="175" spans="1:27" ht="11.25" customHeight="1" x14ac:dyDescent="0.2">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row>
    <row r="176" spans="1:27" ht="11.25" customHeight="1" x14ac:dyDescent="0.2">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row>
    <row r="177" spans="1:27" ht="11.25" customHeight="1" x14ac:dyDescent="0.2">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row>
    <row r="178" spans="1:27" ht="11.25" customHeight="1" x14ac:dyDescent="0.2">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row>
    <row r="179" spans="1:27" ht="11.25" customHeight="1" x14ac:dyDescent="0.2">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row>
    <row r="180" spans="1:27" ht="11.25" customHeight="1" x14ac:dyDescent="0.2">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row>
    <row r="181" spans="1:27" ht="11.25" customHeight="1" x14ac:dyDescent="0.2">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row>
    <row r="182" spans="1:27" ht="11.25" customHeight="1" x14ac:dyDescent="0.2">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row>
    <row r="183" spans="1:27" ht="11.25" customHeight="1" x14ac:dyDescent="0.2">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row>
    <row r="184" spans="1:27" ht="11.25" customHeight="1" x14ac:dyDescent="0.2">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row>
    <row r="185" spans="1:27" ht="11.25" customHeight="1" x14ac:dyDescent="0.2">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c r="AA185" s="466"/>
    </row>
    <row r="186" spans="1:27" ht="11.25" customHeight="1" x14ac:dyDescent="0.2">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c r="AA186" s="466"/>
    </row>
    <row r="187" spans="1:27" ht="11.25" customHeight="1" x14ac:dyDescent="0.2">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row>
    <row r="188" spans="1:27" ht="11.25" customHeight="1" x14ac:dyDescent="0.2">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c r="AA188" s="466"/>
    </row>
    <row r="189" spans="1:27" ht="11.25" customHeight="1" x14ac:dyDescent="0.2">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c r="AA189" s="466"/>
    </row>
    <row r="190" spans="1:27" ht="11.25" customHeight="1" x14ac:dyDescent="0.2">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c r="AA190" s="466"/>
    </row>
    <row r="191" spans="1:27" ht="11.25" customHeight="1" x14ac:dyDescent="0.2">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row>
    <row r="192" spans="1:27" ht="11.25" customHeight="1" x14ac:dyDescent="0.2">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c r="AA192" s="466"/>
    </row>
    <row r="193" spans="1:27" ht="11.25" customHeight="1" x14ac:dyDescent="0.2">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c r="AA193" s="466"/>
    </row>
    <row r="194" spans="1:27" ht="11.25" customHeight="1" x14ac:dyDescent="0.2">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c r="AA194" s="466"/>
    </row>
    <row r="195" spans="1:27" ht="11.25" customHeight="1" x14ac:dyDescent="0.2">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c r="AA195" s="466"/>
    </row>
    <row r="196" spans="1:27" ht="11.25" customHeight="1" x14ac:dyDescent="0.2">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c r="AA196" s="466"/>
    </row>
    <row r="197" spans="1:27" ht="11.25" customHeight="1" x14ac:dyDescent="0.2">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c r="AA197" s="466"/>
    </row>
    <row r="198" spans="1:27" ht="11.25" customHeight="1" x14ac:dyDescent="0.2">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c r="AA198" s="466"/>
    </row>
    <row r="199" spans="1:27" ht="11.25" customHeight="1" x14ac:dyDescent="0.2">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c r="AA199" s="466"/>
    </row>
    <row r="200" spans="1:27" ht="11.25" customHeight="1" x14ac:dyDescent="0.2">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c r="AA200" s="466"/>
    </row>
    <row r="201" spans="1:27" ht="11.25" customHeight="1" x14ac:dyDescent="0.2">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c r="AA201" s="466"/>
    </row>
    <row r="202" spans="1:27" ht="11.25" customHeight="1" x14ac:dyDescent="0.2">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c r="AA202" s="466"/>
    </row>
    <row r="203" spans="1:27" ht="11.25" customHeight="1" x14ac:dyDescent="0.2">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row>
    <row r="204" spans="1:27" ht="11.25" customHeight="1" x14ac:dyDescent="0.2">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c r="AA204" s="466"/>
    </row>
    <row r="205" spans="1:27" ht="11.25" customHeight="1" x14ac:dyDescent="0.2">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c r="AA205" s="466"/>
    </row>
    <row r="206" spans="1:27" ht="11.25" customHeight="1" x14ac:dyDescent="0.2">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c r="AA206" s="466"/>
    </row>
    <row r="207" spans="1:27" ht="11.25" customHeight="1" x14ac:dyDescent="0.2">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c r="AA207" s="466"/>
    </row>
    <row r="208" spans="1:27" ht="11.25" customHeight="1" x14ac:dyDescent="0.2">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c r="AA208" s="466"/>
    </row>
    <row r="209" spans="1:27" ht="11.25" customHeight="1" x14ac:dyDescent="0.2">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row>
    <row r="210" spans="1:27" ht="11.25" customHeight="1" x14ac:dyDescent="0.2">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c r="AA210" s="466"/>
    </row>
    <row r="211" spans="1:27" ht="11.25" customHeight="1" x14ac:dyDescent="0.2">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c r="AA211" s="466"/>
    </row>
    <row r="212" spans="1:27" ht="11.25" customHeight="1" x14ac:dyDescent="0.2">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row>
    <row r="213" spans="1:27" ht="11.25" customHeight="1" x14ac:dyDescent="0.2">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c r="AA213" s="466"/>
    </row>
    <row r="214" spans="1:27" ht="11.25" customHeight="1" x14ac:dyDescent="0.2">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row>
    <row r="215" spans="1:27" ht="11.25" customHeight="1" x14ac:dyDescent="0.2">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c r="AA215" s="466"/>
    </row>
    <row r="216" spans="1:27" ht="11.25" customHeight="1" x14ac:dyDescent="0.2">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c r="AA216" s="466"/>
    </row>
    <row r="217" spans="1:27" ht="11.25" customHeight="1" x14ac:dyDescent="0.2">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c r="AA217" s="466"/>
    </row>
    <row r="218" spans="1:27" ht="11.25" customHeight="1" x14ac:dyDescent="0.2">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c r="AA218" s="466"/>
    </row>
    <row r="219" spans="1:27" ht="11.25" customHeight="1" x14ac:dyDescent="0.2">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c r="AA219" s="466"/>
    </row>
    <row r="220" spans="1:27" ht="11.25" customHeight="1" x14ac:dyDescent="0.2">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c r="AA220" s="466"/>
    </row>
    <row r="221" spans="1:27" ht="11.25" customHeight="1" x14ac:dyDescent="0.2">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c r="AA221" s="466"/>
    </row>
    <row r="222" spans="1:27" ht="11.25" customHeight="1" x14ac:dyDescent="0.2">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c r="AA222" s="466"/>
    </row>
    <row r="223" spans="1:27" ht="11.25" customHeight="1" x14ac:dyDescent="0.2">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c r="AA223" s="466"/>
    </row>
    <row r="224" spans="1:27" ht="11.25" customHeight="1" x14ac:dyDescent="0.2">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row>
    <row r="225" spans="1:27" ht="11.25" customHeight="1" x14ac:dyDescent="0.2">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row>
    <row r="226" spans="1:27" ht="11.25" customHeight="1" x14ac:dyDescent="0.2">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row>
    <row r="227" spans="1:27" ht="11.25" customHeight="1" x14ac:dyDescent="0.2">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row>
    <row r="228" spans="1:27" ht="11.25" customHeight="1" x14ac:dyDescent="0.2">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row>
    <row r="229" spans="1:27" ht="11.25" customHeight="1" x14ac:dyDescent="0.2">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c r="AA229" s="466"/>
    </row>
    <row r="230" spans="1:27" ht="11.25" customHeight="1" x14ac:dyDescent="0.2">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row>
    <row r="231" spans="1:27" ht="11.25" customHeight="1" x14ac:dyDescent="0.2">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row>
    <row r="232" spans="1:27" ht="11.25" customHeight="1" x14ac:dyDescent="0.2">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row>
    <row r="233" spans="1:27" ht="11.25" customHeight="1" x14ac:dyDescent="0.2">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row>
    <row r="234" spans="1:27" ht="11.25" customHeight="1" x14ac:dyDescent="0.2">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row>
    <row r="235" spans="1:27" ht="11.25" customHeight="1" x14ac:dyDescent="0.2">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c r="AA235" s="466"/>
    </row>
    <row r="236" spans="1:27" ht="11.25" customHeight="1" x14ac:dyDescent="0.2">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row>
    <row r="237" spans="1:27" ht="11.25" customHeight="1" x14ac:dyDescent="0.2">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row>
    <row r="238" spans="1:27" ht="11.25" customHeight="1" x14ac:dyDescent="0.2">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row>
    <row r="239" spans="1:27" ht="11.25" customHeight="1" x14ac:dyDescent="0.2">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row>
    <row r="240" spans="1:27" ht="11.25" customHeight="1" x14ac:dyDescent="0.2">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row>
    <row r="241" spans="1:27" ht="11.25" customHeight="1" x14ac:dyDescent="0.2">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row>
    <row r="242" spans="1:27" ht="11.25" customHeight="1" x14ac:dyDescent="0.2">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row>
    <row r="243" spans="1:27" ht="11.25" customHeight="1" x14ac:dyDescent="0.2">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row>
    <row r="244" spans="1:27" ht="11.25" customHeight="1" x14ac:dyDescent="0.2">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A244" s="466"/>
    </row>
    <row r="245" spans="1:27" ht="11.25" customHeight="1" x14ac:dyDescent="0.2">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c r="AA245" s="466"/>
    </row>
    <row r="246" spans="1:27" ht="11.25" customHeight="1" x14ac:dyDescent="0.2">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c r="AA246" s="466"/>
    </row>
    <row r="247" spans="1:27" ht="11.25" customHeight="1" x14ac:dyDescent="0.2">
      <c r="A247" s="46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c r="AA247" s="466"/>
    </row>
    <row r="248" spans="1:27" ht="11.25" customHeight="1" x14ac:dyDescent="0.2">
      <c r="A248" s="46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c r="AA248" s="466"/>
    </row>
    <row r="249" spans="1:27" ht="11.25" customHeight="1" x14ac:dyDescent="0.2">
      <c r="A249" s="46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c r="AA249" s="466"/>
    </row>
    <row r="250" spans="1:27" ht="11.25" customHeight="1" x14ac:dyDescent="0.2">
      <c r="A250" s="46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c r="AA250" s="466"/>
    </row>
    <row r="251" spans="1:27" ht="11.25" customHeight="1" x14ac:dyDescent="0.2">
      <c r="A251" s="46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c r="AA251" s="466"/>
    </row>
    <row r="252" spans="1:27" ht="11.25" customHeight="1" x14ac:dyDescent="0.2">
      <c r="A252" s="46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c r="AA252" s="466"/>
    </row>
    <row r="253" spans="1:27" ht="11.25" customHeight="1" x14ac:dyDescent="0.2">
      <c r="A253" s="46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c r="AA253" s="466"/>
    </row>
    <row r="254" spans="1:27" ht="11.25" customHeight="1" x14ac:dyDescent="0.2">
      <c r="A254" s="46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c r="AA254" s="466"/>
    </row>
    <row r="255" spans="1:27" ht="11.25" customHeight="1" x14ac:dyDescent="0.2">
      <c r="A255" s="46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c r="AA255" s="466"/>
    </row>
    <row r="256" spans="1:27" ht="11.25" customHeight="1" x14ac:dyDescent="0.2">
      <c r="A256" s="46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c r="AA256" s="466"/>
    </row>
    <row r="257" spans="1:27" ht="11.25" customHeight="1" x14ac:dyDescent="0.2">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c r="AA257" s="466"/>
    </row>
    <row r="258" spans="1:27" ht="11.25" customHeight="1" x14ac:dyDescent="0.2">
      <c r="A258" s="46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c r="AA258" s="466"/>
    </row>
    <row r="259" spans="1:27" ht="11.25" customHeight="1" x14ac:dyDescent="0.2">
      <c r="A259" s="46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c r="AA259" s="466"/>
    </row>
    <row r="260" spans="1:27" ht="11.25" customHeight="1" x14ac:dyDescent="0.2">
      <c r="A260" s="46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c r="AA260" s="466"/>
    </row>
    <row r="261" spans="1:27" ht="11.25" customHeight="1" x14ac:dyDescent="0.2">
      <c r="A261" s="46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c r="AA261" s="466"/>
    </row>
    <row r="262" spans="1:27" ht="11.25" customHeight="1" x14ac:dyDescent="0.2">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c r="AA262" s="466"/>
    </row>
    <row r="263" spans="1:27" ht="11.25" customHeight="1" x14ac:dyDescent="0.2">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c r="AA263" s="466"/>
    </row>
    <row r="264" spans="1:27" ht="11.25" customHeight="1" x14ac:dyDescent="0.2">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c r="AA264" s="466"/>
    </row>
    <row r="265" spans="1:27" ht="11.25" customHeight="1" x14ac:dyDescent="0.2">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c r="AA265" s="466"/>
    </row>
    <row r="266" spans="1:27" ht="11.25" customHeight="1" x14ac:dyDescent="0.2">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c r="AA266" s="466"/>
    </row>
    <row r="267" spans="1:27" ht="11.25" customHeight="1" x14ac:dyDescent="0.2">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c r="AA267" s="466"/>
    </row>
    <row r="268" spans="1:27" ht="11.25" customHeight="1" x14ac:dyDescent="0.2">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c r="AA268" s="466"/>
    </row>
    <row r="269" spans="1:27" ht="11.25" customHeight="1" x14ac:dyDescent="0.2">
      <c r="A269" s="46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c r="AA269" s="466"/>
    </row>
    <row r="270" spans="1:27" ht="11.25" customHeight="1" x14ac:dyDescent="0.2">
      <c r="A270" s="46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c r="AA270" s="466"/>
    </row>
    <row r="271" spans="1:27" ht="11.25" customHeight="1" x14ac:dyDescent="0.2">
      <c r="A271" s="46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c r="AA271" s="466"/>
    </row>
    <row r="272" spans="1:27" ht="11.25" customHeight="1" x14ac:dyDescent="0.2">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row>
    <row r="273" spans="1:27" ht="11.25" customHeight="1" x14ac:dyDescent="0.2">
      <c r="A273" s="46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row>
    <row r="274" spans="1:27" ht="11.25" customHeight="1" x14ac:dyDescent="0.2">
      <c r="A274" s="46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c r="AA274" s="466"/>
    </row>
    <row r="275" spans="1:27" ht="11.25" customHeight="1" x14ac:dyDescent="0.2">
      <c r="A275" s="46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c r="AA275" s="466"/>
    </row>
    <row r="276" spans="1:27" ht="11.25" customHeight="1" x14ac:dyDescent="0.2">
      <c r="A276" s="46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c r="AA276" s="466"/>
    </row>
    <row r="277" spans="1:27" ht="11.25" customHeight="1" x14ac:dyDescent="0.2">
      <c r="A277" s="46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c r="AA277" s="466"/>
    </row>
    <row r="278" spans="1:27" ht="11.25" customHeight="1" x14ac:dyDescent="0.2">
      <c r="A278" s="46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c r="AA278" s="466"/>
    </row>
    <row r="279" spans="1:27" ht="11.25" customHeight="1" x14ac:dyDescent="0.2">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c r="AA279" s="466"/>
    </row>
    <row r="280" spans="1:27" ht="11.25" customHeight="1" x14ac:dyDescent="0.2">
      <c r="A280" s="46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c r="AA280" s="466"/>
    </row>
    <row r="281" spans="1:27" ht="11.25" customHeight="1" x14ac:dyDescent="0.2">
      <c r="A281" s="46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c r="AA281" s="466"/>
    </row>
    <row r="282" spans="1:27" ht="11.25" customHeight="1" x14ac:dyDescent="0.2">
      <c r="A282" s="46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c r="AA282" s="466"/>
    </row>
    <row r="283" spans="1:27" ht="11.25" customHeight="1" x14ac:dyDescent="0.2">
      <c r="A283" s="46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c r="AA283" s="466"/>
    </row>
    <row r="284" spans="1:27" ht="11.25" customHeight="1" x14ac:dyDescent="0.2">
      <c r="A284" s="46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c r="AA284" s="466"/>
    </row>
    <row r="285" spans="1:27" ht="11.25" customHeight="1" x14ac:dyDescent="0.2">
      <c r="A285" s="46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c r="AA285" s="466"/>
    </row>
    <row r="286" spans="1:27" ht="11.25" customHeight="1" x14ac:dyDescent="0.2">
      <c r="A286" s="46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c r="AA286" s="466"/>
    </row>
    <row r="287" spans="1:27" ht="11.25" customHeight="1" x14ac:dyDescent="0.2">
      <c r="A287" s="46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c r="AA287" s="466"/>
    </row>
    <row r="288" spans="1:27" ht="11.25" customHeight="1" x14ac:dyDescent="0.2">
      <c r="A288" s="46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c r="AA288" s="466"/>
    </row>
    <row r="289" spans="1:27" ht="11.25" customHeight="1" x14ac:dyDescent="0.2">
      <c r="A289" s="46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c r="AA289" s="466"/>
    </row>
    <row r="290" spans="1:27" ht="11.25" customHeight="1" x14ac:dyDescent="0.2">
      <c r="A290" s="46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c r="AA290" s="466"/>
    </row>
    <row r="291" spans="1:27" ht="11.25" customHeight="1" x14ac:dyDescent="0.2">
      <c r="A291" s="46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c r="AA291" s="466"/>
    </row>
    <row r="292" spans="1:27" ht="11.25" customHeight="1" x14ac:dyDescent="0.2">
      <c r="A292" s="46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c r="AA292" s="466"/>
    </row>
    <row r="293" spans="1:27" ht="11.25" customHeight="1" x14ac:dyDescent="0.2">
      <c r="A293" s="46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c r="AA293" s="466"/>
    </row>
    <row r="294" spans="1:27" ht="11.25" customHeight="1" x14ac:dyDescent="0.2">
      <c r="A294" s="46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c r="AA294" s="466"/>
    </row>
    <row r="295" spans="1:27" ht="11.25" customHeight="1" x14ac:dyDescent="0.2">
      <c r="A295" s="46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c r="AA295" s="466"/>
    </row>
    <row r="296" spans="1:27" ht="11.25" customHeight="1" x14ac:dyDescent="0.2">
      <c r="A296" s="46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c r="AA296" s="466"/>
    </row>
    <row r="297" spans="1:27" ht="11.25" customHeight="1" x14ac:dyDescent="0.2">
      <c r="A297" s="46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c r="AA297" s="466"/>
    </row>
    <row r="298" spans="1:27" ht="11.25" customHeight="1" x14ac:dyDescent="0.2">
      <c r="A298" s="46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c r="AA298" s="466"/>
    </row>
    <row r="299" spans="1:27" ht="11.25" customHeight="1" x14ac:dyDescent="0.2">
      <c r="A299" s="46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c r="AA299" s="466"/>
    </row>
    <row r="300" spans="1:27" ht="11.25" customHeight="1" x14ac:dyDescent="0.2">
      <c r="A300" s="46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c r="AA300" s="466"/>
    </row>
    <row r="301" spans="1:27" ht="11.25" customHeight="1" x14ac:dyDescent="0.2">
      <c r="A301" s="46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c r="AA301" s="466"/>
    </row>
    <row r="302" spans="1:27" ht="11.25" customHeight="1" x14ac:dyDescent="0.2">
      <c r="A302" s="46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c r="AA302" s="466"/>
    </row>
    <row r="303" spans="1:27" ht="11.25" customHeight="1" x14ac:dyDescent="0.2">
      <c r="A303" s="46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c r="AA303" s="466"/>
    </row>
    <row r="304" spans="1:27" ht="11.25" customHeight="1" x14ac:dyDescent="0.2">
      <c r="A304" s="46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c r="AA304" s="466"/>
    </row>
    <row r="305" spans="1:27" ht="11.25" customHeight="1" x14ac:dyDescent="0.2">
      <c r="A305" s="46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c r="AA305" s="466"/>
    </row>
    <row r="306" spans="1:27" ht="11.25" customHeight="1" x14ac:dyDescent="0.2">
      <c r="A306" s="46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c r="AA306" s="466"/>
    </row>
    <row r="307" spans="1:27" ht="15.75" customHeight="1" x14ac:dyDescent="0.2">
      <c r="A307" s="46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c r="AA307" s="466"/>
    </row>
    <row r="308" spans="1:27" ht="15.75" customHeight="1" x14ac:dyDescent="0.2">
      <c r="A308" s="46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c r="AA308" s="466"/>
    </row>
    <row r="309" spans="1:27" ht="15.75" customHeight="1" x14ac:dyDescent="0.2">
      <c r="A309" s="46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c r="AA309" s="466"/>
    </row>
    <row r="310" spans="1:27" ht="15.75" customHeight="1" x14ac:dyDescent="0.2">
      <c r="A310" s="46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c r="AA310" s="466"/>
    </row>
    <row r="311" spans="1:27" ht="15.75" customHeight="1" x14ac:dyDescent="0.2">
      <c r="A311" s="46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c r="AA311" s="466"/>
    </row>
    <row r="312" spans="1:27" ht="15.75" customHeight="1" x14ac:dyDescent="0.2">
      <c r="A312" s="46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c r="AA312" s="466"/>
    </row>
    <row r="313" spans="1:27" ht="15.75" customHeight="1" x14ac:dyDescent="0.2">
      <c r="A313" s="46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c r="AA313" s="466"/>
    </row>
    <row r="314" spans="1:27" ht="15.75" customHeight="1" x14ac:dyDescent="0.2">
      <c r="A314" s="46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c r="AA314" s="466"/>
    </row>
    <row r="315" spans="1:27" ht="15.75" customHeight="1" x14ac:dyDescent="0.2">
      <c r="A315" s="46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c r="AA315" s="466"/>
    </row>
    <row r="316" spans="1:27" ht="15.75" customHeight="1" x14ac:dyDescent="0.2">
      <c r="A316" s="46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c r="AA316" s="466"/>
    </row>
    <row r="317" spans="1:27" ht="15.75" customHeight="1" x14ac:dyDescent="0.2">
      <c r="A317" s="46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c r="AA317" s="466"/>
    </row>
    <row r="318" spans="1:27" ht="15.75" customHeight="1" x14ac:dyDescent="0.2">
      <c r="A318" s="46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c r="AA318" s="466"/>
    </row>
    <row r="319" spans="1:27" ht="15.75" customHeight="1" x14ac:dyDescent="0.2">
      <c r="A319" s="46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c r="AA319" s="466"/>
    </row>
    <row r="320" spans="1:27" ht="15.75" customHeight="1" x14ac:dyDescent="0.2">
      <c r="A320" s="46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c r="AA320" s="466"/>
    </row>
    <row r="321" spans="1:27" ht="15.75" customHeight="1" x14ac:dyDescent="0.2">
      <c r="A321" s="46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c r="AA321" s="466"/>
    </row>
    <row r="322" spans="1:27" ht="15.75" customHeight="1" x14ac:dyDescent="0.2">
      <c r="A322" s="46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c r="AA322" s="466"/>
    </row>
    <row r="323" spans="1:27" ht="15.75" customHeight="1" x14ac:dyDescent="0.2">
      <c r="A323" s="46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c r="AA323" s="466"/>
    </row>
    <row r="324" spans="1:27" ht="15.75" customHeight="1" x14ac:dyDescent="0.2">
      <c r="A324" s="46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c r="AA324" s="466"/>
    </row>
    <row r="325" spans="1:27" ht="15.75" customHeight="1" x14ac:dyDescent="0.2">
      <c r="A325" s="46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c r="AA325" s="466"/>
    </row>
    <row r="326" spans="1:27" ht="15.75" customHeight="1" x14ac:dyDescent="0.2">
      <c r="A326" s="46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c r="AA326" s="466"/>
    </row>
    <row r="327" spans="1:27" ht="15.75" customHeight="1" x14ac:dyDescent="0.2">
      <c r="A327" s="46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c r="AA327" s="466"/>
    </row>
    <row r="328" spans="1:27" ht="15.75" customHeight="1" x14ac:dyDescent="0.2">
      <c r="A328" s="46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c r="AA328" s="466"/>
    </row>
    <row r="329" spans="1:27" ht="15.75" customHeight="1" x14ac:dyDescent="0.2">
      <c r="A329" s="46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c r="AA329" s="466"/>
    </row>
    <row r="330" spans="1:27" ht="15.75" customHeight="1" x14ac:dyDescent="0.2">
      <c r="A330" s="46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c r="AA330" s="466"/>
    </row>
    <row r="331" spans="1:27" ht="15.75" customHeight="1" x14ac:dyDescent="0.2">
      <c r="A331" s="46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c r="AA331" s="466"/>
    </row>
    <row r="332" spans="1:27" ht="15.75" customHeight="1" x14ac:dyDescent="0.2">
      <c r="A332" s="46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c r="AA332" s="466"/>
    </row>
    <row r="333" spans="1:27" ht="15.75" customHeight="1" x14ac:dyDescent="0.2">
      <c r="A333" s="46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c r="AA333" s="466"/>
    </row>
    <row r="334" spans="1:27" ht="15.75" customHeight="1" x14ac:dyDescent="0.2">
      <c r="A334" s="46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c r="AA334" s="466"/>
    </row>
    <row r="335" spans="1:27" ht="15.75" customHeight="1" x14ac:dyDescent="0.2">
      <c r="A335" s="46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c r="AA335" s="466"/>
    </row>
    <row r="336" spans="1:27" ht="15.75" customHeight="1" x14ac:dyDescent="0.2">
      <c r="A336" s="46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c r="AA336" s="466"/>
    </row>
    <row r="337" spans="1:27" ht="15.75" customHeight="1" x14ac:dyDescent="0.2">
      <c r="A337" s="46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c r="AA337" s="466"/>
    </row>
    <row r="338" spans="1:27" ht="15.75" customHeight="1" x14ac:dyDescent="0.2">
      <c r="A338" s="46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c r="AA338" s="466"/>
    </row>
    <row r="339" spans="1:27" ht="15.75" customHeight="1" x14ac:dyDescent="0.2">
      <c r="A339" s="46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c r="AA339" s="466"/>
    </row>
    <row r="340" spans="1:27" ht="15.75" customHeight="1" x14ac:dyDescent="0.2">
      <c r="A340" s="46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c r="AA340" s="466"/>
    </row>
    <row r="341" spans="1:27" ht="15.75" customHeight="1" x14ac:dyDescent="0.2">
      <c r="A341" s="46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c r="AA341" s="466"/>
    </row>
    <row r="342" spans="1:27" ht="15.75" customHeight="1" x14ac:dyDescent="0.2">
      <c r="A342" s="46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c r="AA342" s="466"/>
    </row>
    <row r="343" spans="1:27" ht="15.75" customHeight="1" x14ac:dyDescent="0.2">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c r="AA343" s="466"/>
    </row>
    <row r="344" spans="1:27" ht="15.75" customHeight="1" x14ac:dyDescent="0.2">
      <c r="A344" s="46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c r="AA344" s="466"/>
    </row>
    <row r="345" spans="1:27" ht="15.75" customHeight="1" x14ac:dyDescent="0.2">
      <c r="A345" s="46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c r="AA345" s="466"/>
    </row>
    <row r="346" spans="1:27" ht="15.75" customHeight="1" x14ac:dyDescent="0.2">
      <c r="A346" s="46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c r="AA346" s="466"/>
    </row>
    <row r="347" spans="1:27" ht="15.75" customHeight="1" x14ac:dyDescent="0.2">
      <c r="A347" s="46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c r="AA347" s="466"/>
    </row>
    <row r="348" spans="1:27" ht="15.75" customHeight="1" x14ac:dyDescent="0.2">
      <c r="A348" s="46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c r="AA348" s="466"/>
    </row>
    <row r="349" spans="1:27" ht="15.75" customHeight="1" x14ac:dyDescent="0.2">
      <c r="A349" s="46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c r="AA349" s="466"/>
    </row>
    <row r="350" spans="1:27" ht="15.75" customHeight="1" x14ac:dyDescent="0.2">
      <c r="A350" s="46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c r="AA350" s="466"/>
    </row>
    <row r="351" spans="1:27" ht="15.75" customHeight="1" x14ac:dyDescent="0.2">
      <c r="A351" s="46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c r="AA351" s="466"/>
    </row>
    <row r="352" spans="1:27" ht="15.75" customHeight="1" x14ac:dyDescent="0.2">
      <c r="A352" s="46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c r="AA352" s="466"/>
    </row>
    <row r="353" spans="1:27" ht="15.75" customHeight="1" x14ac:dyDescent="0.2">
      <c r="A353" s="46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c r="AA353" s="466"/>
    </row>
    <row r="354" spans="1:27" ht="15.75" customHeight="1" x14ac:dyDescent="0.2">
      <c r="A354" s="46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c r="AA354" s="466"/>
    </row>
    <row r="355" spans="1:27" ht="15.75" customHeight="1" x14ac:dyDescent="0.2">
      <c r="A355" s="46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c r="AA355" s="466"/>
    </row>
    <row r="356" spans="1:27" ht="15.75" customHeight="1" x14ac:dyDescent="0.2">
      <c r="A356" s="46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c r="AA356" s="466"/>
    </row>
    <row r="357" spans="1:27" ht="15.75" customHeight="1" x14ac:dyDescent="0.2">
      <c r="A357" s="46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c r="AA357" s="466"/>
    </row>
    <row r="358" spans="1:27" ht="15.75" customHeight="1" x14ac:dyDescent="0.2">
      <c r="A358" s="46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c r="AA358" s="466"/>
    </row>
    <row r="359" spans="1:27" ht="15.75" customHeight="1" x14ac:dyDescent="0.2">
      <c r="A359" s="46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c r="AA359" s="466"/>
    </row>
    <row r="360" spans="1:27" ht="15.75" customHeight="1" x14ac:dyDescent="0.2">
      <c r="A360" s="46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c r="AA360" s="466"/>
    </row>
    <row r="361" spans="1:27" ht="15.75" customHeight="1" x14ac:dyDescent="0.2">
      <c r="A361" s="46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c r="AA361" s="466"/>
    </row>
    <row r="362" spans="1:27" ht="15.75" customHeight="1" x14ac:dyDescent="0.2">
      <c r="A362" s="46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row>
    <row r="363" spans="1:27" ht="15.75" customHeight="1" x14ac:dyDescent="0.2">
      <c r="A363" s="46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c r="AA363" s="466"/>
    </row>
    <row r="364" spans="1:27" ht="15.75" customHeight="1" x14ac:dyDescent="0.2">
      <c r="A364" s="46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c r="AA364" s="466"/>
    </row>
    <row r="365" spans="1:27" ht="15.75" customHeight="1" x14ac:dyDescent="0.2">
      <c r="A365" s="46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row>
    <row r="366" spans="1:27" ht="15.75" customHeight="1" x14ac:dyDescent="0.2">
      <c r="A366" s="46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c r="AA366" s="466"/>
    </row>
    <row r="367" spans="1:27" ht="15.75" customHeight="1" x14ac:dyDescent="0.2">
      <c r="A367" s="46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c r="AA367" s="466"/>
    </row>
    <row r="368" spans="1:27" ht="15.75" customHeight="1" x14ac:dyDescent="0.2">
      <c r="A368" s="46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c r="AA368" s="466"/>
    </row>
    <row r="369" spans="1:27" ht="15.75" customHeight="1" x14ac:dyDescent="0.2">
      <c r="A369" s="46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c r="AA369" s="466"/>
    </row>
    <row r="370" spans="1:27" ht="15.75" customHeight="1" x14ac:dyDescent="0.2">
      <c r="A370" s="46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c r="AA370" s="466"/>
    </row>
    <row r="371" spans="1:27" ht="15.75" customHeight="1" x14ac:dyDescent="0.2">
      <c r="A371" s="46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c r="AA371" s="466"/>
    </row>
    <row r="372" spans="1:27" ht="15.75" customHeight="1" x14ac:dyDescent="0.2">
      <c r="A372" s="46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c r="AA372" s="466"/>
    </row>
    <row r="373" spans="1:27" ht="15.75" customHeight="1" x14ac:dyDescent="0.2">
      <c r="A373" s="46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c r="AA373" s="466"/>
    </row>
    <row r="374" spans="1:27" ht="15.75" customHeight="1" x14ac:dyDescent="0.2">
      <c r="A374" s="46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c r="AA374" s="466"/>
    </row>
    <row r="375" spans="1:27" ht="15.75" customHeight="1" x14ac:dyDescent="0.2">
      <c r="A375" s="46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c r="AA375" s="466"/>
    </row>
    <row r="376" spans="1:27" ht="15.75" customHeight="1" x14ac:dyDescent="0.2">
      <c r="A376" s="46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c r="AA376" s="466"/>
    </row>
    <row r="377" spans="1:27" ht="15.75" customHeight="1" x14ac:dyDescent="0.2">
      <c r="A377" s="46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c r="AA377" s="466"/>
    </row>
    <row r="378" spans="1:27" ht="15.75" customHeight="1" x14ac:dyDescent="0.2">
      <c r="A378" s="46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c r="AA378" s="466"/>
    </row>
    <row r="379" spans="1:27" ht="15.75" customHeight="1" x14ac:dyDescent="0.2">
      <c r="A379" s="46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c r="AA379" s="466"/>
    </row>
    <row r="380" spans="1:27" ht="15.75" customHeight="1" x14ac:dyDescent="0.2">
      <c r="A380" s="46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c r="AA380" s="466"/>
    </row>
    <row r="381" spans="1:27" ht="15.75" customHeight="1" x14ac:dyDescent="0.2">
      <c r="A381" s="46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c r="AA381" s="466"/>
    </row>
    <row r="382" spans="1:27" ht="15.75" customHeight="1" x14ac:dyDescent="0.2">
      <c r="A382" s="46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c r="AA382" s="466"/>
    </row>
    <row r="383" spans="1:27" ht="15.75" customHeight="1" x14ac:dyDescent="0.2">
      <c r="A383" s="46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c r="AA383" s="466"/>
    </row>
    <row r="384" spans="1:27" ht="15.75" customHeight="1" x14ac:dyDescent="0.2">
      <c r="A384" s="46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c r="AA384" s="466"/>
    </row>
    <row r="385" spans="1:27" ht="15.75" customHeight="1" x14ac:dyDescent="0.2">
      <c r="A385" s="46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c r="AA385" s="466"/>
    </row>
    <row r="386" spans="1:27" ht="15.75" customHeight="1" x14ac:dyDescent="0.2">
      <c r="A386" s="46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c r="AA386" s="466"/>
    </row>
    <row r="387" spans="1:27" ht="15.75" customHeight="1" x14ac:dyDescent="0.2">
      <c r="A387" s="46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c r="AA387" s="466"/>
    </row>
    <row r="388" spans="1:27" ht="15.75" customHeight="1" x14ac:dyDescent="0.2">
      <c r="A388" s="46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c r="AA388" s="466"/>
    </row>
    <row r="389" spans="1:27" ht="15.75" customHeight="1" x14ac:dyDescent="0.2">
      <c r="A389" s="46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c r="AA389" s="466"/>
    </row>
    <row r="390" spans="1:27" ht="15.75" customHeight="1" x14ac:dyDescent="0.2">
      <c r="A390" s="46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c r="AA390" s="466"/>
    </row>
    <row r="391" spans="1:27" ht="15.75" customHeight="1" x14ac:dyDescent="0.2">
      <c r="A391" s="46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c r="AA391" s="466"/>
    </row>
    <row r="392" spans="1:27" ht="15.75" customHeight="1" x14ac:dyDescent="0.2">
      <c r="A392" s="46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c r="AA392" s="466"/>
    </row>
    <row r="393" spans="1:27" ht="15.75" customHeight="1" x14ac:dyDescent="0.2">
      <c r="A393" s="46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c r="AA393" s="466"/>
    </row>
    <row r="394" spans="1:27" ht="15.75" customHeight="1" x14ac:dyDescent="0.2">
      <c r="A394" s="46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c r="AA394" s="466"/>
    </row>
    <row r="395" spans="1:27" ht="15.75" customHeight="1" x14ac:dyDescent="0.2">
      <c r="A395" s="46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c r="AA395" s="466"/>
    </row>
    <row r="396" spans="1:27" ht="15.75" customHeight="1" x14ac:dyDescent="0.2">
      <c r="A396" s="46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c r="AA396" s="466"/>
    </row>
    <row r="397" spans="1:27" ht="15.75" customHeight="1" x14ac:dyDescent="0.2">
      <c r="A397" s="46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c r="AA397" s="466"/>
    </row>
    <row r="398" spans="1:27" ht="15.75" customHeight="1" x14ac:dyDescent="0.2">
      <c r="A398" s="46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c r="AA398" s="466"/>
    </row>
    <row r="399" spans="1:27" ht="15.75" customHeight="1" x14ac:dyDescent="0.2">
      <c r="A399" s="46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c r="AA399" s="466"/>
    </row>
    <row r="400" spans="1:27" ht="15.75" customHeight="1" x14ac:dyDescent="0.2">
      <c r="A400" s="46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c r="AA400" s="466"/>
    </row>
    <row r="401" spans="1:27" ht="15.75" customHeight="1" x14ac:dyDescent="0.2">
      <c r="A401" s="46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c r="AA401" s="466"/>
    </row>
    <row r="402" spans="1:27" ht="15.75" customHeight="1" x14ac:dyDescent="0.2">
      <c r="A402" s="46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c r="AA402" s="466"/>
    </row>
    <row r="403" spans="1:27" ht="15.75" customHeight="1" x14ac:dyDescent="0.2">
      <c r="A403" s="46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c r="AA403" s="466"/>
    </row>
    <row r="404" spans="1:27" ht="15.75" customHeight="1" x14ac:dyDescent="0.2">
      <c r="A404" s="46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c r="AA404" s="466"/>
    </row>
    <row r="405" spans="1:27" ht="15.75" customHeight="1" x14ac:dyDescent="0.2">
      <c r="A405" s="46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row>
    <row r="406" spans="1:27" ht="15.75" customHeight="1" x14ac:dyDescent="0.2">
      <c r="A406" s="46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c r="AA406" s="466"/>
    </row>
    <row r="407" spans="1:27" ht="15.75" customHeight="1" x14ac:dyDescent="0.2">
      <c r="A407" s="46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c r="AA407" s="466"/>
    </row>
    <row r="408" spans="1:27" ht="15.75" customHeight="1" x14ac:dyDescent="0.2">
      <c r="A408" s="46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c r="AA408" s="466"/>
    </row>
    <row r="409" spans="1:27" ht="15.75" customHeight="1" x14ac:dyDescent="0.2">
      <c r="A409" s="46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c r="AA409" s="466"/>
    </row>
    <row r="410" spans="1:27" ht="15.75" customHeight="1" x14ac:dyDescent="0.2">
      <c r="A410" s="46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c r="AA410" s="466"/>
    </row>
    <row r="411" spans="1:27" ht="15.75" customHeight="1" x14ac:dyDescent="0.2">
      <c r="A411" s="46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c r="AA411" s="466"/>
    </row>
    <row r="412" spans="1:27" ht="15.75" customHeight="1" x14ac:dyDescent="0.2">
      <c r="A412" s="46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c r="AA412" s="466"/>
    </row>
    <row r="413" spans="1:27" ht="15.75" customHeight="1" x14ac:dyDescent="0.2">
      <c r="A413" s="46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c r="AA413" s="466"/>
    </row>
    <row r="414" spans="1:27" ht="15.75" customHeight="1" x14ac:dyDescent="0.2">
      <c r="A414" s="46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c r="AA414" s="466"/>
    </row>
    <row r="415" spans="1:27" ht="15.75" customHeight="1" x14ac:dyDescent="0.2">
      <c r="A415" s="46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row>
    <row r="416" spans="1:27" ht="15.75" customHeight="1" x14ac:dyDescent="0.2">
      <c r="A416" s="46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c r="AA416" s="466"/>
    </row>
    <row r="417" spans="1:27" ht="15.75" customHeight="1" x14ac:dyDescent="0.2">
      <c r="A417" s="46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c r="AA417" s="466"/>
    </row>
    <row r="418" spans="1:27" ht="15.75" customHeight="1" x14ac:dyDescent="0.2">
      <c r="A418" s="46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c r="AA418" s="466"/>
    </row>
    <row r="419" spans="1:27" ht="15.75" customHeight="1" x14ac:dyDescent="0.2">
      <c r="A419" s="46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c r="AA419" s="466"/>
    </row>
    <row r="420" spans="1:27" ht="15.75" customHeight="1" x14ac:dyDescent="0.2">
      <c r="A420" s="46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c r="AA420" s="466"/>
    </row>
    <row r="421" spans="1:27" ht="15.75" customHeight="1" x14ac:dyDescent="0.2">
      <c r="A421" s="46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c r="AA421" s="466"/>
    </row>
    <row r="422" spans="1:27" ht="15.75" customHeight="1" x14ac:dyDescent="0.2">
      <c r="A422" s="46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c r="AA422" s="466"/>
    </row>
    <row r="423" spans="1:27" ht="15.75" customHeight="1" x14ac:dyDescent="0.2">
      <c r="A423" s="46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c r="AA423" s="466"/>
    </row>
    <row r="424" spans="1:27" ht="15.75" customHeight="1" x14ac:dyDescent="0.2">
      <c r="A424" s="46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c r="AA424" s="466"/>
    </row>
    <row r="425" spans="1:27" ht="15.75" customHeight="1" x14ac:dyDescent="0.2">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c r="AA425" s="466"/>
    </row>
    <row r="426" spans="1:27" ht="15.75" customHeight="1" x14ac:dyDescent="0.2">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c r="AA426" s="466"/>
    </row>
    <row r="427" spans="1:27" ht="15.75" customHeight="1" x14ac:dyDescent="0.2">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c r="AA427" s="466"/>
    </row>
    <row r="428" spans="1:27" ht="15.75" customHeight="1" x14ac:dyDescent="0.2">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c r="AA428" s="466"/>
    </row>
    <row r="429" spans="1:27" ht="15.75" customHeight="1" x14ac:dyDescent="0.2">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c r="AA429" s="466"/>
    </row>
    <row r="430" spans="1:27" ht="15.75" customHeight="1" x14ac:dyDescent="0.2">
      <c r="A430" s="46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c r="AA430" s="466"/>
    </row>
    <row r="431" spans="1:27" ht="15.75" customHeight="1" x14ac:dyDescent="0.2">
      <c r="A431" s="46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c r="AA431" s="466"/>
    </row>
    <row r="432" spans="1:27" ht="15.75" customHeight="1" x14ac:dyDescent="0.2">
      <c r="A432" s="46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c r="AA432" s="466"/>
    </row>
    <row r="433" spans="1:27" ht="15.75" customHeight="1" x14ac:dyDescent="0.2">
      <c r="A433" s="46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c r="AA433" s="466"/>
    </row>
    <row r="434" spans="1:27" ht="15.75" customHeight="1" x14ac:dyDescent="0.2">
      <c r="A434" s="46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c r="AA434" s="466"/>
    </row>
    <row r="435" spans="1:27" ht="15.75" customHeight="1" x14ac:dyDescent="0.2">
      <c r="A435" s="46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c r="AA435" s="466"/>
    </row>
    <row r="436" spans="1:27" ht="15.75" customHeight="1" x14ac:dyDescent="0.2">
      <c r="A436" s="46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c r="AA436" s="466"/>
    </row>
    <row r="437" spans="1:27" ht="15.75" customHeight="1" x14ac:dyDescent="0.2">
      <c r="A437" s="46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c r="AA437" s="466"/>
    </row>
    <row r="438" spans="1:27" ht="15.75" customHeight="1" x14ac:dyDescent="0.2">
      <c r="A438" s="46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c r="AA438" s="466"/>
    </row>
    <row r="439" spans="1:27" ht="15.75" customHeight="1" x14ac:dyDescent="0.2">
      <c r="A439" s="46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c r="AA439" s="466"/>
    </row>
    <row r="440" spans="1:27" ht="15.75" customHeight="1" x14ac:dyDescent="0.2">
      <c r="A440" s="46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c r="AA440" s="466"/>
    </row>
    <row r="441" spans="1:27" ht="15.75" customHeight="1" x14ac:dyDescent="0.2">
      <c r="A441" s="46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c r="AA441" s="466"/>
    </row>
    <row r="442" spans="1:27" ht="15.75" customHeight="1" x14ac:dyDescent="0.2">
      <c r="A442" s="46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c r="AA442" s="466"/>
    </row>
    <row r="443" spans="1:27" ht="15.75" customHeight="1" x14ac:dyDescent="0.2">
      <c r="A443" s="46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c r="AA443" s="466"/>
    </row>
    <row r="444" spans="1:27" ht="15.75" customHeight="1" x14ac:dyDescent="0.2">
      <c r="A444" s="46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c r="AA444" s="466"/>
    </row>
    <row r="445" spans="1:27" ht="15.75" customHeight="1" x14ac:dyDescent="0.2">
      <c r="A445" s="46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c r="AA445" s="466"/>
    </row>
    <row r="446" spans="1:27" ht="15.75" customHeight="1" x14ac:dyDescent="0.2">
      <c r="A446" s="46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c r="AA446" s="466"/>
    </row>
    <row r="447" spans="1:27" ht="15.75" customHeight="1" x14ac:dyDescent="0.2">
      <c r="A447" s="46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c r="AA447" s="466"/>
    </row>
    <row r="448" spans="1:27" ht="15.75" customHeight="1" x14ac:dyDescent="0.2">
      <c r="A448" s="46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c r="AA448" s="466"/>
    </row>
    <row r="449" spans="1:27" ht="15.75" customHeight="1" x14ac:dyDescent="0.2">
      <c r="A449" s="46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c r="AA449" s="466"/>
    </row>
    <row r="450" spans="1:27" ht="15.75" customHeight="1" x14ac:dyDescent="0.2">
      <c r="A450" s="46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c r="AA450" s="466"/>
    </row>
    <row r="451" spans="1:27" ht="15.75" customHeight="1" x14ac:dyDescent="0.2">
      <c r="A451" s="46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c r="AA451" s="466"/>
    </row>
    <row r="452" spans="1:27" ht="15.75" customHeight="1" x14ac:dyDescent="0.2">
      <c r="A452" s="46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c r="AA452" s="466"/>
    </row>
    <row r="453" spans="1:27" ht="15.75" customHeight="1" x14ac:dyDescent="0.2">
      <c r="A453" s="46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c r="AA453" s="466"/>
    </row>
    <row r="454" spans="1:27" ht="15.75" customHeight="1" x14ac:dyDescent="0.2">
      <c r="A454" s="46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c r="AA454" s="466"/>
    </row>
    <row r="455" spans="1:27" ht="15.75" customHeight="1" x14ac:dyDescent="0.2">
      <c r="A455" s="46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c r="AA455" s="466"/>
    </row>
    <row r="456" spans="1:27" ht="15.75" customHeight="1" x14ac:dyDescent="0.2">
      <c r="A456" s="46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c r="AA456" s="466"/>
    </row>
    <row r="457" spans="1:27" ht="15.75" customHeight="1" x14ac:dyDescent="0.2">
      <c r="A457" s="46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c r="AA457" s="466"/>
    </row>
    <row r="458" spans="1:27" ht="15.75" customHeight="1" x14ac:dyDescent="0.2">
      <c r="A458" s="46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c r="AA458" s="466"/>
    </row>
    <row r="459" spans="1:27" ht="15.75" customHeight="1" x14ac:dyDescent="0.2">
      <c r="A459" s="46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c r="AA459" s="466"/>
    </row>
    <row r="460" spans="1:27" ht="15.75" customHeight="1" x14ac:dyDescent="0.2">
      <c r="A460" s="46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c r="AA460" s="466"/>
    </row>
    <row r="461" spans="1:27" ht="15.75" customHeight="1" x14ac:dyDescent="0.2">
      <c r="A461" s="46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c r="AA461" s="466"/>
    </row>
    <row r="462" spans="1:27" ht="15.75" customHeight="1" x14ac:dyDescent="0.2">
      <c r="A462" s="46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c r="AA462" s="466"/>
    </row>
    <row r="463" spans="1:27" ht="15.75" customHeight="1" x14ac:dyDescent="0.2">
      <c r="A463" s="46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c r="AA463" s="466"/>
    </row>
    <row r="464" spans="1:27" ht="15.75" customHeight="1" x14ac:dyDescent="0.2">
      <c r="A464" s="46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c r="AA464" s="466"/>
    </row>
    <row r="465" spans="1:27" ht="15.75" customHeight="1" x14ac:dyDescent="0.2">
      <c r="A465" s="46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c r="AA465" s="466"/>
    </row>
    <row r="466" spans="1:27" ht="15.75" customHeight="1" x14ac:dyDescent="0.2">
      <c r="A466" s="46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c r="AA466" s="466"/>
    </row>
    <row r="467" spans="1:27" ht="15.75" customHeight="1" x14ac:dyDescent="0.2">
      <c r="A467" s="46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c r="AA467" s="466"/>
    </row>
    <row r="468" spans="1:27" ht="15.75" customHeight="1" x14ac:dyDescent="0.2">
      <c r="A468" s="46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c r="AA468" s="466"/>
    </row>
    <row r="469" spans="1:27" ht="15.75" customHeight="1" x14ac:dyDescent="0.2">
      <c r="A469" s="46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c r="AA469" s="466"/>
    </row>
    <row r="470" spans="1:27" ht="15.75" customHeight="1" x14ac:dyDescent="0.2">
      <c r="A470" s="46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c r="AA470" s="466"/>
    </row>
    <row r="471" spans="1:27" ht="15.75" customHeight="1" x14ac:dyDescent="0.2">
      <c r="A471" s="46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c r="AA471" s="466"/>
    </row>
    <row r="472" spans="1:27" ht="15.75" customHeight="1" x14ac:dyDescent="0.2">
      <c r="A472" s="46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c r="AA472" s="466"/>
    </row>
    <row r="473" spans="1:27" ht="15.75" customHeight="1" x14ac:dyDescent="0.2">
      <c r="A473" s="46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c r="AA473" s="466"/>
    </row>
    <row r="474" spans="1:27" ht="15.75" customHeight="1" x14ac:dyDescent="0.2">
      <c r="A474" s="46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c r="AA474" s="466"/>
    </row>
    <row r="475" spans="1:27" ht="15.75" customHeight="1" x14ac:dyDescent="0.2">
      <c r="A475" s="46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c r="AA475" s="466"/>
    </row>
    <row r="476" spans="1:27" ht="15.75" customHeight="1" x14ac:dyDescent="0.2">
      <c r="A476" s="46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c r="AA476" s="466"/>
    </row>
    <row r="477" spans="1:27" ht="15.75" customHeight="1" x14ac:dyDescent="0.2">
      <c r="A477" s="46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c r="AA477" s="466"/>
    </row>
    <row r="478" spans="1:27" ht="15.75" customHeight="1" x14ac:dyDescent="0.2">
      <c r="A478" s="46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c r="AA478" s="466"/>
    </row>
    <row r="479" spans="1:27" ht="15.75" customHeight="1" x14ac:dyDescent="0.2">
      <c r="A479" s="46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c r="AA479" s="466"/>
    </row>
    <row r="480" spans="1:27" ht="15.75" customHeight="1" x14ac:dyDescent="0.2">
      <c r="A480" s="46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c r="AA480" s="466"/>
    </row>
    <row r="481" spans="1:27" ht="15.75" customHeight="1" x14ac:dyDescent="0.2">
      <c r="A481" s="46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c r="AA481" s="466"/>
    </row>
    <row r="482" spans="1:27" ht="15.75" customHeight="1" x14ac:dyDescent="0.2">
      <c r="A482" s="46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c r="AA482" s="466"/>
    </row>
    <row r="483" spans="1:27" ht="15.75" customHeight="1" x14ac:dyDescent="0.2">
      <c r="A483" s="46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c r="AA483" s="466"/>
    </row>
    <row r="484" spans="1:27" ht="15.75" customHeight="1" x14ac:dyDescent="0.2">
      <c r="A484" s="46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c r="AA484" s="466"/>
    </row>
    <row r="485" spans="1:27" ht="15.75" customHeight="1" x14ac:dyDescent="0.2">
      <c r="A485" s="46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c r="AA485" s="466"/>
    </row>
    <row r="486" spans="1:27" ht="15.75" customHeight="1" x14ac:dyDescent="0.2">
      <c r="A486" s="46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c r="AA486" s="466"/>
    </row>
    <row r="487" spans="1:27" ht="15.75" customHeight="1" x14ac:dyDescent="0.2">
      <c r="A487" s="46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c r="AA487" s="466"/>
    </row>
    <row r="488" spans="1:27" ht="15.75" customHeight="1" x14ac:dyDescent="0.2">
      <c r="A488" s="46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c r="AA488" s="466"/>
    </row>
    <row r="489" spans="1:27" ht="15.75" customHeight="1" x14ac:dyDescent="0.2">
      <c r="A489" s="46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c r="AA489" s="466"/>
    </row>
    <row r="490" spans="1:27" ht="15.75" customHeight="1" x14ac:dyDescent="0.2">
      <c r="A490" s="46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c r="AA490" s="466"/>
    </row>
    <row r="491" spans="1:27" ht="15.75" customHeight="1" x14ac:dyDescent="0.2">
      <c r="A491" s="46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c r="AA491" s="466"/>
    </row>
    <row r="492" spans="1:27" ht="15.75" customHeight="1" x14ac:dyDescent="0.2">
      <c r="A492" s="46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c r="AA492" s="466"/>
    </row>
    <row r="493" spans="1:27" ht="15.75" customHeight="1" x14ac:dyDescent="0.2">
      <c r="A493" s="46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c r="AA493" s="466"/>
    </row>
    <row r="494" spans="1:27" ht="15.75" customHeight="1" x14ac:dyDescent="0.2">
      <c r="A494" s="46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c r="AA494" s="466"/>
    </row>
    <row r="495" spans="1:27" ht="15.75" customHeight="1" x14ac:dyDescent="0.2">
      <c r="A495" s="46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c r="AA495" s="466"/>
    </row>
    <row r="496" spans="1:27" ht="15.75" customHeight="1" x14ac:dyDescent="0.2">
      <c r="A496" s="46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c r="AA496" s="466"/>
    </row>
    <row r="497" spans="1:27" ht="15.75" customHeight="1" x14ac:dyDescent="0.2">
      <c r="A497" s="46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c r="AA497" s="466"/>
    </row>
    <row r="498" spans="1:27" ht="15.75" customHeight="1" x14ac:dyDescent="0.2">
      <c r="A498" s="46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c r="AA498" s="466"/>
    </row>
    <row r="499" spans="1:27" ht="15.75" customHeight="1" x14ac:dyDescent="0.2">
      <c r="A499" s="46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c r="AA499" s="466"/>
    </row>
    <row r="500" spans="1:27" ht="15.75" customHeight="1" x14ac:dyDescent="0.2">
      <c r="A500" s="46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c r="AA500" s="466"/>
    </row>
    <row r="501" spans="1:27" ht="15.75" customHeight="1" x14ac:dyDescent="0.2">
      <c r="A501" s="46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c r="AA501" s="466"/>
    </row>
    <row r="502" spans="1:27" ht="15.75" customHeight="1" x14ac:dyDescent="0.2">
      <c r="A502" s="46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c r="AA502" s="466"/>
    </row>
    <row r="503" spans="1:27" ht="15.75" customHeight="1" x14ac:dyDescent="0.2">
      <c r="A503" s="46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c r="AA503" s="466"/>
    </row>
    <row r="504" spans="1:27" ht="15.75" customHeight="1" x14ac:dyDescent="0.2">
      <c r="A504" s="46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c r="AA504" s="466"/>
    </row>
    <row r="505" spans="1:27" ht="15.75" customHeight="1" x14ac:dyDescent="0.2">
      <c r="A505" s="46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c r="AA505" s="466"/>
    </row>
    <row r="506" spans="1:27" ht="15.75" customHeight="1" x14ac:dyDescent="0.2">
      <c r="A506" s="46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c r="AA506" s="466"/>
    </row>
    <row r="507" spans="1:27" ht="15.75" customHeight="1" x14ac:dyDescent="0.2">
      <c r="A507" s="46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c r="AA507" s="466"/>
    </row>
    <row r="508" spans="1:27" ht="15.75" customHeight="1" x14ac:dyDescent="0.2">
      <c r="A508" s="46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c r="AA508" s="466"/>
    </row>
    <row r="509" spans="1:27" ht="15.75" customHeight="1" x14ac:dyDescent="0.2">
      <c r="A509" s="46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c r="AA509" s="466"/>
    </row>
    <row r="510" spans="1:27" ht="15.75" customHeight="1" x14ac:dyDescent="0.2">
      <c r="A510" s="46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c r="AA510" s="466"/>
    </row>
    <row r="511" spans="1:27" ht="15.75" customHeight="1" x14ac:dyDescent="0.2">
      <c r="A511" s="46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c r="AA511" s="466"/>
    </row>
    <row r="512" spans="1:27" ht="15.75" customHeight="1" x14ac:dyDescent="0.2">
      <c r="A512" s="46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c r="AA512" s="466"/>
    </row>
    <row r="513" spans="1:27" ht="15.75" customHeight="1" x14ac:dyDescent="0.2">
      <c r="A513" s="46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c r="AA513" s="466"/>
    </row>
    <row r="514" spans="1:27" ht="15.75" customHeight="1" x14ac:dyDescent="0.2">
      <c r="A514" s="46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c r="AA514" s="466"/>
    </row>
    <row r="515" spans="1:27" ht="15.75" customHeight="1" x14ac:dyDescent="0.2">
      <c r="A515" s="46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c r="AA515" s="466"/>
    </row>
    <row r="516" spans="1:27" ht="15.75" customHeight="1" x14ac:dyDescent="0.2">
      <c r="A516" s="46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c r="AA516" s="466"/>
    </row>
    <row r="517" spans="1:27" ht="15.75" customHeight="1" x14ac:dyDescent="0.2">
      <c r="A517" s="46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c r="AA517" s="466"/>
    </row>
    <row r="518" spans="1:27" ht="15.75" customHeight="1" x14ac:dyDescent="0.2">
      <c r="A518" s="46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c r="AA518" s="466"/>
    </row>
    <row r="519" spans="1:27" ht="15.75" customHeight="1" x14ac:dyDescent="0.2">
      <c r="A519" s="46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c r="AA519" s="466"/>
    </row>
    <row r="520" spans="1:27" ht="15.75" customHeight="1" x14ac:dyDescent="0.2">
      <c r="A520" s="46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c r="AA520" s="466"/>
    </row>
    <row r="521" spans="1:27" ht="15.75" customHeight="1" x14ac:dyDescent="0.2">
      <c r="A521" s="46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c r="AA521" s="466"/>
    </row>
    <row r="522" spans="1:27" ht="15.75" customHeight="1" x14ac:dyDescent="0.2">
      <c r="A522" s="46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c r="AA522" s="466"/>
    </row>
    <row r="523" spans="1:27" ht="15.75" customHeight="1" x14ac:dyDescent="0.2">
      <c r="A523" s="46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c r="AA523" s="466"/>
    </row>
    <row r="524" spans="1:27" ht="15.75" customHeight="1" x14ac:dyDescent="0.2">
      <c r="A524" s="46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c r="AA524" s="466"/>
    </row>
    <row r="525" spans="1:27" ht="15.75" customHeight="1" x14ac:dyDescent="0.2">
      <c r="A525" s="46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c r="AA525" s="466"/>
    </row>
    <row r="526" spans="1:27" ht="15.75" customHeight="1" x14ac:dyDescent="0.2">
      <c r="A526" s="46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c r="AA526" s="466"/>
    </row>
    <row r="527" spans="1:27" ht="15.75" customHeight="1" x14ac:dyDescent="0.2">
      <c r="A527" s="46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c r="AA527" s="466"/>
    </row>
    <row r="528" spans="1:27" ht="15.75" customHeight="1" x14ac:dyDescent="0.2">
      <c r="A528" s="46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c r="AA528" s="466"/>
    </row>
    <row r="529" spans="1:27" ht="15.75" customHeight="1" x14ac:dyDescent="0.2">
      <c r="A529" s="46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c r="AA529" s="466"/>
    </row>
    <row r="530" spans="1:27" ht="15.75" customHeight="1" x14ac:dyDescent="0.2">
      <c r="A530" s="46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c r="AA530" s="466"/>
    </row>
    <row r="531" spans="1:27" ht="15.75" customHeight="1" x14ac:dyDescent="0.2">
      <c r="A531" s="46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c r="AA531" s="466"/>
    </row>
    <row r="532" spans="1:27" ht="15.75" customHeight="1" x14ac:dyDescent="0.2">
      <c r="A532" s="46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c r="AA532" s="466"/>
    </row>
    <row r="533" spans="1:27" ht="15.75" customHeight="1" x14ac:dyDescent="0.2">
      <c r="A533" s="46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c r="AA533" s="466"/>
    </row>
    <row r="534" spans="1:27" ht="15.75" customHeight="1" x14ac:dyDescent="0.2">
      <c r="A534" s="46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c r="AA534" s="466"/>
    </row>
    <row r="535" spans="1:27" ht="15.75" customHeight="1" x14ac:dyDescent="0.2">
      <c r="A535" s="46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c r="AA535" s="466"/>
    </row>
    <row r="536" spans="1:27" ht="15.75" customHeight="1" x14ac:dyDescent="0.2">
      <c r="A536" s="46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c r="AA536" s="466"/>
    </row>
    <row r="537" spans="1:27" ht="15.75" customHeight="1" x14ac:dyDescent="0.2">
      <c r="A537" s="46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c r="AA537" s="466"/>
    </row>
    <row r="538" spans="1:27" ht="15.75" customHeight="1" x14ac:dyDescent="0.2">
      <c r="A538" s="46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c r="AA538" s="466"/>
    </row>
    <row r="539" spans="1:27" ht="15.75" customHeight="1" x14ac:dyDescent="0.2">
      <c r="A539" s="46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c r="AA539" s="466"/>
    </row>
    <row r="540" spans="1:27" ht="15.75" customHeight="1" x14ac:dyDescent="0.2">
      <c r="A540" s="46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c r="AA540" s="466"/>
    </row>
    <row r="541" spans="1:27" ht="15.75" customHeight="1" x14ac:dyDescent="0.2">
      <c r="A541" s="46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c r="AA541" s="466"/>
    </row>
    <row r="542" spans="1:27" ht="15.75" customHeight="1" x14ac:dyDescent="0.2">
      <c r="A542" s="46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c r="AA542" s="466"/>
    </row>
    <row r="543" spans="1:27" ht="15.75" customHeight="1" x14ac:dyDescent="0.2">
      <c r="A543" s="46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c r="AA543" s="466"/>
    </row>
    <row r="544" spans="1:27" ht="15.75" customHeight="1" x14ac:dyDescent="0.2">
      <c r="A544" s="46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c r="AA544" s="466"/>
    </row>
    <row r="545" spans="1:27" ht="15.75" customHeight="1" x14ac:dyDescent="0.2">
      <c r="A545" s="46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c r="AA545" s="466"/>
    </row>
    <row r="546" spans="1:27" ht="15.75" customHeight="1" x14ac:dyDescent="0.2">
      <c r="A546" s="46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c r="AA546" s="466"/>
    </row>
    <row r="547" spans="1:27" ht="15.75" customHeight="1" x14ac:dyDescent="0.2">
      <c r="A547" s="46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c r="AA547" s="466"/>
    </row>
    <row r="548" spans="1:27" ht="15.75" customHeight="1" x14ac:dyDescent="0.2">
      <c r="A548" s="46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c r="AA548" s="466"/>
    </row>
    <row r="549" spans="1:27" ht="15.75" customHeight="1" x14ac:dyDescent="0.2">
      <c r="A549" s="46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c r="AA549" s="466"/>
    </row>
    <row r="550" spans="1:27" ht="15.75" customHeight="1" x14ac:dyDescent="0.2">
      <c r="A550" s="46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c r="AA550" s="466"/>
    </row>
    <row r="551" spans="1:27" ht="15.75" customHeight="1" x14ac:dyDescent="0.2">
      <c r="A551" s="46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row>
    <row r="552" spans="1:27" ht="15.75" customHeight="1" x14ac:dyDescent="0.2">
      <c r="A552" s="46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row>
    <row r="553" spans="1:27" ht="15.75" customHeight="1" x14ac:dyDescent="0.2">
      <c r="A553" s="46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c r="AA553" s="466"/>
    </row>
    <row r="554" spans="1:27" ht="15.75" customHeight="1" x14ac:dyDescent="0.2">
      <c r="A554" s="46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c r="AA554" s="466"/>
    </row>
    <row r="555" spans="1:27" ht="15.75" customHeight="1" x14ac:dyDescent="0.2">
      <c r="A555" s="46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c r="AA555" s="466"/>
    </row>
    <row r="556" spans="1:27" ht="15.75" customHeight="1" x14ac:dyDescent="0.2">
      <c r="A556" s="46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c r="AA556" s="466"/>
    </row>
    <row r="557" spans="1:27" ht="15.75" customHeight="1" x14ac:dyDescent="0.2">
      <c r="A557" s="46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c r="AA557" s="466"/>
    </row>
    <row r="558" spans="1:27" ht="15.75" customHeight="1" x14ac:dyDescent="0.2">
      <c r="A558" s="46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c r="AA558" s="466"/>
    </row>
    <row r="559" spans="1:27" ht="15.75" customHeight="1" x14ac:dyDescent="0.2">
      <c r="A559" s="46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c r="AA559" s="466"/>
    </row>
    <row r="560" spans="1:27" ht="15.75" customHeight="1" x14ac:dyDescent="0.2">
      <c r="A560" s="46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c r="AA560" s="466"/>
    </row>
    <row r="561" spans="1:27" ht="15.75" customHeight="1" x14ac:dyDescent="0.2">
      <c r="A561" s="46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c r="AA561" s="466"/>
    </row>
    <row r="562" spans="1:27" ht="15.75" customHeight="1" x14ac:dyDescent="0.2">
      <c r="A562" s="46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c r="AA562" s="466"/>
    </row>
    <row r="563" spans="1:27" ht="15.75" customHeight="1" x14ac:dyDescent="0.2">
      <c r="A563" s="46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c r="AA563" s="466"/>
    </row>
    <row r="564" spans="1:27" ht="15.75" customHeight="1" x14ac:dyDescent="0.2">
      <c r="A564" s="46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c r="AA564" s="466"/>
    </row>
    <row r="565" spans="1:27" ht="15.75" customHeight="1" x14ac:dyDescent="0.2">
      <c r="A565" s="46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c r="AA565" s="466"/>
    </row>
    <row r="566" spans="1:27" ht="15.75" customHeight="1" x14ac:dyDescent="0.2">
      <c r="A566" s="46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c r="AA566" s="466"/>
    </row>
    <row r="567" spans="1:27" ht="15.75" customHeight="1" x14ac:dyDescent="0.2">
      <c r="A567" s="46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c r="AA567" s="466"/>
    </row>
    <row r="568" spans="1:27" ht="15.75" customHeight="1" x14ac:dyDescent="0.2">
      <c r="A568" s="46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c r="AA568" s="466"/>
    </row>
    <row r="569" spans="1:27" ht="15.75" customHeight="1" x14ac:dyDescent="0.2">
      <c r="A569" s="46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c r="AA569" s="466"/>
    </row>
    <row r="570" spans="1:27" ht="15.75" customHeight="1" x14ac:dyDescent="0.2">
      <c r="A570" s="46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c r="AA570" s="466"/>
    </row>
    <row r="571" spans="1:27" ht="15.75" customHeight="1" x14ac:dyDescent="0.2">
      <c r="A571" s="46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c r="AA571" s="466"/>
    </row>
    <row r="572" spans="1:27" ht="15.75" customHeight="1" x14ac:dyDescent="0.2">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row>
    <row r="573" spans="1:27" ht="15.75" customHeight="1" x14ac:dyDescent="0.2">
      <c r="A573" s="46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c r="AA573" s="466"/>
    </row>
    <row r="574" spans="1:27" ht="15.75" customHeight="1" x14ac:dyDescent="0.2">
      <c r="A574" s="46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c r="AA574" s="466"/>
    </row>
    <row r="575" spans="1:27" ht="15.75" customHeight="1" x14ac:dyDescent="0.2">
      <c r="A575" s="46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c r="AA575" s="466"/>
    </row>
    <row r="576" spans="1:27" ht="15.75" customHeight="1" x14ac:dyDescent="0.2">
      <c r="A576" s="46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c r="AA576" s="466"/>
    </row>
    <row r="577" spans="1:27" ht="15.75" customHeight="1" x14ac:dyDescent="0.2">
      <c r="A577" s="46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c r="AA577" s="466"/>
    </row>
    <row r="578" spans="1:27" ht="15.75" customHeight="1" x14ac:dyDescent="0.2">
      <c r="A578" s="46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c r="AA578" s="466"/>
    </row>
    <row r="579" spans="1:27" ht="15.75" customHeight="1" x14ac:dyDescent="0.2">
      <c r="A579" s="46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c r="AA579" s="466"/>
    </row>
    <row r="580" spans="1:27" ht="15.75" customHeight="1" x14ac:dyDescent="0.2">
      <c r="A580" s="46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c r="AA580" s="466"/>
    </row>
    <row r="581" spans="1:27" ht="15.75" customHeight="1" x14ac:dyDescent="0.2">
      <c r="A581" s="46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c r="AA581" s="466"/>
    </row>
    <row r="582" spans="1:27" ht="15.75" customHeight="1" x14ac:dyDescent="0.2">
      <c r="A582" s="46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c r="AA582" s="466"/>
    </row>
    <row r="583" spans="1:27" ht="15.75" customHeight="1" x14ac:dyDescent="0.2">
      <c r="A583" s="46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c r="AA583" s="466"/>
    </row>
    <row r="584" spans="1:27" ht="15.75" customHeight="1" x14ac:dyDescent="0.2">
      <c r="A584" s="46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c r="AA584" s="466"/>
    </row>
    <row r="585" spans="1:27" ht="15.75" customHeight="1" x14ac:dyDescent="0.2">
      <c r="A585" s="46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c r="AA585" s="466"/>
    </row>
    <row r="586" spans="1:27" ht="15.75" customHeight="1" x14ac:dyDescent="0.2">
      <c r="A586" s="46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c r="AA586" s="466"/>
    </row>
    <row r="587" spans="1:27" ht="15.75" customHeight="1" x14ac:dyDescent="0.2">
      <c r="A587" s="46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c r="AA587" s="466"/>
    </row>
    <row r="588" spans="1:27" ht="15.75" customHeight="1" x14ac:dyDescent="0.2">
      <c r="A588" s="46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c r="AA588" s="466"/>
    </row>
    <row r="589" spans="1:27" ht="15.75" customHeight="1" x14ac:dyDescent="0.2">
      <c r="A589" s="46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c r="AA589" s="466"/>
    </row>
    <row r="590" spans="1:27" ht="15.75" customHeight="1" x14ac:dyDescent="0.2">
      <c r="A590" s="46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c r="AA590" s="466"/>
    </row>
    <row r="591" spans="1:27" ht="15.75" customHeight="1" x14ac:dyDescent="0.2">
      <c r="A591" s="46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c r="AA591" s="466"/>
    </row>
    <row r="592" spans="1:27" ht="15.75" customHeight="1" x14ac:dyDescent="0.2">
      <c r="A592" s="46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c r="AA592" s="466"/>
    </row>
    <row r="593" spans="1:27" ht="15.75" customHeight="1" x14ac:dyDescent="0.2">
      <c r="A593" s="46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c r="AA593" s="466"/>
    </row>
    <row r="594" spans="1:27" ht="15.75" customHeight="1" x14ac:dyDescent="0.2">
      <c r="A594" s="46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c r="AA594" s="466"/>
    </row>
    <row r="595" spans="1:27" ht="15.75" customHeight="1" x14ac:dyDescent="0.2">
      <c r="A595" s="46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c r="AA595" s="466"/>
    </row>
    <row r="596" spans="1:27" ht="15.75" customHeight="1" x14ac:dyDescent="0.2">
      <c r="A596" s="46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c r="AA596" s="466"/>
    </row>
    <row r="597" spans="1:27" ht="15.75" customHeight="1" x14ac:dyDescent="0.2">
      <c r="A597" s="46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c r="AA597" s="466"/>
    </row>
    <row r="598" spans="1:27" ht="15.75" customHeight="1" x14ac:dyDescent="0.2">
      <c r="A598" s="46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c r="AA598" s="466"/>
    </row>
    <row r="599" spans="1:27" ht="15.75" customHeight="1" x14ac:dyDescent="0.2">
      <c r="A599" s="46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c r="AA599" s="466"/>
    </row>
    <row r="600" spans="1:27" ht="15.75" customHeight="1" x14ac:dyDescent="0.2">
      <c r="A600" s="46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c r="AA600" s="466"/>
    </row>
    <row r="601" spans="1:27" ht="15.75" customHeight="1" x14ac:dyDescent="0.2">
      <c r="A601" s="46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c r="AA601" s="466"/>
    </row>
    <row r="602" spans="1:27" ht="15.75" customHeight="1" x14ac:dyDescent="0.2">
      <c r="A602" s="46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c r="AA602" s="466"/>
    </row>
    <row r="603" spans="1:27" ht="15.75" customHeight="1" x14ac:dyDescent="0.2">
      <c r="A603" s="46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c r="AA603" s="466"/>
    </row>
    <row r="604" spans="1:27" ht="15.75" customHeight="1" x14ac:dyDescent="0.2">
      <c r="A604" s="46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c r="AA604" s="466"/>
    </row>
    <row r="605" spans="1:27" ht="15.75" customHeight="1" x14ac:dyDescent="0.2">
      <c r="A605" s="46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c r="AA605" s="466"/>
    </row>
    <row r="606" spans="1:27" ht="15.75" customHeight="1" x14ac:dyDescent="0.2">
      <c r="A606" s="46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c r="AA606" s="466"/>
    </row>
    <row r="607" spans="1:27" ht="15.75" customHeight="1" x14ac:dyDescent="0.2">
      <c r="A607" s="46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c r="AA607" s="466"/>
    </row>
    <row r="608" spans="1:27" ht="15.75" customHeight="1" x14ac:dyDescent="0.2">
      <c r="A608" s="46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c r="AA608" s="466"/>
    </row>
    <row r="609" spans="1:27" ht="15.75" customHeight="1" x14ac:dyDescent="0.2">
      <c r="A609" s="46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c r="AA609" s="466"/>
    </row>
    <row r="610" spans="1:27" ht="15.75" customHeight="1" x14ac:dyDescent="0.2">
      <c r="A610" s="46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c r="AA610" s="466"/>
    </row>
    <row r="611" spans="1:27" ht="15.75" customHeight="1" x14ac:dyDescent="0.2">
      <c r="A611" s="46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c r="AA611" s="466"/>
    </row>
    <row r="612" spans="1:27" ht="15.75" customHeight="1" x14ac:dyDescent="0.2">
      <c r="A612" s="46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c r="AA612" s="466"/>
    </row>
    <row r="613" spans="1:27" ht="15.75" customHeight="1" x14ac:dyDescent="0.2">
      <c r="A613" s="46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c r="AA613" s="466"/>
    </row>
    <row r="614" spans="1:27" ht="15.75" customHeight="1" x14ac:dyDescent="0.2">
      <c r="A614" s="46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c r="AA614" s="466"/>
    </row>
    <row r="615" spans="1:27" ht="15.75" customHeight="1" x14ac:dyDescent="0.2">
      <c r="A615" s="46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c r="AA615" s="466"/>
    </row>
    <row r="616" spans="1:27" ht="15.75" customHeight="1" x14ac:dyDescent="0.2">
      <c r="A616" s="46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c r="AA616" s="466"/>
    </row>
    <row r="617" spans="1:27" ht="15.75" customHeight="1" x14ac:dyDescent="0.2">
      <c r="A617" s="46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c r="AA617" s="466"/>
    </row>
    <row r="618" spans="1:27" ht="15.75" customHeight="1" x14ac:dyDescent="0.2">
      <c r="A618" s="46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c r="AA618" s="466"/>
    </row>
    <row r="619" spans="1:27" ht="15.75" customHeight="1" x14ac:dyDescent="0.2">
      <c r="A619" s="46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c r="AA619" s="466"/>
    </row>
    <row r="620" spans="1:27" ht="15.75" customHeight="1" x14ac:dyDescent="0.2">
      <c r="A620" s="46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c r="AA620" s="466"/>
    </row>
    <row r="621" spans="1:27" ht="15.75" customHeight="1" x14ac:dyDescent="0.2">
      <c r="A621" s="46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c r="AA621" s="466"/>
    </row>
    <row r="622" spans="1:27" ht="15.75" customHeight="1" x14ac:dyDescent="0.2">
      <c r="A622" s="46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c r="AA622" s="466"/>
    </row>
    <row r="623" spans="1:27" ht="15.75" customHeight="1" x14ac:dyDescent="0.2">
      <c r="A623" s="46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c r="AA623" s="466"/>
    </row>
    <row r="624" spans="1:27" ht="15.75" customHeight="1" x14ac:dyDescent="0.2">
      <c r="A624" s="46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c r="AA624" s="466"/>
    </row>
    <row r="625" spans="1:27" ht="15.75" customHeight="1" x14ac:dyDescent="0.2">
      <c r="A625" s="46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c r="AA625" s="466"/>
    </row>
    <row r="626" spans="1:27" ht="15.75" customHeight="1" x14ac:dyDescent="0.2">
      <c r="A626" s="46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c r="AA626" s="466"/>
    </row>
    <row r="627" spans="1:27" ht="15.75" customHeight="1" x14ac:dyDescent="0.2">
      <c r="A627" s="46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row>
    <row r="628" spans="1:27" ht="15.75" customHeight="1" x14ac:dyDescent="0.2">
      <c r="A628" s="46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c r="AA628" s="466"/>
    </row>
    <row r="629" spans="1:27" ht="15.75" customHeight="1" x14ac:dyDescent="0.2">
      <c r="A629" s="46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c r="AA629" s="466"/>
    </row>
    <row r="630" spans="1:27" ht="15.75" customHeight="1" x14ac:dyDescent="0.2">
      <c r="A630" s="46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c r="AA630" s="466"/>
    </row>
    <row r="631" spans="1:27" ht="15.75" customHeight="1" x14ac:dyDescent="0.2">
      <c r="A631" s="46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c r="AA631" s="466"/>
    </row>
    <row r="632" spans="1:27" ht="15.75" customHeight="1" x14ac:dyDescent="0.2">
      <c r="A632" s="46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c r="AA632" s="466"/>
    </row>
    <row r="633" spans="1:27" ht="15.75" customHeight="1" x14ac:dyDescent="0.2">
      <c r="A633" s="46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c r="AA633" s="466"/>
    </row>
    <row r="634" spans="1:27" ht="15.75" customHeight="1" x14ac:dyDescent="0.2">
      <c r="A634" s="46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c r="AA634" s="466"/>
    </row>
    <row r="635" spans="1:27" ht="15.75" customHeight="1" x14ac:dyDescent="0.2">
      <c r="A635" s="46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c r="AA635" s="466"/>
    </row>
    <row r="636" spans="1:27" ht="15.75" customHeight="1" x14ac:dyDescent="0.2">
      <c r="A636" s="46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c r="AA636" s="466"/>
    </row>
    <row r="637" spans="1:27" ht="15.75" customHeight="1" x14ac:dyDescent="0.2">
      <c r="A637" s="46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c r="AA637" s="466"/>
    </row>
    <row r="638" spans="1:27" ht="15.75" customHeight="1" x14ac:dyDescent="0.2">
      <c r="A638" s="46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c r="AA638" s="466"/>
    </row>
    <row r="639" spans="1:27" ht="15.75" customHeight="1" x14ac:dyDescent="0.2">
      <c r="A639" s="46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c r="AA639" s="466"/>
    </row>
    <row r="640" spans="1:27" ht="15.75" customHeight="1" x14ac:dyDescent="0.2">
      <c r="A640" s="46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c r="AA640" s="466"/>
    </row>
    <row r="641" spans="1:27" ht="15.75" customHeight="1" x14ac:dyDescent="0.2">
      <c r="A641" s="46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c r="AA641" s="466"/>
    </row>
    <row r="642" spans="1:27" ht="15.75" customHeight="1" x14ac:dyDescent="0.2">
      <c r="A642" s="46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c r="AA642" s="466"/>
    </row>
    <row r="643" spans="1:27" ht="15.75" customHeight="1" x14ac:dyDescent="0.2">
      <c r="A643" s="46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c r="AA643" s="466"/>
    </row>
    <row r="644" spans="1:27" ht="15.75" customHeight="1" x14ac:dyDescent="0.2">
      <c r="A644" s="46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c r="AA644" s="466"/>
    </row>
    <row r="645" spans="1:27" ht="15.75" customHeight="1" x14ac:dyDescent="0.2">
      <c r="A645" s="46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c r="AA645" s="466"/>
    </row>
    <row r="646" spans="1:27" ht="15.75" customHeight="1" x14ac:dyDescent="0.2">
      <c r="A646" s="46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c r="AA646" s="466"/>
    </row>
    <row r="647" spans="1:27" ht="15.75" customHeight="1" x14ac:dyDescent="0.2">
      <c r="A647" s="46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c r="AA647" s="466"/>
    </row>
    <row r="648" spans="1:27" ht="15.75" customHeight="1" x14ac:dyDescent="0.2">
      <c r="A648" s="46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c r="AA648" s="466"/>
    </row>
    <row r="649" spans="1:27" ht="15.75" customHeight="1" x14ac:dyDescent="0.2">
      <c r="A649" s="46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c r="AA649" s="466"/>
    </row>
    <row r="650" spans="1:27" ht="15.75" customHeight="1" x14ac:dyDescent="0.2">
      <c r="A650" s="46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c r="AA650" s="466"/>
    </row>
    <row r="651" spans="1:27" ht="15.75" customHeight="1" x14ac:dyDescent="0.2">
      <c r="A651" s="46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c r="AA651" s="466"/>
    </row>
    <row r="652" spans="1:27" ht="15.75" customHeight="1" x14ac:dyDescent="0.2">
      <c r="A652" s="46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c r="AA652" s="466"/>
    </row>
    <row r="653" spans="1:27" ht="15.75" customHeight="1" x14ac:dyDescent="0.2">
      <c r="A653" s="46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c r="AA653" s="466"/>
    </row>
    <row r="654" spans="1:27" ht="15.75" customHeight="1" x14ac:dyDescent="0.2">
      <c r="A654" s="46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c r="AA654" s="466"/>
    </row>
    <row r="655" spans="1:27" ht="15.75" customHeight="1" x14ac:dyDescent="0.2">
      <c r="A655" s="46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c r="AA655" s="466"/>
    </row>
    <row r="656" spans="1:27" ht="15.75" customHeight="1" x14ac:dyDescent="0.2">
      <c r="A656" s="46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c r="AA656" s="466"/>
    </row>
    <row r="657" spans="1:27" ht="15.75" customHeight="1" x14ac:dyDescent="0.2">
      <c r="A657" s="46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c r="AA657" s="466"/>
    </row>
    <row r="658" spans="1:27" ht="15.75" customHeight="1" x14ac:dyDescent="0.2">
      <c r="A658" s="46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c r="AA658" s="466"/>
    </row>
    <row r="659" spans="1:27" ht="15.75" customHeight="1" x14ac:dyDescent="0.2">
      <c r="A659" s="46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c r="AA659" s="466"/>
    </row>
    <row r="660" spans="1:27" ht="15.75" customHeight="1" x14ac:dyDescent="0.2">
      <c r="A660" s="46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c r="AA660" s="466"/>
    </row>
    <row r="661" spans="1:27" ht="15.75" customHeight="1" x14ac:dyDescent="0.2">
      <c r="A661" s="46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c r="AA661" s="466"/>
    </row>
    <row r="662" spans="1:27" ht="15.75" customHeight="1" x14ac:dyDescent="0.2">
      <c r="A662" s="46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c r="AA662" s="466"/>
    </row>
    <row r="663" spans="1:27" ht="15.75" customHeight="1" x14ac:dyDescent="0.2">
      <c r="A663" s="46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c r="AA663" s="466"/>
    </row>
    <row r="664" spans="1:27" ht="15.75" customHeight="1" x14ac:dyDescent="0.2">
      <c r="A664" s="46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c r="AA664" s="466"/>
    </row>
    <row r="665" spans="1:27" ht="15.75" customHeight="1" x14ac:dyDescent="0.2">
      <c r="A665" s="46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c r="AA665" s="466"/>
    </row>
    <row r="666" spans="1:27" ht="15.75" customHeight="1" x14ac:dyDescent="0.2">
      <c r="A666" s="46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c r="AA666" s="466"/>
    </row>
    <row r="667" spans="1:27" ht="15.75" customHeight="1" x14ac:dyDescent="0.2">
      <c r="A667" s="46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c r="AA667" s="466"/>
    </row>
    <row r="668" spans="1:27" ht="15.75" customHeight="1" x14ac:dyDescent="0.2">
      <c r="A668" s="46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c r="AA668" s="466"/>
    </row>
    <row r="669" spans="1:27" ht="15.75" customHeight="1" x14ac:dyDescent="0.2">
      <c r="A669" s="46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c r="AA669" s="466"/>
    </row>
    <row r="670" spans="1:27" ht="15.75" customHeight="1" x14ac:dyDescent="0.2">
      <c r="A670" s="46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c r="AA670" s="466"/>
    </row>
    <row r="671" spans="1:27" ht="15.75" customHeight="1" x14ac:dyDescent="0.2">
      <c r="A671" s="46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c r="AA671" s="466"/>
    </row>
    <row r="672" spans="1:27" ht="15.75" customHeight="1" x14ac:dyDescent="0.2">
      <c r="A672" s="46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c r="AA672" s="466"/>
    </row>
    <row r="673" spans="1:27" ht="15.75" customHeight="1" x14ac:dyDescent="0.2">
      <c r="A673" s="46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c r="AA673" s="466"/>
    </row>
    <row r="674" spans="1:27" ht="15.75" customHeight="1" x14ac:dyDescent="0.2">
      <c r="A674" s="46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c r="AA674" s="466"/>
    </row>
    <row r="675" spans="1:27" ht="15.75" customHeight="1" x14ac:dyDescent="0.2">
      <c r="A675" s="46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c r="AA675" s="466"/>
    </row>
    <row r="676" spans="1:27" ht="15.75" customHeight="1" x14ac:dyDescent="0.2">
      <c r="A676" s="46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c r="AA676" s="466"/>
    </row>
    <row r="677" spans="1:27" ht="15.75" customHeight="1" x14ac:dyDescent="0.2">
      <c r="A677" s="46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c r="AA677" s="466"/>
    </row>
    <row r="678" spans="1:27" ht="15.75" customHeight="1" x14ac:dyDescent="0.2">
      <c r="A678" s="46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c r="AA678" s="466"/>
    </row>
    <row r="679" spans="1:27" ht="15.75" customHeight="1" x14ac:dyDescent="0.2">
      <c r="A679" s="46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c r="AA679" s="466"/>
    </row>
    <row r="680" spans="1:27" ht="15.75" customHeight="1" x14ac:dyDescent="0.2">
      <c r="A680" s="46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c r="AA680" s="466"/>
    </row>
    <row r="681" spans="1:27" ht="15.75" customHeight="1" x14ac:dyDescent="0.2">
      <c r="A681" s="46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c r="AA681" s="466"/>
    </row>
    <row r="682" spans="1:27" ht="15.75" customHeight="1" x14ac:dyDescent="0.2">
      <c r="A682" s="46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c r="AA682" s="466"/>
    </row>
    <row r="683" spans="1:27" ht="15.75" customHeight="1" x14ac:dyDescent="0.2">
      <c r="A683" s="46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c r="AA683" s="466"/>
    </row>
    <row r="684" spans="1:27" ht="15.75" customHeight="1" x14ac:dyDescent="0.2">
      <c r="A684" s="46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c r="AA684" s="466"/>
    </row>
    <row r="685" spans="1:27" ht="15.75" customHeight="1" x14ac:dyDescent="0.2">
      <c r="A685" s="46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c r="AA685" s="466"/>
    </row>
    <row r="686" spans="1:27" ht="15.75" customHeight="1" x14ac:dyDescent="0.2">
      <c r="A686" s="46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c r="AA686" s="466"/>
    </row>
    <row r="687" spans="1:27" ht="15.75" customHeight="1" x14ac:dyDescent="0.2">
      <c r="A687" s="46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c r="AA687" s="466"/>
    </row>
    <row r="688" spans="1:27" ht="15.75" customHeight="1" x14ac:dyDescent="0.2">
      <c r="A688" s="46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c r="AA688" s="466"/>
    </row>
    <row r="689" spans="1:27" ht="15.75" customHeight="1" x14ac:dyDescent="0.2">
      <c r="A689" s="46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c r="AA689" s="466"/>
    </row>
    <row r="690" spans="1:27" ht="15.75" customHeight="1" x14ac:dyDescent="0.2">
      <c r="A690" s="46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c r="AA690" s="466"/>
    </row>
    <row r="691" spans="1:27" ht="15.75" customHeight="1" x14ac:dyDescent="0.2">
      <c r="A691" s="46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c r="AA691" s="466"/>
    </row>
    <row r="692" spans="1:27" ht="15.75" customHeight="1" x14ac:dyDescent="0.2">
      <c r="A692" s="46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c r="AA692" s="466"/>
    </row>
    <row r="693" spans="1:27" ht="15.75" customHeight="1" x14ac:dyDescent="0.2">
      <c r="A693" s="46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c r="AA693" s="466"/>
    </row>
    <row r="694" spans="1:27" ht="15.75" customHeight="1" x14ac:dyDescent="0.2">
      <c r="A694" s="46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c r="AA694" s="466"/>
    </row>
    <row r="695" spans="1:27" ht="15.75" customHeight="1" x14ac:dyDescent="0.2">
      <c r="A695" s="46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c r="AA695" s="466"/>
    </row>
    <row r="696" spans="1:27" ht="15.75" customHeight="1" x14ac:dyDescent="0.2">
      <c r="A696" s="46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c r="AA696" s="466"/>
    </row>
    <row r="697" spans="1:27" ht="15.75" customHeight="1" x14ac:dyDescent="0.2">
      <c r="A697" s="46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c r="AA697" s="466"/>
    </row>
    <row r="698" spans="1:27" ht="15.75" customHeight="1" x14ac:dyDescent="0.2">
      <c r="A698" s="46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c r="AA698" s="466"/>
    </row>
    <row r="699" spans="1:27" ht="15.75" customHeight="1" x14ac:dyDescent="0.2">
      <c r="A699" s="46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c r="AA699" s="466"/>
    </row>
    <row r="700" spans="1:27" ht="15.75" customHeight="1" x14ac:dyDescent="0.2">
      <c r="A700" s="46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c r="AA700" s="466"/>
    </row>
    <row r="701" spans="1:27" ht="15.75" customHeight="1" x14ac:dyDescent="0.2">
      <c r="A701" s="46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c r="AA701" s="466"/>
    </row>
    <row r="702" spans="1:27" ht="15.75" customHeight="1" x14ac:dyDescent="0.2">
      <c r="A702" s="46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c r="AA702" s="466"/>
    </row>
    <row r="703" spans="1:27" ht="15.75" customHeight="1" x14ac:dyDescent="0.2">
      <c r="A703" s="46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c r="AA703" s="466"/>
    </row>
    <row r="704" spans="1:27" ht="15.75" customHeight="1" x14ac:dyDescent="0.2">
      <c r="A704" s="46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c r="AA704" s="466"/>
    </row>
    <row r="705" spans="1:27" ht="15.75" customHeight="1" x14ac:dyDescent="0.2">
      <c r="A705" s="46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c r="AA705" s="466"/>
    </row>
    <row r="706" spans="1:27" ht="15.75" customHeight="1" x14ac:dyDescent="0.2">
      <c r="A706" s="46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c r="AA706" s="466"/>
    </row>
    <row r="707" spans="1:27" ht="15.75" customHeight="1" x14ac:dyDescent="0.2">
      <c r="A707" s="46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c r="AA707" s="466"/>
    </row>
    <row r="708" spans="1:27" ht="15.75" customHeight="1" x14ac:dyDescent="0.2">
      <c r="A708" s="46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c r="AA708" s="466"/>
    </row>
    <row r="709" spans="1:27" ht="15.75" customHeight="1" x14ac:dyDescent="0.2">
      <c r="A709" s="46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c r="AA709" s="466"/>
    </row>
    <row r="710" spans="1:27" ht="15.75" customHeight="1" x14ac:dyDescent="0.2">
      <c r="A710" s="46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c r="AA710" s="466"/>
    </row>
    <row r="711" spans="1:27" ht="15.75" customHeight="1" x14ac:dyDescent="0.2">
      <c r="A711" s="46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c r="AA711" s="466"/>
    </row>
    <row r="712" spans="1:27" ht="15.75" customHeight="1" x14ac:dyDescent="0.2">
      <c r="A712" s="46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c r="AA712" s="466"/>
    </row>
    <row r="713" spans="1:27" ht="15.75" customHeight="1" x14ac:dyDescent="0.2">
      <c r="A713" s="46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c r="AA713" s="466"/>
    </row>
    <row r="714" spans="1:27" ht="15.75" customHeight="1" x14ac:dyDescent="0.2">
      <c r="A714" s="46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c r="AA714" s="466"/>
    </row>
    <row r="715" spans="1:27" ht="15.75" customHeight="1" x14ac:dyDescent="0.2">
      <c r="A715" s="46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c r="AA715" s="466"/>
    </row>
    <row r="716" spans="1:27" ht="15.75" customHeight="1" x14ac:dyDescent="0.2">
      <c r="A716" s="46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c r="AA716" s="466"/>
    </row>
    <row r="717" spans="1:27" ht="15.75" customHeight="1" x14ac:dyDescent="0.2">
      <c r="A717" s="46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c r="AA717" s="466"/>
    </row>
    <row r="718" spans="1:27" ht="15.75" customHeight="1" x14ac:dyDescent="0.2">
      <c r="A718" s="46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c r="AA718" s="466"/>
    </row>
    <row r="719" spans="1:27" ht="15.75" customHeight="1" x14ac:dyDescent="0.2">
      <c r="A719" s="46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c r="AA719" s="466"/>
    </row>
    <row r="720" spans="1:27" ht="15.75" customHeight="1" x14ac:dyDescent="0.2">
      <c r="A720" s="46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c r="AA720" s="466"/>
    </row>
    <row r="721" spans="1:27" ht="15.75" customHeight="1" x14ac:dyDescent="0.2">
      <c r="A721" s="46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c r="AA721" s="466"/>
    </row>
    <row r="722" spans="1:27" ht="15.75" customHeight="1" x14ac:dyDescent="0.2">
      <c r="A722" s="46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c r="AA722" s="466"/>
    </row>
    <row r="723" spans="1:27" ht="15.75" customHeight="1" x14ac:dyDescent="0.2">
      <c r="A723" s="46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c r="AA723" s="466"/>
    </row>
    <row r="724" spans="1:27" ht="15.75" customHeight="1" x14ac:dyDescent="0.2">
      <c r="A724" s="46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c r="AA724" s="466"/>
    </row>
    <row r="725" spans="1:27" ht="15.75" customHeight="1" x14ac:dyDescent="0.2">
      <c r="A725" s="46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c r="AA725" s="466"/>
    </row>
    <row r="726" spans="1:27" ht="15.75" customHeight="1" x14ac:dyDescent="0.2">
      <c r="A726" s="46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c r="AA726" s="466"/>
    </row>
    <row r="727" spans="1:27" ht="15.75" customHeight="1" x14ac:dyDescent="0.2">
      <c r="A727" s="46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c r="AA727" s="466"/>
    </row>
    <row r="728" spans="1:27" ht="15.75" customHeight="1" x14ac:dyDescent="0.2">
      <c r="A728" s="46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c r="AA728" s="466"/>
    </row>
    <row r="729" spans="1:27" ht="15.75" customHeight="1" x14ac:dyDescent="0.2">
      <c r="A729" s="46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c r="AA729" s="466"/>
    </row>
    <row r="730" spans="1:27" ht="15.75" customHeight="1" x14ac:dyDescent="0.2">
      <c r="A730" s="46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c r="AA730" s="466"/>
    </row>
    <row r="731" spans="1:27" ht="15.75" customHeight="1" x14ac:dyDescent="0.2">
      <c r="A731" s="46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c r="AA731" s="466"/>
    </row>
    <row r="732" spans="1:27" ht="15.75" customHeight="1" x14ac:dyDescent="0.2">
      <c r="A732" s="46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c r="AA732" s="466"/>
    </row>
    <row r="733" spans="1:27" ht="15.75" customHeight="1" x14ac:dyDescent="0.2">
      <c r="A733" s="46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c r="AA733" s="466"/>
    </row>
    <row r="734" spans="1:27" ht="15.75" customHeight="1" x14ac:dyDescent="0.2">
      <c r="A734" s="46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c r="AA734" s="466"/>
    </row>
    <row r="735" spans="1:27" ht="15.75" customHeight="1" x14ac:dyDescent="0.2">
      <c r="A735" s="46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c r="AA735" s="466"/>
    </row>
    <row r="736" spans="1:27" ht="15.75" customHeight="1" x14ac:dyDescent="0.2">
      <c r="A736" s="46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c r="AA736" s="466"/>
    </row>
    <row r="737" spans="1:27" ht="15.75" customHeight="1" x14ac:dyDescent="0.2">
      <c r="A737" s="46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c r="AA737" s="466"/>
    </row>
    <row r="738" spans="1:27" ht="15.75" customHeight="1" x14ac:dyDescent="0.2">
      <c r="A738" s="46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c r="AA738" s="466"/>
    </row>
    <row r="739" spans="1:27" ht="15.75" customHeight="1" x14ac:dyDescent="0.2">
      <c r="A739" s="46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c r="AA739" s="466"/>
    </row>
    <row r="740" spans="1:27" ht="15.75" customHeight="1" x14ac:dyDescent="0.2">
      <c r="A740" s="46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c r="AA740" s="466"/>
    </row>
    <row r="741" spans="1:27" ht="15.75" customHeight="1" x14ac:dyDescent="0.2">
      <c r="A741" s="46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c r="AA741" s="466"/>
    </row>
    <row r="742" spans="1:27" ht="15.75" customHeight="1" x14ac:dyDescent="0.2">
      <c r="A742" s="46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c r="AA742" s="466"/>
    </row>
    <row r="743" spans="1:27" ht="15.75" customHeight="1" x14ac:dyDescent="0.2">
      <c r="A743" s="46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c r="AA743" s="466"/>
    </row>
    <row r="744" spans="1:27" ht="15.75" customHeight="1" x14ac:dyDescent="0.2">
      <c r="A744" s="46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c r="AA744" s="466"/>
    </row>
    <row r="745" spans="1:27" ht="15.75" customHeight="1" x14ac:dyDescent="0.2">
      <c r="A745" s="46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c r="AA745" s="466"/>
    </row>
    <row r="746" spans="1:27" ht="15.75" customHeight="1" x14ac:dyDescent="0.2">
      <c r="A746" s="46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c r="AA746" s="466"/>
    </row>
    <row r="747" spans="1:27" ht="15.75" customHeight="1" x14ac:dyDescent="0.2">
      <c r="A747" s="46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c r="AA747" s="466"/>
    </row>
    <row r="748" spans="1:27" ht="15.75" customHeight="1" x14ac:dyDescent="0.2">
      <c r="A748" s="46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c r="AA748" s="466"/>
    </row>
    <row r="749" spans="1:27" ht="15.75" customHeight="1" x14ac:dyDescent="0.2">
      <c r="A749" s="46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c r="AA749" s="466"/>
    </row>
    <row r="750" spans="1:27" ht="15.75" customHeight="1" x14ac:dyDescent="0.2">
      <c r="A750" s="46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c r="AA750" s="466"/>
    </row>
    <row r="751" spans="1:27" ht="15.75" customHeight="1" x14ac:dyDescent="0.2">
      <c r="A751" s="46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c r="AA751" s="466"/>
    </row>
    <row r="752" spans="1:27" ht="15.75" customHeight="1" x14ac:dyDescent="0.2">
      <c r="A752" s="46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c r="AA752" s="466"/>
    </row>
    <row r="753" spans="1:27" ht="15.75" customHeight="1" x14ac:dyDescent="0.2">
      <c r="A753" s="46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c r="AA753" s="466"/>
    </row>
    <row r="754" spans="1:27" ht="15.75" customHeight="1" x14ac:dyDescent="0.2">
      <c r="A754" s="46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c r="AA754" s="466"/>
    </row>
    <row r="755" spans="1:27" ht="15.75" customHeight="1" x14ac:dyDescent="0.2">
      <c r="A755" s="46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c r="AA755" s="466"/>
    </row>
    <row r="756" spans="1:27" ht="15.75" customHeight="1" x14ac:dyDescent="0.2">
      <c r="A756" s="46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c r="AA756" s="466"/>
    </row>
    <row r="757" spans="1:27" ht="15.75" customHeight="1" x14ac:dyDescent="0.2">
      <c r="A757" s="46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c r="AA757" s="466"/>
    </row>
    <row r="758" spans="1:27" ht="15.75" customHeight="1" x14ac:dyDescent="0.2">
      <c r="A758" s="46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c r="AA758" s="466"/>
    </row>
    <row r="759" spans="1:27" ht="15.75" customHeight="1" x14ac:dyDescent="0.2">
      <c r="A759" s="46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c r="AA759" s="466"/>
    </row>
    <row r="760" spans="1:27" ht="15.75" customHeight="1" x14ac:dyDescent="0.2">
      <c r="A760" s="46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c r="AA760" s="466"/>
    </row>
    <row r="761" spans="1:27" ht="15.75" customHeight="1" x14ac:dyDescent="0.2">
      <c r="A761" s="46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c r="AA761" s="466"/>
    </row>
    <row r="762" spans="1:27" ht="15.75" customHeight="1" x14ac:dyDescent="0.2">
      <c r="A762" s="46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c r="AA762" s="466"/>
    </row>
    <row r="763" spans="1:27" ht="15.75" customHeight="1" x14ac:dyDescent="0.2">
      <c r="A763" s="46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c r="AA763" s="466"/>
    </row>
    <row r="764" spans="1:27" ht="15.75" customHeight="1" x14ac:dyDescent="0.2">
      <c r="A764" s="46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c r="AA764" s="466"/>
    </row>
    <row r="765" spans="1:27" ht="15.75" customHeight="1" x14ac:dyDescent="0.2">
      <c r="A765" s="46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c r="AA765" s="466"/>
    </row>
    <row r="766" spans="1:27" ht="15.75" customHeight="1" x14ac:dyDescent="0.2">
      <c r="A766" s="46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c r="AA766" s="466"/>
    </row>
    <row r="767" spans="1:27" ht="15.75" customHeight="1" x14ac:dyDescent="0.2">
      <c r="A767" s="46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c r="AA767" s="466"/>
    </row>
    <row r="768" spans="1:27" ht="15.75" customHeight="1" x14ac:dyDescent="0.2">
      <c r="A768" s="46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c r="AA768" s="466"/>
    </row>
    <row r="769" spans="1:27" ht="15.75" customHeight="1" x14ac:dyDescent="0.2">
      <c r="A769" s="46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c r="AA769" s="466"/>
    </row>
    <row r="770" spans="1:27" ht="15.75" customHeight="1" x14ac:dyDescent="0.2">
      <c r="A770" s="46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c r="AA770" s="466"/>
    </row>
    <row r="771" spans="1:27" ht="15.75" customHeight="1" x14ac:dyDescent="0.2">
      <c r="A771" s="46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c r="AA771" s="466"/>
    </row>
    <row r="772" spans="1:27" ht="15.75" customHeight="1" x14ac:dyDescent="0.2">
      <c r="A772" s="46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c r="AA772" s="466"/>
    </row>
    <row r="773" spans="1:27" ht="15.75" customHeight="1" x14ac:dyDescent="0.2">
      <c r="A773" s="46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c r="AA773" s="466"/>
    </row>
    <row r="774" spans="1:27" ht="15.75" customHeight="1" x14ac:dyDescent="0.2">
      <c r="A774" s="46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c r="AA774" s="466"/>
    </row>
    <row r="775" spans="1:27" ht="15.75" customHeight="1" x14ac:dyDescent="0.2">
      <c r="A775" s="46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c r="AA775" s="466"/>
    </row>
    <row r="776" spans="1:27" ht="15.75" customHeight="1" x14ac:dyDescent="0.2">
      <c r="A776" s="46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c r="AA776" s="466"/>
    </row>
    <row r="777" spans="1:27" ht="15.75" customHeight="1" x14ac:dyDescent="0.2">
      <c r="A777" s="46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c r="AA777" s="466"/>
    </row>
    <row r="778" spans="1:27" ht="15.75" customHeight="1" x14ac:dyDescent="0.2">
      <c r="A778" s="46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c r="AA778" s="466"/>
    </row>
    <row r="779" spans="1:27" ht="15.75" customHeight="1" x14ac:dyDescent="0.2">
      <c r="A779" s="46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c r="AA779" s="466"/>
    </row>
    <row r="780" spans="1:27" ht="15.75" customHeight="1" x14ac:dyDescent="0.2">
      <c r="A780" s="46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c r="AA780" s="466"/>
    </row>
    <row r="781" spans="1:27" ht="15.75" customHeight="1" x14ac:dyDescent="0.2">
      <c r="A781" s="46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c r="AA781" s="466"/>
    </row>
    <row r="782" spans="1:27" ht="15.75" customHeight="1" x14ac:dyDescent="0.2">
      <c r="A782" s="46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c r="AA782" s="466"/>
    </row>
    <row r="783" spans="1:27" ht="15.75" customHeight="1" x14ac:dyDescent="0.2">
      <c r="A783" s="46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c r="AA783" s="466"/>
    </row>
    <row r="784" spans="1:27" ht="15.75" customHeight="1" x14ac:dyDescent="0.2">
      <c r="A784" s="46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c r="AA784" s="466"/>
    </row>
    <row r="785" spans="1:27" ht="15.75" customHeight="1" x14ac:dyDescent="0.2">
      <c r="A785" s="46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c r="AA785" s="466"/>
    </row>
    <row r="786" spans="1:27" ht="15.75" customHeight="1" x14ac:dyDescent="0.2">
      <c r="A786" s="46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c r="AA786" s="466"/>
    </row>
    <row r="787" spans="1:27" ht="15.75" customHeight="1" x14ac:dyDescent="0.2">
      <c r="A787" s="46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c r="AA787" s="466"/>
    </row>
    <row r="788" spans="1:27" ht="15.75" customHeight="1" x14ac:dyDescent="0.2">
      <c r="A788" s="46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c r="AA788" s="466"/>
    </row>
    <row r="789" spans="1:27" ht="15.75" customHeight="1" x14ac:dyDescent="0.2">
      <c r="A789" s="46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c r="AA789" s="466"/>
    </row>
    <row r="790" spans="1:27" ht="15.75" customHeight="1" x14ac:dyDescent="0.2">
      <c r="A790" s="46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c r="AA790" s="466"/>
    </row>
    <row r="791" spans="1:27" ht="15.75" customHeight="1" x14ac:dyDescent="0.2">
      <c r="A791" s="46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c r="AA791" s="466"/>
    </row>
    <row r="792" spans="1:27" ht="15.75" customHeight="1" x14ac:dyDescent="0.2">
      <c r="A792" s="46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c r="AA792" s="466"/>
    </row>
    <row r="793" spans="1:27" ht="15.75" customHeight="1" x14ac:dyDescent="0.2">
      <c r="A793" s="46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c r="AA793" s="466"/>
    </row>
    <row r="794" spans="1:27" ht="15.75" customHeight="1" x14ac:dyDescent="0.2">
      <c r="A794" s="46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c r="AA794" s="466"/>
    </row>
    <row r="795" spans="1:27" ht="15.75" customHeight="1" x14ac:dyDescent="0.2">
      <c r="A795" s="46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c r="AA795" s="466"/>
    </row>
    <row r="796" spans="1:27" ht="15.75" customHeight="1" x14ac:dyDescent="0.2">
      <c r="A796" s="46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c r="AA796" s="466"/>
    </row>
    <row r="797" spans="1:27" ht="15.75" customHeight="1" x14ac:dyDescent="0.2">
      <c r="A797" s="46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c r="AA797" s="466"/>
    </row>
    <row r="798" spans="1:27" ht="15.75" customHeight="1" x14ac:dyDescent="0.2">
      <c r="A798" s="46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c r="AA798" s="466"/>
    </row>
    <row r="799" spans="1:27" ht="15.75" customHeight="1" x14ac:dyDescent="0.2">
      <c r="A799" s="46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c r="AA799" s="466"/>
    </row>
    <row r="800" spans="1:27" ht="15.75" customHeight="1" x14ac:dyDescent="0.2">
      <c r="A800" s="46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c r="AA800" s="466"/>
    </row>
    <row r="801" spans="1:27" ht="15.75" customHeight="1" x14ac:dyDescent="0.2">
      <c r="A801" s="46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c r="AA801" s="466"/>
    </row>
    <row r="802" spans="1:27" ht="15.75" customHeight="1" x14ac:dyDescent="0.2">
      <c r="A802" s="46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c r="AA802" s="466"/>
    </row>
    <row r="803" spans="1:27" ht="15.75" customHeight="1" x14ac:dyDescent="0.2">
      <c r="A803" s="46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c r="AA803" s="466"/>
    </row>
    <row r="804" spans="1:27" ht="15.75" customHeight="1" x14ac:dyDescent="0.2">
      <c r="A804" s="46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c r="AA804" s="466"/>
    </row>
    <row r="805" spans="1:27" ht="15.75" customHeight="1" x14ac:dyDescent="0.2">
      <c r="A805" s="46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c r="AA805" s="466"/>
    </row>
    <row r="806" spans="1:27" ht="15.75" customHeight="1" x14ac:dyDescent="0.2">
      <c r="A806" s="46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c r="AA806" s="466"/>
    </row>
    <row r="807" spans="1:27" ht="15.75" customHeight="1" x14ac:dyDescent="0.2">
      <c r="A807" s="46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c r="AA807" s="466"/>
    </row>
    <row r="808" spans="1:27" ht="15.75" customHeight="1" x14ac:dyDescent="0.2">
      <c r="A808" s="46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c r="AA808" s="466"/>
    </row>
    <row r="809" spans="1:27" ht="15.75" customHeight="1" x14ac:dyDescent="0.2">
      <c r="A809" s="46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c r="AA809" s="466"/>
    </row>
    <row r="810" spans="1:27" ht="15.75" customHeight="1" x14ac:dyDescent="0.2">
      <c r="A810" s="46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c r="AA810" s="466"/>
    </row>
    <row r="811" spans="1:27" ht="15.75" customHeight="1" x14ac:dyDescent="0.2">
      <c r="A811" s="46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c r="AA811" s="466"/>
    </row>
    <row r="812" spans="1:27" ht="15.75" customHeight="1" x14ac:dyDescent="0.2">
      <c r="A812" s="46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c r="AA812" s="466"/>
    </row>
    <row r="813" spans="1:27" ht="15.75" customHeight="1" x14ac:dyDescent="0.2">
      <c r="A813" s="46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c r="AA813" s="466"/>
    </row>
    <row r="814" spans="1:27" ht="15.75" customHeight="1" x14ac:dyDescent="0.2">
      <c r="A814" s="46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c r="AA814" s="466"/>
    </row>
    <row r="815" spans="1:27" ht="15.75" customHeight="1" x14ac:dyDescent="0.2">
      <c r="A815" s="46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c r="AA815" s="466"/>
    </row>
    <row r="816" spans="1:27" ht="15.75" customHeight="1" x14ac:dyDescent="0.2">
      <c r="A816" s="46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c r="AA816" s="466"/>
    </row>
    <row r="817" spans="1:27" ht="15.75" customHeight="1" x14ac:dyDescent="0.2">
      <c r="A817" s="46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c r="AA817" s="466"/>
    </row>
    <row r="818" spans="1:27" ht="15.75" customHeight="1" x14ac:dyDescent="0.2">
      <c r="A818" s="46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c r="AA818" s="466"/>
    </row>
    <row r="819" spans="1:27" ht="15.75" customHeight="1" x14ac:dyDescent="0.2">
      <c r="A819" s="46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c r="AA819" s="466"/>
    </row>
    <row r="820" spans="1:27" ht="15.75" customHeight="1" x14ac:dyDescent="0.2">
      <c r="A820" s="46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c r="AA820" s="466"/>
    </row>
    <row r="821" spans="1:27" ht="15.75" customHeight="1" x14ac:dyDescent="0.2">
      <c r="A821" s="46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c r="AA821" s="466"/>
    </row>
    <row r="822" spans="1:27" ht="15.75" customHeight="1" x14ac:dyDescent="0.2">
      <c r="A822" s="46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c r="AA822" s="466"/>
    </row>
    <row r="823" spans="1:27" ht="15.75" customHeight="1" x14ac:dyDescent="0.2">
      <c r="A823" s="46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c r="AA823" s="466"/>
    </row>
    <row r="824" spans="1:27" ht="15.75" customHeight="1" x14ac:dyDescent="0.2">
      <c r="A824" s="46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c r="AA824" s="466"/>
    </row>
    <row r="825" spans="1:27" ht="15.75" customHeight="1" x14ac:dyDescent="0.2">
      <c r="A825" s="46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c r="AA825" s="466"/>
    </row>
    <row r="826" spans="1:27" ht="15.75" customHeight="1" x14ac:dyDescent="0.2">
      <c r="A826" s="46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c r="AA826" s="466"/>
    </row>
    <row r="827" spans="1:27" ht="15.75" customHeight="1" x14ac:dyDescent="0.2">
      <c r="A827" s="46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c r="AA827" s="466"/>
    </row>
    <row r="828" spans="1:27" ht="15.75" customHeight="1" x14ac:dyDescent="0.2">
      <c r="A828" s="46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c r="AA828" s="466"/>
    </row>
    <row r="829" spans="1:27" ht="15.75" customHeight="1" x14ac:dyDescent="0.2">
      <c r="A829" s="46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c r="AA829" s="466"/>
    </row>
    <row r="830" spans="1:27" ht="15.75" customHeight="1" x14ac:dyDescent="0.2">
      <c r="A830" s="46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c r="AA830" s="466"/>
    </row>
    <row r="831" spans="1:27" ht="15.75" customHeight="1" x14ac:dyDescent="0.2">
      <c r="A831" s="46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c r="AA831" s="466"/>
    </row>
    <row r="832" spans="1:27" ht="15.75" customHeight="1" x14ac:dyDescent="0.2">
      <c r="A832" s="46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c r="AA832" s="466"/>
    </row>
    <row r="833" spans="1:27" ht="15.75" customHeight="1" x14ac:dyDescent="0.2">
      <c r="A833" s="46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c r="AA833" s="466"/>
    </row>
    <row r="834" spans="1:27" ht="15.75" customHeight="1" x14ac:dyDescent="0.2">
      <c r="A834" s="46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c r="AA834" s="466"/>
    </row>
    <row r="835" spans="1:27" ht="15.75" customHeight="1" x14ac:dyDescent="0.2">
      <c r="A835" s="46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c r="AA835" s="466"/>
    </row>
    <row r="836" spans="1:27" ht="15.75" customHeight="1" x14ac:dyDescent="0.2">
      <c r="A836" s="46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c r="AA836" s="466"/>
    </row>
    <row r="837" spans="1:27" ht="15.75" customHeight="1" x14ac:dyDescent="0.2">
      <c r="A837" s="46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c r="AA837" s="466"/>
    </row>
    <row r="838" spans="1:27" ht="15.75" customHeight="1" x14ac:dyDescent="0.2">
      <c r="A838" s="46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c r="AA838" s="466"/>
    </row>
    <row r="839" spans="1:27" ht="15.75" customHeight="1" x14ac:dyDescent="0.2">
      <c r="A839" s="46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c r="AA839" s="466"/>
    </row>
    <row r="840" spans="1:27" ht="15.75" customHeight="1" x14ac:dyDescent="0.2">
      <c r="A840" s="46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c r="AA840" s="466"/>
    </row>
    <row r="841" spans="1:27" ht="15.75" customHeight="1" x14ac:dyDescent="0.2">
      <c r="A841" s="46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c r="AA841" s="466"/>
    </row>
    <row r="842" spans="1:27" ht="15.75" customHeight="1" x14ac:dyDescent="0.2">
      <c r="A842" s="46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c r="AA842" s="466"/>
    </row>
    <row r="843" spans="1:27" ht="15.75" customHeight="1" x14ac:dyDescent="0.2">
      <c r="A843" s="46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c r="AA843" s="466"/>
    </row>
    <row r="844" spans="1:27" ht="15.75" customHeight="1" x14ac:dyDescent="0.2">
      <c r="A844" s="46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c r="AA844" s="466"/>
    </row>
    <row r="845" spans="1:27" ht="15.75" customHeight="1" x14ac:dyDescent="0.2">
      <c r="A845" s="46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c r="AA845" s="466"/>
    </row>
    <row r="846" spans="1:27" ht="15.75" customHeight="1" x14ac:dyDescent="0.2">
      <c r="A846" s="46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c r="AA846" s="466"/>
    </row>
    <row r="847" spans="1:27" ht="15.75" customHeight="1" x14ac:dyDescent="0.2">
      <c r="A847" s="46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c r="AA847" s="466"/>
    </row>
    <row r="848" spans="1:27" ht="15.75" customHeight="1" x14ac:dyDescent="0.2">
      <c r="A848" s="46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c r="AA848" s="466"/>
    </row>
    <row r="849" spans="1:27" ht="15.75" customHeight="1" x14ac:dyDescent="0.2">
      <c r="A849" s="46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c r="AA849" s="466"/>
    </row>
    <row r="850" spans="1:27" ht="15.75" customHeight="1" x14ac:dyDescent="0.2">
      <c r="A850" s="46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c r="AA850" s="466"/>
    </row>
    <row r="851" spans="1:27" ht="15.75" customHeight="1" x14ac:dyDescent="0.2">
      <c r="A851" s="46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c r="AA851" s="466"/>
    </row>
    <row r="852" spans="1:27" ht="15.75" customHeight="1" x14ac:dyDescent="0.2">
      <c r="A852" s="46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c r="AA852" s="466"/>
    </row>
    <row r="853" spans="1:27" ht="15.75" customHeight="1" x14ac:dyDescent="0.2">
      <c r="A853" s="46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c r="AA853" s="466"/>
    </row>
    <row r="854" spans="1:27" ht="15.75" customHeight="1" x14ac:dyDescent="0.2">
      <c r="A854" s="46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c r="AA854" s="466"/>
    </row>
    <row r="855" spans="1:27" ht="15.75" customHeight="1" x14ac:dyDescent="0.2">
      <c r="A855" s="46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c r="AA855" s="466"/>
    </row>
    <row r="856" spans="1:27" ht="15.75" customHeight="1" x14ac:dyDescent="0.2">
      <c r="A856" s="46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c r="AA856" s="466"/>
    </row>
    <row r="857" spans="1:27" ht="15.75" customHeight="1" x14ac:dyDescent="0.2">
      <c r="A857" s="46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c r="AA857" s="466"/>
    </row>
    <row r="858" spans="1:27" ht="15.75" customHeight="1" x14ac:dyDescent="0.2">
      <c r="A858" s="46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c r="AA858" s="466"/>
    </row>
    <row r="859" spans="1:27" ht="15.75" customHeight="1" x14ac:dyDescent="0.2">
      <c r="A859" s="46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c r="AA859" s="466"/>
    </row>
    <row r="860" spans="1:27" ht="15.75" customHeight="1" x14ac:dyDescent="0.2">
      <c r="A860" s="46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c r="AA860" s="466"/>
    </row>
    <row r="861" spans="1:27" ht="15.75" customHeight="1" x14ac:dyDescent="0.2">
      <c r="A861" s="46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c r="AA861" s="466"/>
    </row>
    <row r="862" spans="1:27" ht="15.75" customHeight="1" x14ac:dyDescent="0.2">
      <c r="A862" s="46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c r="AA862" s="466"/>
    </row>
    <row r="863" spans="1:27" ht="15.75" customHeight="1" x14ac:dyDescent="0.2">
      <c r="A863" s="46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c r="AA863" s="466"/>
    </row>
    <row r="864" spans="1:27" ht="15.75" customHeight="1" x14ac:dyDescent="0.2">
      <c r="A864" s="46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c r="AA864" s="466"/>
    </row>
    <row r="865" spans="1:27" ht="15.75" customHeight="1" x14ac:dyDescent="0.2">
      <c r="A865" s="46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c r="AA865" s="466"/>
    </row>
    <row r="866" spans="1:27" ht="15.75" customHeight="1" x14ac:dyDescent="0.2">
      <c r="A866" s="46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c r="AA866" s="466"/>
    </row>
    <row r="867" spans="1:27" ht="15.75" customHeight="1" x14ac:dyDescent="0.2">
      <c r="A867" s="46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c r="AA867" s="466"/>
    </row>
    <row r="868" spans="1:27" ht="15.75" customHeight="1" x14ac:dyDescent="0.2">
      <c r="A868" s="46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c r="AA868" s="466"/>
    </row>
    <row r="869" spans="1:27" ht="15.75" customHeight="1" x14ac:dyDescent="0.2">
      <c r="A869" s="46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c r="AA869" s="466"/>
    </row>
    <row r="870" spans="1:27" ht="15.75" customHeight="1" x14ac:dyDescent="0.2">
      <c r="A870" s="46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c r="AA870" s="466"/>
    </row>
    <row r="871" spans="1:27" ht="15.75" customHeight="1" x14ac:dyDescent="0.2">
      <c r="A871" s="46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c r="AA871" s="466"/>
    </row>
    <row r="872" spans="1:27" ht="15.75" customHeight="1" x14ac:dyDescent="0.2">
      <c r="A872" s="46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c r="AA872" s="466"/>
    </row>
    <row r="873" spans="1:27" ht="15.75" customHeight="1" x14ac:dyDescent="0.2">
      <c r="A873" s="46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c r="AA873" s="466"/>
    </row>
    <row r="874" spans="1:27" ht="15.75" customHeight="1" x14ac:dyDescent="0.2">
      <c r="A874" s="46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c r="AA874" s="466"/>
    </row>
    <row r="875" spans="1:27" ht="15.75" customHeight="1" x14ac:dyDescent="0.2">
      <c r="A875" s="46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c r="AA875" s="466"/>
    </row>
    <row r="876" spans="1:27" ht="15.75" customHeight="1" x14ac:dyDescent="0.2">
      <c r="A876" s="46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c r="AA876" s="466"/>
    </row>
    <row r="877" spans="1:27" ht="15.75" customHeight="1" x14ac:dyDescent="0.2">
      <c r="A877" s="46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c r="AA877" s="466"/>
    </row>
    <row r="878" spans="1:27" ht="15.75" customHeight="1" x14ac:dyDescent="0.2">
      <c r="A878" s="46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c r="AA878" s="466"/>
    </row>
    <row r="879" spans="1:27" ht="15.75" customHeight="1" x14ac:dyDescent="0.2">
      <c r="A879" s="46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c r="AA879" s="466"/>
    </row>
    <row r="880" spans="1:27" ht="15.75" customHeight="1" x14ac:dyDescent="0.2">
      <c r="A880" s="46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c r="AA880" s="466"/>
    </row>
    <row r="881" spans="1:27" ht="15.75" customHeight="1" x14ac:dyDescent="0.2">
      <c r="A881" s="46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c r="AA881" s="466"/>
    </row>
    <row r="882" spans="1:27" ht="15.75" customHeight="1" x14ac:dyDescent="0.2">
      <c r="A882" s="46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c r="AA882" s="466"/>
    </row>
    <row r="883" spans="1:27" ht="15.75" customHeight="1" x14ac:dyDescent="0.2">
      <c r="A883" s="46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c r="AA883" s="466"/>
    </row>
    <row r="884" spans="1:27" ht="15.75" customHeight="1" x14ac:dyDescent="0.2">
      <c r="A884" s="46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c r="AA884" s="466"/>
    </row>
    <row r="885" spans="1:27" ht="15.75" customHeight="1" x14ac:dyDescent="0.2">
      <c r="A885" s="46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c r="AA885" s="466"/>
    </row>
    <row r="886" spans="1:27" ht="15.75" customHeight="1" x14ac:dyDescent="0.2">
      <c r="A886" s="46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c r="AA886" s="466"/>
    </row>
    <row r="887" spans="1:27" ht="15.75" customHeight="1" x14ac:dyDescent="0.2">
      <c r="A887" s="46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c r="AA887" s="466"/>
    </row>
    <row r="888" spans="1:27" ht="15.75" customHeight="1" x14ac:dyDescent="0.2">
      <c r="A888" s="46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c r="AA888" s="466"/>
    </row>
    <row r="889" spans="1:27" ht="15.75" customHeight="1" x14ac:dyDescent="0.2">
      <c r="A889" s="46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c r="AA889" s="466"/>
    </row>
    <row r="890" spans="1:27" ht="15.75" customHeight="1" x14ac:dyDescent="0.2">
      <c r="A890" s="46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c r="AA890" s="466"/>
    </row>
    <row r="891" spans="1:27" ht="15.75" customHeight="1" x14ac:dyDescent="0.2">
      <c r="A891" s="46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c r="AA891" s="466"/>
    </row>
    <row r="892" spans="1:27" ht="15.75" customHeight="1" x14ac:dyDescent="0.2">
      <c r="A892" s="46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c r="AA892" s="466"/>
    </row>
    <row r="893" spans="1:27" ht="15.75" customHeight="1" x14ac:dyDescent="0.2">
      <c r="A893" s="46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c r="AA893" s="466"/>
    </row>
    <row r="894" spans="1:27" ht="15.75" customHeight="1" x14ac:dyDescent="0.2">
      <c r="A894" s="46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c r="AA894" s="466"/>
    </row>
    <row r="895" spans="1:27" ht="15.75" customHeight="1" x14ac:dyDescent="0.2">
      <c r="A895" s="46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c r="AA895" s="466"/>
    </row>
    <row r="896" spans="1:27" ht="15.75" customHeight="1" x14ac:dyDescent="0.2">
      <c r="A896" s="46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c r="AA896" s="466"/>
    </row>
    <row r="897" spans="1:27" ht="15.75" customHeight="1" x14ac:dyDescent="0.2">
      <c r="A897" s="46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c r="AA897" s="466"/>
    </row>
    <row r="898" spans="1:27" ht="15.75" customHeight="1" x14ac:dyDescent="0.2">
      <c r="A898" s="46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c r="AA898" s="466"/>
    </row>
    <row r="899" spans="1:27" ht="15.75" customHeight="1" x14ac:dyDescent="0.2">
      <c r="A899" s="46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c r="AA899" s="466"/>
    </row>
    <row r="900" spans="1:27" ht="15.75" customHeight="1" x14ac:dyDescent="0.2">
      <c r="A900" s="46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c r="AA900" s="466"/>
    </row>
    <row r="901" spans="1:27" ht="15.75" customHeight="1" x14ac:dyDescent="0.2">
      <c r="A901" s="46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c r="AA901" s="466"/>
    </row>
    <row r="902" spans="1:27" ht="15.75" customHeight="1" x14ac:dyDescent="0.2">
      <c r="A902" s="46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c r="AA902" s="466"/>
    </row>
    <row r="903" spans="1:27" ht="15.75" customHeight="1" x14ac:dyDescent="0.2">
      <c r="A903" s="46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c r="AA903" s="466"/>
    </row>
    <row r="904" spans="1:27" ht="15.75" customHeight="1" x14ac:dyDescent="0.2">
      <c r="A904" s="46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c r="AA904" s="466"/>
    </row>
    <row r="905" spans="1:27" ht="15.75" customHeight="1" x14ac:dyDescent="0.2">
      <c r="A905" s="46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c r="AA905" s="466"/>
    </row>
    <row r="906" spans="1:27" ht="15.75" customHeight="1" x14ac:dyDescent="0.2">
      <c r="A906" s="46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c r="AA906" s="466"/>
    </row>
    <row r="907" spans="1:27" ht="15.75" customHeight="1" x14ac:dyDescent="0.2">
      <c r="A907" s="46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c r="AA907" s="466"/>
    </row>
    <row r="908" spans="1:27" ht="15.75" customHeight="1" x14ac:dyDescent="0.2">
      <c r="A908" s="46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c r="AA908" s="466"/>
    </row>
    <row r="909" spans="1:27" ht="15.75" customHeight="1" x14ac:dyDescent="0.2">
      <c r="A909" s="46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c r="AA909" s="466"/>
    </row>
    <row r="910" spans="1:27" ht="15.75" customHeight="1" x14ac:dyDescent="0.2">
      <c r="A910" s="46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c r="AA910" s="466"/>
    </row>
    <row r="911" spans="1:27" ht="15.75" customHeight="1" x14ac:dyDescent="0.2">
      <c r="A911" s="46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c r="AA911" s="466"/>
    </row>
    <row r="912" spans="1:27" ht="15.75" customHeight="1" x14ac:dyDescent="0.2">
      <c r="A912" s="46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c r="AA912" s="466"/>
    </row>
    <row r="913" spans="1:27" ht="15.75" customHeight="1" x14ac:dyDescent="0.2">
      <c r="A913" s="46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c r="AA913" s="466"/>
    </row>
    <row r="914" spans="1:27" ht="15.75" customHeight="1" x14ac:dyDescent="0.2">
      <c r="A914" s="46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c r="AA914" s="466"/>
    </row>
    <row r="915" spans="1:27" ht="15.75" customHeight="1" x14ac:dyDescent="0.2">
      <c r="A915" s="46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c r="AA915" s="466"/>
    </row>
    <row r="916" spans="1:27" ht="15.75" customHeight="1" x14ac:dyDescent="0.2">
      <c r="A916" s="46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c r="AA916" s="466"/>
    </row>
    <row r="917" spans="1:27" ht="15.75" customHeight="1" x14ac:dyDescent="0.2">
      <c r="A917" s="46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c r="AA917" s="466"/>
    </row>
    <row r="918" spans="1:27" ht="15.75" customHeight="1" x14ac:dyDescent="0.2">
      <c r="A918" s="46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c r="AA918" s="466"/>
    </row>
    <row r="919" spans="1:27" ht="15.75" customHeight="1" x14ac:dyDescent="0.2">
      <c r="A919" s="46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c r="AA919" s="466"/>
    </row>
    <row r="920" spans="1:27" ht="15.75" customHeight="1" x14ac:dyDescent="0.2">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c r="AA920" s="466"/>
    </row>
    <row r="921" spans="1:27" ht="15.75" customHeight="1" x14ac:dyDescent="0.2">
      <c r="A921" s="46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c r="AA921" s="466"/>
    </row>
    <row r="922" spans="1:27" ht="15.75" customHeight="1" x14ac:dyDescent="0.2">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c r="AA922" s="466"/>
    </row>
    <row r="923" spans="1:27" ht="15.75" customHeight="1" x14ac:dyDescent="0.2">
      <c r="A923" s="46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c r="AA923" s="466"/>
    </row>
    <row r="924" spans="1:27" ht="15.75" customHeight="1" x14ac:dyDescent="0.2">
      <c r="A924" s="46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c r="AA924" s="466"/>
    </row>
    <row r="925" spans="1:27" ht="15.75" customHeight="1" x14ac:dyDescent="0.2">
      <c r="A925" s="46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c r="AA925" s="466"/>
    </row>
    <row r="926" spans="1:27" ht="15.75" customHeight="1" x14ac:dyDescent="0.2">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c r="AA926" s="466"/>
    </row>
    <row r="927" spans="1:27" ht="15.75" customHeight="1" x14ac:dyDescent="0.2">
      <c r="A927" s="46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c r="AA927" s="466"/>
    </row>
    <row r="928" spans="1:27" ht="15.75" customHeight="1" x14ac:dyDescent="0.2">
      <c r="A928" s="46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c r="AA928" s="466"/>
    </row>
    <row r="929" spans="1:27" ht="15.75" customHeight="1" x14ac:dyDescent="0.2">
      <c r="A929" s="46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c r="AA929" s="466"/>
    </row>
    <row r="930" spans="1:27" ht="15.75" customHeight="1" x14ac:dyDescent="0.2">
      <c r="A930" s="46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c r="AA930" s="466"/>
    </row>
    <row r="931" spans="1:27" ht="15.75" customHeight="1" x14ac:dyDescent="0.2">
      <c r="A931" s="46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c r="AA931" s="466"/>
    </row>
    <row r="932" spans="1:27" ht="15.75" customHeight="1" x14ac:dyDescent="0.2">
      <c r="A932" s="46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c r="AA932" s="466"/>
    </row>
    <row r="933" spans="1:27" ht="15.75" customHeight="1" x14ac:dyDescent="0.2">
      <c r="A933" s="46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c r="AA933" s="466"/>
    </row>
    <row r="934" spans="1:27" ht="15.75" customHeight="1" x14ac:dyDescent="0.2">
      <c r="A934" s="46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c r="AA934" s="466"/>
    </row>
    <row r="935" spans="1:27" ht="15.75" customHeight="1" x14ac:dyDescent="0.2">
      <c r="A935" s="46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c r="AA935" s="466"/>
    </row>
    <row r="936" spans="1:27" ht="15.75" customHeight="1" x14ac:dyDescent="0.2">
      <c r="A936" s="46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c r="AA936" s="466"/>
    </row>
    <row r="937" spans="1:27" ht="15.75" customHeight="1" x14ac:dyDescent="0.2">
      <c r="A937" s="46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c r="AA937" s="466"/>
    </row>
    <row r="938" spans="1:27" ht="15.75" customHeight="1" x14ac:dyDescent="0.2">
      <c r="A938" s="46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c r="AA938" s="466"/>
    </row>
    <row r="939" spans="1:27" ht="15.75" customHeight="1" x14ac:dyDescent="0.2">
      <c r="A939" s="46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c r="AA939" s="466"/>
    </row>
    <row r="940" spans="1:27" ht="15.75" customHeight="1" x14ac:dyDescent="0.2">
      <c r="A940" s="46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c r="AA940" s="466"/>
    </row>
    <row r="941" spans="1:27" ht="15.75" customHeight="1" x14ac:dyDescent="0.2">
      <c r="A941" s="46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c r="AA941" s="466"/>
    </row>
    <row r="942" spans="1:27" ht="15.75" customHeight="1" x14ac:dyDescent="0.2">
      <c r="A942" s="46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c r="AA942" s="466"/>
    </row>
    <row r="943" spans="1:27" ht="15.75" customHeight="1" x14ac:dyDescent="0.2">
      <c r="A943" s="46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c r="AA943" s="466"/>
    </row>
    <row r="944" spans="1:27" ht="15.75" customHeight="1" x14ac:dyDescent="0.2">
      <c r="A944" s="46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c r="AA944" s="466"/>
    </row>
    <row r="945" spans="1:27" ht="15.75" customHeight="1" x14ac:dyDescent="0.2">
      <c r="A945" s="46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c r="AA945" s="466"/>
    </row>
    <row r="946" spans="1:27" ht="15.75" customHeight="1" x14ac:dyDescent="0.2">
      <c r="A946" s="46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c r="AA946" s="466"/>
    </row>
    <row r="947" spans="1:27" ht="15.75" customHeight="1" x14ac:dyDescent="0.2">
      <c r="A947" s="46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c r="AA947" s="466"/>
    </row>
    <row r="948" spans="1:27" ht="15.75" customHeight="1" x14ac:dyDescent="0.2">
      <c r="A948" s="46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c r="AA948" s="466"/>
    </row>
    <row r="949" spans="1:27" ht="15.75" customHeight="1" x14ac:dyDescent="0.2">
      <c r="A949" s="46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c r="AA949" s="466"/>
    </row>
    <row r="950" spans="1:27" ht="15.75" customHeight="1" x14ac:dyDescent="0.2">
      <c r="A950" s="46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c r="AA950" s="466"/>
    </row>
    <row r="951" spans="1:27" ht="15.75" customHeight="1" x14ac:dyDescent="0.2">
      <c r="A951" s="46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c r="AA951" s="466"/>
    </row>
    <row r="952" spans="1:27" ht="15.75" customHeight="1" x14ac:dyDescent="0.2">
      <c r="A952" s="46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c r="AA952" s="466"/>
    </row>
    <row r="953" spans="1:27" ht="15.75" customHeight="1" x14ac:dyDescent="0.2">
      <c r="A953" s="46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c r="AA953" s="466"/>
    </row>
    <row r="954" spans="1:27" ht="15.75" customHeight="1" x14ac:dyDescent="0.2">
      <c r="A954" s="46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c r="AA954" s="466"/>
    </row>
    <row r="955" spans="1:27" ht="15.75" customHeight="1" x14ac:dyDescent="0.2">
      <c r="A955" s="46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c r="AA955" s="466"/>
    </row>
    <row r="956" spans="1:27" ht="15.75" customHeight="1" x14ac:dyDescent="0.2">
      <c r="A956" s="46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c r="AA956" s="466"/>
    </row>
    <row r="957" spans="1:27" ht="15.75" customHeight="1" x14ac:dyDescent="0.2">
      <c r="A957" s="46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c r="AA957" s="466"/>
    </row>
    <row r="958" spans="1:27" ht="15.75" customHeight="1" x14ac:dyDescent="0.2">
      <c r="A958" s="46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c r="AA958" s="466"/>
    </row>
    <row r="959" spans="1:27" ht="15.75" customHeight="1" x14ac:dyDescent="0.2">
      <c r="A959" s="46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c r="AA959" s="466"/>
    </row>
    <row r="960" spans="1:27" ht="15.75" customHeight="1" x14ac:dyDescent="0.2">
      <c r="A960" s="46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c r="AA960" s="466"/>
    </row>
    <row r="961" spans="1:27" ht="15.75" customHeight="1" x14ac:dyDescent="0.2">
      <c r="A961" s="46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c r="AA961" s="466"/>
    </row>
    <row r="962" spans="1:27" ht="15.75" customHeight="1" x14ac:dyDescent="0.2">
      <c r="A962" s="46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c r="AA962" s="466"/>
    </row>
    <row r="963" spans="1:27" ht="15.75" customHeight="1" x14ac:dyDescent="0.2">
      <c r="A963" s="46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c r="AA963" s="466"/>
    </row>
    <row r="964" spans="1:27" ht="15.75" customHeight="1" x14ac:dyDescent="0.2">
      <c r="A964" s="46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c r="AA964" s="466"/>
    </row>
    <row r="965" spans="1:27" ht="15.75" customHeight="1" x14ac:dyDescent="0.2">
      <c r="A965" s="46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c r="AA965" s="466"/>
    </row>
    <row r="966" spans="1:27" ht="15.75" customHeight="1" x14ac:dyDescent="0.2">
      <c r="A966" s="46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c r="AA966" s="466"/>
    </row>
    <row r="967" spans="1:27" ht="15.75" customHeight="1" x14ac:dyDescent="0.2">
      <c r="A967" s="46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c r="AA967" s="466"/>
    </row>
    <row r="968" spans="1:27" ht="15.75" customHeight="1" x14ac:dyDescent="0.2">
      <c r="A968" s="46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c r="AA968" s="466"/>
    </row>
    <row r="969" spans="1:27" ht="15.75" customHeight="1" x14ac:dyDescent="0.2">
      <c r="A969" s="46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c r="AA969" s="466"/>
    </row>
    <row r="970" spans="1:27" ht="15.75" customHeight="1" x14ac:dyDescent="0.2">
      <c r="A970" s="46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c r="AA970" s="466"/>
    </row>
    <row r="971" spans="1:27" ht="15.75" customHeight="1" x14ac:dyDescent="0.2">
      <c r="A971" s="46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c r="AA971" s="466"/>
    </row>
    <row r="972" spans="1:27" ht="15.75" customHeight="1" x14ac:dyDescent="0.2">
      <c r="A972" s="46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c r="AA972" s="466"/>
    </row>
    <row r="973" spans="1:27" ht="15.75" customHeight="1" x14ac:dyDescent="0.2">
      <c r="A973" s="46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c r="AA973" s="466"/>
    </row>
    <row r="974" spans="1:27" ht="15.75" customHeight="1" x14ac:dyDescent="0.2">
      <c r="A974" s="46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c r="AA974" s="466"/>
    </row>
    <row r="975" spans="1:27" ht="15.75" customHeight="1" x14ac:dyDescent="0.2">
      <c r="A975" s="46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c r="AA975" s="466"/>
    </row>
    <row r="976" spans="1:27" ht="15.75" customHeight="1" x14ac:dyDescent="0.2">
      <c r="A976" s="46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c r="AA976" s="466"/>
    </row>
    <row r="977" spans="1:27" ht="15.75" customHeight="1" x14ac:dyDescent="0.2">
      <c r="A977" s="46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c r="AA977" s="466"/>
    </row>
    <row r="978" spans="1:27" ht="15.75" customHeight="1" x14ac:dyDescent="0.2">
      <c r="A978" s="46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c r="AA978" s="466"/>
    </row>
    <row r="979" spans="1:27" ht="15.75" customHeight="1" x14ac:dyDescent="0.2">
      <c r="A979" s="46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c r="AA979" s="466"/>
    </row>
    <row r="980" spans="1:27" ht="15.75" customHeight="1" x14ac:dyDescent="0.2">
      <c r="A980" s="46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c r="AA980" s="466"/>
    </row>
    <row r="981" spans="1:27" ht="15.75" customHeight="1" x14ac:dyDescent="0.2">
      <c r="A981" s="46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c r="AA981" s="466"/>
    </row>
    <row r="982" spans="1:27" ht="15.75" customHeight="1" x14ac:dyDescent="0.2">
      <c r="A982" s="46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c r="AA982" s="466"/>
    </row>
    <row r="983" spans="1:27" ht="15.75" customHeight="1" x14ac:dyDescent="0.2">
      <c r="A983" s="46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c r="AA983" s="466"/>
    </row>
    <row r="984" spans="1:27" ht="15.75" customHeight="1" x14ac:dyDescent="0.2">
      <c r="A984" s="46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c r="AA984" s="466"/>
    </row>
    <row r="985" spans="1:27" ht="15.75" customHeight="1" x14ac:dyDescent="0.2">
      <c r="A985" s="46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c r="AA985" s="466"/>
    </row>
    <row r="986" spans="1:27" ht="15.75" customHeight="1" x14ac:dyDescent="0.2">
      <c r="A986" s="46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c r="AA986" s="466"/>
    </row>
    <row r="987" spans="1:27" ht="15.75" customHeight="1" x14ac:dyDescent="0.2">
      <c r="A987" s="46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c r="AA987" s="466"/>
    </row>
    <row r="988" spans="1:27" ht="15.75" customHeight="1" x14ac:dyDescent="0.2">
      <c r="A988" s="46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c r="AA988" s="466"/>
    </row>
    <row r="989" spans="1:27" ht="15.75" customHeight="1" x14ac:dyDescent="0.2">
      <c r="A989" s="46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c r="AA989" s="466"/>
    </row>
    <row r="990" spans="1:27" ht="15.75" customHeight="1" x14ac:dyDescent="0.2">
      <c r="A990" s="46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c r="AA990" s="466"/>
    </row>
    <row r="991" spans="1:27" ht="15.75" customHeight="1" x14ac:dyDescent="0.2">
      <c r="A991" s="46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c r="AA991" s="466"/>
    </row>
    <row r="992" spans="1:27" ht="15.75" customHeight="1" x14ac:dyDescent="0.2">
      <c r="A992" s="46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c r="AA992" s="466"/>
    </row>
    <row r="993" spans="1:27" ht="15.75" customHeight="1" x14ac:dyDescent="0.2">
      <c r="A993" s="46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c r="AA993" s="466"/>
    </row>
    <row r="994" spans="1:27" ht="15.75" customHeight="1" x14ac:dyDescent="0.2">
      <c r="A994" s="46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c r="AA994" s="466"/>
    </row>
    <row r="995" spans="1:27" ht="15.75" customHeight="1" x14ac:dyDescent="0.2">
      <c r="A995" s="46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c r="AA995" s="466"/>
    </row>
    <row r="996" spans="1:27" ht="15.75" customHeight="1" x14ac:dyDescent="0.2">
      <c r="A996" s="46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c r="AA996" s="466"/>
    </row>
    <row r="997" spans="1:27" ht="15.75" customHeight="1" x14ac:dyDescent="0.2">
      <c r="A997" s="46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c r="AA997" s="466"/>
    </row>
    <row r="998" spans="1:27" ht="15.75" customHeight="1" x14ac:dyDescent="0.2">
      <c r="A998" s="46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c r="AA998" s="466"/>
    </row>
    <row r="999" spans="1:27" ht="15.75" customHeight="1" x14ac:dyDescent="0.2">
      <c r="A999" s="46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c r="AA999" s="466"/>
    </row>
    <row r="1000" spans="1:27" ht="15.75" customHeight="1" x14ac:dyDescent="0.2">
      <c r="A1000" s="46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c r="AA1000" s="466"/>
    </row>
    <row r="1001" spans="1:27" ht="15.75" customHeight="1" x14ac:dyDescent="0.2">
      <c r="A1001" s="466"/>
      <c r="B1001" s="466"/>
      <c r="C1001" s="466"/>
      <c r="D1001" s="466"/>
      <c r="E1001" s="466"/>
      <c r="F1001" s="466"/>
      <c r="G1001" s="466"/>
      <c r="H1001" s="466"/>
      <c r="I1001" s="466"/>
      <c r="J1001" s="466"/>
      <c r="K1001" s="466"/>
      <c r="L1001" s="466"/>
      <c r="M1001" s="466"/>
      <c r="N1001" s="466"/>
      <c r="O1001" s="466"/>
      <c r="P1001" s="466"/>
      <c r="Q1001" s="466"/>
      <c r="R1001" s="466"/>
      <c r="S1001" s="466"/>
      <c r="T1001" s="466"/>
      <c r="U1001" s="466"/>
      <c r="V1001" s="466"/>
      <c r="W1001" s="466"/>
      <c r="X1001" s="466"/>
      <c r="Y1001" s="466"/>
      <c r="Z1001" s="466"/>
      <c r="AA1001" s="466"/>
    </row>
    <row r="1002" spans="1:27" ht="15.75" customHeight="1" x14ac:dyDescent="0.2">
      <c r="A1002" s="466"/>
      <c r="B1002" s="466"/>
      <c r="C1002" s="466"/>
      <c r="D1002" s="466"/>
      <c r="E1002" s="466"/>
      <c r="F1002" s="466"/>
      <c r="G1002" s="466"/>
      <c r="H1002" s="466"/>
      <c r="I1002" s="466"/>
      <c r="J1002" s="466"/>
      <c r="K1002" s="466"/>
      <c r="L1002" s="466"/>
      <c r="M1002" s="466"/>
      <c r="N1002" s="466"/>
      <c r="O1002" s="466"/>
      <c r="P1002" s="466"/>
      <c r="Q1002" s="466"/>
      <c r="R1002" s="466"/>
      <c r="S1002" s="466"/>
      <c r="T1002" s="466"/>
      <c r="U1002" s="466"/>
      <c r="V1002" s="466"/>
      <c r="W1002" s="466"/>
      <c r="X1002" s="466"/>
      <c r="Y1002" s="466"/>
      <c r="Z1002" s="466"/>
      <c r="AA1002" s="466"/>
    </row>
    <row r="1003" spans="1:27" ht="15.75" customHeight="1" x14ac:dyDescent="0.2">
      <c r="A1003" s="466"/>
      <c r="B1003" s="466"/>
      <c r="C1003" s="466"/>
      <c r="D1003" s="466"/>
      <c r="E1003" s="466"/>
      <c r="F1003" s="466"/>
      <c r="G1003" s="466"/>
      <c r="H1003" s="466"/>
      <c r="I1003" s="466"/>
      <c r="J1003" s="466"/>
      <c r="K1003" s="466"/>
      <c r="L1003" s="466"/>
      <c r="M1003" s="466"/>
      <c r="N1003" s="466"/>
      <c r="O1003" s="466"/>
      <c r="P1003" s="466"/>
      <c r="Q1003" s="466"/>
      <c r="R1003" s="466"/>
      <c r="S1003" s="466"/>
      <c r="T1003" s="466"/>
      <c r="U1003" s="466"/>
      <c r="V1003" s="466"/>
      <c r="W1003" s="466"/>
      <c r="X1003" s="466"/>
      <c r="Y1003" s="466"/>
      <c r="Z1003" s="466"/>
      <c r="AA1003" s="466"/>
    </row>
    <row r="1004" spans="1:27" ht="15.75" customHeight="1" x14ac:dyDescent="0.2">
      <c r="A1004" s="466"/>
      <c r="B1004" s="466"/>
      <c r="C1004" s="466"/>
      <c r="D1004" s="466"/>
      <c r="E1004" s="466"/>
      <c r="F1004" s="466"/>
      <c r="G1004" s="466"/>
      <c r="H1004" s="466"/>
      <c r="I1004" s="466"/>
      <c r="J1004" s="466"/>
      <c r="K1004" s="466"/>
      <c r="L1004" s="466"/>
      <c r="M1004" s="466"/>
      <c r="N1004" s="466"/>
      <c r="O1004" s="466"/>
      <c r="P1004" s="466"/>
      <c r="Q1004" s="466"/>
      <c r="R1004" s="466"/>
      <c r="S1004" s="466"/>
      <c r="T1004" s="466"/>
      <c r="U1004" s="466"/>
      <c r="V1004" s="466"/>
      <c r="W1004" s="466"/>
      <c r="X1004" s="466"/>
      <c r="Y1004" s="466"/>
      <c r="Z1004" s="466"/>
      <c r="AA1004" s="466"/>
    </row>
  </sheetData>
  <sheetProtection algorithmName="SHA-512" hashValue="z/GkemtGSAsOfPM1PETPV28ueXrtzA1YFZ2Z2XdfhKKggkDQWjMYelT+gkoueP5A5cYh7sSYi4Gdz7RGITG2kA==" saltValue="g+9HpAlid8a+8qTQfL/6XA==" spinCount="100000" sheet="1" objects="1" scenarios="1"/>
  <mergeCells count="42">
    <mergeCell ref="Q93:U93"/>
    <mergeCell ref="Q94:U94"/>
    <mergeCell ref="Q95:U95"/>
    <mergeCell ref="Q105:U105"/>
    <mergeCell ref="Q106:U106"/>
    <mergeCell ref="Q96:U96"/>
    <mergeCell ref="Q97:U97"/>
    <mergeCell ref="Q98:U98"/>
    <mergeCell ref="Q99:U99"/>
    <mergeCell ref="Q101:U101"/>
    <mergeCell ref="Q103:U103"/>
    <mergeCell ref="Q104:U104"/>
    <mergeCell ref="Q100:U100"/>
    <mergeCell ref="Q102:U102"/>
    <mergeCell ref="Q88:U88"/>
    <mergeCell ref="Q89:U89"/>
    <mergeCell ref="Q90:U90"/>
    <mergeCell ref="Q91:U91"/>
    <mergeCell ref="Q92:U92"/>
    <mergeCell ref="Q83:U83"/>
    <mergeCell ref="Q84:U84"/>
    <mergeCell ref="Q85:U85"/>
    <mergeCell ref="Q86:U86"/>
    <mergeCell ref="Q87:U87"/>
    <mergeCell ref="G83:J83"/>
    <mergeCell ref="G87:J87"/>
    <mergeCell ref="G88:J88"/>
    <mergeCell ref="G84:J84"/>
    <mergeCell ref="M84:N84"/>
    <mergeCell ref="G85:J85"/>
    <mergeCell ref="M85:N85"/>
    <mergeCell ref="G86:J86"/>
    <mergeCell ref="M86:N86"/>
    <mergeCell ref="M87:N87"/>
    <mergeCell ref="M88:N88"/>
    <mergeCell ref="G81:J81"/>
    <mergeCell ref="M81:N81"/>
    <mergeCell ref="Q81:U81"/>
    <mergeCell ref="B82:C82"/>
    <mergeCell ref="G82:J82"/>
    <mergeCell ref="M82:N82"/>
    <mergeCell ref="Q82:U82"/>
  </mergeCells>
  <pageMargins left="0.7" right="0.7" top="0.75" bottom="0.75" header="0" footer="0"/>
  <pageSetup orientation="portrait"/>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005"/>
  <sheetViews>
    <sheetView workbookViewId="0"/>
  </sheetViews>
  <sheetFormatPr defaultColWidth="16.83203125" defaultRowHeight="15" customHeight="1" x14ac:dyDescent="0.2"/>
  <cols>
    <col min="1" max="1" width="3.83203125" customWidth="1"/>
    <col min="2" max="2" width="36.6640625" customWidth="1"/>
    <col min="3" max="5" width="14.33203125" customWidth="1"/>
    <col min="6" max="6" width="10.6640625" customWidth="1"/>
    <col min="7" max="8" width="16.83203125" customWidth="1"/>
    <col min="9" max="11" width="14.33203125" customWidth="1"/>
    <col min="12" max="15" width="16.83203125" customWidth="1"/>
    <col min="16" max="26" width="12" customWidth="1"/>
    <col min="27" max="31" width="9.1640625" customWidth="1"/>
  </cols>
  <sheetData>
    <row r="1" spans="1:31" ht="21.75" customHeight="1" x14ac:dyDescent="0.4">
      <c r="A1" s="2284" t="s">
        <v>1871</v>
      </c>
      <c r="B1" s="480"/>
      <c r="C1" s="2"/>
      <c r="D1" s="2"/>
      <c r="E1" s="2"/>
      <c r="F1" s="2"/>
      <c r="G1" s="2"/>
      <c r="H1" s="2"/>
      <c r="I1" s="2"/>
      <c r="J1" s="2"/>
      <c r="K1" s="2"/>
      <c r="L1" s="2"/>
      <c r="M1" s="2"/>
      <c r="N1" s="2"/>
      <c r="O1" s="2"/>
      <c r="P1" s="2"/>
      <c r="Q1" s="2"/>
      <c r="R1" s="2"/>
      <c r="S1" s="2"/>
      <c r="T1" s="2"/>
      <c r="U1" s="2"/>
      <c r="V1" s="2"/>
      <c r="W1" s="2"/>
      <c r="X1" s="2"/>
      <c r="Y1" s="2"/>
      <c r="Z1" s="2"/>
      <c r="AA1" s="2"/>
      <c r="AB1" s="2"/>
      <c r="AC1" s="466"/>
      <c r="AD1" s="466"/>
      <c r="AE1" s="466"/>
    </row>
    <row r="2" spans="1:31" ht="10.5"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466"/>
      <c r="AD2" s="466"/>
      <c r="AE2" s="466"/>
    </row>
    <row r="3" spans="1:31" ht="10.5" customHeight="1" thickBot="1" x14ac:dyDescent="0.3">
      <c r="A3" s="2"/>
      <c r="B3" s="2550"/>
      <c r="C3" s="2516"/>
      <c r="D3" s="2242"/>
      <c r="E3" s="2242"/>
      <c r="F3" s="2242"/>
      <c r="G3" s="2242"/>
      <c r="H3" s="2242"/>
      <c r="I3" s="2"/>
      <c r="J3" s="2"/>
      <c r="K3" s="2"/>
      <c r="L3" s="2"/>
      <c r="M3" s="2"/>
      <c r="N3" s="2"/>
      <c r="O3" s="2"/>
      <c r="P3" s="2"/>
      <c r="Q3" s="2"/>
      <c r="R3" s="2"/>
      <c r="S3" s="2"/>
      <c r="T3" s="2"/>
      <c r="U3" s="2"/>
      <c r="V3" s="2"/>
      <c r="W3" s="2"/>
      <c r="X3" s="2"/>
      <c r="Y3" s="2"/>
      <c r="Z3" s="2"/>
      <c r="AA3" s="2"/>
      <c r="AB3" s="2"/>
      <c r="AC3" s="466"/>
      <c r="AD3" s="466"/>
      <c r="AE3" s="466"/>
    </row>
    <row r="4" spans="1:31" ht="15.75" customHeight="1" x14ac:dyDescent="0.35">
      <c r="A4" s="2"/>
      <c r="B4" s="2551" t="s">
        <v>1273</v>
      </c>
      <c r="C4" s="2552"/>
      <c r="D4" s="2244">
        <v>44.01</v>
      </c>
      <c r="E4" s="2244" t="s">
        <v>1274</v>
      </c>
      <c r="F4" s="2244"/>
      <c r="G4" s="2244"/>
      <c r="H4" s="2288"/>
      <c r="I4" s="2"/>
      <c r="J4" s="2"/>
      <c r="K4" s="2"/>
      <c r="L4" s="2"/>
      <c r="M4" s="2"/>
      <c r="N4" s="2"/>
      <c r="O4" s="2"/>
      <c r="P4" s="2"/>
      <c r="Q4" s="2"/>
      <c r="R4" s="2"/>
      <c r="S4" s="2"/>
      <c r="T4" s="2"/>
      <c r="U4" s="2"/>
      <c r="V4" s="2"/>
      <c r="W4" s="2"/>
      <c r="X4" s="2"/>
      <c r="Y4" s="2"/>
      <c r="Z4" s="2"/>
      <c r="AA4" s="2"/>
      <c r="AB4" s="2"/>
      <c r="AC4" s="466"/>
      <c r="AD4" s="466"/>
      <c r="AE4" s="466"/>
    </row>
    <row r="5" spans="1:31" ht="15.75" customHeight="1" x14ac:dyDescent="0.35">
      <c r="A5" s="2"/>
      <c r="B5" s="2553" t="s">
        <v>1275</v>
      </c>
      <c r="C5" s="2516"/>
      <c r="D5" s="2285">
        <v>16.044</v>
      </c>
      <c r="E5" s="2242" t="s">
        <v>1274</v>
      </c>
      <c r="F5" s="2242"/>
      <c r="G5" s="2242"/>
      <c r="H5" s="2289"/>
      <c r="I5" s="2"/>
      <c r="J5" s="2"/>
      <c r="K5" s="2"/>
      <c r="L5" s="2"/>
      <c r="M5" s="2"/>
      <c r="N5" s="2"/>
      <c r="O5" s="2"/>
      <c r="P5" s="2"/>
      <c r="Q5" s="2"/>
      <c r="R5" s="2"/>
      <c r="S5" s="2"/>
      <c r="T5" s="2"/>
      <c r="U5" s="2"/>
      <c r="V5" s="2"/>
      <c r="W5" s="2"/>
      <c r="X5" s="2"/>
      <c r="Y5" s="2"/>
      <c r="Z5" s="2"/>
      <c r="AA5" s="2"/>
      <c r="AB5" s="2"/>
      <c r="AC5" s="466"/>
      <c r="AD5" s="466"/>
      <c r="AE5" s="466"/>
    </row>
    <row r="6" spans="1:31" ht="18" customHeight="1" x14ac:dyDescent="0.25">
      <c r="A6" s="2"/>
      <c r="B6" s="2553" t="s">
        <v>1276</v>
      </c>
      <c r="C6" s="2516"/>
      <c r="D6" s="2242">
        <v>8.2050000000000002E-5</v>
      </c>
      <c r="E6" s="2242" t="s">
        <v>1277</v>
      </c>
      <c r="F6" s="2242"/>
      <c r="G6" s="2242"/>
      <c r="H6" s="2289"/>
      <c r="I6" s="2"/>
      <c r="J6" s="2"/>
      <c r="K6" s="2"/>
      <c r="L6" s="2"/>
      <c r="M6" s="2"/>
      <c r="N6" s="2"/>
      <c r="O6" s="2"/>
      <c r="P6" s="2"/>
      <c r="Q6" s="2"/>
      <c r="R6" s="2"/>
      <c r="S6" s="2"/>
      <c r="T6" s="2"/>
      <c r="U6" s="2"/>
      <c r="V6" s="2"/>
      <c r="W6" s="2"/>
      <c r="X6" s="2"/>
      <c r="Y6" s="2"/>
      <c r="Z6" s="2"/>
      <c r="AA6" s="2"/>
      <c r="AB6" s="2"/>
      <c r="AC6" s="466"/>
      <c r="AD6" s="466"/>
      <c r="AE6" s="466"/>
    </row>
    <row r="7" spans="1:31" ht="13.5" customHeight="1" x14ac:dyDescent="0.25">
      <c r="A7" s="2"/>
      <c r="B7" s="2553" t="s">
        <v>1278</v>
      </c>
      <c r="C7" s="2516"/>
      <c r="D7" s="2242">
        <v>25</v>
      </c>
      <c r="E7" s="2242" t="s">
        <v>1279</v>
      </c>
      <c r="F7" s="2242"/>
      <c r="G7" s="2242">
        <f>D7+273</f>
        <v>298</v>
      </c>
      <c r="H7" s="2289" t="s">
        <v>1280</v>
      </c>
      <c r="I7" s="2"/>
      <c r="J7" s="2"/>
      <c r="K7" s="2"/>
      <c r="L7" s="2"/>
      <c r="M7" s="2"/>
      <c r="N7" s="2"/>
      <c r="O7" s="2"/>
      <c r="P7" s="2"/>
      <c r="Q7" s="2"/>
      <c r="R7" s="2"/>
      <c r="S7" s="2"/>
      <c r="T7" s="2"/>
      <c r="U7" s="2"/>
      <c r="V7" s="2"/>
      <c r="W7" s="2"/>
      <c r="X7" s="2"/>
      <c r="Y7" s="2"/>
      <c r="Z7" s="2"/>
      <c r="AA7" s="2"/>
      <c r="AB7" s="2"/>
      <c r="AC7" s="466"/>
      <c r="AD7" s="466"/>
      <c r="AE7" s="466"/>
    </row>
    <row r="8" spans="1:31" ht="17.25" customHeight="1" x14ac:dyDescent="0.25">
      <c r="A8" s="2"/>
      <c r="B8" s="2554" t="s">
        <v>1869</v>
      </c>
      <c r="C8" s="2555"/>
      <c r="D8" s="2286"/>
      <c r="E8" s="2242"/>
      <c r="F8" s="2242"/>
      <c r="G8" s="2242"/>
      <c r="H8" s="2289"/>
      <c r="I8" s="2"/>
      <c r="J8" s="2"/>
      <c r="K8" s="2"/>
      <c r="L8" s="2"/>
      <c r="M8" s="2"/>
      <c r="N8" s="2"/>
      <c r="O8" s="2"/>
      <c r="P8" s="2"/>
      <c r="Q8" s="2"/>
      <c r="R8" s="2"/>
      <c r="S8" s="2"/>
      <c r="T8" s="2"/>
      <c r="U8" s="2"/>
      <c r="V8" s="2"/>
      <c r="W8" s="2"/>
      <c r="X8" s="2"/>
      <c r="Y8" s="2"/>
      <c r="Z8" s="2"/>
      <c r="AA8" s="2"/>
      <c r="AB8" s="2"/>
      <c r="AC8" s="466"/>
      <c r="AD8" s="466"/>
      <c r="AE8" s="466"/>
    </row>
    <row r="9" spans="1:31" ht="19.5" customHeight="1" x14ac:dyDescent="0.25">
      <c r="A9" s="2"/>
      <c r="B9" s="2246" t="s">
        <v>1281</v>
      </c>
      <c r="C9" s="2242"/>
      <c r="D9" s="2242"/>
      <c r="E9" s="2242"/>
      <c r="F9" s="2242"/>
      <c r="G9" s="2242"/>
      <c r="H9" s="2289"/>
      <c r="I9" s="2"/>
      <c r="J9" s="2"/>
      <c r="K9" s="2"/>
      <c r="L9" s="2"/>
      <c r="M9" s="2"/>
      <c r="N9" s="2"/>
      <c r="O9" s="2"/>
      <c r="P9" s="2"/>
      <c r="Q9" s="2"/>
      <c r="R9" s="2"/>
      <c r="S9" s="2"/>
      <c r="T9" s="2"/>
      <c r="U9" s="2"/>
      <c r="V9" s="2"/>
      <c r="W9" s="2"/>
      <c r="X9" s="2"/>
      <c r="Y9" s="2"/>
      <c r="Z9" s="2"/>
      <c r="AA9" s="2"/>
      <c r="AB9" s="2"/>
      <c r="AC9" s="466"/>
      <c r="AD9" s="466"/>
      <c r="AE9" s="466"/>
    </row>
    <row r="10" spans="1:31" ht="14.25" customHeight="1" x14ac:dyDescent="0.25">
      <c r="A10" s="2"/>
      <c r="B10" s="2553" t="s">
        <v>1282</v>
      </c>
      <c r="C10" s="2516"/>
      <c r="D10" s="2242"/>
      <c r="E10" s="2242"/>
      <c r="F10" s="2242"/>
      <c r="G10" s="2242"/>
      <c r="H10" s="2289"/>
      <c r="I10" s="2"/>
      <c r="J10" s="2"/>
      <c r="K10" s="2"/>
      <c r="L10" s="2"/>
      <c r="M10" s="2"/>
      <c r="N10" s="2"/>
      <c r="O10" s="2"/>
      <c r="P10" s="2"/>
      <c r="Q10" s="2"/>
      <c r="R10" s="2"/>
      <c r="S10" s="2"/>
      <c r="T10" s="2"/>
      <c r="U10" s="2"/>
      <c r="V10" s="2"/>
      <c r="W10" s="2"/>
      <c r="X10" s="2"/>
      <c r="Y10" s="2"/>
      <c r="Z10" s="2"/>
      <c r="AA10" s="2"/>
      <c r="AB10" s="2"/>
      <c r="AC10" s="466"/>
      <c r="AD10" s="466"/>
      <c r="AE10" s="466"/>
    </row>
    <row r="11" spans="1:31" ht="18" customHeight="1" x14ac:dyDescent="0.25">
      <c r="A11" s="2"/>
      <c r="B11" s="2246" t="s">
        <v>1283</v>
      </c>
      <c r="C11" s="2242"/>
      <c r="D11" s="2242">
        <v>1</v>
      </c>
      <c r="E11" s="2242" t="s">
        <v>1284</v>
      </c>
      <c r="F11" s="2242"/>
      <c r="G11" s="2242"/>
      <c r="H11" s="2289"/>
      <c r="I11" s="2"/>
      <c r="J11" s="2"/>
      <c r="K11" s="2"/>
      <c r="L11" s="2"/>
      <c r="M11" s="2"/>
      <c r="N11" s="2"/>
      <c r="O11" s="2"/>
      <c r="P11" s="2"/>
      <c r="Q11" s="2"/>
      <c r="R11" s="2"/>
      <c r="S11" s="2"/>
      <c r="T11" s="2"/>
      <c r="U11" s="2"/>
      <c r="V11" s="2"/>
      <c r="W11" s="2"/>
      <c r="X11" s="2"/>
      <c r="Y11" s="2"/>
      <c r="Z11" s="2"/>
      <c r="AA11" s="2"/>
      <c r="AB11" s="2"/>
      <c r="AC11" s="466"/>
      <c r="AD11" s="466"/>
      <c r="AE11" s="466"/>
    </row>
    <row r="12" spans="1:31" ht="15" customHeight="1" x14ac:dyDescent="0.25">
      <c r="A12" s="2"/>
      <c r="B12" s="2559"/>
      <c r="C12" s="2516"/>
      <c r="D12" s="2242"/>
      <c r="E12" s="2242"/>
      <c r="F12" s="2242"/>
      <c r="G12" s="2242"/>
      <c r="H12" s="2289"/>
      <c r="I12" s="2"/>
      <c r="J12" s="2"/>
      <c r="K12" s="2"/>
      <c r="L12" s="2"/>
      <c r="M12" s="2"/>
      <c r="N12" s="2"/>
      <c r="O12" s="2"/>
      <c r="P12" s="2"/>
      <c r="Q12" s="2"/>
      <c r="R12" s="2"/>
      <c r="S12" s="2"/>
      <c r="T12" s="2"/>
      <c r="U12" s="2"/>
      <c r="V12" s="2"/>
      <c r="W12" s="2"/>
      <c r="X12" s="2"/>
      <c r="Y12" s="2"/>
      <c r="Z12" s="2"/>
      <c r="AA12" s="2"/>
      <c r="AB12" s="2"/>
      <c r="AC12" s="466"/>
      <c r="AD12" s="466"/>
      <c r="AE12" s="466"/>
    </row>
    <row r="13" spans="1:31" ht="17.25" customHeight="1" x14ac:dyDescent="0.35">
      <c r="A13" s="2"/>
      <c r="B13" s="2246" t="s">
        <v>1285</v>
      </c>
      <c r="C13" s="2242"/>
      <c r="D13" s="2242">
        <v>1000</v>
      </c>
      <c r="E13" s="2242" t="s">
        <v>333</v>
      </c>
      <c r="F13" s="2242"/>
      <c r="G13" s="2242"/>
      <c r="H13" s="2289"/>
      <c r="I13" s="2"/>
      <c r="J13" s="2"/>
      <c r="K13" s="2"/>
      <c r="L13" s="2"/>
      <c r="M13" s="2"/>
      <c r="N13" s="2"/>
      <c r="O13" s="2"/>
      <c r="P13" s="2"/>
      <c r="Q13" s="2"/>
      <c r="R13" s="2"/>
      <c r="S13" s="2"/>
      <c r="T13" s="2"/>
      <c r="U13" s="2"/>
      <c r="V13" s="2"/>
      <c r="W13" s="2"/>
      <c r="X13" s="2"/>
      <c r="Y13" s="2"/>
      <c r="Z13" s="2"/>
      <c r="AA13" s="2"/>
      <c r="AB13" s="2"/>
      <c r="AC13" s="466"/>
      <c r="AD13" s="466"/>
      <c r="AE13" s="466"/>
    </row>
    <row r="14" spans="1:31" ht="10.5" customHeight="1" x14ac:dyDescent="0.25">
      <c r="A14" s="2"/>
      <c r="B14" s="2559"/>
      <c r="C14" s="2516"/>
      <c r="D14" s="2287"/>
      <c r="E14" s="2242"/>
      <c r="F14" s="2242"/>
      <c r="G14" s="2242"/>
      <c r="H14" s="2289"/>
      <c r="I14" s="2"/>
      <c r="J14" s="2"/>
      <c r="K14" s="2"/>
      <c r="L14" s="2"/>
      <c r="M14" s="2"/>
      <c r="N14" s="2"/>
      <c r="O14" s="2"/>
      <c r="P14" s="2"/>
      <c r="Q14" s="2"/>
      <c r="R14" s="2"/>
      <c r="S14" s="2"/>
      <c r="T14" s="2"/>
      <c r="U14" s="2"/>
      <c r="V14" s="2"/>
      <c r="W14" s="2"/>
      <c r="X14" s="2"/>
      <c r="Y14" s="2"/>
      <c r="Z14" s="2"/>
      <c r="AA14" s="2"/>
      <c r="AB14" s="2"/>
      <c r="AC14" s="466"/>
      <c r="AD14" s="466"/>
      <c r="AE14" s="466"/>
    </row>
    <row r="15" spans="1:31" ht="15" customHeight="1" x14ac:dyDescent="0.35">
      <c r="A15" s="2"/>
      <c r="B15" s="2246" t="s">
        <v>1286</v>
      </c>
      <c r="C15" s="2242"/>
      <c r="D15" s="2287">
        <v>0.98</v>
      </c>
      <c r="E15" s="2242"/>
      <c r="F15" s="2242"/>
      <c r="G15" s="2242"/>
      <c r="H15" s="2289"/>
      <c r="I15" s="2"/>
      <c r="J15" s="2"/>
      <c r="K15" s="2"/>
      <c r="L15" s="2"/>
      <c r="M15" s="2"/>
      <c r="N15" s="2"/>
      <c r="O15" s="2"/>
      <c r="P15" s="2"/>
      <c r="Q15" s="2"/>
      <c r="R15" s="2"/>
      <c r="S15" s="2"/>
      <c r="T15" s="2"/>
      <c r="U15" s="2"/>
      <c r="V15" s="2"/>
      <c r="W15" s="2"/>
      <c r="X15" s="2"/>
      <c r="Y15" s="2"/>
      <c r="Z15" s="2"/>
      <c r="AA15" s="2"/>
      <c r="AB15" s="2"/>
      <c r="AC15" s="466"/>
      <c r="AD15" s="466"/>
      <c r="AE15" s="466"/>
    </row>
    <row r="16" spans="1:31" ht="16.5" customHeight="1" x14ac:dyDescent="0.25">
      <c r="A16" s="2"/>
      <c r="B16" s="2246" t="s">
        <v>1287</v>
      </c>
      <c r="C16" s="2242"/>
      <c r="D16" s="2287">
        <v>0.998</v>
      </c>
      <c r="E16" s="2242"/>
      <c r="F16" s="2242"/>
      <c r="G16" s="2242"/>
      <c r="H16" s="2289"/>
      <c r="I16" s="2"/>
      <c r="J16" s="2"/>
      <c r="K16" s="2"/>
      <c r="L16" s="2"/>
      <c r="M16" s="2"/>
      <c r="N16" s="2"/>
      <c r="O16" s="2"/>
      <c r="P16" s="2"/>
      <c r="Q16" s="2"/>
      <c r="R16" s="2"/>
      <c r="S16" s="2"/>
      <c r="T16" s="2"/>
      <c r="U16" s="2"/>
      <c r="V16" s="2"/>
      <c r="W16" s="2"/>
      <c r="X16" s="2"/>
      <c r="Y16" s="2"/>
      <c r="Z16" s="2"/>
      <c r="AA16" s="2"/>
      <c r="AB16" s="2"/>
      <c r="AC16" s="466"/>
      <c r="AD16" s="466"/>
      <c r="AE16" s="466"/>
    </row>
    <row r="17" spans="1:31" ht="19.5" customHeight="1" x14ac:dyDescent="0.25">
      <c r="A17" s="2"/>
      <c r="B17" s="2246" t="s">
        <v>1288</v>
      </c>
      <c r="C17" s="2242"/>
      <c r="D17" s="2287">
        <v>0.98199999999999998</v>
      </c>
      <c r="E17" s="2242"/>
      <c r="F17" s="2242"/>
      <c r="G17" s="2242"/>
      <c r="H17" s="2289"/>
      <c r="I17" s="2"/>
      <c r="J17" s="2"/>
      <c r="K17" s="2"/>
      <c r="L17" s="2"/>
      <c r="M17" s="2"/>
      <c r="N17" s="2"/>
      <c r="O17" s="2"/>
      <c r="P17" s="2"/>
      <c r="Q17" s="2"/>
      <c r="R17" s="2"/>
      <c r="S17" s="2"/>
      <c r="T17" s="2"/>
      <c r="U17" s="2"/>
      <c r="V17" s="2"/>
      <c r="W17" s="2"/>
      <c r="X17" s="2"/>
      <c r="Y17" s="2"/>
      <c r="Z17" s="2"/>
      <c r="AA17" s="2"/>
      <c r="AB17" s="2"/>
      <c r="AC17" s="466"/>
      <c r="AD17" s="466"/>
      <c r="AE17" s="466"/>
    </row>
    <row r="18" spans="1:31" ht="11.25" customHeight="1" x14ac:dyDescent="0.25">
      <c r="A18" s="2"/>
      <c r="B18" s="2559"/>
      <c r="C18" s="2516"/>
      <c r="D18" s="2242"/>
      <c r="E18" s="2242"/>
      <c r="F18" s="2242"/>
      <c r="G18" s="2242"/>
      <c r="H18" s="2289"/>
      <c r="I18" s="2"/>
      <c r="J18" s="2"/>
      <c r="K18" s="2"/>
      <c r="L18" s="2"/>
      <c r="M18" s="2"/>
      <c r="N18" s="2"/>
      <c r="O18" s="2"/>
      <c r="P18" s="2"/>
      <c r="Q18" s="2"/>
      <c r="R18" s="2"/>
      <c r="S18" s="2"/>
      <c r="T18" s="2"/>
      <c r="U18" s="2"/>
      <c r="V18" s="2"/>
      <c r="W18" s="2"/>
      <c r="X18" s="2"/>
      <c r="Y18" s="2"/>
      <c r="Z18" s="2"/>
      <c r="AA18" s="2"/>
      <c r="AB18" s="2"/>
      <c r="AC18" s="466"/>
      <c r="AD18" s="466"/>
      <c r="AE18" s="466"/>
    </row>
    <row r="19" spans="1:31" ht="17.25" customHeight="1" thickBot="1" x14ac:dyDescent="0.4">
      <c r="A19" s="2"/>
      <c r="B19" s="2248" t="s">
        <v>1289</v>
      </c>
      <c r="C19" s="2249"/>
      <c r="D19" s="2249">
        <v>1.25</v>
      </c>
      <c r="E19" s="2249" t="s">
        <v>1290</v>
      </c>
      <c r="F19" s="2249"/>
      <c r="G19" s="2249"/>
      <c r="H19" s="2290"/>
      <c r="I19" s="2"/>
      <c r="J19" s="2"/>
      <c r="K19" s="2"/>
      <c r="L19" s="2"/>
      <c r="M19" s="2"/>
      <c r="N19" s="2"/>
      <c r="O19" s="2"/>
      <c r="P19" s="2"/>
      <c r="Q19" s="2"/>
      <c r="R19" s="2"/>
      <c r="S19" s="2"/>
      <c r="T19" s="2"/>
      <c r="U19" s="2"/>
      <c r="V19" s="2"/>
      <c r="W19" s="2"/>
      <c r="X19" s="2"/>
      <c r="Y19" s="2"/>
      <c r="Z19" s="2"/>
      <c r="AA19" s="2"/>
      <c r="AB19" s="2"/>
      <c r="AC19" s="466"/>
      <c r="AD19" s="466"/>
      <c r="AE19" s="466"/>
    </row>
    <row r="20" spans="1:31" ht="10.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466"/>
      <c r="AD20" s="466"/>
      <c r="AE20" s="466"/>
    </row>
    <row r="21" spans="1:31" ht="10.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466"/>
      <c r="AD21" s="466"/>
      <c r="AE21" s="466"/>
    </row>
    <row r="22" spans="1:31" ht="15.75" thickBot="1" x14ac:dyDescent="0.3">
      <c r="A22" s="2"/>
      <c r="B22" s="2315"/>
      <c r="C22" s="2319"/>
      <c r="D22" s="2320"/>
      <c r="E22" s="2320"/>
      <c r="F22" s="2315"/>
      <c r="G22" s="2315"/>
      <c r="H22" s="2315"/>
      <c r="I22" s="2319"/>
      <c r="J22" s="2320"/>
      <c r="K22" s="2320"/>
      <c r="L22" s="2315"/>
      <c r="M22" s="2319"/>
      <c r="N22" s="2320"/>
      <c r="O22" s="2320"/>
      <c r="P22" s="2315"/>
      <c r="Q22" s="2315"/>
      <c r="R22" s="2315"/>
      <c r="S22" s="2315"/>
      <c r="T22" s="2315"/>
      <c r="U22" s="2315"/>
      <c r="V22" s="2315"/>
      <c r="W22" s="2315"/>
      <c r="X22" s="2315"/>
      <c r="Y22" s="2315"/>
      <c r="Z22" s="2315"/>
      <c r="AA22" s="2"/>
      <c r="AB22" s="2"/>
      <c r="AC22" s="466"/>
      <c r="AD22" s="466"/>
      <c r="AE22" s="466"/>
    </row>
    <row r="23" spans="1:31" ht="260.25" thickBot="1" x14ac:dyDescent="0.3">
      <c r="A23" s="2"/>
      <c r="B23" s="2316"/>
      <c r="C23" s="2560" t="s">
        <v>1872</v>
      </c>
      <c r="D23" s="2561"/>
      <c r="E23" s="2561"/>
      <c r="F23" s="2291" t="s">
        <v>1291</v>
      </c>
      <c r="G23" s="2291" t="s">
        <v>1292</v>
      </c>
      <c r="H23" s="2291" t="s">
        <v>1293</v>
      </c>
      <c r="I23" s="2562" t="s">
        <v>1873</v>
      </c>
      <c r="J23" s="2561"/>
      <c r="K23" s="2561"/>
      <c r="L23" s="2359" t="s">
        <v>1874</v>
      </c>
      <c r="M23" s="2556" t="s">
        <v>1875</v>
      </c>
      <c r="N23" s="2557"/>
      <c r="O23" s="2558"/>
      <c r="P23" s="2322" t="s">
        <v>1294</v>
      </c>
      <c r="Q23" s="2317" t="s">
        <v>1295</v>
      </c>
      <c r="R23" s="2360" t="s">
        <v>1876</v>
      </c>
      <c r="S23" s="2361" t="s">
        <v>1877</v>
      </c>
      <c r="T23" s="2323" t="s">
        <v>1296</v>
      </c>
      <c r="U23" s="2324" t="s">
        <v>1297</v>
      </c>
      <c r="V23" s="2325" t="s">
        <v>1298</v>
      </c>
      <c r="W23" s="2326" t="s">
        <v>1299</v>
      </c>
      <c r="X23" s="2317" t="s">
        <v>1300</v>
      </c>
      <c r="Y23" s="2317" t="s">
        <v>1301</v>
      </c>
      <c r="Z23" s="2318" t="s">
        <v>1302</v>
      </c>
      <c r="AA23" s="1325"/>
      <c r="AB23" s="1325"/>
      <c r="AC23" s="1326"/>
      <c r="AD23" s="1326"/>
      <c r="AE23" s="1326"/>
    </row>
    <row r="24" spans="1:31" x14ac:dyDescent="0.25">
      <c r="A24" s="2"/>
      <c r="B24" s="2292"/>
      <c r="C24" s="1327" t="s">
        <v>1303</v>
      </c>
      <c r="D24" s="1328" t="s">
        <v>1304</v>
      </c>
      <c r="E24" s="1329" t="s">
        <v>1305</v>
      </c>
      <c r="F24" s="2293"/>
      <c r="G24" s="2293"/>
      <c r="H24" s="2293"/>
      <c r="I24" s="1327" t="s">
        <v>1303</v>
      </c>
      <c r="J24" s="1328" t="s">
        <v>1304</v>
      </c>
      <c r="K24" s="1329" t="s">
        <v>1305</v>
      </c>
      <c r="L24" s="1330"/>
      <c r="M24" s="1331" t="s">
        <v>1303</v>
      </c>
      <c r="N24" s="1332" t="s">
        <v>1304</v>
      </c>
      <c r="O24" s="1333" t="s">
        <v>1305</v>
      </c>
      <c r="P24" s="1334"/>
      <c r="Q24" s="418"/>
      <c r="R24" s="418"/>
      <c r="S24" s="1335"/>
      <c r="T24" s="1336"/>
      <c r="U24" s="1337"/>
      <c r="V24" s="1338"/>
      <c r="W24" s="1339"/>
      <c r="X24" s="418"/>
      <c r="Y24" s="418"/>
      <c r="Z24" s="2294"/>
      <c r="AA24" s="2"/>
      <c r="AB24" s="2"/>
      <c r="AC24" s="466"/>
      <c r="AD24" s="466"/>
      <c r="AE24" s="466"/>
    </row>
    <row r="25" spans="1:31" s="2345" customFormat="1" ht="11.25" x14ac:dyDescent="0.2">
      <c r="A25" s="2331"/>
      <c r="B25" s="2332"/>
      <c r="C25" s="2333"/>
      <c r="D25" s="2333"/>
      <c r="E25" s="2333"/>
      <c r="F25" s="2334"/>
      <c r="G25" s="2335"/>
      <c r="H25" s="2335"/>
      <c r="I25" s="2336"/>
      <c r="J25" s="2336"/>
      <c r="K25" s="2336"/>
      <c r="L25" s="2337"/>
      <c r="M25" s="2338"/>
      <c r="N25" s="2338"/>
      <c r="O25" s="2338"/>
      <c r="P25" s="2339"/>
      <c r="Q25" s="2335"/>
      <c r="R25" s="2334"/>
      <c r="S25" s="2334"/>
      <c r="T25" s="2334"/>
      <c r="U25" s="2340"/>
      <c r="V25" s="2334"/>
      <c r="W25" s="2334"/>
      <c r="X25" s="2341"/>
      <c r="Y25" s="2342"/>
      <c r="Z25" s="2343"/>
      <c r="AA25" s="2331"/>
      <c r="AB25" s="2331"/>
      <c r="AC25" s="2344"/>
      <c r="AD25" s="2344"/>
      <c r="AE25" s="2344"/>
    </row>
    <row r="26" spans="1:31" x14ac:dyDescent="0.25">
      <c r="A26" s="2"/>
      <c r="B26" s="2295" t="s">
        <v>1870</v>
      </c>
      <c r="C26" s="2276">
        <v>11.46</v>
      </c>
      <c r="D26" s="2276">
        <v>0</v>
      </c>
      <c r="E26" s="2276">
        <v>128.99</v>
      </c>
      <c r="F26" s="2277">
        <f>SUM(C26:E26)</f>
        <v>140.45000000000002</v>
      </c>
      <c r="G26" s="2278">
        <v>0.496</v>
      </c>
      <c r="H26" s="2278">
        <v>0.35399999999999998</v>
      </c>
      <c r="I26" s="2279">
        <f>C26*G26</f>
        <v>5.6841600000000003</v>
      </c>
      <c r="J26" s="2279">
        <f>D26*G26</f>
        <v>0</v>
      </c>
      <c r="K26" s="2279">
        <f>E26*G26</f>
        <v>63.979040000000005</v>
      </c>
      <c r="L26" s="2279">
        <f>SUM(I26:K26)</f>
        <v>69.663200000000003</v>
      </c>
      <c r="M26" s="2280">
        <f t="shared" ref="M26:O26" si="0">((I26*1000000)/35.31)*($D$5/($D$6*$G$7))*0.0000011023</f>
        <v>116.43570787124911</v>
      </c>
      <c r="N26" s="2280">
        <f t="shared" si="0"/>
        <v>0</v>
      </c>
      <c r="O26" s="2280">
        <f t="shared" si="0"/>
        <v>1310.5621255071921</v>
      </c>
      <c r="P26" s="2327">
        <v>149.27000000000001</v>
      </c>
      <c r="Q26" s="2278">
        <f>L26/P26</f>
        <v>0.46669257050981444</v>
      </c>
      <c r="R26" s="2281">
        <f>((F26*H26*((1-Q26)/Q26)*1000000))/35.31</f>
        <v>1609066.653876723</v>
      </c>
      <c r="S26" s="2281">
        <f>((R26*$D$4)/($D$6*$G$7))*0.00000110231</f>
        <v>3192.5249575666248</v>
      </c>
      <c r="T26" s="2281">
        <f t="shared" ref="T26:V26" si="1">2.75*M26</f>
        <v>320.19819664593507</v>
      </c>
      <c r="U26" s="2281">
        <f t="shared" si="1"/>
        <v>0</v>
      </c>
      <c r="V26" s="2281">
        <f t="shared" si="1"/>
        <v>3604.0458451447785</v>
      </c>
      <c r="W26" s="2281">
        <f>(((F26*G26)*((1-Q26)/Q26))*1000000/35.31)*($D$5/($D$6*$G$7))*0.0000011023</f>
        <v>1630.6849401433026</v>
      </c>
      <c r="X26" s="2282">
        <f>(((C26*G26)*(1-$D$15))*1000000/35.31)*($D$5/($D$6*$G$7))*0.0000011023</f>
        <v>2.3287141574249843</v>
      </c>
      <c r="Y26" s="2282">
        <f>(((D26*G26)*(1-$D$16))*1000000/35.31)*($D$5/($D$6*$G$7))*0.0000011023</f>
        <v>0</v>
      </c>
      <c r="Z26" s="2296">
        <f>(((E26*G26)*(1-0.972))*1000000/35.31)*($D$5/($D$6*$G$7))*0.0000011023</f>
        <v>36.695739514201421</v>
      </c>
      <c r="AA26" s="2"/>
      <c r="AB26" s="2"/>
      <c r="AC26" s="466"/>
      <c r="AD26" s="466"/>
      <c r="AE26" s="466"/>
    </row>
    <row r="27" spans="1:31" x14ac:dyDescent="0.25">
      <c r="A27" s="2"/>
      <c r="B27" s="2295"/>
      <c r="C27" s="2276"/>
      <c r="D27" s="2276"/>
      <c r="E27" s="2276"/>
      <c r="F27" s="2277"/>
      <c r="G27" s="2278"/>
      <c r="H27" s="2278"/>
      <c r="I27" s="2279"/>
      <c r="J27" s="2279"/>
      <c r="K27" s="2279"/>
      <c r="L27" s="2279"/>
      <c r="M27" s="2280"/>
      <c r="N27" s="2280"/>
      <c r="O27" s="2280"/>
      <c r="P27" s="2327"/>
      <c r="Q27" s="2278"/>
      <c r="R27" s="2281"/>
      <c r="S27" s="2281"/>
      <c r="T27" s="2281"/>
      <c r="U27" s="2281"/>
      <c r="V27" s="2281"/>
      <c r="W27" s="2281"/>
      <c r="X27" s="2282"/>
      <c r="Y27" s="2282"/>
      <c r="Z27" s="2297"/>
      <c r="AA27" s="2"/>
      <c r="AB27" s="2"/>
      <c r="AC27" s="466"/>
      <c r="AD27" s="466"/>
      <c r="AE27" s="466"/>
    </row>
    <row r="28" spans="1:31" x14ac:dyDescent="0.25">
      <c r="A28" s="2"/>
      <c r="B28" s="2295" t="s">
        <v>1306</v>
      </c>
      <c r="C28" s="2276">
        <v>236.095</v>
      </c>
      <c r="D28" s="2276">
        <f>2.741+440</f>
        <v>442.74099999999999</v>
      </c>
      <c r="E28" s="2276">
        <v>805.43799999999999</v>
      </c>
      <c r="F28" s="2277">
        <f>SUM(C28:E28)</f>
        <v>1484.2739999999999</v>
      </c>
      <c r="G28" s="2278">
        <v>0.51400000000000001</v>
      </c>
      <c r="H28" s="2278">
        <v>0.38600000000000001</v>
      </c>
      <c r="I28" s="2279">
        <f>C28*G28</f>
        <v>121.35283</v>
      </c>
      <c r="J28" s="2279">
        <f>D28*G28</f>
        <v>227.56887399999999</v>
      </c>
      <c r="K28" s="2279">
        <f>E28*G28</f>
        <v>413.99513200000001</v>
      </c>
      <c r="L28" s="2279">
        <f>SUM(I28:K28)</f>
        <v>762.91683599999999</v>
      </c>
      <c r="M28" s="2280">
        <f t="shared" ref="M28:O28" si="2">((I28*1000000)/35.31)*($D$5/($D$6*$G$7))*0.0000011023</f>
        <v>2485.8207128633526</v>
      </c>
      <c r="N28" s="2280">
        <f t="shared" si="2"/>
        <v>4661.5758412242258</v>
      </c>
      <c r="O28" s="2280">
        <f t="shared" si="2"/>
        <v>8480.3763880100505</v>
      </c>
      <c r="P28" s="2327">
        <f>(258298829+649173644)/1000000</f>
        <v>907.47247300000004</v>
      </c>
      <c r="Q28" s="2278">
        <f>L28/P28</f>
        <v>0.84070521001908116</v>
      </c>
      <c r="R28" s="2281">
        <f>((F28*H28*((1-Q28)/Q28)*1000000))/35.31</f>
        <v>3074407.988499858</v>
      </c>
      <c r="S28" s="2281">
        <f>((R28*$D$4)/($D$6*$G$7))*0.00000110231</f>
        <v>6099.8866699402588</v>
      </c>
      <c r="T28" s="2281">
        <f t="shared" ref="T28:V28" si="3">2.75*M28</f>
        <v>6836.0069603742195</v>
      </c>
      <c r="U28" s="2281">
        <f t="shared" si="3"/>
        <v>12819.333563366621</v>
      </c>
      <c r="V28" s="2281">
        <f t="shared" si="3"/>
        <v>23321.035067027638</v>
      </c>
      <c r="W28" s="2281">
        <f>(((F28*G28)*((1-Q28)/Q28))*1000000/35.31)*($D$5/($D$6*$G$7))*0.0000011023</f>
        <v>2961.1126218956424</v>
      </c>
      <c r="X28" s="2282">
        <f>(((C28*G28)*(1-$D$15))*1000000/35.31)*($D$5/($D$6*$G$7))*0.0000011023</f>
        <v>49.71641425726709</v>
      </c>
      <c r="Y28" s="2282">
        <f>(((D28*G28)*(1-$D$16))*1000000/35.31)*($D$5/($D$6*$G$7))*0.0000011023</f>
        <v>9.3231516824484579</v>
      </c>
      <c r="Z28" s="2297">
        <f>(((E28*G28)*(1-0.972))*1000000/35.31)*($D$5/($D$6*$G$7))*0.0000011023</f>
        <v>237.45053886428167</v>
      </c>
      <c r="AA28" s="2"/>
      <c r="AB28" s="2"/>
      <c r="AC28" s="466"/>
      <c r="AD28" s="466"/>
      <c r="AE28" s="466"/>
    </row>
    <row r="29" spans="1:31" x14ac:dyDescent="0.25">
      <c r="A29" s="2"/>
      <c r="B29" s="2295"/>
      <c r="C29" s="2276"/>
      <c r="D29" s="2276"/>
      <c r="E29" s="2276"/>
      <c r="F29" s="2277"/>
      <c r="G29" s="2278"/>
      <c r="H29" s="2278"/>
      <c r="I29" s="2279"/>
      <c r="J29" s="2279"/>
      <c r="K29" s="2279"/>
      <c r="L29" s="2279"/>
      <c r="M29" s="2280"/>
      <c r="N29" s="2280"/>
      <c r="O29" s="2280"/>
      <c r="P29" s="2327"/>
      <c r="Q29" s="2278"/>
      <c r="R29" s="2281"/>
      <c r="S29" s="2281"/>
      <c r="T29" s="2281"/>
      <c r="U29" s="2281"/>
      <c r="V29" s="2281"/>
      <c r="W29" s="2281"/>
      <c r="X29" s="2282"/>
      <c r="Y29" s="2282"/>
      <c r="Z29" s="2297"/>
      <c r="AA29" s="2"/>
      <c r="AB29" s="2"/>
      <c r="AC29" s="466"/>
      <c r="AD29" s="466"/>
      <c r="AE29" s="466"/>
    </row>
    <row r="30" spans="1:31" x14ac:dyDescent="0.25">
      <c r="A30" s="2"/>
      <c r="B30" s="2295" t="s">
        <v>1307</v>
      </c>
      <c r="C30" s="2276">
        <v>90.88</v>
      </c>
      <c r="D30" s="2276">
        <v>0</v>
      </c>
      <c r="E30" s="2276">
        <v>192.98</v>
      </c>
      <c r="F30" s="2277">
        <f>SUM(C30:E30)</f>
        <v>283.86</v>
      </c>
      <c r="G30" s="2278">
        <v>0.58199999999999996</v>
      </c>
      <c r="H30" s="2278">
        <v>0.2341</v>
      </c>
      <c r="I30" s="2279">
        <f>C30*G30</f>
        <v>52.892159999999997</v>
      </c>
      <c r="J30" s="2279">
        <f>D30*G30</f>
        <v>0</v>
      </c>
      <c r="K30" s="2279">
        <f>E30*G30</f>
        <v>112.31435999999999</v>
      </c>
      <c r="L30" s="2279">
        <f>SUM(I30:K30)</f>
        <v>165.20651999999998</v>
      </c>
      <c r="M30" s="2280">
        <f t="shared" ref="M30:O30" si="4">((I30*1000000)/35.31)*($D$5/($D$6*$G$7))*0.0000011023</f>
        <v>1083.4557947769533</v>
      </c>
      <c r="N30" s="2280">
        <f t="shared" si="4"/>
        <v>0</v>
      </c>
      <c r="O30" s="2280">
        <f t="shared" si="4"/>
        <v>2300.6745078791423</v>
      </c>
      <c r="P30" s="2327">
        <f>378876300/1000000</f>
        <v>378.87630000000001</v>
      </c>
      <c r="Q30" s="2278">
        <f>L30/P30</f>
        <v>0.43604342631090931</v>
      </c>
      <c r="R30" s="2281">
        <f>((F30*H30*((1-Q30)/Q30)*1000000))/35.31</f>
        <v>2434018.161088679</v>
      </c>
      <c r="S30" s="2281">
        <f>((R30*$D$4)/($D$6*$G$7))*0.00000110231</f>
        <v>4829.2988408678866</v>
      </c>
      <c r="T30" s="2281">
        <f t="shared" ref="T30:V30" si="5">2.75*M30</f>
        <v>2979.5034356366218</v>
      </c>
      <c r="U30" s="2281">
        <f t="shared" si="5"/>
        <v>0</v>
      </c>
      <c r="V30" s="2281">
        <f t="shared" si="5"/>
        <v>6326.8548966676417</v>
      </c>
      <c r="W30" s="2281">
        <f>(((F30*G30)*((1-Q30)/Q30))*1000000/35.31)*($D$5/($D$6*$G$7))*0.0000011023</f>
        <v>4376.8634389239696</v>
      </c>
      <c r="X30" s="2282">
        <f>(((C30*G30)*(1-$D$15))*1000000/35.31)*($D$5/($D$6*$G$7))*0.0000011023</f>
        <v>21.669115895539086</v>
      </c>
      <c r="Y30" s="2282">
        <f>(((D30*G30)*(1-$D$16))*1000000/35.31)*($D$5/($D$6*$G$7))*0.0000011023</f>
        <v>0</v>
      </c>
      <c r="Z30" s="2297">
        <f>(((E30*G30)*(1-0.982))*1000000/35.31)*($D$5/($D$6*$G$7))*0.0000011023</f>
        <v>41.412141141824591</v>
      </c>
      <c r="AA30" s="2"/>
      <c r="AB30" s="2"/>
      <c r="AC30" s="466"/>
      <c r="AD30" s="466"/>
      <c r="AE30" s="466"/>
    </row>
    <row r="31" spans="1:31" x14ac:dyDescent="0.25">
      <c r="A31" s="2"/>
      <c r="B31" s="2295"/>
      <c r="C31" s="2276"/>
      <c r="D31" s="2276"/>
      <c r="E31" s="2276"/>
      <c r="F31" s="2277"/>
      <c r="G31" s="2278"/>
      <c r="H31" s="2278"/>
      <c r="I31" s="2279"/>
      <c r="J31" s="2279"/>
      <c r="K31" s="2279"/>
      <c r="L31" s="2279"/>
      <c r="M31" s="2280"/>
      <c r="N31" s="2280"/>
      <c r="O31" s="2280"/>
      <c r="P31" s="2327"/>
      <c r="Q31" s="2278"/>
      <c r="R31" s="2281"/>
      <c r="S31" s="2281"/>
      <c r="T31" s="2281"/>
      <c r="U31" s="2281"/>
      <c r="V31" s="2281"/>
      <c r="W31" s="2281"/>
      <c r="X31" s="2282"/>
      <c r="Y31" s="2282"/>
      <c r="Z31" s="2297"/>
      <c r="AA31" s="2"/>
      <c r="AB31" s="2"/>
      <c r="AC31" s="466"/>
      <c r="AD31" s="466"/>
      <c r="AE31" s="466"/>
    </row>
    <row r="32" spans="1:31" x14ac:dyDescent="0.25">
      <c r="A32" s="2"/>
      <c r="B32" s="2295" t="s">
        <v>1255</v>
      </c>
      <c r="C32" s="2276">
        <v>216.71</v>
      </c>
      <c r="D32" s="2276">
        <v>0</v>
      </c>
      <c r="E32" s="2276">
        <v>126.04</v>
      </c>
      <c r="F32" s="2277">
        <f>SUM(C32:E32)</f>
        <v>342.75</v>
      </c>
      <c r="G32" s="2278">
        <v>0.25080000000000002</v>
      </c>
      <c r="H32" s="2278">
        <v>0.2092</v>
      </c>
      <c r="I32" s="2279">
        <f>C32*G32</f>
        <v>54.350868000000006</v>
      </c>
      <c r="J32" s="2279">
        <f>D32*G32</f>
        <v>0</v>
      </c>
      <c r="K32" s="2279">
        <f>E32*G32</f>
        <v>31.610832000000006</v>
      </c>
      <c r="L32" s="2279">
        <f>SUM(I32:K32)</f>
        <v>85.961700000000008</v>
      </c>
      <c r="M32" s="2280">
        <f t="shared" ref="M32:O32" si="6">((I32*1000000)/35.31)*($D$5/($D$6*$G$7))*0.0000011023</f>
        <v>1113.3363221648972</v>
      </c>
      <c r="N32" s="2280">
        <f t="shared" si="6"/>
        <v>0</v>
      </c>
      <c r="O32" s="2280">
        <f t="shared" si="6"/>
        <v>647.52392619474722</v>
      </c>
      <c r="P32" s="2327">
        <f>127398480/1000000</f>
        <v>127.39848000000001</v>
      </c>
      <c r="Q32" s="2278">
        <f>L32/P32</f>
        <v>0.67474666887705415</v>
      </c>
      <c r="R32" s="2281">
        <f>((F32*H32*((1-Q32)/Q32)*1000000))/35.31</f>
        <v>978864.16551148437</v>
      </c>
      <c r="S32" s="2281">
        <f>((R32*$D$4)/($D$6*$G$7))*0.00000110231</f>
        <v>1942.1496747408596</v>
      </c>
      <c r="T32" s="2281">
        <f t="shared" ref="T32:V32" si="7">2.75*M32</f>
        <v>3061.6748859534673</v>
      </c>
      <c r="U32" s="2281">
        <f t="shared" si="7"/>
        <v>0</v>
      </c>
      <c r="V32" s="2281">
        <f t="shared" si="7"/>
        <v>1780.6907970355549</v>
      </c>
      <c r="W32" s="2281">
        <f>(((F32*G32)*((1-Q32)/Q32))*1000000/35.31)*($D$5/($D$6*$G$7))*0.0000011023</f>
        <v>848.80102094332608</v>
      </c>
      <c r="X32" s="2282">
        <f>(((C32*G32)*(1-$D$15))*1000000/35.31)*($D$5/($D$6*$G$7))*0.0000011023</f>
        <v>22.266726443297959</v>
      </c>
      <c r="Y32" s="2282">
        <f>(((D32*G32)*(1-$D$16))*1000000/35.31)*($D$5/($D$6*$G$7))*0.0000011023</f>
        <v>0</v>
      </c>
      <c r="Z32" s="2297">
        <f>(((E32*G32)*(1-0.972))*1000000/35.31)*($D$5/($D$6*$G$7))*0.0000011023</f>
        <v>18.130669933452936</v>
      </c>
      <c r="AA32" s="2"/>
      <c r="AB32" s="2"/>
      <c r="AC32" s="466"/>
      <c r="AD32" s="466"/>
      <c r="AE32" s="466"/>
    </row>
    <row r="33" spans="1:31" x14ac:dyDescent="0.25">
      <c r="A33" s="2"/>
      <c r="B33" s="2295"/>
      <c r="C33" s="2276"/>
      <c r="D33" s="2276"/>
      <c r="E33" s="2276"/>
      <c r="F33" s="2277"/>
      <c r="G33" s="2278"/>
      <c r="H33" s="2278"/>
      <c r="I33" s="2279"/>
      <c r="J33" s="2279"/>
      <c r="K33" s="2279"/>
      <c r="L33" s="2279"/>
      <c r="M33" s="2280"/>
      <c r="N33" s="2280"/>
      <c r="O33" s="2280"/>
      <c r="P33" s="2327"/>
      <c r="Q33" s="2278"/>
      <c r="R33" s="2281"/>
      <c r="S33" s="2281"/>
      <c r="T33" s="2281"/>
      <c r="U33" s="2281"/>
      <c r="V33" s="2281"/>
      <c r="W33" s="2281"/>
      <c r="X33" s="2282"/>
      <c r="Y33" s="2282"/>
      <c r="Z33" s="2297"/>
      <c r="AA33" s="2"/>
      <c r="AB33" s="2"/>
      <c r="AC33" s="466"/>
      <c r="AD33" s="466"/>
      <c r="AE33" s="466"/>
    </row>
    <row r="34" spans="1:31" x14ac:dyDescent="0.25">
      <c r="A34" s="2"/>
      <c r="B34" s="2295" t="s">
        <v>1308</v>
      </c>
      <c r="C34" s="2279">
        <f>241908436.3/1000000</f>
        <v>241.90843630000001</v>
      </c>
      <c r="D34" s="2276">
        <v>0</v>
      </c>
      <c r="E34" s="2283">
        <f>0</f>
        <v>0</v>
      </c>
      <c r="F34" s="2277">
        <f>SUM(C34:E34)</f>
        <v>241.90843630000001</v>
      </c>
      <c r="G34" s="2278">
        <v>0.49399999999999999</v>
      </c>
      <c r="H34" s="2278">
        <v>0.5</v>
      </c>
      <c r="I34" s="2279">
        <f>C34*G34</f>
        <v>119.5027675322</v>
      </c>
      <c r="J34" s="2279">
        <f>D34*G34</f>
        <v>0</v>
      </c>
      <c r="K34" s="2279">
        <f>E34*G34</f>
        <v>0</v>
      </c>
      <c r="L34" s="2279">
        <f>SUM(I34:K34)</f>
        <v>119.5027675322</v>
      </c>
      <c r="M34" s="2280">
        <f t="shared" ref="M34:O34" si="8">((I34*1000000)/35.31)*($D$5/($D$6*$G$7))*0.0000011023</f>
        <v>2447.9235859273895</v>
      </c>
      <c r="N34" s="2280">
        <f t="shared" si="8"/>
        <v>0</v>
      </c>
      <c r="O34" s="2280">
        <f t="shared" si="8"/>
        <v>0</v>
      </c>
      <c r="P34" s="2328">
        <f>179000000/1000000</f>
        <v>179</v>
      </c>
      <c r="Q34" s="2278">
        <f>L34/P34</f>
        <v>0.66761322643687149</v>
      </c>
      <c r="R34" s="2281">
        <f>((F34*H34*((1-Q34)/Q34)*1000000))/35.31</f>
        <v>1705462.2180352849</v>
      </c>
      <c r="S34" s="2281">
        <f>((R34*$D$4)/($D$6*$G$7))*0.00000110231</f>
        <v>3383.7819472217593</v>
      </c>
      <c r="T34" s="2281">
        <f t="shared" ref="T34:V34" si="9">2.75*M34</f>
        <v>6731.7898613003208</v>
      </c>
      <c r="U34" s="2281">
        <f t="shared" si="9"/>
        <v>0</v>
      </c>
      <c r="V34" s="2281">
        <f t="shared" si="9"/>
        <v>0</v>
      </c>
      <c r="W34" s="2281">
        <f>(((F34*G34)*((1-Q34)/Q34))*1000000/35.31)*($D$5/($D$6*$G$7))*0.0000011023</f>
        <v>1218.7556963154732</v>
      </c>
      <c r="X34" s="2282">
        <f>(((C34*G34)*(1-$D$15))*1000000/35.31)*($D$5/($D$6*$G$7))*0.0000011023</f>
        <v>48.958471718547848</v>
      </c>
      <c r="Y34" s="2282">
        <f>(((D34*G34)*(1-$D$16))*1000000/35.31)*($D$5/($D$6*$G$7))*0.0000011023</f>
        <v>0</v>
      </c>
      <c r="Z34" s="2297">
        <f>(((E34*G34)*(1-0.98))*1000000/35.31)*($D$5/($D$6*$G$7))*0.0000011023</f>
        <v>0</v>
      </c>
      <c r="AA34" s="2"/>
      <c r="AB34" s="2"/>
      <c r="AC34" s="466"/>
      <c r="AD34" s="466"/>
      <c r="AE34" s="466"/>
    </row>
    <row r="35" spans="1:31" x14ac:dyDescent="0.25">
      <c r="A35" s="2"/>
      <c r="B35" s="2295"/>
      <c r="C35" s="2276"/>
      <c r="D35" s="2276"/>
      <c r="E35" s="2276"/>
      <c r="F35" s="2277"/>
      <c r="G35" s="2278"/>
      <c r="H35" s="2278"/>
      <c r="I35" s="2279"/>
      <c r="J35" s="2279"/>
      <c r="K35" s="2279"/>
      <c r="L35" s="2279"/>
      <c r="M35" s="2280"/>
      <c r="N35" s="2280"/>
      <c r="O35" s="2280"/>
      <c r="P35" s="2327"/>
      <c r="Q35" s="2278"/>
      <c r="R35" s="2281"/>
      <c r="S35" s="2281"/>
      <c r="T35" s="2281"/>
      <c r="U35" s="2281"/>
      <c r="V35" s="2281"/>
      <c r="W35" s="2281"/>
      <c r="X35" s="2282"/>
      <c r="Y35" s="2282"/>
      <c r="Z35" s="2297"/>
      <c r="AA35" s="2"/>
      <c r="AB35" s="2"/>
      <c r="AC35" s="466"/>
      <c r="AD35" s="466"/>
      <c r="AE35" s="466"/>
    </row>
    <row r="36" spans="1:31" x14ac:dyDescent="0.25">
      <c r="A36" s="2"/>
      <c r="B36" s="2295" t="s">
        <v>1309</v>
      </c>
      <c r="C36" s="2276">
        <f>0.34+16.88</f>
        <v>17.22</v>
      </c>
      <c r="D36" s="2276">
        <v>0</v>
      </c>
      <c r="E36" s="2276">
        <v>603.04</v>
      </c>
      <c r="F36" s="2277">
        <f>SUM(C36:E36)</f>
        <v>620.26</v>
      </c>
      <c r="G36" s="2278">
        <v>0.47699999999999998</v>
      </c>
      <c r="H36" s="2278">
        <v>0.378</v>
      </c>
      <c r="I36" s="2279">
        <f>C36*G36</f>
        <v>8.2139399999999991</v>
      </c>
      <c r="J36" s="2279">
        <f>D36*G36</f>
        <v>0</v>
      </c>
      <c r="K36" s="2279">
        <f>E36*G36</f>
        <v>287.65007999999995</v>
      </c>
      <c r="L36" s="2279">
        <f>SUM(I36:K36)</f>
        <v>295.86401999999993</v>
      </c>
      <c r="M36" s="2280">
        <f t="shared" ref="M36:O36" si="10">((I36*1000000)/35.31)*($D$5/($D$6*$G$7))*0.0000011023</f>
        <v>168.25633309265885</v>
      </c>
      <c r="N36" s="2280">
        <f t="shared" si="10"/>
        <v>0</v>
      </c>
      <c r="O36" s="2280">
        <f t="shared" si="10"/>
        <v>5892.2937925782226</v>
      </c>
      <c r="P36" s="2327">
        <f>320579490/1000000</f>
        <v>320.57949000000002</v>
      </c>
      <c r="Q36" s="2278">
        <f>L36/P36</f>
        <v>0.92290377029422532</v>
      </c>
      <c r="R36" s="2281">
        <f>((F36*H36*((1-Q36)/Q36)*1000000))/35.31</f>
        <v>554682.64375370939</v>
      </c>
      <c r="S36" s="2281">
        <f>((R36*$D$4)/($D$6*$G$7))*0.00000110231</f>
        <v>1100.5374944824534</v>
      </c>
      <c r="T36" s="2281">
        <f t="shared" ref="T36:V36" si="11">2.75*M36</f>
        <v>462.70491600481182</v>
      </c>
      <c r="U36" s="2281">
        <f t="shared" si="11"/>
        <v>0</v>
      </c>
      <c r="V36" s="2281">
        <f t="shared" si="11"/>
        <v>16203.807929590112</v>
      </c>
      <c r="W36" s="2281">
        <f>(((F36*G36)*((1-Q36)/Q36))*1000000/35.31)*($D$5/($D$6*$G$7))*0.0000011023</f>
        <v>506.27766368656643</v>
      </c>
      <c r="X36" s="2282">
        <f>(((C36*G36)*(1-$D$15))*1000000/35.31)*($D$5/($D$6*$G$7))*0.0000011023</f>
        <v>3.3651266618531803</v>
      </c>
      <c r="Y36" s="2282">
        <f>(((D36*G36)*(1-$D$16))*1000000/35.31)*($D$5/($D$6*$G$7))*0.0000011023</f>
        <v>0</v>
      </c>
      <c r="Z36" s="2297">
        <f>(((E36*G36)*(1-0.982))*1000000/35.31)*($D$5/($D$6*$G$7))*0.0000011023</f>
        <v>106.06128826640808</v>
      </c>
      <c r="AA36" s="2"/>
      <c r="AB36" s="2"/>
      <c r="AC36" s="466"/>
      <c r="AD36" s="466"/>
      <c r="AE36" s="466"/>
    </row>
    <row r="37" spans="1:31" x14ac:dyDescent="0.25">
      <c r="A37" s="2"/>
      <c r="B37" s="2295"/>
      <c r="C37" s="2276"/>
      <c r="D37" s="2276"/>
      <c r="E37" s="2276"/>
      <c r="F37" s="2277"/>
      <c r="G37" s="2278"/>
      <c r="H37" s="2278"/>
      <c r="I37" s="2279"/>
      <c r="J37" s="2279"/>
      <c r="K37" s="2279"/>
      <c r="L37" s="2279"/>
      <c r="M37" s="2280"/>
      <c r="N37" s="2280"/>
      <c r="O37" s="2280"/>
      <c r="P37" s="2327"/>
      <c r="Q37" s="2278"/>
      <c r="R37" s="2281"/>
      <c r="S37" s="2281"/>
      <c r="T37" s="2281"/>
      <c r="U37" s="2281"/>
      <c r="V37" s="2281"/>
      <c r="W37" s="2281"/>
      <c r="X37" s="2282"/>
      <c r="Y37" s="2282"/>
      <c r="Z37" s="2297"/>
      <c r="AA37" s="2"/>
      <c r="AB37" s="2"/>
      <c r="AC37" s="466"/>
      <c r="AD37" s="466"/>
      <c r="AE37" s="466"/>
    </row>
    <row r="38" spans="1:31" x14ac:dyDescent="0.25">
      <c r="A38" s="2"/>
      <c r="B38" s="2295" t="s">
        <v>1256</v>
      </c>
      <c r="C38" s="2276">
        <f>31.61</f>
        <v>31.61</v>
      </c>
      <c r="D38" s="2276">
        <v>0</v>
      </c>
      <c r="E38" s="2276">
        <f>314.07+189.55</f>
        <v>503.62</v>
      </c>
      <c r="F38" s="2277">
        <f>SUM(C38:E38)</f>
        <v>535.23</v>
      </c>
      <c r="G38" s="2278">
        <v>0.46300000000000002</v>
      </c>
      <c r="H38" s="2278">
        <v>0.36199999999999999</v>
      </c>
      <c r="I38" s="2279">
        <f>C38*G38</f>
        <v>14.635430000000001</v>
      </c>
      <c r="J38" s="2279">
        <f>D38*G38</f>
        <v>0</v>
      </c>
      <c r="K38" s="2279">
        <f>E38*G38</f>
        <v>233.17606000000001</v>
      </c>
      <c r="L38" s="2279">
        <f>SUM(I38:K38)</f>
        <v>247.81149000000002</v>
      </c>
      <c r="M38" s="2280">
        <f t="shared" ref="M38:O38" si="12">((I38*1000000)/35.31)*($D$5/($D$6*$G$7))*0.0000011023</f>
        <v>299.79568697047858</v>
      </c>
      <c r="N38" s="2280">
        <f t="shared" si="12"/>
        <v>0</v>
      </c>
      <c r="O38" s="2280">
        <f t="shared" si="12"/>
        <v>4776.4347950671427</v>
      </c>
      <c r="P38" s="2276">
        <f>260840337/1000000</f>
        <v>260.84033699999998</v>
      </c>
      <c r="Q38" s="2278">
        <f>L38/P38</f>
        <v>0.95005049008198472</v>
      </c>
      <c r="R38" s="2281">
        <f>((F38*H38*((1-Q38)/Q38)*1000000))/35.31</f>
        <v>288493.37610170327</v>
      </c>
      <c r="S38" s="2281">
        <f>((R38*$D$4)/($D$6*$G$7))*0.00000110231</f>
        <v>572.39537037096886</v>
      </c>
      <c r="T38" s="2281">
        <f t="shared" ref="T38:V38" si="13">2.75*M38</f>
        <v>824.43813916881606</v>
      </c>
      <c r="U38" s="2281">
        <f t="shared" si="13"/>
        <v>0</v>
      </c>
      <c r="V38" s="2281">
        <f t="shared" si="13"/>
        <v>13135.195686434643</v>
      </c>
      <c r="W38" s="2281">
        <f>(((F38*G38)*((1-Q38)/Q38))*1000000/35.31)*($D$5/($D$6*$G$7))*0.0000011023</f>
        <v>266.88605232632335</v>
      </c>
      <c r="X38" s="2282">
        <f>(((C38*G38)*(1-$D$15))*1000000/35.31)*($D$5/($D$6*$G$7))*0.0000011023</f>
        <v>5.9959137394095769</v>
      </c>
      <c r="Y38" s="2282">
        <f>(((D38*G38)*(1-$D$16))*1000000/35.31)*($D$5/($D$6*$G$7))*0.0000011023</f>
        <v>0</v>
      </c>
      <c r="Z38" s="2297">
        <f>(((E38*G38)*(1-0.972))*1000000/35.31)*($D$5/($D$6*$G$7))*0.0000011023</f>
        <v>133.74017426188016</v>
      </c>
      <c r="AA38" s="2"/>
      <c r="AB38" s="2"/>
      <c r="AC38" s="466"/>
      <c r="AD38" s="466"/>
      <c r="AE38" s="466"/>
    </row>
    <row r="39" spans="1:31" x14ac:dyDescent="0.25">
      <c r="A39" s="2"/>
      <c r="B39" s="2295"/>
      <c r="C39" s="2276"/>
      <c r="D39" s="2276"/>
      <c r="E39" s="2276"/>
      <c r="F39" s="2277"/>
      <c r="G39" s="2278"/>
      <c r="H39" s="2278"/>
      <c r="I39" s="2279"/>
      <c r="J39" s="2279"/>
      <c r="K39" s="2279"/>
      <c r="L39" s="2279"/>
      <c r="M39" s="2280"/>
      <c r="N39" s="2280"/>
      <c r="O39" s="2280"/>
      <c r="P39" s="2327"/>
      <c r="Q39" s="2278"/>
      <c r="R39" s="2281"/>
      <c r="S39" s="2281"/>
      <c r="T39" s="2281"/>
      <c r="U39" s="2281"/>
      <c r="V39" s="2281"/>
      <c r="W39" s="2281"/>
      <c r="X39" s="2282"/>
      <c r="Y39" s="2282"/>
      <c r="Z39" s="2297"/>
      <c r="AA39" s="2"/>
      <c r="AB39" s="2"/>
      <c r="AC39" s="466"/>
      <c r="AD39" s="466"/>
      <c r="AE39" s="466"/>
    </row>
    <row r="40" spans="1:31" x14ac:dyDescent="0.25">
      <c r="A40" s="2"/>
      <c r="B40" s="2295" t="s">
        <v>1310</v>
      </c>
      <c r="C40" s="2276">
        <v>15.2</v>
      </c>
      <c r="D40" s="2276">
        <v>0</v>
      </c>
      <c r="E40" s="2276">
        <v>323.8</v>
      </c>
      <c r="F40" s="2277">
        <f>SUM(C40:E40)</f>
        <v>339</v>
      </c>
      <c r="G40" s="2278">
        <v>0.5</v>
      </c>
      <c r="H40" s="2278">
        <v>0.5</v>
      </c>
      <c r="I40" s="2279">
        <f>C40*G40</f>
        <v>7.6</v>
      </c>
      <c r="J40" s="2279">
        <f>D40*G40</f>
        <v>0</v>
      </c>
      <c r="K40" s="2279">
        <f>E40*G40</f>
        <v>161.9</v>
      </c>
      <c r="L40" s="2279">
        <f>SUM(I40:K40)</f>
        <v>169.5</v>
      </c>
      <c r="M40" s="2280">
        <f t="shared" ref="M40:O40" si="14">((I40*1000000)/35.31)*($D$5/($D$6*$G$7))*0.0000011023</f>
        <v>155.68023768181985</v>
      </c>
      <c r="N40" s="2280">
        <f t="shared" si="14"/>
        <v>0</v>
      </c>
      <c r="O40" s="2280">
        <f t="shared" si="14"/>
        <v>3316.398747458768</v>
      </c>
      <c r="P40" s="2276">
        <f>260840337/1000000</f>
        <v>260.84033699999998</v>
      </c>
      <c r="Q40" s="2278">
        <f>L40/P40</f>
        <v>0.64982280712204421</v>
      </c>
      <c r="R40" s="2281">
        <f>((F40*H40*((1-Q40)/Q40)*1000000))/35.31</f>
        <v>2586812.1495327093</v>
      </c>
      <c r="S40" s="2281">
        <f>((R40*$D$4)/($D$6*$G$7))*0.00000110231</f>
        <v>5132.455096265051</v>
      </c>
      <c r="T40" s="2281">
        <f t="shared" ref="T40:V40" si="15">2.75*M40</f>
        <v>428.12065362500459</v>
      </c>
      <c r="U40" s="2281">
        <f t="shared" si="15"/>
        <v>0</v>
      </c>
      <c r="V40" s="2281">
        <f t="shared" si="15"/>
        <v>9120.0965555116127</v>
      </c>
      <c r="W40" s="2281">
        <f>(((F40*G40)*((1-Q40)/Q40))*1000000/35.31)*($D$5/($D$6*$G$7))*0.0000011023</f>
        <v>1871.0375492233579</v>
      </c>
      <c r="X40" s="2282">
        <f>(((C40*G40)*(1-$D$15))*1000000/35.31)*($D$5/($D$6*$G$7))*0.0000011023</f>
        <v>3.1136047536364004</v>
      </c>
      <c r="Y40" s="2282">
        <f>(((D40*G40)*(1-$D$16))*1000000/35.31)*($D$5/($D$6*$G$7))*0.0000011023</f>
        <v>0</v>
      </c>
      <c r="Z40" s="2297">
        <f>(((E40*G40)*(1-0.982))*1000000/35.31)*($D$5/($D$6*$G$7))*0.0000011023</f>
        <v>59.69517745425788</v>
      </c>
      <c r="AA40" s="2"/>
      <c r="AB40" s="2"/>
      <c r="AC40" s="466"/>
      <c r="AD40" s="466"/>
      <c r="AE40" s="466"/>
    </row>
    <row r="41" spans="1:31" x14ac:dyDescent="0.25">
      <c r="A41" s="2"/>
      <c r="B41" s="2295"/>
      <c r="C41" s="2276"/>
      <c r="D41" s="2276"/>
      <c r="E41" s="2276"/>
      <c r="F41" s="2277"/>
      <c r="G41" s="2278"/>
      <c r="H41" s="2278"/>
      <c r="I41" s="2279"/>
      <c r="J41" s="2279"/>
      <c r="K41" s="2279"/>
      <c r="L41" s="2279"/>
      <c r="M41" s="2280"/>
      <c r="N41" s="2280"/>
      <c r="O41" s="2280"/>
      <c r="P41" s="2327"/>
      <c r="Q41" s="2278"/>
      <c r="R41" s="2281"/>
      <c r="S41" s="2281"/>
      <c r="T41" s="2281"/>
      <c r="U41" s="2281"/>
      <c r="V41" s="2281"/>
      <c r="W41" s="2281"/>
      <c r="X41" s="2282"/>
      <c r="Y41" s="2282"/>
      <c r="Z41" s="2297"/>
      <c r="AA41" s="2"/>
      <c r="AB41" s="2"/>
      <c r="AC41" s="466"/>
      <c r="AD41" s="466"/>
      <c r="AE41" s="466"/>
    </row>
    <row r="42" spans="1:31" x14ac:dyDescent="0.25">
      <c r="A42" s="2"/>
      <c r="B42" s="2295" t="s">
        <v>1311</v>
      </c>
      <c r="C42" s="2276">
        <f>28.65</f>
        <v>28.65</v>
      </c>
      <c r="D42" s="2276">
        <v>0</v>
      </c>
      <c r="E42" s="2276">
        <v>176.51</v>
      </c>
      <c r="F42" s="2277">
        <f>SUM(C42:E42)</f>
        <v>205.16</v>
      </c>
      <c r="G42" s="2278">
        <v>0.5212</v>
      </c>
      <c r="H42" s="2278">
        <v>9.7100000000000006E-2</v>
      </c>
      <c r="I42" s="2279">
        <f>C42*G42</f>
        <v>14.932379999999998</v>
      </c>
      <c r="J42" s="2279">
        <f>D42*G42</f>
        <v>0</v>
      </c>
      <c r="K42" s="2279">
        <f>E42*G42</f>
        <v>91.997011999999998</v>
      </c>
      <c r="L42" s="2279">
        <f>SUM(I42:K42)</f>
        <v>106.92939199999999</v>
      </c>
      <c r="M42" s="2280">
        <f t="shared" ref="M42:O42" si="16">((I42*1000000)/35.31)*($D$5/($D$6*$G$7))*0.0000011023</f>
        <v>305.87848257305967</v>
      </c>
      <c r="N42" s="2280">
        <f t="shared" si="16"/>
        <v>0</v>
      </c>
      <c r="O42" s="2280">
        <f t="shared" si="16"/>
        <v>1884.4890387075311</v>
      </c>
      <c r="P42" s="2276">
        <f>392044635/1000000</f>
        <v>392.04463500000003</v>
      </c>
      <c r="Q42" s="2278">
        <f>L42/P42</f>
        <v>0.2727480048285828</v>
      </c>
      <c r="R42" s="2281">
        <f>((F42*H42*((1-Q42)/Q42)*1000000))/35.31</f>
        <v>1504310.6900823386</v>
      </c>
      <c r="S42" s="2281">
        <f>((R42*$D$4)/($D$6*$G$7))*0.00000110231</f>
        <v>2984.6802246826501</v>
      </c>
      <c r="T42" s="2281">
        <f t="shared" ref="T42:V42" si="17">2.75*M42</f>
        <v>841.16582707591408</v>
      </c>
      <c r="U42" s="2281">
        <f t="shared" si="17"/>
        <v>0</v>
      </c>
      <c r="V42" s="2281">
        <f t="shared" si="17"/>
        <v>5182.3448564457103</v>
      </c>
      <c r="W42" s="2281">
        <f>(((F42*G42)*((1-Q42)/Q42))*1000000/35.31)*($D$5/($D$6*$G$7))*0.0000011023</f>
        <v>5840.3695785460304</v>
      </c>
      <c r="X42" s="2282">
        <f>(((C42*G42)*(1-$D$15))*1000000/35.31)*($D$5/($D$6*$G$7))*0.0000011023</f>
        <v>6.1175696514611984</v>
      </c>
      <c r="Y42" s="2282">
        <f>(((D42*G42)*(1-$D$16))*1000000/35.31)*($D$5/($D$6*$G$7))*0.0000011023</f>
        <v>0</v>
      </c>
      <c r="Z42" s="2297">
        <f>(((E42*G42)*(1-0.982))*1000000/35.31)*($D$5/($D$6*$G$7))*0.0000011023</f>
        <v>33.920802696735585</v>
      </c>
      <c r="AA42" s="2"/>
      <c r="AB42" s="2"/>
      <c r="AC42" s="466"/>
      <c r="AD42" s="466"/>
      <c r="AE42" s="466"/>
    </row>
    <row r="43" spans="1:31" x14ac:dyDescent="0.25">
      <c r="A43" s="2"/>
      <c r="B43" s="2298"/>
      <c r="C43" s="2279"/>
      <c r="D43" s="2279"/>
      <c r="E43" s="2279"/>
      <c r="F43" s="2277"/>
      <c r="G43" s="2278"/>
      <c r="H43" s="2278"/>
      <c r="I43" s="2279"/>
      <c r="J43" s="2279"/>
      <c r="K43" s="2279"/>
      <c r="L43" s="2279"/>
      <c r="M43" s="2280"/>
      <c r="N43" s="2280"/>
      <c r="O43" s="2280"/>
      <c r="P43" s="2327"/>
      <c r="Q43" s="2278"/>
      <c r="R43" s="2281"/>
      <c r="S43" s="2281"/>
      <c r="T43" s="2281"/>
      <c r="U43" s="2281"/>
      <c r="V43" s="2281"/>
      <c r="W43" s="2281"/>
      <c r="X43" s="2282"/>
      <c r="Y43" s="2282"/>
      <c r="Z43" s="2297"/>
      <c r="AA43" s="2"/>
      <c r="AB43" s="2"/>
      <c r="AC43" s="466"/>
      <c r="AD43" s="466"/>
      <c r="AE43" s="466"/>
    </row>
    <row r="44" spans="1:31" x14ac:dyDescent="0.25">
      <c r="A44" s="2"/>
      <c r="B44" s="2295" t="s">
        <v>1312</v>
      </c>
      <c r="C44" s="2276">
        <v>121.98</v>
      </c>
      <c r="D44" s="2276">
        <v>0</v>
      </c>
      <c r="E44" s="2276">
        <v>154.36000000000001</v>
      </c>
      <c r="F44" s="2277">
        <f>SUM(C44:E44)</f>
        <v>276.34000000000003</v>
      </c>
      <c r="G44" s="2278">
        <v>0.51729999999999998</v>
      </c>
      <c r="H44" s="2278">
        <v>0.48270000000000002</v>
      </c>
      <c r="I44" s="2279">
        <f>C44*G44</f>
        <v>63.100254</v>
      </c>
      <c r="J44" s="2279">
        <f>D44*G44</f>
        <v>0</v>
      </c>
      <c r="K44" s="2279">
        <f>E44*G44</f>
        <v>79.850428000000008</v>
      </c>
      <c r="L44" s="2279">
        <f>SUM(I44:K44)</f>
        <v>142.950682</v>
      </c>
      <c r="M44" s="2280">
        <f t="shared" ref="M44:O44" si="18">((I44*1000000)/35.31)*($D$5/($D$6*$G$7))*0.0000011023</f>
        <v>1292.560860592527</v>
      </c>
      <c r="N44" s="2280">
        <f t="shared" si="18"/>
        <v>0</v>
      </c>
      <c r="O44" s="2280">
        <f t="shared" si="18"/>
        <v>1635.6754750046114</v>
      </c>
      <c r="P44" s="2276">
        <f>191024851/1000000</f>
        <v>191.02485100000001</v>
      </c>
      <c r="Q44" s="2278">
        <f>L44/P44</f>
        <v>0.74833552415648785</v>
      </c>
      <c r="R44" s="2281">
        <f>((F44*H44*((1-Q44)/Q44)*1000000))/35.31</f>
        <v>1270424.5825286224</v>
      </c>
      <c r="S44" s="2281">
        <f>((R44*$D$4)/($D$6*$G$7))*0.00000110231</f>
        <v>2520.6303148828547</v>
      </c>
      <c r="T44" s="2281">
        <f t="shared" ref="T44:V44" si="19">2.75*M44</f>
        <v>3554.5423666294491</v>
      </c>
      <c r="U44" s="2281">
        <f t="shared" si="19"/>
        <v>0</v>
      </c>
      <c r="V44" s="2281">
        <f t="shared" si="19"/>
        <v>4498.1075562626811</v>
      </c>
      <c r="W44" s="2281">
        <f>(((F44*G44)*((1-Q44)/Q44))*1000000/35.31)*($D$5/($D$6*$G$7))*0.0000011023</f>
        <v>984.76290214157586</v>
      </c>
      <c r="X44" s="2282">
        <f>(((C44*G44)*(1-$D$15))*1000000/35.31)*($D$5/($D$6*$G$7))*0.0000011023</f>
        <v>25.85121721185056</v>
      </c>
      <c r="Y44" s="2282">
        <f>(((D44*G44)*(1-$D$16))*1000000/35.31)*($D$5/($D$6*$G$7))*0.0000011023</f>
        <v>0</v>
      </c>
      <c r="Z44" s="2297">
        <f>(((E44*G44)*(1-0.982))*1000000/35.31)*($D$5/($D$6*$G$7))*0.0000011023</f>
        <v>29.442158550083033</v>
      </c>
      <c r="AA44" s="2"/>
      <c r="AB44" s="2"/>
      <c r="AC44" s="466"/>
      <c r="AD44" s="466"/>
      <c r="AE44" s="466"/>
    </row>
    <row r="45" spans="1:31" x14ac:dyDescent="0.25">
      <c r="A45" s="2"/>
      <c r="B45" s="2295"/>
      <c r="C45" s="2276"/>
      <c r="D45" s="2276"/>
      <c r="E45" s="2276"/>
      <c r="F45" s="2277"/>
      <c r="G45" s="2278"/>
      <c r="H45" s="2278"/>
      <c r="I45" s="2279"/>
      <c r="J45" s="2279"/>
      <c r="K45" s="2279"/>
      <c r="L45" s="2279"/>
      <c r="M45" s="2280"/>
      <c r="N45" s="2280"/>
      <c r="O45" s="2280"/>
      <c r="P45" s="2327"/>
      <c r="Q45" s="2278"/>
      <c r="R45" s="2281"/>
      <c r="S45" s="2281"/>
      <c r="T45" s="2281"/>
      <c r="U45" s="2281"/>
      <c r="V45" s="2281"/>
      <c r="W45" s="2281"/>
      <c r="X45" s="2282"/>
      <c r="Y45" s="2282"/>
      <c r="Z45" s="2297"/>
      <c r="AA45" s="2"/>
      <c r="AB45" s="2"/>
      <c r="AC45" s="466"/>
      <c r="AD45" s="466"/>
      <c r="AE45" s="466"/>
    </row>
    <row r="46" spans="1:31" x14ac:dyDescent="0.25">
      <c r="A46" s="2"/>
      <c r="B46" s="2299" t="s">
        <v>1313</v>
      </c>
      <c r="C46" s="2276">
        <v>385.94</v>
      </c>
      <c r="D46" s="2276">
        <v>445.49</v>
      </c>
      <c r="E46" s="2276">
        <v>0</v>
      </c>
      <c r="F46" s="2277">
        <f>SUM(C46:E46)</f>
        <v>831.43000000000006</v>
      </c>
      <c r="G46" s="2278">
        <v>0.51200000000000001</v>
      </c>
      <c r="H46" s="2278">
        <v>0.37919999999999998</v>
      </c>
      <c r="I46" s="2279">
        <f>C46*G46</f>
        <v>197.60128</v>
      </c>
      <c r="J46" s="2279">
        <f>D46*G46</f>
        <v>228.09088</v>
      </c>
      <c r="K46" s="2279">
        <f>E46*G46</f>
        <v>0</v>
      </c>
      <c r="L46" s="2279">
        <f>SUM(I46:K46)</f>
        <v>425.69216</v>
      </c>
      <c r="M46" s="2280">
        <f t="shared" ref="M46:O46" si="20">((I46*1000000)/35.31)*($D$5/($D$6*$G$7))*0.0000011023</f>
        <v>4047.7123995568209</v>
      </c>
      <c r="N46" s="2280">
        <f t="shared" si="20"/>
        <v>4672.2687383494012</v>
      </c>
      <c r="O46" s="2280">
        <f t="shared" si="20"/>
        <v>0</v>
      </c>
      <c r="P46" s="2327">
        <v>450.13</v>
      </c>
      <c r="Q46" s="2278">
        <v>0.95</v>
      </c>
      <c r="R46" s="2281">
        <f>((F46*H46*((1-Q46)/Q46)*1000000))/35.31</f>
        <v>469940.31212270312</v>
      </c>
      <c r="S46" s="2281">
        <f>((R46*$D$4)/($D$6*$G$7))*0.00000110231</f>
        <v>932.40150829284562</v>
      </c>
      <c r="T46" s="2281">
        <f t="shared" ref="T46:V46" si="21">2.75*M46</f>
        <v>11131.209098781257</v>
      </c>
      <c r="U46" s="2281">
        <f t="shared" si="21"/>
        <v>12848.739030460853</v>
      </c>
      <c r="V46" s="2281">
        <f t="shared" si="21"/>
        <v>0</v>
      </c>
      <c r="W46" s="2281">
        <f>(((F46*G46)*((1-Q46)/Q46))*1000000/35.31)*($D$5/($D$6*$G$7))*0.0000011023</f>
        <v>458.94637567927538</v>
      </c>
      <c r="X46" s="2282">
        <f>(((C46*G46)*(1-$D$15))*1000000/35.31)*($D$5/($D$6*$G$7))*0.0000011023</f>
        <v>80.954247991136484</v>
      </c>
      <c r="Y46" s="2282">
        <f>(((D46*G46)*(1-$D$16))*1000000/35.31)*($D$5/($D$6*$G$7))*0.0000011023</f>
        <v>9.344537476698811</v>
      </c>
      <c r="Z46" s="2297">
        <f>(((E46*G46)*(1-0.98))*1000000/35.31)*($D$5/($D$6*$G$7))*0.0000011023</f>
        <v>0</v>
      </c>
      <c r="AA46" s="2"/>
      <c r="AB46" s="2"/>
      <c r="AC46" s="466"/>
      <c r="AD46" s="466"/>
      <c r="AE46" s="466"/>
    </row>
    <row r="47" spans="1:31" s="2345" customFormat="1" ht="11.25" x14ac:dyDescent="0.2">
      <c r="A47" s="2331"/>
      <c r="B47" s="2346"/>
      <c r="C47" s="2347"/>
      <c r="D47" s="2347"/>
      <c r="E47" s="2347"/>
      <c r="F47" s="2347"/>
      <c r="G47" s="2348"/>
      <c r="H47" s="2348"/>
      <c r="I47" s="2347"/>
      <c r="J47" s="2347"/>
      <c r="K47" s="2347"/>
      <c r="L47" s="2347"/>
      <c r="M47" s="2349"/>
      <c r="N47" s="2349"/>
      <c r="O47" s="2349"/>
      <c r="P47" s="2347"/>
      <c r="Q47" s="2347"/>
      <c r="R47" s="2350"/>
      <c r="S47" s="2350"/>
      <c r="T47" s="2350"/>
      <c r="U47" s="2351"/>
      <c r="V47" s="2351"/>
      <c r="W47" s="2350"/>
      <c r="X47" s="2352"/>
      <c r="Y47" s="2352"/>
      <c r="Z47" s="2300"/>
      <c r="AA47" s="2331"/>
      <c r="AB47" s="2331"/>
      <c r="AC47" s="2344"/>
      <c r="AD47" s="2344"/>
      <c r="AE47" s="2344"/>
    </row>
    <row r="48" spans="1:31" x14ac:dyDescent="0.25">
      <c r="A48" s="2"/>
      <c r="B48" s="2321"/>
      <c r="C48" s="2301"/>
      <c r="D48" s="2490"/>
      <c r="E48" s="2490"/>
      <c r="F48" s="2301"/>
      <c r="G48" s="2302"/>
      <c r="H48" s="2308"/>
      <c r="I48" s="2301"/>
      <c r="J48" s="2490"/>
      <c r="K48" s="2490"/>
      <c r="L48" s="2490"/>
      <c r="M48" s="2280"/>
      <c r="N48" s="2280"/>
      <c r="O48" s="2280"/>
      <c r="P48" s="2490"/>
      <c r="Q48" s="2301"/>
      <c r="R48" s="2281"/>
      <c r="S48" s="2303"/>
      <c r="T48" s="2281"/>
      <c r="U48" s="2281"/>
      <c r="V48" s="2281"/>
      <c r="W48" s="2281"/>
      <c r="X48" s="2304"/>
      <c r="Y48" s="2304"/>
      <c r="Z48" s="2305"/>
      <c r="AA48" s="2"/>
      <c r="AB48" s="2"/>
      <c r="AC48" s="466"/>
      <c r="AD48" s="466"/>
      <c r="AE48" s="466"/>
    </row>
    <row r="49" spans="1:31" x14ac:dyDescent="0.25">
      <c r="A49" s="2"/>
      <c r="B49" s="2321" t="s">
        <v>1314</v>
      </c>
      <c r="C49" s="2306">
        <f>82527016/1000000</f>
        <v>82.527016000000003</v>
      </c>
      <c r="D49" s="2490">
        <v>0</v>
      </c>
      <c r="E49" s="2490">
        <v>0</v>
      </c>
      <c r="F49" s="2306">
        <f>SUM(C49:E49)</f>
        <v>82.527016000000003</v>
      </c>
      <c r="G49" s="2308">
        <v>0.33900000000000002</v>
      </c>
      <c r="H49" s="2308">
        <v>0.5</v>
      </c>
      <c r="I49" s="2309">
        <f>C49*G49</f>
        <v>27.976658424000004</v>
      </c>
      <c r="J49" s="2304">
        <f>D49*G49</f>
        <v>0</v>
      </c>
      <c r="K49" s="2304">
        <f>E49*G49</f>
        <v>0</v>
      </c>
      <c r="L49" s="2309">
        <f>SUM(I49:K49)</f>
        <v>27.976658424000004</v>
      </c>
      <c r="M49" s="2280">
        <f t="shared" ref="M49:O49" si="22">((I49*1000000)/35.31)*($D$5/($D$6*$G$7))*0.0000011023</f>
        <v>573.0806359199222</v>
      </c>
      <c r="N49" s="2280">
        <f t="shared" si="22"/>
        <v>0</v>
      </c>
      <c r="O49" s="2280">
        <f t="shared" si="22"/>
        <v>0</v>
      </c>
      <c r="P49" s="2490">
        <f>94110000/1000000</f>
        <v>94.11</v>
      </c>
      <c r="Q49" s="2302">
        <f>L49/P49</f>
        <v>0.2972761494421422</v>
      </c>
      <c r="R49" s="2281">
        <f>((F49*H49*((1-Q49)/Q49)*1000000))/35.31</f>
        <v>2762441.2839001203</v>
      </c>
      <c r="S49" s="2281">
        <f>((R49*$D$4)/($D$6*$G$7))*0.00000110231</f>
        <v>5480.9182213897238</v>
      </c>
      <c r="T49" s="2281">
        <f t="shared" ref="T49:V49" si="23">2.75*M49</f>
        <v>1575.9717487797861</v>
      </c>
      <c r="U49" s="2281">
        <f t="shared" si="23"/>
        <v>0</v>
      </c>
      <c r="V49" s="2281">
        <f t="shared" si="23"/>
        <v>0</v>
      </c>
      <c r="W49" s="2281">
        <f>(((F49*G49)*((1-Q49)/Q49))*1000000/35.31)*($D$5/($D$6*$G$7))*0.0000011023</f>
        <v>1354.691359900613</v>
      </c>
      <c r="X49" s="2282">
        <f>(((C49*G49)*(1-$D$15))*1000000/35.31)*($D$5/($D$6*$G$7))*0.0000011023</f>
        <v>11.461612718398454</v>
      </c>
      <c r="Y49" s="2282">
        <f>(((D49*G49)*(1-$D$16))*1000000/35.31)*($D$5/($D$6*$G$7))*0.0000011023</f>
        <v>0</v>
      </c>
      <c r="Z49" s="2297">
        <f>(((E49*G49)*(1-$D$17))*1000000/35.31)*($D$5/($D$6*$G$7))*0.0000011023</f>
        <v>0</v>
      </c>
      <c r="AA49" s="2"/>
      <c r="AB49" s="2"/>
      <c r="AC49" s="466"/>
      <c r="AD49" s="466"/>
      <c r="AE49" s="466"/>
    </row>
    <row r="50" spans="1:31" x14ac:dyDescent="0.25">
      <c r="A50" s="2"/>
      <c r="B50" s="2321"/>
      <c r="C50" s="2301"/>
      <c r="D50" s="2490"/>
      <c r="E50" s="2490"/>
      <c r="F50" s="2277"/>
      <c r="G50" s="2278"/>
      <c r="H50" s="2278"/>
      <c r="I50" s="2279"/>
      <c r="J50" s="2282"/>
      <c r="K50" s="2282"/>
      <c r="L50" s="2279"/>
      <c r="M50" s="2280"/>
      <c r="N50" s="2280"/>
      <c r="O50" s="2280"/>
      <c r="P50" s="2327"/>
      <c r="Q50" s="2278"/>
      <c r="R50" s="2281"/>
      <c r="S50" s="2281"/>
      <c r="T50" s="2281"/>
      <c r="U50" s="2281"/>
      <c r="V50" s="2281"/>
      <c r="W50" s="2281"/>
      <c r="X50" s="2282"/>
      <c r="Y50" s="2282"/>
      <c r="Z50" s="2297"/>
      <c r="AA50" s="2"/>
      <c r="AB50" s="2"/>
      <c r="AC50" s="466"/>
      <c r="AD50" s="466"/>
      <c r="AE50" s="466"/>
    </row>
    <row r="51" spans="1:31" x14ac:dyDescent="0.25">
      <c r="A51" s="2"/>
      <c r="B51" s="2321" t="s">
        <v>1315</v>
      </c>
      <c r="C51" s="2301">
        <v>200.83</v>
      </c>
      <c r="D51" s="2490">
        <v>0</v>
      </c>
      <c r="E51" s="2490">
        <v>0</v>
      </c>
      <c r="F51" s="2301">
        <f>SUM(C51:E51)</f>
        <v>200.83</v>
      </c>
      <c r="G51" s="2308">
        <v>0.498</v>
      </c>
      <c r="H51" s="2308">
        <v>0.35499999999999998</v>
      </c>
      <c r="I51" s="2309">
        <f>C51*G51</f>
        <v>100.01334</v>
      </c>
      <c r="J51" s="2304">
        <f>D51*G51</f>
        <v>0</v>
      </c>
      <c r="K51" s="2304">
        <f>E51*G51</f>
        <v>0</v>
      </c>
      <c r="L51" s="2309">
        <f>SUM(I51:K51)</f>
        <v>100.01334</v>
      </c>
      <c r="M51" s="2280">
        <f t="shared" ref="M51:O51" si="24">((I51*1000000)/35.31)*($D$5/($D$6*$G$7))*0.0000011023</f>
        <v>2048.6974398095604</v>
      </c>
      <c r="N51" s="2280">
        <f t="shared" si="24"/>
        <v>0</v>
      </c>
      <c r="O51" s="2280">
        <f t="shared" si="24"/>
        <v>0</v>
      </c>
      <c r="P51" s="2490">
        <f>166557270/1000000</f>
        <v>166.55726999999999</v>
      </c>
      <c r="Q51" s="2302">
        <f>L51/P51</f>
        <v>0.60047417924177071</v>
      </c>
      <c r="R51" s="2281">
        <f>((F51*H51*((1-Q51)/Q51)*1000000))/35.31</f>
        <v>1343413.5949063885</v>
      </c>
      <c r="S51" s="2281">
        <f>((R51*$D$4)/($D$6*$G$7))*0.00000110231</f>
        <v>2665.446717039189</v>
      </c>
      <c r="T51" s="2281">
        <f t="shared" ref="T51:V51" si="25">2.75*M51</f>
        <v>5633.9179594762909</v>
      </c>
      <c r="U51" s="2281">
        <f t="shared" si="25"/>
        <v>0</v>
      </c>
      <c r="V51" s="2281">
        <f t="shared" si="25"/>
        <v>0</v>
      </c>
      <c r="W51" s="2281">
        <f>(((F51*G51)*((1-Q51)/Q51))*1000000/35.31)*($D$5/($D$6*$G$7))*0.0000011023</f>
        <v>1363.1019524582084</v>
      </c>
      <c r="X51" s="2282">
        <f>(((C51*G51)*(1-$D$15))*1000000/35.31)*($D$5/($D$6*$G$7))*0.0000011023</f>
        <v>40.973948796191259</v>
      </c>
      <c r="Y51" s="2282">
        <f>(((D51*G51)*(1-$D$16))*1000000/35.31)*($D$5/($D$6*$G$7))*0.0000011023</f>
        <v>0</v>
      </c>
      <c r="Z51" s="2297">
        <f>(((E51*G51)*(1-$D$17))*1000000/35.31)*($D$5/($D$6*$G$7))*0.0000011023</f>
        <v>0</v>
      </c>
      <c r="AA51" s="2"/>
      <c r="AB51" s="2"/>
      <c r="AC51" s="466"/>
      <c r="AD51" s="466"/>
      <c r="AE51" s="466"/>
    </row>
    <row r="52" spans="1:31" x14ac:dyDescent="0.25">
      <c r="A52" s="2"/>
      <c r="B52" s="2321"/>
      <c r="C52" s="2301"/>
      <c r="D52" s="2490"/>
      <c r="E52" s="2490"/>
      <c r="F52" s="2307"/>
      <c r="G52" s="2308"/>
      <c r="H52" s="2308"/>
      <c r="I52" s="2309"/>
      <c r="J52" s="2304"/>
      <c r="K52" s="2304"/>
      <c r="L52" s="2309"/>
      <c r="M52" s="2280"/>
      <c r="N52" s="2280"/>
      <c r="O52" s="2280"/>
      <c r="P52" s="2329"/>
      <c r="Q52" s="2308"/>
      <c r="R52" s="2281"/>
      <c r="S52" s="2281"/>
      <c r="T52" s="2281"/>
      <c r="U52" s="2281"/>
      <c r="V52" s="2281"/>
      <c r="W52" s="2281"/>
      <c r="X52" s="2282"/>
      <c r="Y52" s="2282"/>
      <c r="Z52" s="2297"/>
      <c r="AA52" s="2"/>
      <c r="AB52" s="2"/>
      <c r="AC52" s="466"/>
      <c r="AD52" s="466"/>
      <c r="AE52" s="466"/>
    </row>
    <row r="53" spans="1:31" x14ac:dyDescent="0.25">
      <c r="A53" s="2"/>
      <c r="B53" s="2321" t="s">
        <v>1316</v>
      </c>
      <c r="C53" s="2301">
        <v>278.04000000000002</v>
      </c>
      <c r="D53" s="2490">
        <v>0</v>
      </c>
      <c r="E53" s="2490">
        <v>0</v>
      </c>
      <c r="F53" s="2301">
        <f>SUM(C53:E53)</f>
        <v>278.04000000000002</v>
      </c>
      <c r="G53" s="2308">
        <v>0.505</v>
      </c>
      <c r="H53" s="2308">
        <v>0.47649999999999998</v>
      </c>
      <c r="I53" s="2309">
        <f>C53*G53</f>
        <v>140.4102</v>
      </c>
      <c r="J53" s="2304">
        <f>D53*G53</f>
        <v>0</v>
      </c>
      <c r="K53" s="2304">
        <f>E53*G53</f>
        <v>0</v>
      </c>
      <c r="L53" s="2309">
        <f>SUM(I53:K53)</f>
        <v>140.4102</v>
      </c>
      <c r="M53" s="2280">
        <f t="shared" ref="M53:O53" si="26">((I53*1000000)/35.31)*($D$5/($D$6*$G$7))*0.0000011023</f>
        <v>2876.1964880199826</v>
      </c>
      <c r="N53" s="2280">
        <f t="shared" si="26"/>
        <v>0</v>
      </c>
      <c r="O53" s="2280">
        <f t="shared" si="26"/>
        <v>0</v>
      </c>
      <c r="P53" s="2490">
        <f>210765390/1000000</f>
        <v>210.76539</v>
      </c>
      <c r="Q53" s="2302">
        <v>0.64319999999999999</v>
      </c>
      <c r="R53" s="2281">
        <f>((F53*H53*((1-Q53)/Q53)*1000000))/35.31</f>
        <v>2081379.5212552359</v>
      </c>
      <c r="S53" s="2281">
        <f>((R53*$D$4)/($D$6*$G$7))*0.00000110231</f>
        <v>4129.6338170739955</v>
      </c>
      <c r="T53" s="2281">
        <f t="shared" ref="T53:V53" si="27">2.75*M53</f>
        <v>7909.5403420549519</v>
      </c>
      <c r="U53" s="2281">
        <f t="shared" si="27"/>
        <v>0</v>
      </c>
      <c r="V53" s="2281">
        <f t="shared" si="27"/>
        <v>0</v>
      </c>
      <c r="W53" s="2281">
        <f>(((F53*G53)*((1-Q53)/Q53))*1000000/35.31)*($D$5/($D$6*$G$7))*0.0000011023</f>
        <v>1595.5020319115822</v>
      </c>
      <c r="X53" s="2282">
        <f>(((C53*G53)*(1-$D$15))*1000000/35.31)*($D$5/($D$6*$G$7))*0.0000011023</f>
        <v>57.523929760399703</v>
      </c>
      <c r="Y53" s="2282">
        <f>(((D53*G53)*(1-$D$16))*1000000/35.31)*($D$5/($D$6*$G$7))*0.0000011023</f>
        <v>0</v>
      </c>
      <c r="Z53" s="2297">
        <f>(((E53*G53)*(1-$D$17))*1000000/35.31)*($D$5/($D$6*$G$7))*0.0000011023</f>
        <v>0</v>
      </c>
      <c r="AA53" s="2"/>
      <c r="AB53" s="2"/>
      <c r="AC53" s="466"/>
      <c r="AD53" s="466"/>
      <c r="AE53" s="466"/>
    </row>
    <row r="54" spans="1:31" x14ac:dyDescent="0.25">
      <c r="A54" s="2"/>
      <c r="B54" s="2321"/>
      <c r="C54" s="2301"/>
      <c r="D54" s="2490"/>
      <c r="E54" s="2490"/>
      <c r="F54" s="2277"/>
      <c r="G54" s="2278"/>
      <c r="H54" s="2278"/>
      <c r="I54" s="2279"/>
      <c r="J54" s="2282"/>
      <c r="K54" s="2282"/>
      <c r="L54" s="2279"/>
      <c r="M54" s="2280"/>
      <c r="N54" s="2280"/>
      <c r="O54" s="2280"/>
      <c r="P54" s="2327"/>
      <c r="Q54" s="2278"/>
      <c r="R54" s="2281"/>
      <c r="S54" s="2281"/>
      <c r="T54" s="2281"/>
      <c r="U54" s="2281"/>
      <c r="V54" s="2281"/>
      <c r="W54" s="2281"/>
      <c r="X54" s="2282"/>
      <c r="Y54" s="2282"/>
      <c r="Z54" s="2297"/>
      <c r="AA54" s="2"/>
      <c r="AB54" s="2"/>
      <c r="AC54" s="466"/>
      <c r="AD54" s="466"/>
      <c r="AE54" s="466"/>
    </row>
    <row r="55" spans="1:31" x14ac:dyDescent="0.25">
      <c r="A55" s="2"/>
      <c r="B55" s="2321" t="s">
        <v>1317</v>
      </c>
      <c r="C55" s="2301">
        <v>28.13</v>
      </c>
      <c r="D55" s="2490">
        <v>0</v>
      </c>
      <c r="E55" s="2490">
        <v>0</v>
      </c>
      <c r="F55" s="2301">
        <f>SUM(C55:E55)</f>
        <v>28.13</v>
      </c>
      <c r="G55" s="2308">
        <v>0.30259999999999998</v>
      </c>
      <c r="H55" s="2308">
        <v>0.2213</v>
      </c>
      <c r="I55" s="2490">
        <f>C55*G55</f>
        <v>8.5121379999999984</v>
      </c>
      <c r="J55" s="2304">
        <f>D55*G55</f>
        <v>0</v>
      </c>
      <c r="K55" s="2304">
        <f>E55*G55</f>
        <v>0</v>
      </c>
      <c r="L55" s="2490">
        <f>SUM(I55:K55)</f>
        <v>8.5121379999999984</v>
      </c>
      <c r="M55" s="2280">
        <f t="shared" ref="M55:O55" si="28">((I55*1000000)/35.31)*($D$5/($D$6*$G$7))*0.0000011023</f>
        <v>174.36469302900665</v>
      </c>
      <c r="N55" s="2280">
        <f t="shared" si="28"/>
        <v>0</v>
      </c>
      <c r="O55" s="2280">
        <f t="shared" si="28"/>
        <v>0</v>
      </c>
      <c r="P55" s="2490">
        <f>66453420/1000000</f>
        <v>66.453419999999994</v>
      </c>
      <c r="Q55" s="2302">
        <f>L55/P55</f>
        <v>0.12809179723180536</v>
      </c>
      <c r="R55" s="2281">
        <f>((F55*H55*((1-Q55)/Q55)*1000000))/35.31</f>
        <v>1200059.7583709054</v>
      </c>
      <c r="S55" s="2281">
        <f>((R55*$D$4)/($D$6*$G$7))*0.00000110231</f>
        <v>2381.0205251223938</v>
      </c>
      <c r="T55" s="2281">
        <f t="shared" ref="T55:V55" si="29">2.75*M55</f>
        <v>479.50290582976828</v>
      </c>
      <c r="U55" s="2281">
        <f t="shared" si="29"/>
        <v>0</v>
      </c>
      <c r="V55" s="2281">
        <f t="shared" si="29"/>
        <v>0</v>
      </c>
      <c r="W55" s="2281">
        <f>(((F55*G55)*((1-Q55)/Q55))*1000000/35.31)*($D$5/($D$6*$G$7))*0.0000011023</f>
        <v>1186.8832307038617</v>
      </c>
      <c r="X55" s="2282">
        <f>(((C55*G55)*(1-$D$15))*1000000/35.31)*($D$5/($D$6*$G$7))*0.0000011023</f>
        <v>3.4872938605801362</v>
      </c>
      <c r="Y55" s="2282">
        <f>(((D55*G55)*(1-$D$16))*1000000/35.31)*($D$5/($D$6*$G$7))*0.0000011023</f>
        <v>0</v>
      </c>
      <c r="Z55" s="2297">
        <f>(((E55*G55)*(1-$D$17))*1000000/35.31)*($D$5/($D$6*$G$7))*0.0000011023</f>
        <v>0</v>
      </c>
      <c r="AA55" s="2"/>
      <c r="AB55" s="2"/>
      <c r="AC55" s="466"/>
      <c r="AD55" s="466"/>
      <c r="AE55" s="466"/>
    </row>
    <row r="56" spans="1:31" x14ac:dyDescent="0.25">
      <c r="A56" s="2"/>
      <c r="B56" s="2321"/>
      <c r="C56" s="2301"/>
      <c r="D56" s="2490"/>
      <c r="E56" s="2490"/>
      <c r="F56" s="2277"/>
      <c r="G56" s="2278"/>
      <c r="H56" s="2278"/>
      <c r="I56" s="2279"/>
      <c r="J56" s="2282"/>
      <c r="K56" s="2282"/>
      <c r="L56" s="2279"/>
      <c r="M56" s="2280"/>
      <c r="N56" s="2280"/>
      <c r="O56" s="2280"/>
      <c r="P56" s="2327"/>
      <c r="Q56" s="2278"/>
      <c r="R56" s="2281"/>
      <c r="S56" s="2281"/>
      <c r="T56" s="2281"/>
      <c r="U56" s="2281"/>
      <c r="V56" s="2281"/>
      <c r="W56" s="2281"/>
      <c r="X56" s="2282"/>
      <c r="Y56" s="2282"/>
      <c r="Z56" s="2297"/>
      <c r="AA56" s="2"/>
      <c r="AB56" s="2"/>
      <c r="AC56" s="466"/>
      <c r="AD56" s="466"/>
      <c r="AE56" s="466"/>
    </row>
    <row r="57" spans="1:31" s="2213" customFormat="1" x14ac:dyDescent="0.25">
      <c r="A57" s="2"/>
      <c r="B57" s="2321" t="s">
        <v>1269</v>
      </c>
      <c r="C57" s="2306">
        <f>(((5397000/1000000)*89.39%)*2)</f>
        <v>9.6487566000000005</v>
      </c>
      <c r="D57" s="2490">
        <v>0</v>
      </c>
      <c r="E57" s="2490">
        <v>0</v>
      </c>
      <c r="F57" s="2306">
        <f>SUM(C57:E57)</f>
        <v>9.6487566000000005</v>
      </c>
      <c r="G57" s="2308">
        <v>0.5</v>
      </c>
      <c r="H57" s="2308">
        <v>0.5</v>
      </c>
      <c r="I57" s="2491">
        <f>C57*G57</f>
        <v>4.8243783000000002</v>
      </c>
      <c r="J57" s="2304">
        <f>D57*G57</f>
        <v>0</v>
      </c>
      <c r="K57" s="2304">
        <f>E57*G57</f>
        <v>0</v>
      </c>
      <c r="L57" s="2490">
        <f>SUM(I57:K57)</f>
        <v>4.8243783000000002</v>
      </c>
      <c r="M57" s="2280">
        <f t="shared" ref="M57" si="30">((I57*1000000)/35.31)*($D$5/($D$6*$G$7))*0.0000011023</f>
        <v>98.823731633028174</v>
      </c>
      <c r="N57" s="2280">
        <f t="shared" ref="N57" si="31">((J57*1000000)/35.31)*($D$5/($D$6*$G$7))*0.0000011023</f>
        <v>0</v>
      </c>
      <c r="O57" s="2280">
        <f t="shared" ref="O57" si="32">((K57*1000000)/35.31)*($D$5/($D$6*$G$7))*0.0000011023</f>
        <v>0</v>
      </c>
      <c r="P57" s="2309">
        <f>5397000/1000000</f>
        <v>5.3970000000000002</v>
      </c>
      <c r="Q57" s="2302">
        <f>L57/P57</f>
        <v>0.89390000000000003</v>
      </c>
      <c r="R57" s="2281">
        <f>((F57*H57*((1-Q57)/Q57)*1000000))/35.31</f>
        <v>16216.983857264229</v>
      </c>
      <c r="S57" s="2281">
        <f>((R57*$D$4)/($D$6*$G$7))*0.00000110231</f>
        <v>32.175873868266528</v>
      </c>
      <c r="T57" s="2281">
        <f t="shared" ref="T57" si="33">2.75*M57</f>
        <v>271.76526199082747</v>
      </c>
      <c r="U57" s="2281">
        <f t="shared" ref="U57" si="34">2.75*N57</f>
        <v>0</v>
      </c>
      <c r="V57" s="2281">
        <f t="shared" ref="V57" si="35">2.75*O57</f>
        <v>0</v>
      </c>
      <c r="W57" s="2281">
        <f>(((F57*G57)*((1-Q57)/Q57))*1000000/35.31)*($D$5/($D$6*$G$7))*0.0000011023</f>
        <v>11.729721362864177</v>
      </c>
      <c r="X57" s="2282">
        <f>(((C57*G57)*(1-$D$15))*1000000/35.31)*($D$5/($D$6*$G$7))*0.0000011023</f>
        <v>1.9764746326605653</v>
      </c>
      <c r="Y57" s="2282">
        <f>(((D57*G57)*(1-$D$16))*1000000/35.31)*($D$5/($D$6*$G$7))*0.0000011023</f>
        <v>0</v>
      </c>
      <c r="Z57" s="2297">
        <f>(((E57*G57)*(1-$D$17))*1000000/35.31)*($D$5/($D$6*$G$7))*0.0000011023</f>
        <v>0</v>
      </c>
      <c r="AA57" s="2"/>
      <c r="AB57" s="2"/>
      <c r="AC57" s="2214"/>
      <c r="AD57" s="2214"/>
      <c r="AE57" s="2214"/>
    </row>
    <row r="58" spans="1:31" s="2213" customFormat="1" x14ac:dyDescent="0.25">
      <c r="A58" s="2"/>
      <c r="B58" s="2321"/>
      <c r="C58" s="2301"/>
      <c r="D58" s="2490"/>
      <c r="E58" s="2490"/>
      <c r="F58" s="2307"/>
      <c r="G58" s="2308"/>
      <c r="H58" s="2308"/>
      <c r="I58" s="2309"/>
      <c r="J58" s="2304"/>
      <c r="K58" s="2304"/>
      <c r="L58" s="2309"/>
      <c r="M58" s="2280"/>
      <c r="N58" s="2280"/>
      <c r="O58" s="2280"/>
      <c r="P58" s="2329"/>
      <c r="Q58" s="2308"/>
      <c r="R58" s="2281"/>
      <c r="S58" s="2281"/>
      <c r="T58" s="2281"/>
      <c r="U58" s="2281"/>
      <c r="V58" s="2281"/>
      <c r="W58" s="2281"/>
      <c r="X58" s="2282"/>
      <c r="Y58" s="2282"/>
      <c r="Z58" s="2297"/>
      <c r="AA58" s="2"/>
      <c r="AB58" s="2"/>
      <c r="AC58" s="2214"/>
      <c r="AD58" s="2214"/>
      <c r="AE58" s="2214"/>
    </row>
    <row r="59" spans="1:31" x14ac:dyDescent="0.25">
      <c r="A59" s="2"/>
      <c r="B59" s="2321" t="s">
        <v>1318</v>
      </c>
      <c r="C59" s="2301">
        <f>(445000000/1000000)*70%</f>
        <v>311.5</v>
      </c>
      <c r="D59" s="2490">
        <v>0</v>
      </c>
      <c r="E59" s="2490">
        <v>0</v>
      </c>
      <c r="F59" s="2301">
        <f>SUM(C59:E59)</f>
        <v>311.5</v>
      </c>
      <c r="G59" s="2308">
        <v>0.5</v>
      </c>
      <c r="H59" s="2308">
        <v>0.5</v>
      </c>
      <c r="I59" s="2490">
        <f>C59*G59</f>
        <v>155.75</v>
      </c>
      <c r="J59" s="2304">
        <f>D59*G59</f>
        <v>0</v>
      </c>
      <c r="K59" s="2304">
        <f>E59*G59</f>
        <v>0</v>
      </c>
      <c r="L59" s="2490">
        <f>SUM(I59:K59)</f>
        <v>155.75</v>
      </c>
      <c r="M59" s="2280">
        <f t="shared" ref="M59:O59" si="36">((I59*1000000)/35.31)*($D$5/($D$6*$G$7))*0.0000011023</f>
        <v>3190.4206603872954</v>
      </c>
      <c r="N59" s="2280">
        <f t="shared" si="36"/>
        <v>0</v>
      </c>
      <c r="O59" s="2280">
        <f t="shared" si="36"/>
        <v>0</v>
      </c>
      <c r="P59" s="2490">
        <f>222600000/1000000</f>
        <v>222.6</v>
      </c>
      <c r="Q59" s="2302">
        <v>0.7</v>
      </c>
      <c r="R59" s="2281">
        <f>((F59*H59*((1-Q59)/Q59)*1000000))/35.31</f>
        <v>1890399.3203058627</v>
      </c>
      <c r="S59" s="2281">
        <f>((R59*$D$4)/($D$6*$G$7))*0.00000110231</f>
        <v>3750.7128715289541</v>
      </c>
      <c r="T59" s="2281">
        <f t="shared" ref="T59:V59" si="37">2.75*M59</f>
        <v>8773.6568160650622</v>
      </c>
      <c r="U59" s="2281">
        <f t="shared" si="37"/>
        <v>0</v>
      </c>
      <c r="V59" s="2281">
        <f t="shared" si="37"/>
        <v>0</v>
      </c>
      <c r="W59" s="2281">
        <f>(((F59*G59)*((1-Q59)/Q59))*1000000/35.31)*($D$5/($D$6*$G$7))*0.0000011023</f>
        <v>1367.3231401659841</v>
      </c>
      <c r="X59" s="2282">
        <f>(((C59*G59)*(1-$D$15))*1000000/35.31)*($D$5/($D$6*$G$7))*0.0000011023</f>
        <v>63.808413207745964</v>
      </c>
      <c r="Y59" s="2282">
        <f>(((D59*G59)*(1-$D$16))*1000000/35.31)*($D$5/($D$6*$G$7))*0.0000011023</f>
        <v>0</v>
      </c>
      <c r="Z59" s="2296">
        <f>(((E59*G59)*(1-$D$17))*1000000/35.31)*($D$5/($D$6*$G$7))*0.0000011023</f>
        <v>0</v>
      </c>
      <c r="AA59" s="2"/>
      <c r="AB59" s="2"/>
      <c r="AC59" s="466"/>
      <c r="AD59" s="466"/>
      <c r="AE59" s="466"/>
    </row>
    <row r="60" spans="1:31" x14ac:dyDescent="0.25">
      <c r="A60" s="2"/>
      <c r="B60" s="2321"/>
      <c r="C60" s="2301"/>
      <c r="D60" s="2490"/>
      <c r="E60" s="2490"/>
      <c r="F60" s="2301"/>
      <c r="G60" s="2308"/>
      <c r="H60" s="2308"/>
      <c r="I60" s="2490"/>
      <c r="J60" s="2490"/>
      <c r="K60" s="2490"/>
      <c r="L60" s="2490"/>
      <c r="M60" s="2280"/>
      <c r="N60" s="2280"/>
      <c r="O60" s="2280"/>
      <c r="P60" s="2490"/>
      <c r="Q60" s="2301"/>
      <c r="R60" s="2304"/>
      <c r="S60" s="2304"/>
      <c r="T60" s="2281"/>
      <c r="U60" s="2281"/>
      <c r="V60" s="2304"/>
      <c r="W60" s="2282"/>
      <c r="X60" s="2304"/>
      <c r="Y60" s="2304"/>
      <c r="Z60" s="2296"/>
      <c r="AA60" s="2"/>
      <c r="AB60" s="2"/>
      <c r="AC60" s="466"/>
      <c r="AD60" s="466"/>
      <c r="AE60" s="466"/>
    </row>
    <row r="61" spans="1:31" x14ac:dyDescent="0.25">
      <c r="A61" s="2"/>
      <c r="B61" s="2321" t="s">
        <v>1237</v>
      </c>
      <c r="C61" s="2306">
        <f>(39317264/1000000)</f>
        <v>39.317264000000002</v>
      </c>
      <c r="D61" s="2490">
        <v>0</v>
      </c>
      <c r="E61" s="2490">
        <v>0</v>
      </c>
      <c r="F61" s="2306">
        <f>SUM(C61:E61)</f>
        <v>39.317264000000002</v>
      </c>
      <c r="G61" s="2308">
        <v>0.224</v>
      </c>
      <c r="H61" s="2308">
        <v>0.5</v>
      </c>
      <c r="I61" s="2309">
        <f>C61*G61</f>
        <v>8.8070671360000006</v>
      </c>
      <c r="J61" s="2304">
        <f>D61*G61</f>
        <v>0</v>
      </c>
      <c r="K61" s="2304">
        <f>E61*G61</f>
        <v>0</v>
      </c>
      <c r="L61" s="2309">
        <f>SUM(I61:K61)</f>
        <v>8.8070671360000006</v>
      </c>
      <c r="M61" s="2280">
        <f t="shared" ref="M61:O61" si="38">((I61*1000000)/35.31)*($D$5/($D$6*$G$7))*0.0000011023</f>
        <v>180.40609276476641</v>
      </c>
      <c r="N61" s="2280">
        <f t="shared" si="38"/>
        <v>0</v>
      </c>
      <c r="O61" s="2280">
        <f t="shared" si="38"/>
        <v>0</v>
      </c>
      <c r="P61" s="2490">
        <f>31650000/1000000</f>
        <v>31.65</v>
      </c>
      <c r="Q61" s="2302">
        <f>L61/P61</f>
        <v>0.27826436448657194</v>
      </c>
      <c r="R61" s="2281">
        <f>((F61*H61*((1-Q61)/Q61)*1000000))/35.31</f>
        <v>1444029.7204353276</v>
      </c>
      <c r="S61" s="2281">
        <f>((R61*$D$4)/($D$6*$G$7))*0.00000110231</f>
        <v>2865.0776590582036</v>
      </c>
      <c r="T61" s="2281">
        <f t="shared" ref="T61:V61" si="39">2.75*M61</f>
        <v>496.11675510310761</v>
      </c>
      <c r="U61" s="2281">
        <f t="shared" si="39"/>
        <v>0</v>
      </c>
      <c r="V61" s="2281">
        <f t="shared" si="39"/>
        <v>0</v>
      </c>
      <c r="W61" s="2281">
        <f>(((F61*G61)*((1-Q61)/Q61))*1000000/35.31)*($D$5/($D$6*$G$7))*0.0000011023</f>
        <v>467.92016021281228</v>
      </c>
      <c r="X61" s="2282">
        <f>(((C61*G61)*(1-$D$15))*1000000/35.31)*($D$5/($D$6*$G$7))*0.0000011023</f>
        <v>3.608121855295332</v>
      </c>
      <c r="Y61" s="2282">
        <f>(((D61*G61)*(1-$D$16))*1000000/35.31)*($D$5/($D$6*$G$7))*0.0000011023</f>
        <v>0</v>
      </c>
      <c r="Z61" s="2296">
        <f>(((E61*G61)*(1-$D$17))*1000000/35.31)*($D$5/($D$6*$G$7))*0.0000011023</f>
        <v>0</v>
      </c>
      <c r="AA61" s="2"/>
      <c r="AB61" s="2"/>
      <c r="AC61" s="466"/>
      <c r="AD61" s="466"/>
      <c r="AE61" s="466"/>
    </row>
    <row r="62" spans="1:31" x14ac:dyDescent="0.25">
      <c r="A62" s="2"/>
      <c r="B62" s="2321"/>
      <c r="C62" s="2301"/>
      <c r="D62" s="2490"/>
      <c r="E62" s="2490"/>
      <c r="F62" s="2301"/>
      <c r="G62" s="2308"/>
      <c r="H62" s="2308"/>
      <c r="I62" s="2309"/>
      <c r="J62" s="2490"/>
      <c r="K62" s="2490"/>
      <c r="L62" s="2490"/>
      <c r="M62" s="2280"/>
      <c r="N62" s="2280"/>
      <c r="O62" s="2280"/>
      <c r="P62" s="2490"/>
      <c r="Q62" s="2301"/>
      <c r="R62" s="2304"/>
      <c r="S62" s="2304"/>
      <c r="T62" s="2281"/>
      <c r="U62" s="2281"/>
      <c r="V62" s="2304"/>
      <c r="W62" s="2282"/>
      <c r="X62" s="2304"/>
      <c r="Y62" s="2304"/>
      <c r="Z62" s="2296"/>
      <c r="AA62" s="2"/>
      <c r="AB62" s="2"/>
      <c r="AC62" s="466"/>
      <c r="AD62" s="466"/>
      <c r="AE62" s="466"/>
    </row>
    <row r="63" spans="1:31" x14ac:dyDescent="0.25">
      <c r="A63" s="2"/>
      <c r="B63" s="2321" t="s">
        <v>1239</v>
      </c>
      <c r="C63" s="2306">
        <f>(392328900/1000000)</f>
        <v>392.32889999999998</v>
      </c>
      <c r="D63" s="2490">
        <v>0</v>
      </c>
      <c r="E63" s="2490">
        <v>0</v>
      </c>
      <c r="F63" s="2306">
        <f>SUM(C63:E63)</f>
        <v>392.32889999999998</v>
      </c>
      <c r="G63" s="2308">
        <v>0.33939999999999998</v>
      </c>
      <c r="H63" s="2308">
        <v>0.5</v>
      </c>
      <c r="I63" s="2309">
        <f>C63*G63</f>
        <v>133.15642865999999</v>
      </c>
      <c r="J63" s="2304">
        <f>D63*G63</f>
        <v>0</v>
      </c>
      <c r="K63" s="2304">
        <f>E63*G63</f>
        <v>0</v>
      </c>
      <c r="L63" s="2309">
        <f>SUM(I63:K63)</f>
        <v>133.15642865999999</v>
      </c>
      <c r="M63" s="2280">
        <f t="shared" ref="M63:O63" si="40">((I63*1000000)/35.31)*($D$5/($D$6*$G$7))*0.0000011023</f>
        <v>2727.6084819277748</v>
      </c>
      <c r="N63" s="2280">
        <f t="shared" si="40"/>
        <v>0</v>
      </c>
      <c r="O63" s="2280">
        <f t="shared" si="40"/>
        <v>0</v>
      </c>
      <c r="P63" s="2490">
        <f>244000000/1000000</f>
        <v>244</v>
      </c>
      <c r="Q63" s="2302">
        <f>L63/P63</f>
        <v>0.54572306827868844</v>
      </c>
      <c r="R63" s="2281">
        <f>((F63*H63*((1-Q63)/Q63)*1000000))/35.31</f>
        <v>4624565.7554179197</v>
      </c>
      <c r="S63" s="2281">
        <f>((R63*$D$4)/($D$6*$G$7))*0.00000110231</f>
        <v>9175.5313905167714</v>
      </c>
      <c r="T63" s="2281">
        <f t="shared" ref="T63:V63" si="41">2.75*M63</f>
        <v>7500.9233253013808</v>
      </c>
      <c r="U63" s="2281">
        <f t="shared" si="41"/>
        <v>0</v>
      </c>
      <c r="V63" s="2281">
        <f t="shared" si="41"/>
        <v>0</v>
      </c>
      <c r="W63" s="2281">
        <f>(((F63*G63)*((1-Q63)/Q63))*1000000/35.31)*($D$5/($D$6*$G$7))*0.0000011023</f>
        <v>2270.5465173306529</v>
      </c>
      <c r="X63" s="2282">
        <f>(((C63*G63)*(1-$D$15))*1000000/35.31)*($D$5/($D$6*$G$7))*0.0000011023</f>
        <v>54.55216963855554</v>
      </c>
      <c r="Y63" s="2282">
        <f>(((D63*G63)*(1-$D$16))*1000000/35.31)*($D$5/($D$6*$G$7))*0.0000011023</f>
        <v>0</v>
      </c>
      <c r="Z63" s="2296">
        <f>(((E63*G63)*(1-$D$17))*1000000/35.31)*($D$5/($D$6*$G$7))*0.0000011023</f>
        <v>0</v>
      </c>
      <c r="AA63" s="2"/>
      <c r="AB63" s="2"/>
      <c r="AC63" s="466"/>
      <c r="AD63" s="466"/>
      <c r="AE63" s="466"/>
    </row>
    <row r="64" spans="1:31" s="2345" customFormat="1" ht="11.25" x14ac:dyDescent="0.2">
      <c r="A64" s="2331"/>
      <c r="B64" s="2353"/>
      <c r="C64" s="2354"/>
      <c r="D64" s="2354"/>
      <c r="E64" s="2354"/>
      <c r="F64" s="2354"/>
      <c r="G64" s="2355"/>
      <c r="H64" s="2355"/>
      <c r="I64" s="2354"/>
      <c r="J64" s="2354"/>
      <c r="K64" s="2354"/>
      <c r="L64" s="2354"/>
      <c r="M64" s="2356"/>
      <c r="N64" s="2356"/>
      <c r="O64" s="2356"/>
      <c r="P64" s="2354"/>
      <c r="Q64" s="2354"/>
      <c r="R64" s="2357"/>
      <c r="S64" s="2357"/>
      <c r="T64" s="2357"/>
      <c r="U64" s="2357"/>
      <c r="V64" s="2357"/>
      <c r="W64" s="2357"/>
      <c r="X64" s="2357"/>
      <c r="Y64" s="2357"/>
      <c r="Z64" s="2358"/>
      <c r="AA64" s="2331"/>
      <c r="AB64" s="2331"/>
      <c r="AC64" s="2344"/>
      <c r="AD64" s="2344"/>
      <c r="AE64" s="2344"/>
    </row>
    <row r="65" spans="1:31" ht="15.75" thickBot="1" x14ac:dyDescent="0.3">
      <c r="A65" s="2"/>
      <c r="B65" s="2310" t="s">
        <v>393</v>
      </c>
      <c r="C65" s="2311"/>
      <c r="D65" s="2311"/>
      <c r="E65" s="2311"/>
      <c r="F65" s="2311"/>
      <c r="G65" s="2311"/>
      <c r="H65" s="2311"/>
      <c r="I65" s="2311"/>
      <c r="J65" s="2311"/>
      <c r="K65" s="2311"/>
      <c r="L65" s="2311"/>
      <c r="M65" s="2312">
        <f>SUM(M26:M63)</f>
        <v>25386.454347562536</v>
      </c>
      <c r="N65" s="2312">
        <f>SUM(N26:N63)</f>
        <v>9333.8445795736261</v>
      </c>
      <c r="O65" s="2312">
        <f>SUM(O26:O63)</f>
        <v>30244.428796407414</v>
      </c>
      <c r="P65" s="2312"/>
      <c r="Q65" s="2312"/>
      <c r="R65" s="2313"/>
      <c r="S65" s="2313"/>
      <c r="T65" s="2312">
        <f t="shared" ref="T65:Z65" si="42">SUM(T26:T63)</f>
        <v>69812.749455796991</v>
      </c>
      <c r="U65" s="2312">
        <f t="shared" si="42"/>
        <v>25668.072593827474</v>
      </c>
      <c r="V65" s="2312">
        <f t="shared" si="42"/>
        <v>83172.179190120354</v>
      </c>
      <c r="W65" s="2312">
        <f t="shared" si="42"/>
        <v>30582.195953871422</v>
      </c>
      <c r="X65" s="2312">
        <f t="shared" si="42"/>
        <v>507.72908695125125</v>
      </c>
      <c r="Y65" s="2312">
        <f t="shared" si="42"/>
        <v>18.667689159147269</v>
      </c>
      <c r="Z65" s="2314">
        <f t="shared" si="42"/>
        <v>696.5486906831253</v>
      </c>
      <c r="AA65" s="2"/>
      <c r="AB65" s="2"/>
      <c r="AC65" s="466"/>
      <c r="AD65" s="466"/>
      <c r="AE65" s="466"/>
    </row>
    <row r="66" spans="1:31" ht="10.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466"/>
      <c r="AD66" s="466"/>
      <c r="AE66" s="466"/>
    </row>
    <row r="67" spans="1:31" ht="10.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466"/>
      <c r="AD67" s="466"/>
      <c r="AE67" s="466"/>
    </row>
    <row r="68" spans="1:31" ht="18.75" customHeight="1" x14ac:dyDescent="0.25">
      <c r="A68" s="2"/>
      <c r="B68" s="2"/>
      <c r="C68" s="2"/>
      <c r="D68" s="2"/>
      <c r="E68" s="2"/>
      <c r="F68" s="2"/>
      <c r="G68" s="2"/>
      <c r="H68" s="2"/>
      <c r="I68" s="2"/>
      <c r="J68" s="2"/>
      <c r="K68" s="2"/>
      <c r="L68" s="2"/>
      <c r="M68" s="2"/>
      <c r="N68" s="2"/>
      <c r="O68" s="2"/>
      <c r="P68" s="2"/>
      <c r="Q68" s="2"/>
      <c r="R68" s="2"/>
      <c r="S68" s="2"/>
      <c r="T68" s="1340"/>
      <c r="U68" s="2"/>
      <c r="V68" s="2"/>
      <c r="W68" s="2"/>
      <c r="X68" s="2"/>
      <c r="Y68" s="2"/>
      <c r="Z68" s="2"/>
      <c r="AA68" s="2"/>
      <c r="AB68" s="2"/>
      <c r="AC68" s="466"/>
      <c r="AD68" s="466"/>
      <c r="AE68" s="466"/>
    </row>
    <row r="69" spans="1:31" ht="10.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466"/>
      <c r="AD69" s="466"/>
      <c r="AE69" s="466"/>
    </row>
    <row r="70" spans="1:31" ht="10.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466"/>
      <c r="AD70" s="466"/>
      <c r="AE70" s="466"/>
    </row>
    <row r="71" spans="1:31" ht="10.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466"/>
      <c r="AD71" s="466"/>
      <c r="AE71" s="466"/>
    </row>
    <row r="72" spans="1:31" ht="10.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466"/>
      <c r="AD72" s="466"/>
      <c r="AE72" s="466"/>
    </row>
    <row r="73" spans="1:31" ht="10.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466"/>
      <c r="AD73" s="466"/>
      <c r="AE73" s="466"/>
    </row>
    <row r="74" spans="1:31" ht="10.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466"/>
      <c r="AD74" s="466"/>
      <c r="AE74" s="466"/>
    </row>
    <row r="75" spans="1:31" ht="10.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466"/>
      <c r="AD75" s="466"/>
      <c r="AE75" s="466"/>
    </row>
    <row r="76" spans="1:31" ht="10.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466"/>
      <c r="AD76" s="466"/>
      <c r="AE76" s="466"/>
    </row>
    <row r="77" spans="1:31" ht="10.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466"/>
      <c r="AD77" s="466"/>
      <c r="AE77" s="466"/>
    </row>
    <row r="78" spans="1:31" ht="10.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466"/>
      <c r="AD78" s="466"/>
      <c r="AE78" s="466"/>
    </row>
    <row r="79" spans="1:31" ht="10.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466"/>
      <c r="AD79" s="466"/>
      <c r="AE79" s="466"/>
    </row>
    <row r="80" spans="1:31" ht="10.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466"/>
      <c r="AD80" s="466"/>
      <c r="AE80" s="466"/>
    </row>
    <row r="81" spans="1:31" ht="10.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466"/>
      <c r="AD81" s="466"/>
      <c r="AE81" s="466"/>
    </row>
    <row r="82" spans="1:31" ht="10.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466"/>
      <c r="AD82" s="466"/>
      <c r="AE82" s="466"/>
    </row>
    <row r="83" spans="1:31" ht="10.5" customHeight="1" x14ac:dyDescent="0.2">
      <c r="A83" s="46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66"/>
    </row>
    <row r="84" spans="1:31" ht="10.5" customHeight="1" x14ac:dyDescent="0.2">
      <c r="A84" s="46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row>
    <row r="85" spans="1:31" ht="10.5" customHeight="1" x14ac:dyDescent="0.2">
      <c r="A85" s="46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row>
    <row r="86" spans="1:31" ht="10.5" customHeight="1" x14ac:dyDescent="0.2">
      <c r="A86" s="46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c r="AA86" s="466"/>
      <c r="AB86" s="466"/>
      <c r="AC86" s="466"/>
      <c r="AD86" s="466"/>
      <c r="AE86" s="466"/>
    </row>
    <row r="87" spans="1:31" ht="10.5" customHeight="1" x14ac:dyDescent="0.2">
      <c r="A87" s="46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c r="AA87" s="466"/>
      <c r="AB87" s="466"/>
      <c r="AC87" s="466"/>
      <c r="AD87" s="466"/>
      <c r="AE87" s="466"/>
    </row>
    <row r="88" spans="1:31" ht="10.5" customHeight="1" x14ac:dyDescent="0.2">
      <c r="A88" s="46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c r="AA88" s="466"/>
      <c r="AB88" s="466"/>
      <c r="AC88" s="466"/>
      <c r="AD88" s="466"/>
      <c r="AE88" s="466"/>
    </row>
    <row r="89" spans="1:31" ht="10.5" customHeight="1" x14ac:dyDescent="0.2">
      <c r="A89" s="46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c r="AA89" s="466"/>
      <c r="AB89" s="466"/>
      <c r="AC89" s="466"/>
      <c r="AD89" s="466"/>
      <c r="AE89" s="466"/>
    </row>
    <row r="90" spans="1:31" ht="10.5" customHeight="1" x14ac:dyDescent="0.2">
      <c r="A90" s="46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row>
    <row r="91" spans="1:31" ht="10.5" customHeight="1" x14ac:dyDescent="0.2">
      <c r="A91" s="46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row>
    <row r="92" spans="1:31" ht="10.5" customHeight="1" x14ac:dyDescent="0.2">
      <c r="A92" s="46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c r="AA92" s="466"/>
      <c r="AB92" s="466"/>
      <c r="AC92" s="466"/>
      <c r="AD92" s="466"/>
      <c r="AE92" s="466"/>
    </row>
    <row r="93" spans="1:31" ht="10.5" customHeight="1" x14ac:dyDescent="0.2">
      <c r="A93" s="46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row>
    <row r="94" spans="1:31" ht="10.5" customHeight="1" x14ac:dyDescent="0.2">
      <c r="A94" s="46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c r="AA94" s="466"/>
      <c r="AB94" s="466"/>
      <c r="AC94" s="466"/>
      <c r="AD94" s="466"/>
      <c r="AE94" s="466"/>
    </row>
    <row r="95" spans="1:31" ht="10.5" customHeight="1" x14ac:dyDescent="0.2">
      <c r="A95" s="46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c r="AA95" s="466"/>
      <c r="AB95" s="466"/>
      <c r="AC95" s="466"/>
      <c r="AD95" s="466"/>
      <c r="AE95" s="466"/>
    </row>
    <row r="96" spans="1:31" ht="10.5" customHeight="1" x14ac:dyDescent="0.2">
      <c r="A96" s="46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c r="AA96" s="466"/>
      <c r="AB96" s="466"/>
      <c r="AC96" s="466"/>
      <c r="AD96" s="466"/>
      <c r="AE96" s="466"/>
    </row>
    <row r="97" spans="1:31" ht="10.5" customHeight="1" x14ac:dyDescent="0.2">
      <c r="A97" s="46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row>
    <row r="98" spans="1:31" ht="10.5" customHeight="1" x14ac:dyDescent="0.2">
      <c r="A98" s="46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c r="AA98" s="466"/>
      <c r="AB98" s="466"/>
      <c r="AC98" s="466"/>
      <c r="AD98" s="466"/>
      <c r="AE98" s="466"/>
    </row>
    <row r="99" spans="1:31" ht="10.5" customHeight="1" x14ac:dyDescent="0.2">
      <c r="A99" s="46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c r="AA99" s="466"/>
      <c r="AB99" s="466"/>
      <c r="AC99" s="466"/>
      <c r="AD99" s="466"/>
      <c r="AE99" s="466"/>
    </row>
    <row r="100" spans="1:31" ht="10.5" customHeight="1" x14ac:dyDescent="0.2">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row>
    <row r="101" spans="1:31" ht="10.5" customHeight="1" x14ac:dyDescent="0.2">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c r="AA101" s="466"/>
      <c r="AB101" s="466"/>
      <c r="AC101" s="466"/>
      <c r="AD101" s="466"/>
      <c r="AE101" s="466"/>
    </row>
    <row r="102" spans="1:31" ht="10.5" customHeight="1" x14ac:dyDescent="0.2">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row>
    <row r="103" spans="1:31" ht="10.5" customHeight="1" x14ac:dyDescent="0.2">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c r="AE103" s="466"/>
    </row>
    <row r="104" spans="1:31" ht="10.5" customHeight="1" x14ac:dyDescent="0.2">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c r="AE104" s="466"/>
    </row>
    <row r="105" spans="1:31" ht="10.5" customHeight="1" x14ac:dyDescent="0.2">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c r="AE105" s="466"/>
    </row>
    <row r="106" spans="1:31" ht="10.5" customHeight="1" x14ac:dyDescent="0.2">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466"/>
    </row>
    <row r="107" spans="1:31" ht="10.5" customHeight="1" x14ac:dyDescent="0.2">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66"/>
    </row>
    <row r="108" spans="1:31" ht="10.5" customHeight="1" x14ac:dyDescent="0.2">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row>
    <row r="109" spans="1:31" ht="10.5" customHeight="1" x14ac:dyDescent="0.2">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row>
    <row r="110" spans="1:31" ht="10.5" customHeight="1" x14ac:dyDescent="0.2">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c r="AE110" s="466"/>
    </row>
    <row r="111" spans="1:31" ht="10.5" customHeight="1" x14ac:dyDescent="0.2">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c r="AE111" s="466"/>
    </row>
    <row r="112" spans="1:31" ht="10.5" customHeight="1" x14ac:dyDescent="0.2">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c r="AE112" s="466"/>
    </row>
    <row r="113" spans="1:31" ht="10.5" customHeight="1" x14ac:dyDescent="0.2">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row>
    <row r="114" spans="1:31" ht="10.5" customHeight="1" x14ac:dyDescent="0.2">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s="466"/>
    </row>
    <row r="115" spans="1:31" ht="10.5" customHeight="1" x14ac:dyDescent="0.2">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row>
    <row r="116" spans="1:31" ht="10.5" customHeight="1" x14ac:dyDescent="0.2">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row>
    <row r="117" spans="1:31" ht="10.5" customHeight="1" x14ac:dyDescent="0.2">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c r="AE117" s="466"/>
    </row>
    <row r="118" spans="1:31" ht="10.5" customHeight="1" x14ac:dyDescent="0.2">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s="466"/>
    </row>
    <row r="119" spans="1:31" ht="10.5" customHeight="1" x14ac:dyDescent="0.2">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E119" s="466"/>
    </row>
    <row r="120" spans="1:31" ht="10.5" customHeight="1" x14ac:dyDescent="0.2">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row>
    <row r="121" spans="1:31" ht="10.5" customHeight="1" x14ac:dyDescent="0.2">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row>
    <row r="122" spans="1:31" ht="10.5" customHeight="1" x14ac:dyDescent="0.2">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c r="AE122" s="466"/>
    </row>
    <row r="123" spans="1:31" ht="10.5" customHeight="1" x14ac:dyDescent="0.2">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c r="AE123" s="466"/>
    </row>
    <row r="124" spans="1:31" ht="10.5" customHeight="1" x14ac:dyDescent="0.2">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row>
    <row r="125" spans="1:31" ht="10.5" customHeight="1" x14ac:dyDescent="0.2">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c r="AE125" s="466"/>
    </row>
    <row r="126" spans="1:31" ht="10.5" customHeight="1" x14ac:dyDescent="0.2">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c r="AE126" s="466"/>
    </row>
    <row r="127" spans="1:31" ht="10.5" customHeight="1" x14ac:dyDescent="0.2">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c r="AE127" s="466"/>
    </row>
    <row r="128" spans="1:31" ht="10.5" customHeight="1" x14ac:dyDescent="0.2">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row>
    <row r="129" spans="1:31" ht="10.5" customHeight="1" x14ac:dyDescent="0.2">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c r="AE129" s="466"/>
    </row>
    <row r="130" spans="1:31" ht="10.5" customHeight="1" x14ac:dyDescent="0.2">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c r="AE130" s="466"/>
    </row>
    <row r="131" spans="1:31" ht="10.5" customHeight="1" x14ac:dyDescent="0.2">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c r="AE131" s="466"/>
    </row>
    <row r="132" spans="1:31" ht="10.5" customHeight="1" x14ac:dyDescent="0.2">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c r="AE132" s="466"/>
    </row>
    <row r="133" spans="1:31" ht="10.5" customHeight="1" x14ac:dyDescent="0.2">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c r="AE133" s="466"/>
    </row>
    <row r="134" spans="1:31" ht="10.5" customHeight="1" x14ac:dyDescent="0.2">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row>
    <row r="135" spans="1:31" ht="10.5" customHeight="1" x14ac:dyDescent="0.2">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row>
    <row r="136" spans="1:31" ht="10.5" customHeight="1" x14ac:dyDescent="0.2">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c r="AE136" s="466"/>
    </row>
    <row r="137" spans="1:31" ht="10.5" customHeight="1" x14ac:dyDescent="0.2">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row>
    <row r="138" spans="1:31" ht="10.5" customHeight="1" x14ac:dyDescent="0.2">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c r="AE138" s="466"/>
    </row>
    <row r="139" spans="1:31" ht="10.5" customHeight="1" x14ac:dyDescent="0.2">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row>
    <row r="140" spans="1:31" ht="10.5" customHeight="1" x14ac:dyDescent="0.2">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row>
    <row r="141" spans="1:31" ht="10.5" customHeight="1" x14ac:dyDescent="0.2">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c r="AE141" s="466"/>
    </row>
    <row r="142" spans="1:31" ht="10.5" customHeight="1" x14ac:dyDescent="0.2">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row>
    <row r="143" spans="1:31" ht="10.5" customHeight="1" x14ac:dyDescent="0.2">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row>
    <row r="144" spans="1:31" ht="10.5" customHeight="1" x14ac:dyDescent="0.2">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c r="AA144" s="466"/>
      <c r="AB144" s="466"/>
      <c r="AC144" s="466"/>
      <c r="AD144" s="466"/>
      <c r="AE144" s="466"/>
    </row>
    <row r="145" spans="1:31" ht="10.5" customHeight="1" x14ac:dyDescent="0.2">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466"/>
    </row>
    <row r="146" spans="1:31" ht="10.5" customHeight="1" x14ac:dyDescent="0.2">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row>
    <row r="147" spans="1:31" ht="10.5" customHeight="1" x14ac:dyDescent="0.2">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c r="AA147" s="466"/>
      <c r="AB147" s="466"/>
      <c r="AC147" s="466"/>
      <c r="AD147" s="466"/>
      <c r="AE147" s="466"/>
    </row>
    <row r="148" spans="1:31" ht="10.5" customHeight="1" x14ac:dyDescent="0.2">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c r="AA148" s="466"/>
      <c r="AB148" s="466"/>
      <c r="AC148" s="466"/>
      <c r="AD148" s="466"/>
      <c r="AE148" s="466"/>
    </row>
    <row r="149" spans="1:31" ht="10.5" customHeight="1" x14ac:dyDescent="0.2">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row>
    <row r="150" spans="1:31" ht="10.5" customHeight="1" x14ac:dyDescent="0.2">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c r="AA150" s="466"/>
      <c r="AB150" s="466"/>
      <c r="AC150" s="466"/>
      <c r="AD150" s="466"/>
      <c r="AE150" s="466"/>
    </row>
    <row r="151" spans="1:31" ht="10.5" customHeight="1" x14ac:dyDescent="0.2">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c r="AA151" s="466"/>
      <c r="AB151" s="466"/>
      <c r="AC151" s="466"/>
      <c r="AD151" s="466"/>
      <c r="AE151" s="466"/>
    </row>
    <row r="152" spans="1:31" ht="10.5" customHeight="1" x14ac:dyDescent="0.2">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c r="AA152" s="466"/>
      <c r="AB152" s="466"/>
      <c r="AC152" s="466"/>
      <c r="AD152" s="466"/>
      <c r="AE152" s="466"/>
    </row>
    <row r="153" spans="1:31" ht="10.5" customHeight="1" x14ac:dyDescent="0.2">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c r="AA153" s="466"/>
      <c r="AB153" s="466"/>
      <c r="AC153" s="466"/>
      <c r="AD153" s="466"/>
      <c r="AE153" s="466"/>
    </row>
    <row r="154" spans="1:31" ht="10.5" customHeight="1" x14ac:dyDescent="0.2">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c r="AA154" s="466"/>
      <c r="AB154" s="466"/>
      <c r="AC154" s="466"/>
      <c r="AD154" s="466"/>
      <c r="AE154" s="466"/>
    </row>
    <row r="155" spans="1:31" ht="10.5" customHeight="1" x14ac:dyDescent="0.2">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c r="AA155" s="466"/>
      <c r="AB155" s="466"/>
      <c r="AC155" s="466"/>
      <c r="AD155" s="466"/>
      <c r="AE155" s="466"/>
    </row>
    <row r="156" spans="1:31" ht="10.5" customHeight="1" x14ac:dyDescent="0.2">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c r="AA156" s="466"/>
      <c r="AB156" s="466"/>
      <c r="AC156" s="466"/>
      <c r="AD156" s="466"/>
      <c r="AE156" s="466"/>
    </row>
    <row r="157" spans="1:31" ht="10.5" customHeight="1" x14ac:dyDescent="0.2">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c r="AA157" s="466"/>
      <c r="AB157" s="466"/>
      <c r="AC157" s="466"/>
      <c r="AD157" s="466"/>
      <c r="AE157" s="466"/>
    </row>
    <row r="158" spans="1:31" ht="10.5" customHeight="1" x14ac:dyDescent="0.2">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c r="AA158" s="466"/>
      <c r="AB158" s="466"/>
      <c r="AC158" s="466"/>
      <c r="AD158" s="466"/>
      <c r="AE158" s="466"/>
    </row>
    <row r="159" spans="1:31" ht="10.5" customHeight="1" x14ac:dyDescent="0.2">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row>
    <row r="160" spans="1:31" ht="10.5" customHeight="1" x14ac:dyDescent="0.2">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c r="AA160" s="466"/>
      <c r="AB160" s="466"/>
      <c r="AC160" s="466"/>
      <c r="AD160" s="466"/>
      <c r="AE160" s="466"/>
    </row>
    <row r="161" spans="1:31" ht="10.5" customHeight="1" x14ac:dyDescent="0.2">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c r="AA161" s="466"/>
      <c r="AB161" s="466"/>
      <c r="AC161" s="466"/>
      <c r="AD161" s="466"/>
      <c r="AE161" s="466"/>
    </row>
    <row r="162" spans="1:31" ht="10.5" customHeight="1" x14ac:dyDescent="0.2">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c r="AA162" s="466"/>
      <c r="AB162" s="466"/>
      <c r="AC162" s="466"/>
      <c r="AD162" s="466"/>
      <c r="AE162" s="466"/>
    </row>
    <row r="163" spans="1:31" ht="10.5" customHeight="1" x14ac:dyDescent="0.2">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c r="AA163" s="466"/>
      <c r="AB163" s="466"/>
      <c r="AC163" s="466"/>
      <c r="AD163" s="466"/>
      <c r="AE163" s="466"/>
    </row>
    <row r="164" spans="1:31" ht="10.5" customHeight="1" x14ac:dyDescent="0.2">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row>
    <row r="165" spans="1:31" ht="10.5" customHeight="1" x14ac:dyDescent="0.2">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c r="AA165" s="466"/>
      <c r="AB165" s="466"/>
      <c r="AC165" s="466"/>
      <c r="AD165" s="466"/>
      <c r="AE165" s="466"/>
    </row>
    <row r="166" spans="1:31" ht="10.5" customHeight="1" x14ac:dyDescent="0.2">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row>
    <row r="167" spans="1:31" ht="10.5" customHeight="1" x14ac:dyDescent="0.2">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c r="AA167" s="466"/>
      <c r="AB167" s="466"/>
      <c r="AC167" s="466"/>
      <c r="AD167" s="466"/>
      <c r="AE167" s="466"/>
    </row>
    <row r="168" spans="1:31" ht="10.5" customHeight="1" x14ac:dyDescent="0.2">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c r="AA168" s="466"/>
      <c r="AB168" s="466"/>
      <c r="AC168" s="466"/>
      <c r="AD168" s="466"/>
      <c r="AE168" s="466"/>
    </row>
    <row r="169" spans="1:31" ht="10.5" customHeight="1" x14ac:dyDescent="0.2">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c r="AA169" s="466"/>
      <c r="AB169" s="466"/>
      <c r="AC169" s="466"/>
      <c r="AD169" s="466"/>
      <c r="AE169" s="466"/>
    </row>
    <row r="170" spans="1:31" ht="10.5" customHeight="1" x14ac:dyDescent="0.2">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c r="AB170" s="466"/>
      <c r="AC170" s="466"/>
      <c r="AD170" s="466"/>
      <c r="AE170" s="466"/>
    </row>
    <row r="171" spans="1:31" ht="10.5" customHeight="1" x14ac:dyDescent="0.2">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row>
    <row r="172" spans="1:31" ht="10.5" customHeight="1" x14ac:dyDescent="0.2">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c r="AA172" s="466"/>
      <c r="AB172" s="466"/>
      <c r="AC172" s="466"/>
      <c r="AD172" s="466"/>
      <c r="AE172" s="466"/>
    </row>
    <row r="173" spans="1:31" ht="10.5" customHeight="1" x14ac:dyDescent="0.2">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c r="AA173" s="466"/>
      <c r="AB173" s="466"/>
      <c r="AC173" s="466"/>
      <c r="AD173" s="466"/>
      <c r="AE173" s="466"/>
    </row>
    <row r="174" spans="1:31" ht="10.5" customHeight="1" x14ac:dyDescent="0.2">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c r="AA174" s="466"/>
      <c r="AB174" s="466"/>
      <c r="AC174" s="466"/>
      <c r="AD174" s="466"/>
      <c r="AE174" s="466"/>
    </row>
    <row r="175" spans="1:31" ht="10.5" customHeight="1" x14ac:dyDescent="0.2">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c r="AA175" s="466"/>
      <c r="AB175" s="466"/>
      <c r="AC175" s="466"/>
      <c r="AD175" s="466"/>
      <c r="AE175" s="466"/>
    </row>
    <row r="176" spans="1:31" ht="10.5" customHeight="1" x14ac:dyDescent="0.2">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c r="AA176" s="466"/>
      <c r="AB176" s="466"/>
      <c r="AC176" s="466"/>
      <c r="AD176" s="466"/>
      <c r="AE176" s="466"/>
    </row>
    <row r="177" spans="1:31" ht="10.5" customHeight="1" x14ac:dyDescent="0.2">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466"/>
      <c r="AE177" s="466"/>
    </row>
    <row r="178" spans="1:31" ht="10.5" customHeight="1" x14ac:dyDescent="0.2">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c r="AA178" s="466"/>
      <c r="AB178" s="466"/>
      <c r="AC178" s="466"/>
      <c r="AD178" s="466"/>
      <c r="AE178" s="466"/>
    </row>
    <row r="179" spans="1:31" ht="10.5" customHeight="1" x14ac:dyDescent="0.2">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c r="AA179" s="466"/>
      <c r="AB179" s="466"/>
      <c r="AC179" s="466"/>
      <c r="AD179" s="466"/>
      <c r="AE179" s="466"/>
    </row>
    <row r="180" spans="1:31" ht="10.5" customHeight="1" x14ac:dyDescent="0.2">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row>
    <row r="181" spans="1:31" ht="10.5" customHeight="1" x14ac:dyDescent="0.2">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466"/>
      <c r="AE181" s="466"/>
    </row>
    <row r="182" spans="1:31" ht="10.5" customHeight="1" x14ac:dyDescent="0.2">
      <c r="A182" s="46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row>
    <row r="183" spans="1:31" ht="10.5" customHeight="1" x14ac:dyDescent="0.2">
      <c r="A183" s="46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row>
    <row r="184" spans="1:31" ht="10.5" customHeight="1" x14ac:dyDescent="0.2">
      <c r="A184" s="46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row>
    <row r="185" spans="1:31" ht="10.5" customHeight="1" x14ac:dyDescent="0.2">
      <c r="A185" s="46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c r="AA185" s="466"/>
      <c r="AB185" s="466"/>
      <c r="AC185" s="466"/>
      <c r="AD185" s="466"/>
      <c r="AE185" s="466"/>
    </row>
    <row r="186" spans="1:31" ht="10.5" customHeight="1" x14ac:dyDescent="0.2">
      <c r="A186" s="46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c r="AA186" s="466"/>
      <c r="AB186" s="466"/>
      <c r="AC186" s="466"/>
      <c r="AD186" s="466"/>
      <c r="AE186" s="466"/>
    </row>
    <row r="187" spans="1:31" ht="10.5" customHeight="1" x14ac:dyDescent="0.2">
      <c r="A187" s="46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row>
    <row r="188" spans="1:31" ht="10.5" customHeight="1" x14ac:dyDescent="0.2">
      <c r="A188" s="46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c r="AA188" s="466"/>
      <c r="AB188" s="466"/>
      <c r="AC188" s="466"/>
      <c r="AD188" s="466"/>
      <c r="AE188" s="466"/>
    </row>
    <row r="189" spans="1:31" ht="10.5" customHeight="1" x14ac:dyDescent="0.2">
      <c r="A189" s="46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c r="AA189" s="466"/>
      <c r="AB189" s="466"/>
      <c r="AC189" s="466"/>
      <c r="AD189" s="466"/>
      <c r="AE189" s="466"/>
    </row>
    <row r="190" spans="1:31" ht="10.5" customHeight="1" x14ac:dyDescent="0.2">
      <c r="A190" s="46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c r="AA190" s="466"/>
      <c r="AB190" s="466"/>
      <c r="AC190" s="466"/>
      <c r="AD190" s="466"/>
      <c r="AE190" s="466"/>
    </row>
    <row r="191" spans="1:31" ht="10.5" customHeight="1" x14ac:dyDescent="0.2">
      <c r="A191" s="46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row>
    <row r="192" spans="1:31" ht="10.5" customHeight="1" x14ac:dyDescent="0.2">
      <c r="A192" s="46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c r="AA192" s="466"/>
      <c r="AB192" s="466"/>
      <c r="AC192" s="466"/>
      <c r="AD192" s="466"/>
      <c r="AE192" s="466"/>
    </row>
    <row r="193" spans="1:31" ht="10.5" customHeight="1" x14ac:dyDescent="0.2">
      <c r="A193" s="46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c r="AA193" s="466"/>
      <c r="AB193" s="466"/>
      <c r="AC193" s="466"/>
      <c r="AD193" s="466"/>
      <c r="AE193" s="466"/>
    </row>
    <row r="194" spans="1:31" ht="10.5" customHeight="1" x14ac:dyDescent="0.2">
      <c r="A194" s="46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c r="AA194" s="466"/>
      <c r="AB194" s="466"/>
      <c r="AC194" s="466"/>
      <c r="AD194" s="466"/>
      <c r="AE194" s="466"/>
    </row>
    <row r="195" spans="1:31" ht="10.5" customHeight="1" x14ac:dyDescent="0.2">
      <c r="A195" s="46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c r="AA195" s="466"/>
      <c r="AB195" s="466"/>
      <c r="AC195" s="466"/>
      <c r="AD195" s="466"/>
      <c r="AE195" s="466"/>
    </row>
    <row r="196" spans="1:31" ht="10.5" customHeight="1" x14ac:dyDescent="0.2">
      <c r="A196" s="46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c r="AA196" s="466"/>
      <c r="AB196" s="466"/>
      <c r="AC196" s="466"/>
      <c r="AD196" s="466"/>
      <c r="AE196" s="466"/>
    </row>
    <row r="197" spans="1:31" ht="10.5" customHeight="1" x14ac:dyDescent="0.2">
      <c r="A197" s="46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c r="AA197" s="466"/>
      <c r="AB197" s="466"/>
      <c r="AC197" s="466"/>
      <c r="AD197" s="466"/>
      <c r="AE197" s="466"/>
    </row>
    <row r="198" spans="1:31" ht="10.5" customHeight="1" x14ac:dyDescent="0.2">
      <c r="A198" s="46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c r="AA198" s="466"/>
      <c r="AB198" s="466"/>
      <c r="AC198" s="466"/>
      <c r="AD198" s="466"/>
      <c r="AE198" s="466"/>
    </row>
    <row r="199" spans="1:31" ht="10.5" customHeight="1" x14ac:dyDescent="0.2">
      <c r="A199" s="46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c r="AA199" s="466"/>
      <c r="AB199" s="466"/>
      <c r="AC199" s="466"/>
      <c r="AD199" s="466"/>
      <c r="AE199" s="466"/>
    </row>
    <row r="200" spans="1:31" ht="10.5" customHeight="1" x14ac:dyDescent="0.2">
      <c r="A200" s="46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c r="AA200" s="466"/>
      <c r="AB200" s="466"/>
      <c r="AC200" s="466"/>
      <c r="AD200" s="466"/>
      <c r="AE200" s="466"/>
    </row>
    <row r="201" spans="1:31" ht="10.5" customHeight="1" x14ac:dyDescent="0.2">
      <c r="A201" s="46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c r="AA201" s="466"/>
      <c r="AB201" s="466"/>
      <c r="AC201" s="466"/>
      <c r="AD201" s="466"/>
      <c r="AE201" s="466"/>
    </row>
    <row r="202" spans="1:31" ht="10.5" customHeight="1" x14ac:dyDescent="0.2">
      <c r="A202" s="46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c r="AA202" s="466"/>
      <c r="AB202" s="466"/>
      <c r="AC202" s="466"/>
      <c r="AD202" s="466"/>
      <c r="AE202" s="466"/>
    </row>
    <row r="203" spans="1:31" ht="10.5" customHeight="1" x14ac:dyDescent="0.2">
      <c r="A203" s="46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row>
    <row r="204" spans="1:31" ht="10.5" customHeight="1" x14ac:dyDescent="0.2">
      <c r="A204" s="46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c r="AA204" s="466"/>
      <c r="AB204" s="466"/>
      <c r="AC204" s="466"/>
      <c r="AD204" s="466"/>
      <c r="AE204" s="466"/>
    </row>
    <row r="205" spans="1:31" ht="10.5" customHeight="1" x14ac:dyDescent="0.2">
      <c r="A205" s="46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c r="AA205" s="466"/>
      <c r="AB205" s="466"/>
      <c r="AC205" s="466"/>
      <c r="AD205" s="466"/>
      <c r="AE205" s="466"/>
    </row>
    <row r="206" spans="1:31" ht="10.5" customHeight="1" x14ac:dyDescent="0.2">
      <c r="A206" s="46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c r="AA206" s="466"/>
      <c r="AB206" s="466"/>
      <c r="AC206" s="466"/>
      <c r="AD206" s="466"/>
      <c r="AE206" s="466"/>
    </row>
    <row r="207" spans="1:31" ht="10.5" customHeight="1" x14ac:dyDescent="0.2">
      <c r="A207" s="46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c r="AA207" s="466"/>
      <c r="AB207" s="466"/>
      <c r="AC207" s="466"/>
      <c r="AD207" s="466"/>
      <c r="AE207" s="466"/>
    </row>
    <row r="208" spans="1:31" ht="10.5" customHeight="1" x14ac:dyDescent="0.2">
      <c r="A208" s="46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row>
    <row r="209" spans="1:31" ht="10.5" customHeight="1" x14ac:dyDescent="0.2">
      <c r="A209" s="46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c r="AA209" s="466"/>
      <c r="AB209" s="466"/>
      <c r="AC209" s="466"/>
      <c r="AD209" s="466"/>
      <c r="AE209" s="466"/>
    </row>
    <row r="210" spans="1:31" ht="10.5" customHeight="1" x14ac:dyDescent="0.2">
      <c r="A210" s="46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c r="AA210" s="466"/>
      <c r="AB210" s="466"/>
      <c r="AC210" s="466"/>
      <c r="AD210" s="466"/>
      <c r="AE210" s="466"/>
    </row>
    <row r="211" spans="1:31" ht="10.5" customHeight="1" x14ac:dyDescent="0.2">
      <c r="A211" s="46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c r="AA211" s="466"/>
      <c r="AB211" s="466"/>
      <c r="AC211" s="466"/>
      <c r="AD211" s="466"/>
      <c r="AE211" s="466"/>
    </row>
    <row r="212" spans="1:31" ht="10.5" customHeight="1" x14ac:dyDescent="0.2">
      <c r="A212" s="46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c r="AA212" s="466"/>
      <c r="AB212" s="466"/>
      <c r="AC212" s="466"/>
      <c r="AD212" s="466"/>
      <c r="AE212" s="466"/>
    </row>
    <row r="213" spans="1:31" ht="10.5" customHeight="1" x14ac:dyDescent="0.2">
      <c r="A213" s="46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c r="AA213" s="466"/>
      <c r="AB213" s="466"/>
      <c r="AC213" s="466"/>
      <c r="AD213" s="466"/>
      <c r="AE213" s="466"/>
    </row>
    <row r="214" spans="1:31" ht="10.5" customHeight="1" x14ac:dyDescent="0.2">
      <c r="A214" s="46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c r="AB214" s="466"/>
      <c r="AC214" s="466"/>
      <c r="AD214" s="466"/>
      <c r="AE214" s="466"/>
    </row>
    <row r="215" spans="1:31" ht="10.5" customHeight="1" x14ac:dyDescent="0.2">
      <c r="A215" s="46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c r="AA215" s="466"/>
      <c r="AB215" s="466"/>
      <c r="AC215" s="466"/>
      <c r="AD215" s="466"/>
      <c r="AE215" s="466"/>
    </row>
    <row r="216" spans="1:31" ht="10.5" customHeight="1" x14ac:dyDescent="0.2">
      <c r="A216" s="46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c r="AA216" s="466"/>
      <c r="AB216" s="466"/>
      <c r="AC216" s="466"/>
      <c r="AD216" s="466"/>
      <c r="AE216" s="466"/>
    </row>
    <row r="217" spans="1:31" ht="10.5" customHeight="1" x14ac:dyDescent="0.2">
      <c r="A217" s="46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c r="AA217" s="466"/>
      <c r="AB217" s="466"/>
      <c r="AC217" s="466"/>
      <c r="AD217" s="466"/>
      <c r="AE217" s="466"/>
    </row>
    <row r="218" spans="1:31" ht="10.5" customHeight="1" x14ac:dyDescent="0.2">
      <c r="A218" s="46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c r="AA218" s="466"/>
      <c r="AB218" s="466"/>
      <c r="AC218" s="466"/>
      <c r="AD218" s="466"/>
      <c r="AE218" s="466"/>
    </row>
    <row r="219" spans="1:31" ht="10.5" customHeight="1" x14ac:dyDescent="0.2">
      <c r="A219" s="46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c r="AA219" s="466"/>
      <c r="AB219" s="466"/>
      <c r="AC219" s="466"/>
      <c r="AD219" s="466"/>
      <c r="AE219" s="466"/>
    </row>
    <row r="220" spans="1:31" ht="10.5" customHeight="1" x14ac:dyDescent="0.2">
      <c r="A220" s="46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c r="AA220" s="466"/>
      <c r="AB220" s="466"/>
      <c r="AC220" s="466"/>
      <c r="AD220" s="466"/>
      <c r="AE220" s="466"/>
    </row>
    <row r="221" spans="1:31" ht="10.5" customHeight="1" x14ac:dyDescent="0.2">
      <c r="A221" s="46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c r="AA221" s="466"/>
      <c r="AB221" s="466"/>
      <c r="AC221" s="466"/>
      <c r="AD221" s="466"/>
      <c r="AE221" s="466"/>
    </row>
    <row r="222" spans="1:31" ht="10.5" customHeight="1" x14ac:dyDescent="0.2">
      <c r="A222" s="46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c r="AA222" s="466"/>
      <c r="AB222" s="466"/>
      <c r="AC222" s="466"/>
      <c r="AD222" s="466"/>
      <c r="AE222" s="466"/>
    </row>
    <row r="223" spans="1:31" ht="10.5" customHeight="1" x14ac:dyDescent="0.2">
      <c r="A223" s="46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c r="AA223" s="466"/>
      <c r="AB223" s="466"/>
      <c r="AC223" s="466"/>
      <c r="AD223" s="466"/>
      <c r="AE223" s="466"/>
    </row>
    <row r="224" spans="1:31" ht="10.5" customHeight="1" x14ac:dyDescent="0.2">
      <c r="A224" s="46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c r="AA224" s="466"/>
      <c r="AB224" s="466"/>
      <c r="AC224" s="466"/>
      <c r="AD224" s="466"/>
      <c r="AE224" s="466"/>
    </row>
    <row r="225" spans="1:31" ht="10.5" customHeight="1" x14ac:dyDescent="0.2">
      <c r="A225" s="46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466"/>
      <c r="AE225" s="466"/>
    </row>
    <row r="226" spans="1:31" ht="10.5" customHeight="1" x14ac:dyDescent="0.2">
      <c r="A226" s="46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c r="AA226" s="466"/>
      <c r="AB226" s="466"/>
      <c r="AC226" s="466"/>
      <c r="AD226" s="466"/>
      <c r="AE226" s="466"/>
    </row>
    <row r="227" spans="1:31" ht="10.5" customHeight="1" x14ac:dyDescent="0.2">
      <c r="A227" s="46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c r="AA227" s="466"/>
      <c r="AB227" s="466"/>
      <c r="AC227" s="466"/>
      <c r="AD227" s="466"/>
      <c r="AE227" s="466"/>
    </row>
    <row r="228" spans="1:31" ht="10.5" customHeight="1" x14ac:dyDescent="0.2">
      <c r="A228" s="46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c r="AA228" s="466"/>
      <c r="AB228" s="466"/>
      <c r="AC228" s="466"/>
      <c r="AD228" s="466"/>
      <c r="AE228" s="466"/>
    </row>
    <row r="229" spans="1:31" ht="10.5" customHeight="1" x14ac:dyDescent="0.2">
      <c r="A229" s="46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c r="AA229" s="466"/>
      <c r="AB229" s="466"/>
      <c r="AC229" s="466"/>
      <c r="AD229" s="466"/>
      <c r="AE229" s="466"/>
    </row>
    <row r="230" spans="1:31" ht="10.5" customHeight="1" x14ac:dyDescent="0.2">
      <c r="A230" s="46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c r="AA230" s="466"/>
      <c r="AB230" s="466"/>
      <c r="AC230" s="466"/>
      <c r="AD230" s="466"/>
      <c r="AE230" s="466"/>
    </row>
    <row r="231" spans="1:31" ht="10.5" customHeight="1" x14ac:dyDescent="0.2">
      <c r="A231" s="46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c r="AA231" s="466"/>
      <c r="AB231" s="466"/>
      <c r="AC231" s="466"/>
      <c r="AD231" s="466"/>
      <c r="AE231" s="466"/>
    </row>
    <row r="232" spans="1:31" ht="10.5" customHeight="1" x14ac:dyDescent="0.2">
      <c r="A232" s="46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c r="AA232" s="466"/>
      <c r="AB232" s="466"/>
      <c r="AC232" s="466"/>
      <c r="AD232" s="466"/>
      <c r="AE232" s="466"/>
    </row>
    <row r="233" spans="1:31" ht="10.5" customHeight="1" x14ac:dyDescent="0.2">
      <c r="A233" s="46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c r="AA233" s="466"/>
      <c r="AB233" s="466"/>
      <c r="AC233" s="466"/>
      <c r="AD233" s="466"/>
      <c r="AE233" s="466"/>
    </row>
    <row r="234" spans="1:31" ht="10.5" customHeight="1" x14ac:dyDescent="0.2">
      <c r="A234" s="46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c r="AA234" s="466"/>
      <c r="AB234" s="466"/>
      <c r="AC234" s="466"/>
      <c r="AD234" s="466"/>
      <c r="AE234" s="466"/>
    </row>
    <row r="235" spans="1:31" ht="10.5" customHeight="1" x14ac:dyDescent="0.2">
      <c r="A235" s="46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c r="AA235" s="466"/>
      <c r="AB235" s="466"/>
      <c r="AC235" s="466"/>
      <c r="AD235" s="466"/>
      <c r="AE235" s="466"/>
    </row>
    <row r="236" spans="1:31" ht="10.5" customHeight="1" x14ac:dyDescent="0.2">
      <c r="A236" s="46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row>
    <row r="237" spans="1:31" ht="10.5" customHeight="1" x14ac:dyDescent="0.2">
      <c r="A237" s="46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c r="AE237" s="466"/>
    </row>
    <row r="238" spans="1:31" ht="10.5" customHeight="1" x14ac:dyDescent="0.2">
      <c r="A238" s="46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row>
    <row r="239" spans="1:31" ht="10.5" customHeight="1" x14ac:dyDescent="0.2">
      <c r="A239" s="46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c r="AE239" s="466"/>
    </row>
    <row r="240" spans="1:31" ht="10.5" customHeight="1" x14ac:dyDescent="0.2">
      <c r="A240" s="46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c r="AA240" s="466"/>
      <c r="AB240" s="466"/>
      <c r="AC240" s="466"/>
      <c r="AD240" s="466"/>
      <c r="AE240" s="466"/>
    </row>
    <row r="241" spans="1:31" ht="10.5" customHeight="1" x14ac:dyDescent="0.2">
      <c r="A241" s="46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c r="AA241" s="466"/>
      <c r="AB241" s="466"/>
      <c r="AC241" s="466"/>
      <c r="AD241" s="466"/>
      <c r="AE241" s="466"/>
    </row>
    <row r="242" spans="1:31" ht="10.5" customHeight="1" x14ac:dyDescent="0.2">
      <c r="A242" s="46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row>
    <row r="243" spans="1:31" ht="10.5" customHeight="1" x14ac:dyDescent="0.2">
      <c r="A243" s="46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c r="AA243" s="466"/>
      <c r="AB243" s="466"/>
      <c r="AC243" s="466"/>
      <c r="AD243" s="466"/>
      <c r="AE243" s="466"/>
    </row>
    <row r="244" spans="1:31" ht="10.5" customHeight="1" x14ac:dyDescent="0.2">
      <c r="A244" s="46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A244" s="466"/>
      <c r="AB244" s="466"/>
      <c r="AC244" s="466"/>
      <c r="AD244" s="466"/>
      <c r="AE244" s="466"/>
    </row>
    <row r="245" spans="1:31" ht="10.5" customHeight="1" x14ac:dyDescent="0.2">
      <c r="A245" s="46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c r="AA245" s="466"/>
      <c r="AB245" s="466"/>
      <c r="AC245" s="466"/>
      <c r="AD245" s="466"/>
      <c r="AE245" s="466"/>
    </row>
    <row r="246" spans="1:31" ht="10.5" customHeight="1" x14ac:dyDescent="0.2">
      <c r="A246" s="46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row>
    <row r="247" spans="1:31" ht="10.5" customHeight="1" x14ac:dyDescent="0.2">
      <c r="A247" s="46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c r="AA247" s="466"/>
      <c r="AB247" s="466"/>
      <c r="AC247" s="466"/>
      <c r="AD247" s="466"/>
      <c r="AE247" s="466"/>
    </row>
    <row r="248" spans="1:31" ht="10.5" customHeight="1" x14ac:dyDescent="0.2">
      <c r="A248" s="46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c r="AA248" s="466"/>
      <c r="AB248" s="466"/>
      <c r="AC248" s="466"/>
      <c r="AD248" s="466"/>
      <c r="AE248" s="466"/>
    </row>
    <row r="249" spans="1:31" ht="10.5" customHeight="1" x14ac:dyDescent="0.2">
      <c r="A249" s="46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c r="AA249" s="466"/>
      <c r="AB249" s="466"/>
      <c r="AC249" s="466"/>
      <c r="AD249" s="466"/>
      <c r="AE249" s="466"/>
    </row>
    <row r="250" spans="1:31" ht="10.5" customHeight="1" x14ac:dyDescent="0.2">
      <c r="A250" s="46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c r="AA250" s="466"/>
      <c r="AB250" s="466"/>
      <c r="AC250" s="466"/>
      <c r="AD250" s="466"/>
      <c r="AE250" s="466"/>
    </row>
    <row r="251" spans="1:31" ht="10.5" customHeight="1" x14ac:dyDescent="0.2">
      <c r="A251" s="46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c r="AA251" s="466"/>
      <c r="AB251" s="466"/>
      <c r="AC251" s="466"/>
      <c r="AD251" s="466"/>
      <c r="AE251" s="466"/>
    </row>
    <row r="252" spans="1:31" ht="10.5" customHeight="1" x14ac:dyDescent="0.2">
      <c r="A252" s="46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c r="AA252" s="466"/>
      <c r="AB252" s="466"/>
      <c r="AC252" s="466"/>
      <c r="AD252" s="466"/>
      <c r="AE252" s="466"/>
    </row>
    <row r="253" spans="1:31" ht="10.5" customHeight="1" x14ac:dyDescent="0.2">
      <c r="A253" s="46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c r="AA253" s="466"/>
      <c r="AB253" s="466"/>
      <c r="AC253" s="466"/>
      <c r="AD253" s="466"/>
      <c r="AE253" s="466"/>
    </row>
    <row r="254" spans="1:31" ht="10.5" customHeight="1" x14ac:dyDescent="0.2">
      <c r="A254" s="46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c r="AA254" s="466"/>
      <c r="AB254" s="466"/>
      <c r="AC254" s="466"/>
      <c r="AD254" s="466"/>
      <c r="AE254" s="466"/>
    </row>
    <row r="255" spans="1:31" ht="10.5" customHeight="1" x14ac:dyDescent="0.2">
      <c r="A255" s="46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c r="AA255" s="466"/>
      <c r="AB255" s="466"/>
      <c r="AC255" s="466"/>
      <c r="AD255" s="466"/>
      <c r="AE255" s="466"/>
    </row>
    <row r="256" spans="1:31" ht="10.5" customHeight="1" x14ac:dyDescent="0.2">
      <c r="A256" s="46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c r="AA256" s="466"/>
      <c r="AB256" s="466"/>
      <c r="AC256" s="466"/>
      <c r="AD256" s="466"/>
      <c r="AE256" s="466"/>
    </row>
    <row r="257" spans="1:31" ht="10.5" customHeight="1" x14ac:dyDescent="0.2">
      <c r="A257" s="46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c r="AA257" s="466"/>
      <c r="AB257" s="466"/>
      <c r="AC257" s="466"/>
      <c r="AD257" s="466"/>
      <c r="AE257" s="466"/>
    </row>
    <row r="258" spans="1:31" ht="10.5" customHeight="1" x14ac:dyDescent="0.2">
      <c r="A258" s="46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c r="AA258" s="466"/>
      <c r="AB258" s="466"/>
      <c r="AC258" s="466"/>
      <c r="AD258" s="466"/>
      <c r="AE258" s="466"/>
    </row>
    <row r="259" spans="1:31" ht="10.5" customHeight="1" x14ac:dyDescent="0.2">
      <c r="A259" s="46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c r="AA259" s="466"/>
      <c r="AB259" s="466"/>
      <c r="AC259" s="466"/>
      <c r="AD259" s="466"/>
      <c r="AE259" s="466"/>
    </row>
    <row r="260" spans="1:31" ht="10.5" customHeight="1" x14ac:dyDescent="0.2">
      <c r="A260" s="46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c r="AA260" s="466"/>
      <c r="AB260" s="466"/>
      <c r="AC260" s="466"/>
      <c r="AD260" s="466"/>
      <c r="AE260" s="466"/>
    </row>
    <row r="261" spans="1:31" ht="10.5" customHeight="1" x14ac:dyDescent="0.2">
      <c r="A261" s="46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c r="AA261" s="466"/>
      <c r="AB261" s="466"/>
      <c r="AC261" s="466"/>
      <c r="AD261" s="466"/>
      <c r="AE261" s="466"/>
    </row>
    <row r="262" spans="1:31" ht="10.5" customHeight="1" x14ac:dyDescent="0.2">
      <c r="A262" s="46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c r="AA262" s="466"/>
      <c r="AB262" s="466"/>
      <c r="AC262" s="466"/>
      <c r="AD262" s="466"/>
      <c r="AE262" s="466"/>
    </row>
    <row r="263" spans="1:31" ht="10.5" customHeight="1" x14ac:dyDescent="0.2">
      <c r="A263" s="46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c r="AA263" s="466"/>
      <c r="AB263" s="466"/>
      <c r="AC263" s="466"/>
      <c r="AD263" s="466"/>
      <c r="AE263" s="466"/>
    </row>
    <row r="264" spans="1:31" ht="10.5" customHeight="1" x14ac:dyDescent="0.2">
      <c r="A264" s="46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c r="AA264" s="466"/>
      <c r="AB264" s="466"/>
      <c r="AC264" s="466"/>
      <c r="AD264" s="466"/>
      <c r="AE264" s="466"/>
    </row>
    <row r="265" spans="1:31" ht="10.5" customHeight="1" x14ac:dyDescent="0.2">
      <c r="A265" s="46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c r="AA265" s="466"/>
      <c r="AB265" s="466"/>
      <c r="AC265" s="466"/>
      <c r="AD265" s="466"/>
      <c r="AE265" s="466"/>
    </row>
    <row r="266" spans="1:31" ht="11.25" customHeight="1" x14ac:dyDescent="0.2">
      <c r="A266" s="46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c r="AA266" s="466"/>
      <c r="AB266" s="466"/>
      <c r="AC266" s="466"/>
      <c r="AD266" s="466"/>
      <c r="AE266" s="466"/>
    </row>
    <row r="267" spans="1:31" ht="11.25" customHeight="1" x14ac:dyDescent="0.2">
      <c r="A267" s="46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c r="AA267" s="466"/>
      <c r="AB267" s="466"/>
      <c r="AC267" s="466"/>
      <c r="AD267" s="466"/>
      <c r="AE267" s="466"/>
    </row>
    <row r="268" spans="1:31" ht="11.25" customHeight="1" x14ac:dyDescent="0.2">
      <c r="A268" s="46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c r="AA268" s="466"/>
      <c r="AB268" s="466"/>
      <c r="AC268" s="466"/>
      <c r="AD268" s="466"/>
      <c r="AE268" s="466"/>
    </row>
    <row r="269" spans="1:31" ht="11.25" customHeight="1" x14ac:dyDescent="0.2">
      <c r="A269" s="46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c r="AA269" s="466"/>
      <c r="AB269" s="466"/>
      <c r="AC269" s="466"/>
      <c r="AD269" s="466"/>
      <c r="AE269" s="466"/>
    </row>
    <row r="270" spans="1:31" ht="11.25" customHeight="1" x14ac:dyDescent="0.2">
      <c r="A270" s="46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c r="AA270" s="466"/>
      <c r="AB270" s="466"/>
      <c r="AC270" s="466"/>
      <c r="AD270" s="466"/>
      <c r="AE270" s="466"/>
    </row>
    <row r="271" spans="1:31" ht="11.25" customHeight="1" x14ac:dyDescent="0.2">
      <c r="A271" s="46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c r="AA271" s="466"/>
      <c r="AB271" s="466"/>
      <c r="AC271" s="466"/>
      <c r="AD271" s="466"/>
      <c r="AE271" s="466"/>
    </row>
    <row r="272" spans="1:31" ht="11.25" customHeight="1" x14ac:dyDescent="0.2">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row>
    <row r="273" spans="1:31" ht="11.25" customHeight="1" x14ac:dyDescent="0.2">
      <c r="A273" s="46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row>
    <row r="274" spans="1:31" ht="11.25" customHeight="1" x14ac:dyDescent="0.2">
      <c r="A274" s="46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c r="AA274" s="466"/>
      <c r="AB274" s="466"/>
      <c r="AC274" s="466"/>
      <c r="AD274" s="466"/>
      <c r="AE274" s="466"/>
    </row>
    <row r="275" spans="1:31" ht="11.25" customHeight="1" x14ac:dyDescent="0.2">
      <c r="A275" s="46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c r="AA275" s="466"/>
      <c r="AB275" s="466"/>
      <c r="AC275" s="466"/>
      <c r="AD275" s="466"/>
      <c r="AE275" s="466"/>
    </row>
    <row r="276" spans="1:31" ht="11.25" customHeight="1" x14ac:dyDescent="0.2">
      <c r="A276" s="46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c r="AA276" s="466"/>
      <c r="AB276" s="466"/>
      <c r="AC276" s="466"/>
      <c r="AD276" s="466"/>
      <c r="AE276" s="466"/>
    </row>
    <row r="277" spans="1:31" ht="11.25" customHeight="1" x14ac:dyDescent="0.2">
      <c r="A277" s="46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c r="AA277" s="466"/>
      <c r="AB277" s="466"/>
      <c r="AC277" s="466"/>
      <c r="AD277" s="466"/>
      <c r="AE277" s="466"/>
    </row>
    <row r="278" spans="1:31" ht="11.25" customHeight="1" x14ac:dyDescent="0.2">
      <c r="A278" s="46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c r="AA278" s="466"/>
      <c r="AB278" s="466"/>
      <c r="AC278" s="466"/>
      <c r="AD278" s="466"/>
      <c r="AE278" s="466"/>
    </row>
    <row r="279" spans="1:31" ht="11.25" customHeight="1" x14ac:dyDescent="0.2">
      <c r="A279" s="46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c r="AA279" s="466"/>
      <c r="AB279" s="466"/>
      <c r="AC279" s="466"/>
      <c r="AD279" s="466"/>
      <c r="AE279" s="466"/>
    </row>
    <row r="280" spans="1:31" ht="11.25" customHeight="1" x14ac:dyDescent="0.2">
      <c r="A280" s="46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c r="AA280" s="466"/>
      <c r="AB280" s="466"/>
      <c r="AC280" s="466"/>
      <c r="AD280" s="466"/>
      <c r="AE280" s="466"/>
    </row>
    <row r="281" spans="1:31" ht="11.25" customHeight="1" x14ac:dyDescent="0.2">
      <c r="A281" s="46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c r="AA281" s="466"/>
      <c r="AB281" s="466"/>
      <c r="AC281" s="466"/>
      <c r="AD281" s="466"/>
      <c r="AE281" s="466"/>
    </row>
    <row r="282" spans="1:31" ht="11.25" customHeight="1" x14ac:dyDescent="0.2">
      <c r="A282" s="46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c r="AA282" s="466"/>
      <c r="AB282" s="466"/>
      <c r="AC282" s="466"/>
      <c r="AD282" s="466"/>
      <c r="AE282" s="466"/>
    </row>
    <row r="283" spans="1:31" ht="11.25" customHeight="1" x14ac:dyDescent="0.2">
      <c r="A283" s="46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c r="AA283" s="466"/>
      <c r="AB283" s="466"/>
      <c r="AC283" s="466"/>
      <c r="AD283" s="466"/>
      <c r="AE283" s="466"/>
    </row>
    <row r="284" spans="1:31" ht="11.25" customHeight="1" x14ac:dyDescent="0.2">
      <c r="A284" s="46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c r="AA284" s="466"/>
      <c r="AB284" s="466"/>
      <c r="AC284" s="466"/>
      <c r="AD284" s="466"/>
      <c r="AE284" s="466"/>
    </row>
    <row r="285" spans="1:31" ht="11.25" customHeight="1" x14ac:dyDescent="0.2">
      <c r="A285" s="46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c r="AA285" s="466"/>
      <c r="AB285" s="466"/>
      <c r="AC285" s="466"/>
      <c r="AD285" s="466"/>
      <c r="AE285" s="466"/>
    </row>
    <row r="286" spans="1:31" ht="11.25" customHeight="1" x14ac:dyDescent="0.2">
      <c r="A286" s="46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c r="AA286" s="466"/>
      <c r="AB286" s="466"/>
      <c r="AC286" s="466"/>
      <c r="AD286" s="466"/>
      <c r="AE286" s="466"/>
    </row>
    <row r="287" spans="1:31" ht="11.25" customHeight="1" x14ac:dyDescent="0.2">
      <c r="A287" s="46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c r="AA287" s="466"/>
      <c r="AB287" s="466"/>
      <c r="AC287" s="466"/>
      <c r="AD287" s="466"/>
      <c r="AE287" s="466"/>
    </row>
    <row r="288" spans="1:31" ht="11.25" customHeight="1" x14ac:dyDescent="0.2">
      <c r="A288" s="46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c r="AA288" s="466"/>
      <c r="AB288" s="466"/>
      <c r="AC288" s="466"/>
      <c r="AD288" s="466"/>
      <c r="AE288" s="466"/>
    </row>
    <row r="289" spans="1:31" ht="11.25" customHeight="1" x14ac:dyDescent="0.2">
      <c r="A289" s="46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c r="AA289" s="466"/>
      <c r="AB289" s="466"/>
      <c r="AC289" s="466"/>
      <c r="AD289" s="466"/>
      <c r="AE289" s="466"/>
    </row>
    <row r="290" spans="1:31" ht="11.25" customHeight="1" x14ac:dyDescent="0.2">
      <c r="A290" s="46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c r="AA290" s="466"/>
      <c r="AB290" s="466"/>
      <c r="AC290" s="466"/>
      <c r="AD290" s="466"/>
      <c r="AE290" s="466"/>
    </row>
    <row r="291" spans="1:31" ht="11.25" customHeight="1" x14ac:dyDescent="0.2">
      <c r="A291" s="46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c r="AA291" s="466"/>
      <c r="AB291" s="466"/>
      <c r="AC291" s="466"/>
      <c r="AD291" s="466"/>
      <c r="AE291" s="466"/>
    </row>
    <row r="292" spans="1:31" ht="11.25" customHeight="1" x14ac:dyDescent="0.2">
      <c r="A292" s="46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c r="AA292" s="466"/>
      <c r="AB292" s="466"/>
      <c r="AC292" s="466"/>
      <c r="AD292" s="466"/>
      <c r="AE292" s="466"/>
    </row>
    <row r="293" spans="1:31" ht="11.25" customHeight="1" x14ac:dyDescent="0.2">
      <c r="A293" s="46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c r="AA293" s="466"/>
      <c r="AB293" s="466"/>
      <c r="AC293" s="466"/>
      <c r="AD293" s="466"/>
      <c r="AE293" s="466"/>
    </row>
    <row r="294" spans="1:31" ht="11.25" customHeight="1" x14ac:dyDescent="0.2">
      <c r="A294" s="46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c r="AA294" s="466"/>
      <c r="AB294" s="466"/>
      <c r="AC294" s="466"/>
      <c r="AD294" s="466"/>
      <c r="AE294" s="466"/>
    </row>
    <row r="295" spans="1:31" ht="11.25" customHeight="1" x14ac:dyDescent="0.2">
      <c r="A295" s="46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c r="AA295" s="466"/>
      <c r="AB295" s="466"/>
      <c r="AC295" s="466"/>
      <c r="AD295" s="466"/>
      <c r="AE295" s="466"/>
    </row>
    <row r="296" spans="1:31" ht="11.25" customHeight="1" x14ac:dyDescent="0.2">
      <c r="A296" s="46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c r="AA296" s="466"/>
      <c r="AB296" s="466"/>
      <c r="AC296" s="466"/>
      <c r="AD296" s="466"/>
      <c r="AE296" s="466"/>
    </row>
    <row r="297" spans="1:31" ht="11.25" customHeight="1" x14ac:dyDescent="0.2">
      <c r="A297" s="46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c r="AA297" s="466"/>
      <c r="AB297" s="466"/>
      <c r="AC297" s="466"/>
      <c r="AD297" s="466"/>
      <c r="AE297" s="466"/>
    </row>
    <row r="298" spans="1:31" ht="11.25" customHeight="1" x14ac:dyDescent="0.2">
      <c r="A298" s="46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c r="AA298" s="466"/>
      <c r="AB298" s="466"/>
      <c r="AC298" s="466"/>
      <c r="AD298" s="466"/>
      <c r="AE298" s="466"/>
    </row>
    <row r="299" spans="1:31" ht="11.25" customHeight="1" x14ac:dyDescent="0.2">
      <c r="A299" s="46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c r="AA299" s="466"/>
      <c r="AB299" s="466"/>
      <c r="AC299" s="466"/>
      <c r="AD299" s="466"/>
      <c r="AE299" s="466"/>
    </row>
    <row r="300" spans="1:31" ht="11.25" customHeight="1" x14ac:dyDescent="0.2">
      <c r="A300" s="46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c r="AA300" s="466"/>
      <c r="AB300" s="466"/>
      <c r="AC300" s="466"/>
      <c r="AD300" s="466"/>
      <c r="AE300" s="466"/>
    </row>
    <row r="301" spans="1:31" ht="11.25" customHeight="1" x14ac:dyDescent="0.2">
      <c r="A301" s="46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c r="AA301" s="466"/>
      <c r="AB301" s="466"/>
      <c r="AC301" s="466"/>
      <c r="AD301" s="466"/>
      <c r="AE301" s="466"/>
    </row>
    <row r="302" spans="1:31" ht="11.25" customHeight="1" x14ac:dyDescent="0.2">
      <c r="A302" s="46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c r="AA302" s="466"/>
      <c r="AB302" s="466"/>
      <c r="AC302" s="466"/>
      <c r="AD302" s="466"/>
      <c r="AE302" s="466"/>
    </row>
    <row r="303" spans="1:31" ht="11.25" customHeight="1" x14ac:dyDescent="0.2">
      <c r="A303" s="46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c r="AA303" s="466"/>
      <c r="AB303" s="466"/>
      <c r="AC303" s="466"/>
      <c r="AD303" s="466"/>
      <c r="AE303" s="466"/>
    </row>
    <row r="304" spans="1:31" ht="11.25" customHeight="1" x14ac:dyDescent="0.2">
      <c r="A304" s="46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c r="AA304" s="466"/>
      <c r="AB304" s="466"/>
      <c r="AC304" s="466"/>
      <c r="AD304" s="466"/>
      <c r="AE304" s="466"/>
    </row>
    <row r="305" spans="1:31" ht="11.25" customHeight="1" x14ac:dyDescent="0.2">
      <c r="A305" s="46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c r="AA305" s="466"/>
      <c r="AB305" s="466"/>
      <c r="AC305" s="466"/>
      <c r="AD305" s="466"/>
      <c r="AE305" s="466"/>
    </row>
    <row r="306" spans="1:31" ht="11.25" customHeight="1" x14ac:dyDescent="0.2">
      <c r="A306" s="46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c r="AA306" s="466"/>
      <c r="AB306" s="466"/>
      <c r="AC306" s="466"/>
      <c r="AD306" s="466"/>
      <c r="AE306" s="466"/>
    </row>
    <row r="307" spans="1:31" ht="11.25" customHeight="1" x14ac:dyDescent="0.2">
      <c r="A307" s="46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c r="AA307" s="466"/>
      <c r="AB307" s="466"/>
      <c r="AC307" s="466"/>
      <c r="AD307" s="466"/>
      <c r="AE307" s="466"/>
    </row>
    <row r="308" spans="1:31" ht="11.25" customHeight="1" x14ac:dyDescent="0.2">
      <c r="A308" s="46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c r="AA308" s="466"/>
      <c r="AB308" s="466"/>
      <c r="AC308" s="466"/>
      <c r="AD308" s="466"/>
      <c r="AE308" s="466"/>
    </row>
    <row r="309" spans="1:31" ht="11.25" customHeight="1" x14ac:dyDescent="0.2">
      <c r="A309" s="46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c r="AA309" s="466"/>
      <c r="AB309" s="466"/>
      <c r="AC309" s="466"/>
      <c r="AD309" s="466"/>
      <c r="AE309" s="466"/>
    </row>
    <row r="310" spans="1:31" ht="11.25" customHeight="1" x14ac:dyDescent="0.2">
      <c r="A310" s="46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c r="AA310" s="466"/>
      <c r="AB310" s="466"/>
      <c r="AC310" s="466"/>
      <c r="AD310" s="466"/>
      <c r="AE310" s="466"/>
    </row>
    <row r="311" spans="1:31" ht="11.25" customHeight="1" x14ac:dyDescent="0.2">
      <c r="A311" s="46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c r="AA311" s="466"/>
      <c r="AB311" s="466"/>
      <c r="AC311" s="466"/>
      <c r="AD311" s="466"/>
      <c r="AE311" s="466"/>
    </row>
    <row r="312" spans="1:31" ht="11.25" customHeight="1" x14ac:dyDescent="0.2">
      <c r="A312" s="46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c r="AA312" s="466"/>
      <c r="AB312" s="466"/>
      <c r="AC312" s="466"/>
      <c r="AD312" s="466"/>
      <c r="AE312" s="466"/>
    </row>
    <row r="313" spans="1:31" ht="11.25" customHeight="1" x14ac:dyDescent="0.2">
      <c r="A313" s="46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c r="AA313" s="466"/>
      <c r="AB313" s="466"/>
      <c r="AC313" s="466"/>
      <c r="AD313" s="466"/>
      <c r="AE313" s="466"/>
    </row>
    <row r="314" spans="1:31" ht="11.25" customHeight="1" x14ac:dyDescent="0.2">
      <c r="A314" s="46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c r="AA314" s="466"/>
      <c r="AB314" s="466"/>
      <c r="AC314" s="466"/>
      <c r="AD314" s="466"/>
      <c r="AE314" s="466"/>
    </row>
    <row r="315" spans="1:31" ht="11.25" customHeight="1" x14ac:dyDescent="0.2">
      <c r="A315" s="46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c r="AA315" s="466"/>
      <c r="AB315" s="466"/>
      <c r="AC315" s="466"/>
      <c r="AD315" s="466"/>
      <c r="AE315" s="466"/>
    </row>
    <row r="316" spans="1:31" ht="11.25" customHeight="1" x14ac:dyDescent="0.2">
      <c r="A316" s="46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c r="AA316" s="466"/>
      <c r="AB316" s="466"/>
      <c r="AC316" s="466"/>
      <c r="AD316" s="466"/>
      <c r="AE316" s="466"/>
    </row>
    <row r="317" spans="1:31" ht="11.25" customHeight="1" x14ac:dyDescent="0.2">
      <c r="A317" s="46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c r="AA317" s="466"/>
      <c r="AB317" s="466"/>
      <c r="AC317" s="466"/>
      <c r="AD317" s="466"/>
      <c r="AE317" s="466"/>
    </row>
    <row r="318" spans="1:31" ht="11.25" customHeight="1" x14ac:dyDescent="0.2">
      <c r="A318" s="46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c r="AA318" s="466"/>
      <c r="AB318" s="466"/>
      <c r="AC318" s="466"/>
      <c r="AD318" s="466"/>
      <c r="AE318" s="466"/>
    </row>
    <row r="319" spans="1:31" ht="11.25" customHeight="1" x14ac:dyDescent="0.2">
      <c r="A319" s="46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c r="AA319" s="466"/>
      <c r="AB319" s="466"/>
      <c r="AC319" s="466"/>
      <c r="AD319" s="466"/>
      <c r="AE319" s="466"/>
    </row>
    <row r="320" spans="1:31" ht="11.25" customHeight="1" x14ac:dyDescent="0.2">
      <c r="A320" s="46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c r="AA320" s="466"/>
      <c r="AB320" s="466"/>
      <c r="AC320" s="466"/>
      <c r="AD320" s="466"/>
      <c r="AE320" s="466"/>
    </row>
    <row r="321" spans="1:31" ht="11.25" customHeight="1" x14ac:dyDescent="0.2">
      <c r="A321" s="46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c r="AA321" s="466"/>
      <c r="AB321" s="466"/>
      <c r="AC321" s="466"/>
      <c r="AD321" s="466"/>
      <c r="AE321" s="466"/>
    </row>
    <row r="322" spans="1:31" ht="11.25" customHeight="1" x14ac:dyDescent="0.2">
      <c r="A322" s="46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c r="AA322" s="466"/>
      <c r="AB322" s="466"/>
      <c r="AC322" s="466"/>
      <c r="AD322" s="466"/>
      <c r="AE322" s="466"/>
    </row>
    <row r="323" spans="1:31" ht="11.25" customHeight="1" x14ac:dyDescent="0.2">
      <c r="A323" s="46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c r="AA323" s="466"/>
      <c r="AB323" s="466"/>
      <c r="AC323" s="466"/>
      <c r="AD323" s="466"/>
      <c r="AE323" s="466"/>
    </row>
    <row r="324" spans="1:31" ht="11.25" customHeight="1" x14ac:dyDescent="0.2">
      <c r="A324" s="46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c r="AA324" s="466"/>
      <c r="AB324" s="466"/>
      <c r="AC324" s="466"/>
      <c r="AD324" s="466"/>
      <c r="AE324" s="466"/>
    </row>
    <row r="325" spans="1:31" ht="11.25" customHeight="1" x14ac:dyDescent="0.2">
      <c r="A325" s="46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c r="AA325" s="466"/>
      <c r="AB325" s="466"/>
      <c r="AC325" s="466"/>
      <c r="AD325" s="466"/>
      <c r="AE325" s="466"/>
    </row>
    <row r="326" spans="1:31" ht="11.25" customHeight="1" x14ac:dyDescent="0.2">
      <c r="A326" s="46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c r="AA326" s="466"/>
      <c r="AB326" s="466"/>
      <c r="AC326" s="466"/>
      <c r="AD326" s="466"/>
      <c r="AE326" s="466"/>
    </row>
    <row r="327" spans="1:31" ht="11.25" customHeight="1" x14ac:dyDescent="0.2">
      <c r="A327" s="46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c r="AA327" s="466"/>
      <c r="AB327" s="466"/>
      <c r="AC327" s="466"/>
      <c r="AD327" s="466"/>
      <c r="AE327" s="466"/>
    </row>
    <row r="328" spans="1:31" ht="11.25" customHeight="1" x14ac:dyDescent="0.2">
      <c r="A328" s="46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c r="AA328" s="466"/>
      <c r="AB328" s="466"/>
      <c r="AC328" s="466"/>
      <c r="AD328" s="466"/>
      <c r="AE328" s="466"/>
    </row>
    <row r="329" spans="1:31" ht="11.25" customHeight="1" x14ac:dyDescent="0.2">
      <c r="A329" s="46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c r="AA329" s="466"/>
      <c r="AB329" s="466"/>
      <c r="AC329" s="466"/>
      <c r="AD329" s="466"/>
      <c r="AE329" s="466"/>
    </row>
    <row r="330" spans="1:31" ht="11.25" customHeight="1" x14ac:dyDescent="0.2">
      <c r="A330" s="46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c r="AA330" s="466"/>
      <c r="AB330" s="466"/>
      <c r="AC330" s="466"/>
      <c r="AD330" s="466"/>
      <c r="AE330" s="466"/>
    </row>
    <row r="331" spans="1:31" ht="11.25" customHeight="1" x14ac:dyDescent="0.2">
      <c r="A331" s="46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c r="AA331" s="466"/>
      <c r="AB331" s="466"/>
      <c r="AC331" s="466"/>
      <c r="AD331" s="466"/>
      <c r="AE331" s="466"/>
    </row>
    <row r="332" spans="1:31" ht="11.25" customHeight="1" x14ac:dyDescent="0.2">
      <c r="A332" s="46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c r="AA332" s="466"/>
      <c r="AB332" s="466"/>
      <c r="AC332" s="466"/>
      <c r="AD332" s="466"/>
      <c r="AE332" s="466"/>
    </row>
    <row r="333" spans="1:31" ht="11.25" customHeight="1" x14ac:dyDescent="0.2">
      <c r="A333" s="46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c r="AA333" s="466"/>
      <c r="AB333" s="466"/>
      <c r="AC333" s="466"/>
      <c r="AD333" s="466"/>
      <c r="AE333" s="466"/>
    </row>
    <row r="334" spans="1:31" ht="11.25" customHeight="1" x14ac:dyDescent="0.2">
      <c r="A334" s="46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c r="AA334" s="466"/>
      <c r="AB334" s="466"/>
      <c r="AC334" s="466"/>
      <c r="AD334" s="466"/>
      <c r="AE334" s="466"/>
    </row>
    <row r="335" spans="1:31" ht="11.25" customHeight="1" x14ac:dyDescent="0.2">
      <c r="A335" s="46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c r="AA335" s="466"/>
      <c r="AB335" s="466"/>
      <c r="AC335" s="466"/>
      <c r="AD335" s="466"/>
      <c r="AE335" s="466"/>
    </row>
    <row r="336" spans="1:31" ht="11.25" customHeight="1" x14ac:dyDescent="0.2">
      <c r="A336" s="46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c r="AA336" s="466"/>
      <c r="AB336" s="466"/>
      <c r="AC336" s="466"/>
      <c r="AD336" s="466"/>
      <c r="AE336" s="466"/>
    </row>
    <row r="337" spans="1:31" ht="11.25" customHeight="1" x14ac:dyDescent="0.2">
      <c r="A337" s="46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c r="AA337" s="466"/>
      <c r="AB337" s="466"/>
      <c r="AC337" s="466"/>
      <c r="AD337" s="466"/>
      <c r="AE337" s="466"/>
    </row>
    <row r="338" spans="1:31" ht="11.25" customHeight="1" x14ac:dyDescent="0.2">
      <c r="A338" s="46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c r="AA338" s="466"/>
      <c r="AB338" s="466"/>
      <c r="AC338" s="466"/>
      <c r="AD338" s="466"/>
      <c r="AE338" s="466"/>
    </row>
    <row r="339" spans="1:31" ht="11.25" customHeight="1" x14ac:dyDescent="0.2">
      <c r="A339" s="46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c r="AA339" s="466"/>
      <c r="AB339" s="466"/>
      <c r="AC339" s="466"/>
      <c r="AD339" s="466"/>
      <c r="AE339" s="466"/>
    </row>
    <row r="340" spans="1:31" ht="11.25" customHeight="1" x14ac:dyDescent="0.2">
      <c r="A340" s="46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c r="AA340" s="466"/>
      <c r="AB340" s="466"/>
      <c r="AC340" s="466"/>
      <c r="AD340" s="466"/>
      <c r="AE340" s="466"/>
    </row>
    <row r="341" spans="1:31" ht="11.25" customHeight="1" x14ac:dyDescent="0.2">
      <c r="A341" s="46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c r="AA341" s="466"/>
      <c r="AB341" s="466"/>
      <c r="AC341" s="466"/>
      <c r="AD341" s="466"/>
      <c r="AE341" s="466"/>
    </row>
    <row r="342" spans="1:31" ht="11.25" customHeight="1" x14ac:dyDescent="0.2">
      <c r="A342" s="46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c r="AA342" s="466"/>
      <c r="AB342" s="466"/>
      <c r="AC342" s="466"/>
      <c r="AD342" s="466"/>
      <c r="AE342" s="466"/>
    </row>
    <row r="343" spans="1:31" ht="11.25" customHeight="1" x14ac:dyDescent="0.2">
      <c r="A343" s="46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c r="AA343" s="466"/>
      <c r="AB343" s="466"/>
      <c r="AC343" s="466"/>
      <c r="AD343" s="466"/>
      <c r="AE343" s="466"/>
    </row>
    <row r="344" spans="1:31" ht="11.25" customHeight="1" x14ac:dyDescent="0.2">
      <c r="A344" s="46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c r="AA344" s="466"/>
      <c r="AB344" s="466"/>
      <c r="AC344" s="466"/>
      <c r="AD344" s="466"/>
      <c r="AE344" s="466"/>
    </row>
    <row r="345" spans="1:31" ht="11.25" customHeight="1" x14ac:dyDescent="0.2">
      <c r="A345" s="46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c r="AA345" s="466"/>
      <c r="AB345" s="466"/>
      <c r="AC345" s="466"/>
      <c r="AD345" s="466"/>
      <c r="AE345" s="466"/>
    </row>
    <row r="346" spans="1:31" ht="11.25" customHeight="1" x14ac:dyDescent="0.2">
      <c r="A346" s="46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c r="AA346" s="466"/>
      <c r="AB346" s="466"/>
      <c r="AC346" s="466"/>
      <c r="AD346" s="466"/>
      <c r="AE346" s="466"/>
    </row>
    <row r="347" spans="1:31" ht="11.25" customHeight="1" x14ac:dyDescent="0.2">
      <c r="A347" s="46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c r="AA347" s="466"/>
      <c r="AB347" s="466"/>
      <c r="AC347" s="466"/>
      <c r="AD347" s="466"/>
      <c r="AE347" s="466"/>
    </row>
    <row r="348" spans="1:31" ht="11.25" customHeight="1" x14ac:dyDescent="0.2">
      <c r="A348" s="46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c r="AA348" s="466"/>
      <c r="AB348" s="466"/>
      <c r="AC348" s="466"/>
      <c r="AD348" s="466"/>
      <c r="AE348" s="466"/>
    </row>
    <row r="349" spans="1:31" ht="11.25" customHeight="1" x14ac:dyDescent="0.2">
      <c r="A349" s="46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c r="AA349" s="466"/>
      <c r="AB349" s="466"/>
      <c r="AC349" s="466"/>
      <c r="AD349" s="466"/>
      <c r="AE349" s="466"/>
    </row>
    <row r="350" spans="1:31" ht="11.25" customHeight="1" x14ac:dyDescent="0.2">
      <c r="A350" s="46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c r="AA350" s="466"/>
      <c r="AB350" s="466"/>
      <c r="AC350" s="466"/>
      <c r="AD350" s="466"/>
      <c r="AE350" s="466"/>
    </row>
    <row r="351" spans="1:31" ht="11.25" customHeight="1" x14ac:dyDescent="0.2">
      <c r="A351" s="46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c r="AA351" s="466"/>
      <c r="AB351" s="466"/>
      <c r="AC351" s="466"/>
      <c r="AD351" s="466"/>
      <c r="AE351" s="466"/>
    </row>
    <row r="352" spans="1:31" ht="11.25" customHeight="1" x14ac:dyDescent="0.2">
      <c r="A352" s="46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c r="AA352" s="466"/>
      <c r="AB352" s="466"/>
      <c r="AC352" s="466"/>
      <c r="AD352" s="466"/>
      <c r="AE352" s="466"/>
    </row>
    <row r="353" spans="1:31" ht="11.25" customHeight="1" x14ac:dyDescent="0.2">
      <c r="A353" s="46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c r="AA353" s="466"/>
      <c r="AB353" s="466"/>
      <c r="AC353" s="466"/>
      <c r="AD353" s="466"/>
      <c r="AE353" s="466"/>
    </row>
    <row r="354" spans="1:31" ht="11.25" customHeight="1" x14ac:dyDescent="0.2">
      <c r="A354" s="46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c r="AA354" s="466"/>
      <c r="AB354" s="466"/>
      <c r="AC354" s="466"/>
      <c r="AD354" s="466"/>
      <c r="AE354" s="466"/>
    </row>
    <row r="355" spans="1:31" ht="11.25" customHeight="1" x14ac:dyDescent="0.2">
      <c r="A355" s="46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c r="AA355" s="466"/>
      <c r="AB355" s="466"/>
      <c r="AC355" s="466"/>
      <c r="AD355" s="466"/>
      <c r="AE355" s="466"/>
    </row>
    <row r="356" spans="1:31" ht="11.25" customHeight="1" x14ac:dyDescent="0.2">
      <c r="A356" s="46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c r="AA356" s="466"/>
      <c r="AB356" s="466"/>
      <c r="AC356" s="466"/>
      <c r="AD356" s="466"/>
      <c r="AE356" s="466"/>
    </row>
    <row r="357" spans="1:31" ht="11.25" customHeight="1" x14ac:dyDescent="0.2">
      <c r="A357" s="46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c r="AA357" s="466"/>
      <c r="AB357" s="466"/>
      <c r="AC357" s="466"/>
      <c r="AD357" s="466"/>
      <c r="AE357" s="466"/>
    </row>
    <row r="358" spans="1:31" ht="11.25" customHeight="1" x14ac:dyDescent="0.2">
      <c r="A358" s="46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c r="AA358" s="466"/>
      <c r="AB358" s="466"/>
      <c r="AC358" s="466"/>
      <c r="AD358" s="466"/>
      <c r="AE358" s="466"/>
    </row>
    <row r="359" spans="1:31" ht="11.25" customHeight="1" x14ac:dyDescent="0.2">
      <c r="A359" s="46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c r="AA359" s="466"/>
      <c r="AB359" s="466"/>
      <c r="AC359" s="466"/>
      <c r="AD359" s="466"/>
      <c r="AE359" s="466"/>
    </row>
    <row r="360" spans="1:31" ht="11.25" customHeight="1" x14ac:dyDescent="0.2">
      <c r="A360" s="46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c r="AA360" s="466"/>
      <c r="AB360" s="466"/>
      <c r="AC360" s="466"/>
      <c r="AD360" s="466"/>
      <c r="AE360" s="466"/>
    </row>
    <row r="361" spans="1:31" ht="11.25" customHeight="1" x14ac:dyDescent="0.2">
      <c r="A361" s="46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c r="AA361" s="466"/>
      <c r="AB361" s="466"/>
      <c r="AC361" s="466"/>
      <c r="AD361" s="466"/>
      <c r="AE361" s="466"/>
    </row>
    <row r="362" spans="1:31" ht="11.25" customHeight="1" x14ac:dyDescent="0.2">
      <c r="A362" s="46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c r="AA362" s="466"/>
      <c r="AB362" s="466"/>
      <c r="AC362" s="466"/>
      <c r="AD362" s="466"/>
      <c r="AE362" s="466"/>
    </row>
    <row r="363" spans="1:31" ht="11.25" customHeight="1" x14ac:dyDescent="0.2">
      <c r="A363" s="46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c r="AA363" s="466"/>
      <c r="AB363" s="466"/>
      <c r="AC363" s="466"/>
      <c r="AD363" s="466"/>
      <c r="AE363" s="466"/>
    </row>
    <row r="364" spans="1:31" ht="11.25" customHeight="1" x14ac:dyDescent="0.2">
      <c r="A364" s="46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c r="AA364" s="466"/>
      <c r="AB364" s="466"/>
      <c r="AC364" s="466"/>
      <c r="AD364" s="466"/>
      <c r="AE364" s="466"/>
    </row>
    <row r="365" spans="1:31" ht="11.25" customHeight="1" x14ac:dyDescent="0.2">
      <c r="A365" s="46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row>
    <row r="366" spans="1:31" ht="11.25" customHeight="1" x14ac:dyDescent="0.2">
      <c r="A366" s="46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c r="AA366" s="466"/>
      <c r="AB366" s="466"/>
      <c r="AC366" s="466"/>
      <c r="AD366" s="466"/>
      <c r="AE366" s="466"/>
    </row>
    <row r="367" spans="1:31" ht="11.25" customHeight="1" x14ac:dyDescent="0.2">
      <c r="A367" s="46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c r="AA367" s="466"/>
      <c r="AB367" s="466"/>
      <c r="AC367" s="466"/>
      <c r="AD367" s="466"/>
      <c r="AE367" s="466"/>
    </row>
    <row r="368" spans="1:31" ht="11.25" customHeight="1" x14ac:dyDescent="0.2">
      <c r="A368" s="46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c r="AA368" s="466"/>
      <c r="AB368" s="466"/>
      <c r="AC368" s="466"/>
      <c r="AD368" s="466"/>
      <c r="AE368" s="466"/>
    </row>
    <row r="369" spans="1:31" ht="11.25" customHeight="1" x14ac:dyDescent="0.2">
      <c r="A369" s="46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c r="AA369" s="466"/>
      <c r="AB369" s="466"/>
      <c r="AC369" s="466"/>
      <c r="AD369" s="466"/>
      <c r="AE369" s="466"/>
    </row>
    <row r="370" spans="1:31" ht="11.25" customHeight="1" x14ac:dyDescent="0.2">
      <c r="A370" s="46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E370" s="466"/>
    </row>
    <row r="371" spans="1:31" ht="11.25" customHeight="1" x14ac:dyDescent="0.2">
      <c r="A371" s="46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c r="AA371" s="466"/>
      <c r="AB371" s="466"/>
      <c r="AC371" s="466"/>
      <c r="AD371" s="466"/>
      <c r="AE371" s="466"/>
    </row>
    <row r="372" spans="1:31" ht="11.25" customHeight="1" x14ac:dyDescent="0.2">
      <c r="A372" s="46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c r="AA372" s="466"/>
      <c r="AB372" s="466"/>
      <c r="AC372" s="466"/>
      <c r="AD372" s="466"/>
      <c r="AE372" s="466"/>
    </row>
    <row r="373" spans="1:31" ht="11.25" customHeight="1" x14ac:dyDescent="0.2">
      <c r="A373" s="46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c r="AA373" s="466"/>
      <c r="AB373" s="466"/>
      <c r="AC373" s="466"/>
      <c r="AD373" s="466"/>
      <c r="AE373" s="466"/>
    </row>
    <row r="374" spans="1:31" ht="11.25" customHeight="1" x14ac:dyDescent="0.2">
      <c r="A374" s="46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c r="AA374" s="466"/>
      <c r="AB374" s="466"/>
      <c r="AC374" s="466"/>
      <c r="AD374" s="466"/>
      <c r="AE374" s="466"/>
    </row>
    <row r="375" spans="1:31" ht="11.25" customHeight="1" x14ac:dyDescent="0.2">
      <c r="A375" s="46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c r="AA375" s="466"/>
      <c r="AB375" s="466"/>
      <c r="AC375" s="466"/>
      <c r="AD375" s="466"/>
      <c r="AE375" s="466"/>
    </row>
    <row r="376" spans="1:31" ht="11.25" customHeight="1" x14ac:dyDescent="0.2">
      <c r="A376" s="46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c r="AA376" s="466"/>
      <c r="AB376" s="466"/>
      <c r="AC376" s="466"/>
      <c r="AD376" s="466"/>
      <c r="AE376" s="466"/>
    </row>
    <row r="377" spans="1:31" ht="11.25" customHeight="1" x14ac:dyDescent="0.2">
      <c r="A377" s="46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c r="AA377" s="466"/>
      <c r="AB377" s="466"/>
      <c r="AC377" s="466"/>
      <c r="AD377" s="466"/>
      <c r="AE377" s="466"/>
    </row>
    <row r="378" spans="1:31" ht="11.25" customHeight="1" x14ac:dyDescent="0.2">
      <c r="A378" s="46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E378" s="466"/>
    </row>
    <row r="379" spans="1:31" ht="11.25" customHeight="1" x14ac:dyDescent="0.2">
      <c r="A379" s="46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c r="AA379" s="466"/>
      <c r="AB379" s="466"/>
      <c r="AC379" s="466"/>
      <c r="AD379" s="466"/>
      <c r="AE379" s="466"/>
    </row>
    <row r="380" spans="1:31" ht="11.25" customHeight="1" x14ac:dyDescent="0.2">
      <c r="A380" s="46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c r="AA380" s="466"/>
      <c r="AB380" s="466"/>
      <c r="AC380" s="466"/>
      <c r="AD380" s="466"/>
      <c r="AE380" s="466"/>
    </row>
    <row r="381" spans="1:31" ht="11.25" customHeight="1" x14ac:dyDescent="0.2">
      <c r="A381" s="46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c r="AA381" s="466"/>
      <c r="AB381" s="466"/>
      <c r="AC381" s="466"/>
      <c r="AD381" s="466"/>
      <c r="AE381" s="466"/>
    </row>
    <row r="382" spans="1:31" ht="11.25" customHeight="1" x14ac:dyDescent="0.2">
      <c r="A382" s="46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c r="AA382" s="466"/>
      <c r="AB382" s="466"/>
      <c r="AC382" s="466"/>
      <c r="AD382" s="466"/>
      <c r="AE382" s="466"/>
    </row>
    <row r="383" spans="1:31" ht="11.25" customHeight="1" x14ac:dyDescent="0.2">
      <c r="A383" s="46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c r="AA383" s="466"/>
      <c r="AB383" s="466"/>
      <c r="AC383" s="466"/>
      <c r="AD383" s="466"/>
      <c r="AE383" s="466"/>
    </row>
    <row r="384" spans="1:31" ht="11.25" customHeight="1" x14ac:dyDescent="0.2">
      <c r="A384" s="46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c r="AA384" s="466"/>
      <c r="AB384" s="466"/>
      <c r="AC384" s="466"/>
      <c r="AD384" s="466"/>
      <c r="AE384" s="466"/>
    </row>
    <row r="385" spans="1:31" ht="11.25" customHeight="1" x14ac:dyDescent="0.2">
      <c r="A385" s="46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c r="AA385" s="466"/>
      <c r="AB385" s="466"/>
      <c r="AC385" s="466"/>
      <c r="AD385" s="466"/>
      <c r="AE385" s="466"/>
    </row>
    <row r="386" spans="1:31" ht="11.25" customHeight="1" x14ac:dyDescent="0.2">
      <c r="A386" s="46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E386" s="466"/>
    </row>
    <row r="387" spans="1:31" ht="11.25" customHeight="1" x14ac:dyDescent="0.2">
      <c r="A387" s="46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c r="AA387" s="466"/>
      <c r="AB387" s="466"/>
      <c r="AC387" s="466"/>
      <c r="AD387" s="466"/>
      <c r="AE387" s="466"/>
    </row>
    <row r="388" spans="1:31" ht="11.25" customHeight="1" x14ac:dyDescent="0.2">
      <c r="A388" s="46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c r="AA388" s="466"/>
      <c r="AB388" s="466"/>
      <c r="AC388" s="466"/>
      <c r="AD388" s="466"/>
      <c r="AE388" s="466"/>
    </row>
    <row r="389" spans="1:31" ht="11.25" customHeight="1" x14ac:dyDescent="0.2">
      <c r="A389" s="46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c r="AA389" s="466"/>
      <c r="AB389" s="466"/>
      <c r="AC389" s="466"/>
      <c r="AD389" s="466"/>
      <c r="AE389" s="466"/>
    </row>
    <row r="390" spans="1:31" ht="11.25" customHeight="1" x14ac:dyDescent="0.2">
      <c r="A390" s="46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c r="AA390" s="466"/>
      <c r="AB390" s="466"/>
      <c r="AC390" s="466"/>
      <c r="AD390" s="466"/>
      <c r="AE390" s="466"/>
    </row>
    <row r="391" spans="1:31" ht="11.25" customHeight="1" x14ac:dyDescent="0.2">
      <c r="A391" s="46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c r="AA391" s="466"/>
      <c r="AB391" s="466"/>
      <c r="AC391" s="466"/>
      <c r="AD391" s="466"/>
      <c r="AE391" s="466"/>
    </row>
    <row r="392" spans="1:31" ht="11.25" customHeight="1" x14ac:dyDescent="0.2">
      <c r="A392" s="46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c r="AA392" s="466"/>
      <c r="AB392" s="466"/>
      <c r="AC392" s="466"/>
      <c r="AD392" s="466"/>
      <c r="AE392" s="466"/>
    </row>
    <row r="393" spans="1:31" ht="11.25" customHeight="1" x14ac:dyDescent="0.2">
      <c r="A393" s="46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c r="AA393" s="466"/>
      <c r="AB393" s="466"/>
      <c r="AC393" s="466"/>
      <c r="AD393" s="466"/>
      <c r="AE393" s="466"/>
    </row>
    <row r="394" spans="1:31" ht="11.25" customHeight="1" x14ac:dyDescent="0.2">
      <c r="A394" s="46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c r="AA394" s="466"/>
      <c r="AB394" s="466"/>
      <c r="AC394" s="466"/>
      <c r="AD394" s="466"/>
      <c r="AE394" s="466"/>
    </row>
    <row r="395" spans="1:31" ht="11.25" customHeight="1" x14ac:dyDescent="0.2">
      <c r="A395" s="46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c r="AA395" s="466"/>
      <c r="AB395" s="466"/>
      <c r="AC395" s="466"/>
      <c r="AD395" s="466"/>
      <c r="AE395" s="466"/>
    </row>
    <row r="396" spans="1:31" ht="11.25" customHeight="1" x14ac:dyDescent="0.2">
      <c r="A396" s="46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E396" s="466"/>
    </row>
    <row r="397" spans="1:31" ht="11.25" customHeight="1" x14ac:dyDescent="0.2">
      <c r="A397" s="46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E397" s="466"/>
    </row>
    <row r="398" spans="1:31" ht="11.25" customHeight="1" x14ac:dyDescent="0.2">
      <c r="A398" s="46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E398" s="466"/>
    </row>
    <row r="399" spans="1:31" ht="11.25" customHeight="1" x14ac:dyDescent="0.2">
      <c r="A399" s="46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c r="AA399" s="466"/>
      <c r="AB399" s="466"/>
      <c r="AC399" s="466"/>
      <c r="AD399" s="466"/>
      <c r="AE399" s="466"/>
    </row>
    <row r="400" spans="1:31" ht="11.25" customHeight="1" x14ac:dyDescent="0.2">
      <c r="A400" s="46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66"/>
    </row>
    <row r="401" spans="1:31" ht="11.25" customHeight="1" x14ac:dyDescent="0.2">
      <c r="A401" s="46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c r="AA401" s="466"/>
      <c r="AB401" s="466"/>
      <c r="AC401" s="466"/>
      <c r="AD401" s="466"/>
      <c r="AE401" s="466"/>
    </row>
    <row r="402" spans="1:31" ht="11.25" customHeight="1" x14ac:dyDescent="0.2">
      <c r="A402" s="46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c r="AA402" s="466"/>
      <c r="AB402" s="466"/>
      <c r="AC402" s="466"/>
      <c r="AD402" s="466"/>
      <c r="AE402" s="466"/>
    </row>
    <row r="403" spans="1:31" ht="11.25" customHeight="1" x14ac:dyDescent="0.2">
      <c r="A403" s="46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c r="AA403" s="466"/>
      <c r="AB403" s="466"/>
      <c r="AC403" s="466"/>
      <c r="AD403" s="466"/>
      <c r="AE403" s="466"/>
    </row>
    <row r="404" spans="1:31" ht="11.25" customHeight="1" x14ac:dyDescent="0.2">
      <c r="A404" s="46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c r="AA404" s="466"/>
      <c r="AB404" s="466"/>
      <c r="AC404" s="466"/>
      <c r="AD404" s="466"/>
      <c r="AE404" s="466"/>
    </row>
    <row r="405" spans="1:31" ht="11.25" customHeight="1" x14ac:dyDescent="0.2">
      <c r="A405" s="46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66"/>
    </row>
    <row r="406" spans="1:31" ht="11.25" customHeight="1" x14ac:dyDescent="0.2">
      <c r="A406" s="46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c r="AA406" s="466"/>
      <c r="AB406" s="466"/>
      <c r="AC406" s="466"/>
      <c r="AD406" s="466"/>
      <c r="AE406" s="466"/>
    </row>
    <row r="407" spans="1:31" ht="11.25" customHeight="1" x14ac:dyDescent="0.2">
      <c r="A407" s="46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c r="AA407" s="466"/>
      <c r="AB407" s="466"/>
      <c r="AC407" s="466"/>
      <c r="AD407" s="466"/>
      <c r="AE407" s="466"/>
    </row>
    <row r="408" spans="1:31" ht="11.25" customHeight="1" x14ac:dyDescent="0.2">
      <c r="A408" s="46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c r="AA408" s="466"/>
      <c r="AB408" s="466"/>
      <c r="AC408" s="466"/>
      <c r="AD408" s="466"/>
      <c r="AE408" s="466"/>
    </row>
    <row r="409" spans="1:31" ht="11.25" customHeight="1" x14ac:dyDescent="0.2">
      <c r="A409" s="46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c r="AA409" s="466"/>
      <c r="AB409" s="466"/>
      <c r="AC409" s="466"/>
      <c r="AD409" s="466"/>
      <c r="AE409" s="466"/>
    </row>
    <row r="410" spans="1:31" ht="11.25" customHeight="1" x14ac:dyDescent="0.2">
      <c r="A410" s="46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E410" s="466"/>
    </row>
    <row r="411" spans="1:31" ht="11.25" customHeight="1" x14ac:dyDescent="0.2">
      <c r="A411" s="46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c r="AA411" s="466"/>
      <c r="AB411" s="466"/>
      <c r="AC411" s="466"/>
      <c r="AD411" s="466"/>
      <c r="AE411" s="466"/>
    </row>
    <row r="412" spans="1:31" ht="11.25" customHeight="1" x14ac:dyDescent="0.2">
      <c r="A412" s="46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E412" s="466"/>
    </row>
    <row r="413" spans="1:31" ht="11.25" customHeight="1" x14ac:dyDescent="0.2">
      <c r="A413" s="46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c r="AA413" s="466"/>
      <c r="AB413" s="466"/>
      <c r="AC413" s="466"/>
      <c r="AD413" s="466"/>
      <c r="AE413" s="466"/>
    </row>
    <row r="414" spans="1:31" ht="11.25" customHeight="1" x14ac:dyDescent="0.2">
      <c r="A414" s="46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66"/>
    </row>
    <row r="415" spans="1:31" ht="11.25" customHeight="1" x14ac:dyDescent="0.2">
      <c r="A415" s="46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66"/>
    </row>
    <row r="416" spans="1:31" ht="11.25" customHeight="1" x14ac:dyDescent="0.2">
      <c r="A416" s="46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c r="AA416" s="466"/>
      <c r="AB416" s="466"/>
      <c r="AC416" s="466"/>
      <c r="AD416" s="466"/>
      <c r="AE416" s="466"/>
    </row>
    <row r="417" spans="1:31" ht="11.25" customHeight="1" x14ac:dyDescent="0.2">
      <c r="A417" s="46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c r="AA417" s="466"/>
      <c r="AB417" s="466"/>
      <c r="AC417" s="466"/>
      <c r="AD417" s="466"/>
      <c r="AE417" s="466"/>
    </row>
    <row r="418" spans="1:31" ht="11.25" customHeight="1" x14ac:dyDescent="0.2">
      <c r="A418" s="46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c r="AA418" s="466"/>
      <c r="AB418" s="466"/>
      <c r="AC418" s="466"/>
      <c r="AD418" s="466"/>
      <c r="AE418" s="466"/>
    </row>
    <row r="419" spans="1:31" ht="11.25" customHeight="1" x14ac:dyDescent="0.2">
      <c r="A419" s="46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c r="AA419" s="466"/>
      <c r="AB419" s="466"/>
      <c r="AC419" s="466"/>
      <c r="AD419" s="466"/>
      <c r="AE419" s="466"/>
    </row>
    <row r="420" spans="1:31" ht="11.25" customHeight="1" x14ac:dyDescent="0.2">
      <c r="A420" s="46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c r="AA420" s="466"/>
      <c r="AB420" s="466"/>
      <c r="AC420" s="466"/>
      <c r="AD420" s="466"/>
      <c r="AE420" s="466"/>
    </row>
    <row r="421" spans="1:31" ht="11.25" customHeight="1" x14ac:dyDescent="0.2">
      <c r="A421" s="46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66"/>
    </row>
    <row r="422" spans="1:31" ht="11.25" customHeight="1" x14ac:dyDescent="0.2">
      <c r="A422" s="46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c r="AA422" s="466"/>
      <c r="AB422" s="466"/>
      <c r="AC422" s="466"/>
      <c r="AD422" s="466"/>
      <c r="AE422" s="466"/>
    </row>
    <row r="423" spans="1:31" ht="11.25" customHeight="1" x14ac:dyDescent="0.2">
      <c r="A423" s="46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c r="AA423" s="466"/>
      <c r="AB423" s="466"/>
      <c r="AC423" s="466"/>
      <c r="AD423" s="466"/>
      <c r="AE423" s="466"/>
    </row>
    <row r="424" spans="1:31" ht="11.25" customHeight="1" x14ac:dyDescent="0.2">
      <c r="A424" s="46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c r="AA424" s="466"/>
      <c r="AB424" s="466"/>
      <c r="AC424" s="466"/>
      <c r="AD424" s="466"/>
      <c r="AE424" s="466"/>
    </row>
    <row r="425" spans="1:31" ht="11.25" customHeight="1" x14ac:dyDescent="0.2">
      <c r="A425" s="46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c r="AA425" s="466"/>
      <c r="AB425" s="466"/>
      <c r="AC425" s="466"/>
      <c r="AD425" s="466"/>
      <c r="AE425" s="466"/>
    </row>
    <row r="426" spans="1:31" ht="11.25" customHeight="1" x14ac:dyDescent="0.2">
      <c r="A426" s="46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c r="AA426" s="466"/>
      <c r="AB426" s="466"/>
      <c r="AC426" s="466"/>
      <c r="AD426" s="466"/>
      <c r="AE426" s="466"/>
    </row>
    <row r="427" spans="1:31" ht="11.25" customHeight="1" x14ac:dyDescent="0.2">
      <c r="A427" s="46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c r="AA427" s="466"/>
      <c r="AB427" s="466"/>
      <c r="AC427" s="466"/>
      <c r="AD427" s="466"/>
      <c r="AE427" s="466"/>
    </row>
    <row r="428" spans="1:31" ht="11.25" customHeight="1" x14ac:dyDescent="0.2">
      <c r="A428" s="46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c r="AA428" s="466"/>
      <c r="AB428" s="466"/>
      <c r="AC428" s="466"/>
      <c r="AD428" s="466"/>
      <c r="AE428" s="466"/>
    </row>
    <row r="429" spans="1:31" ht="11.25" customHeight="1" x14ac:dyDescent="0.2">
      <c r="A429" s="46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c r="AA429" s="466"/>
      <c r="AB429" s="466"/>
      <c r="AC429" s="466"/>
      <c r="AD429" s="466"/>
      <c r="AE429" s="466"/>
    </row>
    <row r="430" spans="1:31" ht="11.25" customHeight="1" x14ac:dyDescent="0.2">
      <c r="A430" s="46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c r="AA430" s="466"/>
      <c r="AB430" s="466"/>
      <c r="AC430" s="466"/>
      <c r="AD430" s="466"/>
      <c r="AE430" s="466"/>
    </row>
    <row r="431" spans="1:31" ht="11.25" customHeight="1" x14ac:dyDescent="0.2">
      <c r="A431" s="46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c r="AA431" s="466"/>
      <c r="AB431" s="466"/>
      <c r="AC431" s="466"/>
      <c r="AD431" s="466"/>
      <c r="AE431" s="466"/>
    </row>
    <row r="432" spans="1:31" ht="11.25" customHeight="1" x14ac:dyDescent="0.2">
      <c r="A432" s="46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c r="AA432" s="466"/>
      <c r="AB432" s="466"/>
      <c r="AC432" s="466"/>
      <c r="AD432" s="466"/>
      <c r="AE432" s="466"/>
    </row>
    <row r="433" spans="1:31" ht="11.25" customHeight="1" x14ac:dyDescent="0.2">
      <c r="A433" s="46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466"/>
    </row>
    <row r="434" spans="1:31" ht="11.25" customHeight="1" x14ac:dyDescent="0.2">
      <c r="A434" s="46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c r="AA434" s="466"/>
      <c r="AB434" s="466"/>
      <c r="AC434" s="466"/>
      <c r="AD434" s="466"/>
      <c r="AE434" s="466"/>
    </row>
    <row r="435" spans="1:31" ht="11.25" customHeight="1" x14ac:dyDescent="0.2">
      <c r="A435" s="46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c r="AA435" s="466"/>
      <c r="AB435" s="466"/>
      <c r="AC435" s="466"/>
      <c r="AD435" s="466"/>
      <c r="AE435" s="466"/>
    </row>
    <row r="436" spans="1:31" ht="11.25" customHeight="1" x14ac:dyDescent="0.2">
      <c r="A436" s="46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c r="AA436" s="466"/>
      <c r="AB436" s="466"/>
      <c r="AC436" s="466"/>
      <c r="AD436" s="466"/>
      <c r="AE436" s="466"/>
    </row>
    <row r="437" spans="1:31" ht="11.25" customHeight="1" x14ac:dyDescent="0.2">
      <c r="A437" s="46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c r="AA437" s="466"/>
      <c r="AB437" s="466"/>
      <c r="AC437" s="466"/>
      <c r="AD437" s="466"/>
      <c r="AE437" s="466"/>
    </row>
    <row r="438" spans="1:31" ht="11.25" customHeight="1" x14ac:dyDescent="0.2">
      <c r="A438" s="46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E438" s="466"/>
    </row>
    <row r="439" spans="1:31" ht="11.25" customHeight="1" x14ac:dyDescent="0.2">
      <c r="A439" s="46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466"/>
    </row>
    <row r="440" spans="1:31" ht="11.25" customHeight="1" x14ac:dyDescent="0.2">
      <c r="A440" s="46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c r="AA440" s="466"/>
      <c r="AB440" s="466"/>
      <c r="AC440" s="466"/>
      <c r="AD440" s="466"/>
      <c r="AE440" s="466"/>
    </row>
    <row r="441" spans="1:31" ht="11.25" customHeight="1" x14ac:dyDescent="0.2">
      <c r="A441" s="46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466"/>
    </row>
    <row r="442" spans="1:31" ht="11.25" customHeight="1" x14ac:dyDescent="0.2">
      <c r="A442" s="46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c r="AA442" s="466"/>
      <c r="AB442" s="466"/>
      <c r="AC442" s="466"/>
      <c r="AD442" s="466"/>
      <c r="AE442" s="466"/>
    </row>
    <row r="443" spans="1:31" ht="11.25" customHeight="1" x14ac:dyDescent="0.2">
      <c r="A443" s="46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c r="AA443" s="466"/>
      <c r="AB443" s="466"/>
      <c r="AC443" s="466"/>
      <c r="AD443" s="466"/>
      <c r="AE443" s="466"/>
    </row>
    <row r="444" spans="1:31" ht="11.25" customHeight="1" x14ac:dyDescent="0.2">
      <c r="A444" s="46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c r="AA444" s="466"/>
      <c r="AB444" s="466"/>
      <c r="AC444" s="466"/>
      <c r="AD444" s="466"/>
      <c r="AE444" s="466"/>
    </row>
    <row r="445" spans="1:31" ht="11.25" customHeight="1" x14ac:dyDescent="0.2">
      <c r="A445" s="46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466"/>
    </row>
    <row r="446" spans="1:31" ht="11.25" customHeight="1" x14ac:dyDescent="0.2">
      <c r="A446" s="46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c r="AA446" s="466"/>
      <c r="AB446" s="466"/>
      <c r="AC446" s="466"/>
      <c r="AD446" s="466"/>
      <c r="AE446" s="466"/>
    </row>
    <row r="447" spans="1:31" ht="11.25" customHeight="1" x14ac:dyDescent="0.2">
      <c r="A447" s="46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c r="AA447" s="466"/>
      <c r="AB447" s="466"/>
      <c r="AC447" s="466"/>
      <c r="AD447" s="466"/>
      <c r="AE447" s="466"/>
    </row>
    <row r="448" spans="1:31" ht="11.25" customHeight="1" x14ac:dyDescent="0.2">
      <c r="A448" s="46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c r="AA448" s="466"/>
      <c r="AB448" s="466"/>
      <c r="AC448" s="466"/>
      <c r="AD448" s="466"/>
      <c r="AE448" s="466"/>
    </row>
    <row r="449" spans="1:31" ht="11.25" customHeight="1" x14ac:dyDescent="0.2">
      <c r="A449" s="46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c r="AA449" s="466"/>
      <c r="AB449" s="466"/>
      <c r="AC449" s="466"/>
      <c r="AD449" s="466"/>
      <c r="AE449" s="466"/>
    </row>
    <row r="450" spans="1:31" ht="11.25" customHeight="1" x14ac:dyDescent="0.2">
      <c r="A450" s="46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E450" s="466"/>
    </row>
    <row r="451" spans="1:31" ht="11.25" customHeight="1" x14ac:dyDescent="0.2">
      <c r="A451" s="46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c r="AA451" s="466"/>
      <c r="AB451" s="466"/>
      <c r="AC451" s="466"/>
      <c r="AD451" s="466"/>
      <c r="AE451" s="466"/>
    </row>
    <row r="452" spans="1:31" ht="11.25" customHeight="1" x14ac:dyDescent="0.2">
      <c r="A452" s="46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c r="AA452" s="466"/>
      <c r="AB452" s="466"/>
      <c r="AC452" s="466"/>
      <c r="AD452" s="466"/>
      <c r="AE452" s="466"/>
    </row>
    <row r="453" spans="1:31" ht="11.25" customHeight="1" x14ac:dyDescent="0.2">
      <c r="A453" s="46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c r="AA453" s="466"/>
      <c r="AB453" s="466"/>
      <c r="AC453" s="466"/>
      <c r="AD453" s="466"/>
      <c r="AE453" s="466"/>
    </row>
    <row r="454" spans="1:31" ht="11.25" customHeight="1" x14ac:dyDescent="0.2">
      <c r="A454" s="46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c r="AA454" s="466"/>
      <c r="AB454" s="466"/>
      <c r="AC454" s="466"/>
      <c r="AD454" s="466"/>
      <c r="AE454" s="466"/>
    </row>
    <row r="455" spans="1:31" ht="11.25" customHeight="1" x14ac:dyDescent="0.2">
      <c r="A455" s="46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E455" s="466"/>
    </row>
    <row r="456" spans="1:31" ht="11.25" customHeight="1" x14ac:dyDescent="0.2">
      <c r="A456" s="46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c r="AA456" s="466"/>
      <c r="AB456" s="466"/>
      <c r="AC456" s="466"/>
      <c r="AD456" s="466"/>
      <c r="AE456" s="466"/>
    </row>
    <row r="457" spans="1:31" ht="11.25" customHeight="1" x14ac:dyDescent="0.2">
      <c r="A457" s="46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E457" s="466"/>
    </row>
    <row r="458" spans="1:31" ht="11.25" customHeight="1" x14ac:dyDescent="0.2">
      <c r="A458" s="46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c r="AA458" s="466"/>
      <c r="AB458" s="466"/>
      <c r="AC458" s="466"/>
      <c r="AD458" s="466"/>
      <c r="AE458" s="466"/>
    </row>
    <row r="459" spans="1:31" ht="11.25" customHeight="1" x14ac:dyDescent="0.2">
      <c r="A459" s="46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c r="AA459" s="466"/>
      <c r="AB459" s="466"/>
      <c r="AC459" s="466"/>
      <c r="AD459" s="466"/>
      <c r="AE459" s="466"/>
    </row>
    <row r="460" spans="1:31" ht="11.25" customHeight="1" x14ac:dyDescent="0.2">
      <c r="A460" s="46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c r="AA460" s="466"/>
      <c r="AB460" s="466"/>
      <c r="AC460" s="466"/>
      <c r="AD460" s="466"/>
      <c r="AE460" s="466"/>
    </row>
    <row r="461" spans="1:31" ht="11.25" customHeight="1" x14ac:dyDescent="0.2">
      <c r="A461" s="46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c r="AA461" s="466"/>
      <c r="AB461" s="466"/>
      <c r="AC461" s="466"/>
      <c r="AD461" s="466"/>
      <c r="AE461" s="466"/>
    </row>
    <row r="462" spans="1:31" ht="11.25" customHeight="1" x14ac:dyDescent="0.2">
      <c r="A462" s="46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c r="AA462" s="466"/>
      <c r="AB462" s="466"/>
      <c r="AC462" s="466"/>
      <c r="AD462" s="466"/>
      <c r="AE462" s="466"/>
    </row>
    <row r="463" spans="1:31" ht="11.25" customHeight="1" x14ac:dyDescent="0.2">
      <c r="A463" s="46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c r="AA463" s="466"/>
      <c r="AB463" s="466"/>
      <c r="AC463" s="466"/>
      <c r="AD463" s="466"/>
      <c r="AE463" s="466"/>
    </row>
    <row r="464" spans="1:31" ht="11.25" customHeight="1" x14ac:dyDescent="0.2">
      <c r="A464" s="46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c r="AA464" s="466"/>
      <c r="AB464" s="466"/>
      <c r="AC464" s="466"/>
      <c r="AD464" s="466"/>
      <c r="AE464" s="466"/>
    </row>
    <row r="465" spans="1:31" ht="11.25" customHeight="1" x14ac:dyDescent="0.2">
      <c r="A465" s="46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c r="AA465" s="466"/>
      <c r="AB465" s="466"/>
      <c r="AC465" s="466"/>
      <c r="AD465" s="466"/>
      <c r="AE465" s="466"/>
    </row>
    <row r="466" spans="1:31" ht="11.25" customHeight="1" x14ac:dyDescent="0.2">
      <c r="A466" s="46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c r="AA466" s="466"/>
      <c r="AB466" s="466"/>
      <c r="AC466" s="466"/>
      <c r="AD466" s="466"/>
      <c r="AE466" s="466"/>
    </row>
    <row r="467" spans="1:31" ht="11.25" customHeight="1" x14ac:dyDescent="0.2">
      <c r="A467" s="46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c r="AA467" s="466"/>
      <c r="AB467" s="466"/>
      <c r="AC467" s="466"/>
      <c r="AD467" s="466"/>
      <c r="AE467" s="466"/>
    </row>
    <row r="468" spans="1:31" ht="11.25" customHeight="1" x14ac:dyDescent="0.2">
      <c r="A468" s="46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c r="AA468" s="466"/>
      <c r="AB468" s="466"/>
      <c r="AC468" s="466"/>
      <c r="AD468" s="466"/>
      <c r="AE468" s="466"/>
    </row>
    <row r="469" spans="1:31" ht="11.25" customHeight="1" x14ac:dyDescent="0.2">
      <c r="A469" s="46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c r="AA469" s="466"/>
      <c r="AB469" s="466"/>
      <c r="AC469" s="466"/>
      <c r="AD469" s="466"/>
      <c r="AE469" s="466"/>
    </row>
    <row r="470" spans="1:31" ht="11.25" customHeight="1" x14ac:dyDescent="0.2">
      <c r="A470" s="46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c r="AA470" s="466"/>
      <c r="AB470" s="466"/>
      <c r="AC470" s="466"/>
      <c r="AD470" s="466"/>
      <c r="AE470" s="466"/>
    </row>
    <row r="471" spans="1:31" ht="11.25" customHeight="1" x14ac:dyDescent="0.2">
      <c r="A471" s="46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c r="AA471" s="466"/>
      <c r="AB471" s="466"/>
      <c r="AC471" s="466"/>
      <c r="AD471" s="466"/>
      <c r="AE471" s="466"/>
    </row>
    <row r="472" spans="1:31" ht="11.25" customHeight="1" x14ac:dyDescent="0.2">
      <c r="A472" s="46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c r="AA472" s="466"/>
      <c r="AB472" s="466"/>
      <c r="AC472" s="466"/>
      <c r="AD472" s="466"/>
      <c r="AE472" s="466"/>
    </row>
    <row r="473" spans="1:31" ht="11.25" customHeight="1" x14ac:dyDescent="0.2">
      <c r="A473" s="46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c r="AA473" s="466"/>
      <c r="AB473" s="466"/>
      <c r="AC473" s="466"/>
      <c r="AD473" s="466"/>
      <c r="AE473" s="466"/>
    </row>
    <row r="474" spans="1:31" ht="11.25" customHeight="1" x14ac:dyDescent="0.2">
      <c r="A474" s="46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c r="AA474" s="466"/>
      <c r="AB474" s="466"/>
      <c r="AC474" s="466"/>
      <c r="AD474" s="466"/>
      <c r="AE474" s="466"/>
    </row>
    <row r="475" spans="1:31" ht="11.25" customHeight="1" x14ac:dyDescent="0.2">
      <c r="A475" s="46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c r="AA475" s="466"/>
      <c r="AB475" s="466"/>
      <c r="AC475" s="466"/>
      <c r="AD475" s="466"/>
      <c r="AE475" s="466"/>
    </row>
    <row r="476" spans="1:31" ht="11.25" customHeight="1" x14ac:dyDescent="0.2">
      <c r="A476" s="46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c r="AA476" s="466"/>
      <c r="AB476" s="466"/>
      <c r="AC476" s="466"/>
      <c r="AD476" s="466"/>
      <c r="AE476" s="466"/>
    </row>
    <row r="477" spans="1:31" ht="11.25" customHeight="1" x14ac:dyDescent="0.2">
      <c r="A477" s="46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c r="AA477" s="466"/>
      <c r="AB477" s="466"/>
      <c r="AC477" s="466"/>
      <c r="AD477" s="466"/>
      <c r="AE477" s="466"/>
    </row>
    <row r="478" spans="1:31" ht="11.25" customHeight="1" x14ac:dyDescent="0.2">
      <c r="A478" s="46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c r="AA478" s="466"/>
      <c r="AB478" s="466"/>
      <c r="AC478" s="466"/>
      <c r="AD478" s="466"/>
      <c r="AE478" s="466"/>
    </row>
    <row r="479" spans="1:31" ht="11.25" customHeight="1" x14ac:dyDescent="0.2">
      <c r="A479" s="46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c r="AA479" s="466"/>
      <c r="AB479" s="466"/>
      <c r="AC479" s="466"/>
      <c r="AD479" s="466"/>
      <c r="AE479" s="466"/>
    </row>
    <row r="480" spans="1:31" ht="11.25" customHeight="1" x14ac:dyDescent="0.2">
      <c r="A480" s="46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c r="AA480" s="466"/>
      <c r="AB480" s="466"/>
      <c r="AC480" s="466"/>
      <c r="AD480" s="466"/>
      <c r="AE480" s="466"/>
    </row>
    <row r="481" spans="1:31" ht="11.25" customHeight="1" x14ac:dyDescent="0.2">
      <c r="A481" s="46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c r="AA481" s="466"/>
      <c r="AB481" s="466"/>
      <c r="AC481" s="466"/>
      <c r="AD481" s="466"/>
      <c r="AE481" s="466"/>
    </row>
    <row r="482" spans="1:31" ht="11.25" customHeight="1" x14ac:dyDescent="0.2">
      <c r="A482" s="46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c r="AA482" s="466"/>
      <c r="AB482" s="466"/>
      <c r="AC482" s="466"/>
      <c r="AD482" s="466"/>
      <c r="AE482" s="466"/>
    </row>
    <row r="483" spans="1:31" ht="11.25" customHeight="1" x14ac:dyDescent="0.2">
      <c r="A483" s="46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c r="AA483" s="466"/>
      <c r="AB483" s="466"/>
      <c r="AC483" s="466"/>
      <c r="AD483" s="466"/>
      <c r="AE483" s="466"/>
    </row>
    <row r="484" spans="1:31" ht="11.25" customHeight="1" x14ac:dyDescent="0.2">
      <c r="A484" s="46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c r="AA484" s="466"/>
      <c r="AB484" s="466"/>
      <c r="AC484" s="466"/>
      <c r="AD484" s="466"/>
      <c r="AE484" s="466"/>
    </row>
    <row r="485" spans="1:31" ht="11.25" customHeight="1" x14ac:dyDescent="0.2">
      <c r="A485" s="46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c r="AA485" s="466"/>
      <c r="AB485" s="466"/>
      <c r="AC485" s="466"/>
      <c r="AD485" s="466"/>
      <c r="AE485" s="466"/>
    </row>
    <row r="486" spans="1:31" ht="11.25" customHeight="1" x14ac:dyDescent="0.2">
      <c r="A486" s="46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c r="AA486" s="466"/>
      <c r="AB486" s="466"/>
      <c r="AC486" s="466"/>
      <c r="AD486" s="466"/>
      <c r="AE486" s="466"/>
    </row>
    <row r="487" spans="1:31" ht="11.25" customHeight="1" x14ac:dyDescent="0.2">
      <c r="A487" s="46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c r="AA487" s="466"/>
      <c r="AB487" s="466"/>
      <c r="AC487" s="466"/>
      <c r="AD487" s="466"/>
      <c r="AE487" s="466"/>
    </row>
    <row r="488" spans="1:31" ht="11.25" customHeight="1" x14ac:dyDescent="0.2">
      <c r="A488" s="46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c r="AA488" s="466"/>
      <c r="AB488" s="466"/>
      <c r="AC488" s="466"/>
      <c r="AD488" s="466"/>
      <c r="AE488" s="466"/>
    </row>
    <row r="489" spans="1:31" ht="11.25" customHeight="1" x14ac:dyDescent="0.2">
      <c r="A489" s="46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c r="AA489" s="466"/>
      <c r="AB489" s="466"/>
      <c r="AC489" s="466"/>
      <c r="AD489" s="466"/>
      <c r="AE489" s="466"/>
    </row>
    <row r="490" spans="1:31" ht="11.25" customHeight="1" x14ac:dyDescent="0.2">
      <c r="A490" s="46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c r="AA490" s="466"/>
      <c r="AB490" s="466"/>
      <c r="AC490" s="466"/>
      <c r="AD490" s="466"/>
      <c r="AE490" s="466"/>
    </row>
    <row r="491" spans="1:31" ht="11.25" customHeight="1" x14ac:dyDescent="0.2">
      <c r="A491" s="46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c r="AA491" s="466"/>
      <c r="AB491" s="466"/>
      <c r="AC491" s="466"/>
      <c r="AD491" s="466"/>
      <c r="AE491" s="466"/>
    </row>
    <row r="492" spans="1:31" ht="11.25" customHeight="1" x14ac:dyDescent="0.2">
      <c r="A492" s="46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c r="AA492" s="466"/>
      <c r="AB492" s="466"/>
      <c r="AC492" s="466"/>
      <c r="AD492" s="466"/>
      <c r="AE492" s="466"/>
    </row>
    <row r="493" spans="1:31" ht="11.25" customHeight="1" x14ac:dyDescent="0.2">
      <c r="A493" s="46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c r="AA493" s="466"/>
      <c r="AB493" s="466"/>
      <c r="AC493" s="466"/>
      <c r="AD493" s="466"/>
      <c r="AE493" s="466"/>
    </row>
    <row r="494" spans="1:31" ht="11.25" customHeight="1" x14ac:dyDescent="0.2">
      <c r="A494" s="46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c r="AA494" s="466"/>
      <c r="AB494" s="466"/>
      <c r="AC494" s="466"/>
      <c r="AD494" s="466"/>
      <c r="AE494" s="466"/>
    </row>
    <row r="495" spans="1:31" ht="11.25" customHeight="1" x14ac:dyDescent="0.2">
      <c r="A495" s="46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c r="AA495" s="466"/>
      <c r="AB495" s="466"/>
      <c r="AC495" s="466"/>
      <c r="AD495" s="466"/>
      <c r="AE495" s="466"/>
    </row>
    <row r="496" spans="1:31" ht="11.25" customHeight="1" x14ac:dyDescent="0.2">
      <c r="A496" s="46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c r="AA496" s="466"/>
      <c r="AB496" s="466"/>
      <c r="AC496" s="466"/>
      <c r="AD496" s="466"/>
      <c r="AE496" s="466"/>
    </row>
    <row r="497" spans="1:31" ht="11.25" customHeight="1" x14ac:dyDescent="0.2">
      <c r="A497" s="46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c r="AA497" s="466"/>
      <c r="AB497" s="466"/>
      <c r="AC497" s="466"/>
      <c r="AD497" s="466"/>
      <c r="AE497" s="466"/>
    </row>
    <row r="498" spans="1:31" ht="11.25" customHeight="1" x14ac:dyDescent="0.2">
      <c r="A498" s="46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c r="AA498" s="466"/>
      <c r="AB498" s="466"/>
      <c r="AC498" s="466"/>
      <c r="AD498" s="466"/>
      <c r="AE498" s="466"/>
    </row>
    <row r="499" spans="1:31" ht="11.25" customHeight="1" x14ac:dyDescent="0.2">
      <c r="A499" s="46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c r="AA499" s="466"/>
      <c r="AB499" s="466"/>
      <c r="AC499" s="466"/>
      <c r="AD499" s="466"/>
      <c r="AE499" s="466"/>
    </row>
    <row r="500" spans="1:31" ht="11.25" customHeight="1" x14ac:dyDescent="0.2">
      <c r="A500" s="46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c r="AA500" s="466"/>
      <c r="AB500" s="466"/>
      <c r="AC500" s="466"/>
      <c r="AD500" s="466"/>
      <c r="AE500" s="466"/>
    </row>
    <row r="501" spans="1:31" ht="11.25" customHeight="1" x14ac:dyDescent="0.2">
      <c r="A501" s="46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c r="AA501" s="466"/>
      <c r="AB501" s="466"/>
      <c r="AC501" s="466"/>
      <c r="AD501" s="466"/>
      <c r="AE501" s="466"/>
    </row>
    <row r="502" spans="1:31" ht="11.25" customHeight="1" x14ac:dyDescent="0.2">
      <c r="A502" s="46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c r="AA502" s="466"/>
      <c r="AB502" s="466"/>
      <c r="AC502" s="466"/>
      <c r="AD502" s="466"/>
      <c r="AE502" s="466"/>
    </row>
    <row r="503" spans="1:31" ht="11.25" customHeight="1" x14ac:dyDescent="0.2">
      <c r="A503" s="46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c r="AA503" s="466"/>
      <c r="AB503" s="466"/>
      <c r="AC503" s="466"/>
      <c r="AD503" s="466"/>
      <c r="AE503" s="466"/>
    </row>
    <row r="504" spans="1:31" ht="11.25" customHeight="1" x14ac:dyDescent="0.2">
      <c r="A504" s="46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c r="AA504" s="466"/>
      <c r="AB504" s="466"/>
      <c r="AC504" s="466"/>
      <c r="AD504" s="466"/>
      <c r="AE504" s="466"/>
    </row>
    <row r="505" spans="1:31" ht="11.25" customHeight="1" x14ac:dyDescent="0.2">
      <c r="A505" s="46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c r="AA505" s="466"/>
      <c r="AB505" s="466"/>
      <c r="AC505" s="466"/>
      <c r="AD505" s="466"/>
      <c r="AE505" s="466"/>
    </row>
    <row r="506" spans="1:31" ht="11.25" customHeight="1" x14ac:dyDescent="0.2">
      <c r="A506" s="46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c r="AA506" s="466"/>
      <c r="AB506" s="466"/>
      <c r="AC506" s="466"/>
      <c r="AD506" s="466"/>
      <c r="AE506" s="466"/>
    </row>
    <row r="507" spans="1:31" ht="11.25" customHeight="1" x14ac:dyDescent="0.2">
      <c r="A507" s="46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c r="AA507" s="466"/>
      <c r="AB507" s="466"/>
      <c r="AC507" s="466"/>
      <c r="AD507" s="466"/>
      <c r="AE507" s="466"/>
    </row>
    <row r="508" spans="1:31" ht="11.25" customHeight="1" x14ac:dyDescent="0.2">
      <c r="A508" s="46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c r="AA508" s="466"/>
      <c r="AB508" s="466"/>
      <c r="AC508" s="466"/>
      <c r="AD508" s="466"/>
      <c r="AE508" s="466"/>
    </row>
    <row r="509" spans="1:31" ht="11.25" customHeight="1" x14ac:dyDescent="0.2">
      <c r="A509" s="46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c r="AA509" s="466"/>
      <c r="AB509" s="466"/>
      <c r="AC509" s="466"/>
      <c r="AD509" s="466"/>
      <c r="AE509" s="466"/>
    </row>
    <row r="510" spans="1:31" ht="11.25" customHeight="1" x14ac:dyDescent="0.2">
      <c r="A510" s="46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c r="AA510" s="466"/>
      <c r="AB510" s="466"/>
      <c r="AC510" s="466"/>
      <c r="AD510" s="466"/>
      <c r="AE510" s="466"/>
    </row>
    <row r="511" spans="1:31" ht="11.25" customHeight="1" x14ac:dyDescent="0.2">
      <c r="A511" s="46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c r="AA511" s="466"/>
      <c r="AB511" s="466"/>
      <c r="AC511" s="466"/>
      <c r="AD511" s="466"/>
      <c r="AE511" s="466"/>
    </row>
    <row r="512" spans="1:31" ht="11.25" customHeight="1" x14ac:dyDescent="0.2">
      <c r="A512" s="46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c r="AA512" s="466"/>
      <c r="AB512" s="466"/>
      <c r="AC512" s="466"/>
      <c r="AD512" s="466"/>
      <c r="AE512" s="466"/>
    </row>
    <row r="513" spans="1:31" ht="11.25" customHeight="1" x14ac:dyDescent="0.2">
      <c r="A513" s="46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c r="AA513" s="466"/>
      <c r="AB513" s="466"/>
      <c r="AC513" s="466"/>
      <c r="AD513" s="466"/>
      <c r="AE513" s="466"/>
    </row>
    <row r="514" spans="1:31" ht="11.25" customHeight="1" x14ac:dyDescent="0.2">
      <c r="A514" s="46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c r="AA514" s="466"/>
      <c r="AB514" s="466"/>
      <c r="AC514" s="466"/>
      <c r="AD514" s="466"/>
      <c r="AE514" s="466"/>
    </row>
    <row r="515" spans="1:31" ht="11.25" customHeight="1" x14ac:dyDescent="0.2">
      <c r="A515" s="46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c r="AA515" s="466"/>
      <c r="AB515" s="466"/>
      <c r="AC515" s="466"/>
      <c r="AD515" s="466"/>
      <c r="AE515" s="466"/>
    </row>
    <row r="516" spans="1:31" ht="11.25" customHeight="1" x14ac:dyDescent="0.2">
      <c r="A516" s="46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c r="AA516" s="466"/>
      <c r="AB516" s="466"/>
      <c r="AC516" s="466"/>
      <c r="AD516" s="466"/>
      <c r="AE516" s="466"/>
    </row>
    <row r="517" spans="1:31" ht="11.25" customHeight="1" x14ac:dyDescent="0.2">
      <c r="A517" s="46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c r="AA517" s="466"/>
      <c r="AB517" s="466"/>
      <c r="AC517" s="466"/>
      <c r="AD517" s="466"/>
      <c r="AE517" s="466"/>
    </row>
    <row r="518" spans="1:31" ht="11.25" customHeight="1" x14ac:dyDescent="0.2">
      <c r="A518" s="46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c r="AA518" s="466"/>
      <c r="AB518" s="466"/>
      <c r="AC518" s="466"/>
      <c r="AD518" s="466"/>
      <c r="AE518" s="466"/>
    </row>
    <row r="519" spans="1:31" ht="11.25" customHeight="1" x14ac:dyDescent="0.2">
      <c r="A519" s="46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c r="AA519" s="466"/>
      <c r="AB519" s="466"/>
      <c r="AC519" s="466"/>
      <c r="AD519" s="466"/>
      <c r="AE519" s="466"/>
    </row>
    <row r="520" spans="1:31" ht="11.25" customHeight="1" x14ac:dyDescent="0.2">
      <c r="A520" s="46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c r="AA520" s="466"/>
      <c r="AB520" s="466"/>
      <c r="AC520" s="466"/>
      <c r="AD520" s="466"/>
      <c r="AE520" s="466"/>
    </row>
    <row r="521" spans="1:31" ht="11.25" customHeight="1" x14ac:dyDescent="0.2">
      <c r="A521" s="46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c r="AA521" s="466"/>
      <c r="AB521" s="466"/>
      <c r="AC521" s="466"/>
      <c r="AD521" s="466"/>
      <c r="AE521" s="466"/>
    </row>
    <row r="522" spans="1:31" ht="11.25" customHeight="1" x14ac:dyDescent="0.2">
      <c r="A522" s="46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c r="AA522" s="466"/>
      <c r="AB522" s="466"/>
      <c r="AC522" s="466"/>
      <c r="AD522" s="466"/>
      <c r="AE522" s="466"/>
    </row>
    <row r="523" spans="1:31" ht="11.25" customHeight="1" x14ac:dyDescent="0.2">
      <c r="A523" s="46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c r="AA523" s="466"/>
      <c r="AB523" s="466"/>
      <c r="AC523" s="466"/>
      <c r="AD523" s="466"/>
      <c r="AE523" s="466"/>
    </row>
    <row r="524" spans="1:31" ht="11.25" customHeight="1" x14ac:dyDescent="0.2">
      <c r="A524" s="46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c r="AA524" s="466"/>
      <c r="AB524" s="466"/>
      <c r="AC524" s="466"/>
      <c r="AD524" s="466"/>
      <c r="AE524" s="466"/>
    </row>
    <row r="525" spans="1:31" ht="11.25" customHeight="1" x14ac:dyDescent="0.2">
      <c r="A525" s="46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c r="AA525" s="466"/>
      <c r="AB525" s="466"/>
      <c r="AC525" s="466"/>
      <c r="AD525" s="466"/>
      <c r="AE525" s="466"/>
    </row>
    <row r="526" spans="1:31" ht="11.25" customHeight="1" x14ac:dyDescent="0.2">
      <c r="A526" s="46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c r="AA526" s="466"/>
      <c r="AB526" s="466"/>
      <c r="AC526" s="466"/>
      <c r="AD526" s="466"/>
      <c r="AE526" s="466"/>
    </row>
    <row r="527" spans="1:31" ht="11.25" customHeight="1" x14ac:dyDescent="0.2">
      <c r="A527" s="46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c r="AA527" s="466"/>
      <c r="AB527" s="466"/>
      <c r="AC527" s="466"/>
      <c r="AD527" s="466"/>
      <c r="AE527" s="466"/>
    </row>
    <row r="528" spans="1:31" ht="11.25" customHeight="1" x14ac:dyDescent="0.2">
      <c r="A528" s="46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c r="AA528" s="466"/>
      <c r="AB528" s="466"/>
      <c r="AC528" s="466"/>
      <c r="AD528" s="466"/>
      <c r="AE528" s="466"/>
    </row>
    <row r="529" spans="1:31" ht="11.25" customHeight="1" x14ac:dyDescent="0.2">
      <c r="A529" s="46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c r="AA529" s="466"/>
      <c r="AB529" s="466"/>
      <c r="AC529" s="466"/>
      <c r="AD529" s="466"/>
      <c r="AE529" s="466"/>
    </row>
    <row r="530" spans="1:31" ht="11.25" customHeight="1" x14ac:dyDescent="0.2">
      <c r="A530" s="46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c r="AA530" s="466"/>
      <c r="AB530" s="466"/>
      <c r="AC530" s="466"/>
      <c r="AD530" s="466"/>
      <c r="AE530" s="466"/>
    </row>
    <row r="531" spans="1:31" ht="11.25" customHeight="1" x14ac:dyDescent="0.2">
      <c r="A531" s="46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c r="AA531" s="466"/>
      <c r="AB531" s="466"/>
      <c r="AC531" s="466"/>
      <c r="AD531" s="466"/>
      <c r="AE531" s="466"/>
    </row>
    <row r="532" spans="1:31" ht="11.25" customHeight="1" x14ac:dyDescent="0.2">
      <c r="A532" s="46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c r="AA532" s="466"/>
      <c r="AB532" s="466"/>
      <c r="AC532" s="466"/>
      <c r="AD532" s="466"/>
      <c r="AE532" s="466"/>
    </row>
    <row r="533" spans="1:31" ht="11.25" customHeight="1" x14ac:dyDescent="0.2">
      <c r="A533" s="46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c r="AA533" s="466"/>
      <c r="AB533" s="466"/>
      <c r="AC533" s="466"/>
      <c r="AD533" s="466"/>
      <c r="AE533" s="466"/>
    </row>
    <row r="534" spans="1:31" ht="11.25" customHeight="1" x14ac:dyDescent="0.2">
      <c r="A534" s="46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c r="AA534" s="466"/>
      <c r="AB534" s="466"/>
      <c r="AC534" s="466"/>
      <c r="AD534" s="466"/>
      <c r="AE534" s="466"/>
    </row>
    <row r="535" spans="1:31" ht="11.25" customHeight="1" x14ac:dyDescent="0.2">
      <c r="A535" s="46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c r="AA535" s="466"/>
      <c r="AB535" s="466"/>
      <c r="AC535" s="466"/>
      <c r="AD535" s="466"/>
      <c r="AE535" s="466"/>
    </row>
    <row r="536" spans="1:31" ht="11.25" customHeight="1" x14ac:dyDescent="0.2">
      <c r="A536" s="46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c r="AA536" s="466"/>
      <c r="AB536" s="466"/>
      <c r="AC536" s="466"/>
      <c r="AD536" s="466"/>
      <c r="AE536" s="466"/>
    </row>
    <row r="537" spans="1:31" ht="11.25" customHeight="1" x14ac:dyDescent="0.2">
      <c r="A537" s="46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c r="AA537" s="466"/>
      <c r="AB537" s="466"/>
      <c r="AC537" s="466"/>
      <c r="AD537" s="466"/>
      <c r="AE537" s="466"/>
    </row>
    <row r="538" spans="1:31" ht="11.25" customHeight="1" x14ac:dyDescent="0.2">
      <c r="A538" s="46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c r="AA538" s="466"/>
      <c r="AB538" s="466"/>
      <c r="AC538" s="466"/>
      <c r="AD538" s="466"/>
      <c r="AE538" s="466"/>
    </row>
    <row r="539" spans="1:31" ht="11.25" customHeight="1" x14ac:dyDescent="0.2">
      <c r="A539" s="46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c r="AA539" s="466"/>
      <c r="AB539" s="466"/>
      <c r="AC539" s="466"/>
      <c r="AD539" s="466"/>
      <c r="AE539" s="466"/>
    </row>
    <row r="540" spans="1:31" ht="11.25" customHeight="1" x14ac:dyDescent="0.2">
      <c r="A540" s="46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c r="AA540" s="466"/>
      <c r="AB540" s="466"/>
      <c r="AC540" s="466"/>
      <c r="AD540" s="466"/>
      <c r="AE540" s="466"/>
    </row>
    <row r="541" spans="1:31" ht="11.25" customHeight="1" x14ac:dyDescent="0.2">
      <c r="A541" s="46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c r="AA541" s="466"/>
      <c r="AB541" s="466"/>
      <c r="AC541" s="466"/>
      <c r="AD541" s="466"/>
      <c r="AE541" s="466"/>
    </row>
    <row r="542" spans="1:31" ht="11.25" customHeight="1" x14ac:dyDescent="0.2">
      <c r="A542" s="46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c r="AA542" s="466"/>
      <c r="AB542" s="466"/>
      <c r="AC542" s="466"/>
      <c r="AD542" s="466"/>
      <c r="AE542" s="466"/>
    </row>
    <row r="543" spans="1:31" ht="11.25" customHeight="1" x14ac:dyDescent="0.2">
      <c r="A543" s="46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c r="AA543" s="466"/>
      <c r="AB543" s="466"/>
      <c r="AC543" s="466"/>
      <c r="AD543" s="466"/>
      <c r="AE543" s="466"/>
    </row>
    <row r="544" spans="1:31" ht="11.25" customHeight="1" x14ac:dyDescent="0.2">
      <c r="A544" s="46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c r="AA544" s="466"/>
      <c r="AB544" s="466"/>
      <c r="AC544" s="466"/>
      <c r="AD544" s="466"/>
      <c r="AE544" s="466"/>
    </row>
    <row r="545" spans="1:31" ht="11.25" customHeight="1" x14ac:dyDescent="0.2">
      <c r="A545" s="46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c r="AA545" s="466"/>
      <c r="AB545" s="466"/>
      <c r="AC545" s="466"/>
      <c r="AD545" s="466"/>
      <c r="AE545" s="466"/>
    </row>
    <row r="546" spans="1:31" ht="11.25" customHeight="1" x14ac:dyDescent="0.2">
      <c r="A546" s="46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c r="AA546" s="466"/>
      <c r="AB546" s="466"/>
      <c r="AC546" s="466"/>
      <c r="AD546" s="466"/>
      <c r="AE546" s="466"/>
    </row>
    <row r="547" spans="1:31" ht="11.25" customHeight="1" x14ac:dyDescent="0.2">
      <c r="A547" s="46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c r="AA547" s="466"/>
      <c r="AB547" s="466"/>
      <c r="AC547" s="466"/>
      <c r="AD547" s="466"/>
      <c r="AE547" s="466"/>
    </row>
    <row r="548" spans="1:31" ht="11.25" customHeight="1" x14ac:dyDescent="0.2">
      <c r="A548" s="46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c r="AA548" s="466"/>
      <c r="AB548" s="466"/>
      <c r="AC548" s="466"/>
      <c r="AD548" s="466"/>
      <c r="AE548" s="466"/>
    </row>
    <row r="549" spans="1:31" ht="11.25" customHeight="1" x14ac:dyDescent="0.2">
      <c r="A549" s="46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c r="AA549" s="466"/>
      <c r="AB549" s="466"/>
      <c r="AC549" s="466"/>
      <c r="AD549" s="466"/>
      <c r="AE549" s="466"/>
    </row>
    <row r="550" spans="1:31" ht="11.25" customHeight="1" x14ac:dyDescent="0.2">
      <c r="A550" s="46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c r="AA550" s="466"/>
      <c r="AB550" s="466"/>
      <c r="AC550" s="466"/>
      <c r="AD550" s="466"/>
      <c r="AE550" s="466"/>
    </row>
    <row r="551" spans="1:31" ht="11.25" customHeight="1" x14ac:dyDescent="0.2">
      <c r="A551" s="46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466"/>
    </row>
    <row r="552" spans="1:31" ht="11.25" customHeight="1" x14ac:dyDescent="0.2">
      <c r="A552" s="46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row>
    <row r="553" spans="1:31" ht="11.25" customHeight="1" x14ac:dyDescent="0.2">
      <c r="A553" s="46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c r="AA553" s="466"/>
      <c r="AB553" s="466"/>
      <c r="AC553" s="466"/>
      <c r="AD553" s="466"/>
      <c r="AE553" s="466"/>
    </row>
    <row r="554" spans="1:31" ht="11.25" customHeight="1" x14ac:dyDescent="0.2">
      <c r="A554" s="46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c r="AA554" s="466"/>
      <c r="AB554" s="466"/>
      <c r="AC554" s="466"/>
      <c r="AD554" s="466"/>
      <c r="AE554" s="466"/>
    </row>
    <row r="555" spans="1:31" ht="11.25" customHeight="1" x14ac:dyDescent="0.2">
      <c r="A555" s="46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c r="AA555" s="466"/>
      <c r="AB555" s="466"/>
      <c r="AC555" s="466"/>
      <c r="AD555" s="466"/>
      <c r="AE555" s="466"/>
    </row>
    <row r="556" spans="1:31" ht="11.25" customHeight="1" x14ac:dyDescent="0.2">
      <c r="A556" s="46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c r="AA556" s="466"/>
      <c r="AB556" s="466"/>
      <c r="AC556" s="466"/>
      <c r="AD556" s="466"/>
      <c r="AE556" s="466"/>
    </row>
    <row r="557" spans="1:31" ht="11.25" customHeight="1" x14ac:dyDescent="0.2">
      <c r="A557" s="46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c r="AA557" s="466"/>
      <c r="AB557" s="466"/>
      <c r="AC557" s="466"/>
      <c r="AD557" s="466"/>
      <c r="AE557" s="466"/>
    </row>
    <row r="558" spans="1:31" ht="11.25" customHeight="1" x14ac:dyDescent="0.2">
      <c r="A558" s="46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c r="AA558" s="466"/>
      <c r="AB558" s="466"/>
      <c r="AC558" s="466"/>
      <c r="AD558" s="466"/>
      <c r="AE558" s="466"/>
    </row>
    <row r="559" spans="1:31" ht="11.25" customHeight="1" x14ac:dyDescent="0.2">
      <c r="A559" s="46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c r="AA559" s="466"/>
      <c r="AB559" s="466"/>
      <c r="AC559" s="466"/>
      <c r="AD559" s="466"/>
      <c r="AE559" s="466"/>
    </row>
    <row r="560" spans="1:31" ht="11.25" customHeight="1" x14ac:dyDescent="0.2">
      <c r="A560" s="46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c r="AA560" s="466"/>
      <c r="AB560" s="466"/>
      <c r="AC560" s="466"/>
      <c r="AD560" s="466"/>
      <c r="AE560" s="466"/>
    </row>
    <row r="561" spans="1:31" ht="11.25" customHeight="1" x14ac:dyDescent="0.2">
      <c r="A561" s="46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c r="AA561" s="466"/>
      <c r="AB561" s="466"/>
      <c r="AC561" s="466"/>
      <c r="AD561" s="466"/>
      <c r="AE561" s="466"/>
    </row>
    <row r="562" spans="1:31" ht="11.25" customHeight="1" x14ac:dyDescent="0.2">
      <c r="A562" s="46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c r="AA562" s="466"/>
      <c r="AB562" s="466"/>
      <c r="AC562" s="466"/>
      <c r="AD562" s="466"/>
      <c r="AE562" s="466"/>
    </row>
    <row r="563" spans="1:31" ht="11.25" customHeight="1" x14ac:dyDescent="0.2">
      <c r="A563" s="46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c r="AA563" s="466"/>
      <c r="AB563" s="466"/>
      <c r="AC563" s="466"/>
      <c r="AD563" s="466"/>
      <c r="AE563" s="466"/>
    </row>
    <row r="564" spans="1:31" ht="11.25" customHeight="1" x14ac:dyDescent="0.2">
      <c r="A564" s="46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c r="AA564" s="466"/>
      <c r="AB564" s="466"/>
      <c r="AC564" s="466"/>
      <c r="AD564" s="466"/>
      <c r="AE564" s="466"/>
    </row>
    <row r="565" spans="1:31" ht="11.25" customHeight="1" x14ac:dyDescent="0.2">
      <c r="A565" s="46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c r="AA565" s="466"/>
      <c r="AB565" s="466"/>
      <c r="AC565" s="466"/>
      <c r="AD565" s="466"/>
      <c r="AE565" s="466"/>
    </row>
    <row r="566" spans="1:31" ht="11.25" customHeight="1" x14ac:dyDescent="0.2">
      <c r="A566" s="46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c r="AA566" s="466"/>
      <c r="AB566" s="466"/>
      <c r="AC566" s="466"/>
      <c r="AD566" s="466"/>
      <c r="AE566" s="466"/>
    </row>
    <row r="567" spans="1:31" ht="11.25" customHeight="1" x14ac:dyDescent="0.2">
      <c r="A567" s="46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c r="AA567" s="466"/>
      <c r="AB567" s="466"/>
      <c r="AC567" s="466"/>
      <c r="AD567" s="466"/>
      <c r="AE567" s="466"/>
    </row>
    <row r="568" spans="1:31" ht="11.25" customHeight="1" x14ac:dyDescent="0.2">
      <c r="A568" s="46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c r="AA568" s="466"/>
      <c r="AB568" s="466"/>
      <c r="AC568" s="466"/>
      <c r="AD568" s="466"/>
      <c r="AE568" s="466"/>
    </row>
    <row r="569" spans="1:31" ht="11.25" customHeight="1" x14ac:dyDescent="0.2">
      <c r="A569" s="46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c r="AA569" s="466"/>
      <c r="AB569" s="466"/>
      <c r="AC569" s="466"/>
      <c r="AD569" s="466"/>
      <c r="AE569" s="466"/>
    </row>
    <row r="570" spans="1:31" ht="11.25" customHeight="1" x14ac:dyDescent="0.2">
      <c r="A570" s="46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c r="AA570" s="466"/>
      <c r="AB570" s="466"/>
      <c r="AC570" s="466"/>
      <c r="AD570" s="466"/>
      <c r="AE570" s="466"/>
    </row>
    <row r="571" spans="1:31" ht="11.25" customHeight="1" x14ac:dyDescent="0.2">
      <c r="A571" s="46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c r="AA571" s="466"/>
      <c r="AB571" s="466"/>
      <c r="AC571" s="466"/>
      <c r="AD571" s="466"/>
      <c r="AE571" s="466"/>
    </row>
    <row r="572" spans="1:31" ht="11.25" customHeight="1" x14ac:dyDescent="0.2">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row>
    <row r="573" spans="1:31" ht="11.25" customHeight="1" x14ac:dyDescent="0.2">
      <c r="A573" s="46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c r="AA573" s="466"/>
      <c r="AB573" s="466"/>
      <c r="AC573" s="466"/>
      <c r="AD573" s="466"/>
      <c r="AE573" s="466"/>
    </row>
    <row r="574" spans="1:31" ht="11.25" customHeight="1" x14ac:dyDescent="0.2">
      <c r="A574" s="46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c r="AA574" s="466"/>
      <c r="AB574" s="466"/>
      <c r="AC574" s="466"/>
      <c r="AD574" s="466"/>
      <c r="AE574" s="466"/>
    </row>
    <row r="575" spans="1:31" ht="11.25" customHeight="1" x14ac:dyDescent="0.2">
      <c r="A575" s="46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c r="AA575" s="466"/>
      <c r="AB575" s="466"/>
      <c r="AC575" s="466"/>
      <c r="AD575" s="466"/>
      <c r="AE575" s="466"/>
    </row>
    <row r="576" spans="1:31" ht="11.25" customHeight="1" x14ac:dyDescent="0.2">
      <c r="A576" s="46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c r="AA576" s="466"/>
      <c r="AB576" s="466"/>
      <c r="AC576" s="466"/>
      <c r="AD576" s="466"/>
      <c r="AE576" s="466"/>
    </row>
    <row r="577" spans="1:31" ht="11.25" customHeight="1" x14ac:dyDescent="0.2">
      <c r="A577" s="46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c r="AA577" s="466"/>
      <c r="AB577" s="466"/>
      <c r="AC577" s="466"/>
      <c r="AD577" s="466"/>
      <c r="AE577" s="466"/>
    </row>
    <row r="578" spans="1:31" ht="11.25" customHeight="1" x14ac:dyDescent="0.2">
      <c r="A578" s="46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c r="AA578" s="466"/>
      <c r="AB578" s="466"/>
      <c r="AC578" s="466"/>
      <c r="AD578" s="466"/>
      <c r="AE578" s="466"/>
    </row>
    <row r="579" spans="1:31" ht="11.25" customHeight="1" x14ac:dyDescent="0.2">
      <c r="A579" s="46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c r="AA579" s="466"/>
      <c r="AB579" s="466"/>
      <c r="AC579" s="466"/>
      <c r="AD579" s="466"/>
      <c r="AE579" s="466"/>
    </row>
    <row r="580" spans="1:31" ht="11.25" customHeight="1" x14ac:dyDescent="0.2">
      <c r="A580" s="46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c r="AA580" s="466"/>
      <c r="AB580" s="466"/>
      <c r="AC580" s="466"/>
      <c r="AD580" s="466"/>
      <c r="AE580" s="466"/>
    </row>
    <row r="581" spans="1:31" ht="11.25" customHeight="1" x14ac:dyDescent="0.2">
      <c r="A581" s="46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c r="AA581" s="466"/>
      <c r="AB581" s="466"/>
      <c r="AC581" s="466"/>
      <c r="AD581" s="466"/>
      <c r="AE581" s="466"/>
    </row>
    <row r="582" spans="1:31" ht="11.25" customHeight="1" x14ac:dyDescent="0.2">
      <c r="A582" s="46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c r="AA582" s="466"/>
      <c r="AB582" s="466"/>
      <c r="AC582" s="466"/>
      <c r="AD582" s="466"/>
      <c r="AE582" s="466"/>
    </row>
    <row r="583" spans="1:31" ht="11.25" customHeight="1" x14ac:dyDescent="0.2">
      <c r="A583" s="46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c r="AA583" s="466"/>
      <c r="AB583" s="466"/>
      <c r="AC583" s="466"/>
      <c r="AD583" s="466"/>
      <c r="AE583" s="466"/>
    </row>
    <row r="584" spans="1:31" ht="11.25" customHeight="1" x14ac:dyDescent="0.2">
      <c r="A584" s="46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c r="AA584" s="466"/>
      <c r="AB584" s="466"/>
      <c r="AC584" s="466"/>
      <c r="AD584" s="466"/>
      <c r="AE584" s="466"/>
    </row>
    <row r="585" spans="1:31" ht="11.25" customHeight="1" x14ac:dyDescent="0.2">
      <c r="A585" s="46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c r="AA585" s="466"/>
      <c r="AB585" s="466"/>
      <c r="AC585" s="466"/>
      <c r="AD585" s="466"/>
      <c r="AE585" s="466"/>
    </row>
    <row r="586" spans="1:31" ht="11.25" customHeight="1" x14ac:dyDescent="0.2">
      <c r="A586" s="46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c r="AA586" s="466"/>
      <c r="AB586" s="466"/>
      <c r="AC586" s="466"/>
      <c r="AD586" s="466"/>
      <c r="AE586" s="466"/>
    </row>
    <row r="587" spans="1:31" ht="11.25" customHeight="1" x14ac:dyDescent="0.2">
      <c r="A587" s="46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c r="AA587" s="466"/>
      <c r="AB587" s="466"/>
      <c r="AC587" s="466"/>
      <c r="AD587" s="466"/>
      <c r="AE587" s="466"/>
    </row>
    <row r="588" spans="1:31" ht="11.25" customHeight="1" x14ac:dyDescent="0.2">
      <c r="A588" s="46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c r="AA588" s="466"/>
      <c r="AB588" s="466"/>
      <c r="AC588" s="466"/>
      <c r="AD588" s="466"/>
      <c r="AE588" s="466"/>
    </row>
    <row r="589" spans="1:31" ht="11.25" customHeight="1" x14ac:dyDescent="0.2">
      <c r="A589" s="46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c r="AA589" s="466"/>
      <c r="AB589" s="466"/>
      <c r="AC589" s="466"/>
      <c r="AD589" s="466"/>
      <c r="AE589" s="466"/>
    </row>
    <row r="590" spans="1:31" ht="11.25" customHeight="1" x14ac:dyDescent="0.2">
      <c r="A590" s="46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c r="AA590" s="466"/>
      <c r="AB590" s="466"/>
      <c r="AC590" s="466"/>
      <c r="AD590" s="466"/>
      <c r="AE590" s="466"/>
    </row>
    <row r="591" spans="1:31" ht="11.25" customHeight="1" x14ac:dyDescent="0.2">
      <c r="A591" s="46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c r="AA591" s="466"/>
      <c r="AB591" s="466"/>
      <c r="AC591" s="466"/>
      <c r="AD591" s="466"/>
      <c r="AE591" s="466"/>
    </row>
    <row r="592" spans="1:31" ht="11.25" customHeight="1" x14ac:dyDescent="0.2">
      <c r="A592" s="46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c r="AA592" s="466"/>
      <c r="AB592" s="466"/>
      <c r="AC592" s="466"/>
      <c r="AD592" s="466"/>
      <c r="AE592" s="466"/>
    </row>
    <row r="593" spans="1:31" ht="11.25" customHeight="1" x14ac:dyDescent="0.2">
      <c r="A593" s="46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c r="AA593" s="466"/>
      <c r="AB593" s="466"/>
      <c r="AC593" s="466"/>
      <c r="AD593" s="466"/>
      <c r="AE593" s="466"/>
    </row>
    <row r="594" spans="1:31" ht="11.25" customHeight="1" x14ac:dyDescent="0.2">
      <c r="A594" s="46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c r="AA594" s="466"/>
      <c r="AB594" s="466"/>
      <c r="AC594" s="466"/>
      <c r="AD594" s="466"/>
      <c r="AE594" s="466"/>
    </row>
    <row r="595" spans="1:31" ht="11.25" customHeight="1" x14ac:dyDescent="0.2">
      <c r="A595" s="46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c r="AA595" s="466"/>
      <c r="AB595" s="466"/>
      <c r="AC595" s="466"/>
      <c r="AD595" s="466"/>
      <c r="AE595" s="466"/>
    </row>
    <row r="596" spans="1:31" ht="11.25" customHeight="1" x14ac:dyDescent="0.2">
      <c r="A596" s="46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c r="AA596" s="466"/>
      <c r="AB596" s="466"/>
      <c r="AC596" s="466"/>
      <c r="AD596" s="466"/>
      <c r="AE596" s="466"/>
    </row>
    <row r="597" spans="1:31" ht="11.25" customHeight="1" x14ac:dyDescent="0.2">
      <c r="A597" s="46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c r="AA597" s="466"/>
      <c r="AB597" s="466"/>
      <c r="AC597" s="466"/>
      <c r="AD597" s="466"/>
      <c r="AE597" s="466"/>
    </row>
    <row r="598" spans="1:31" ht="11.25" customHeight="1" x14ac:dyDescent="0.2">
      <c r="A598" s="46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c r="AA598" s="466"/>
      <c r="AB598" s="466"/>
      <c r="AC598" s="466"/>
      <c r="AD598" s="466"/>
      <c r="AE598" s="466"/>
    </row>
    <row r="599" spans="1:31" ht="11.25" customHeight="1" x14ac:dyDescent="0.2">
      <c r="A599" s="46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c r="AA599" s="466"/>
      <c r="AB599" s="466"/>
      <c r="AC599" s="466"/>
      <c r="AD599" s="466"/>
      <c r="AE599" s="466"/>
    </row>
    <row r="600" spans="1:31" ht="11.25" customHeight="1" x14ac:dyDescent="0.2">
      <c r="A600" s="46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c r="AA600" s="466"/>
      <c r="AB600" s="466"/>
      <c r="AC600" s="466"/>
      <c r="AD600" s="466"/>
      <c r="AE600" s="466"/>
    </row>
    <row r="601" spans="1:31" ht="11.25" customHeight="1" x14ac:dyDescent="0.2">
      <c r="A601" s="46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c r="AA601" s="466"/>
      <c r="AB601" s="466"/>
      <c r="AC601" s="466"/>
      <c r="AD601" s="466"/>
      <c r="AE601" s="466"/>
    </row>
    <row r="602" spans="1:31" ht="11.25" customHeight="1" x14ac:dyDescent="0.2">
      <c r="A602" s="46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c r="AA602" s="466"/>
      <c r="AB602" s="466"/>
      <c r="AC602" s="466"/>
      <c r="AD602" s="466"/>
      <c r="AE602" s="466"/>
    </row>
    <row r="603" spans="1:31" ht="11.25" customHeight="1" x14ac:dyDescent="0.2">
      <c r="A603" s="46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c r="AA603" s="466"/>
      <c r="AB603" s="466"/>
      <c r="AC603" s="466"/>
      <c r="AD603" s="466"/>
      <c r="AE603" s="466"/>
    </row>
    <row r="604" spans="1:31" ht="11.25" customHeight="1" x14ac:dyDescent="0.2">
      <c r="A604" s="46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c r="AA604" s="466"/>
      <c r="AB604" s="466"/>
      <c r="AC604" s="466"/>
      <c r="AD604" s="466"/>
      <c r="AE604" s="466"/>
    </row>
    <row r="605" spans="1:31" ht="11.25" customHeight="1" x14ac:dyDescent="0.2">
      <c r="A605" s="46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c r="AA605" s="466"/>
      <c r="AB605" s="466"/>
      <c r="AC605" s="466"/>
      <c r="AD605" s="466"/>
      <c r="AE605" s="466"/>
    </row>
    <row r="606" spans="1:31" ht="11.25" customHeight="1" x14ac:dyDescent="0.2">
      <c r="A606" s="46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c r="AA606" s="466"/>
      <c r="AB606" s="466"/>
      <c r="AC606" s="466"/>
      <c r="AD606" s="466"/>
      <c r="AE606" s="466"/>
    </row>
    <row r="607" spans="1:31" ht="11.25" customHeight="1" x14ac:dyDescent="0.2">
      <c r="A607" s="46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c r="AA607" s="466"/>
      <c r="AB607" s="466"/>
      <c r="AC607" s="466"/>
      <c r="AD607" s="466"/>
      <c r="AE607" s="466"/>
    </row>
    <row r="608" spans="1:31" ht="11.25" customHeight="1" x14ac:dyDescent="0.2">
      <c r="A608" s="46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c r="AA608" s="466"/>
      <c r="AB608" s="466"/>
      <c r="AC608" s="466"/>
      <c r="AD608" s="466"/>
      <c r="AE608" s="466"/>
    </row>
    <row r="609" spans="1:31" ht="11.25" customHeight="1" x14ac:dyDescent="0.2">
      <c r="A609" s="46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c r="AA609" s="466"/>
      <c r="AB609" s="466"/>
      <c r="AC609" s="466"/>
      <c r="AD609" s="466"/>
      <c r="AE609" s="466"/>
    </row>
    <row r="610" spans="1:31" ht="11.25" customHeight="1" x14ac:dyDescent="0.2">
      <c r="A610" s="46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c r="AA610" s="466"/>
      <c r="AB610" s="466"/>
      <c r="AC610" s="466"/>
      <c r="AD610" s="466"/>
      <c r="AE610" s="466"/>
    </row>
    <row r="611" spans="1:31" ht="11.25" customHeight="1" x14ac:dyDescent="0.2">
      <c r="A611" s="46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c r="AA611" s="466"/>
      <c r="AB611" s="466"/>
      <c r="AC611" s="466"/>
      <c r="AD611" s="466"/>
      <c r="AE611" s="466"/>
    </row>
    <row r="612" spans="1:31" ht="11.25" customHeight="1" x14ac:dyDescent="0.2">
      <c r="A612" s="46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c r="AA612" s="466"/>
      <c r="AB612" s="466"/>
      <c r="AC612" s="466"/>
      <c r="AD612" s="466"/>
      <c r="AE612" s="466"/>
    </row>
    <row r="613" spans="1:31" ht="11.25" customHeight="1" x14ac:dyDescent="0.2">
      <c r="A613" s="46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c r="AA613" s="466"/>
      <c r="AB613" s="466"/>
      <c r="AC613" s="466"/>
      <c r="AD613" s="466"/>
      <c r="AE613" s="466"/>
    </row>
    <row r="614" spans="1:31" ht="11.25" customHeight="1" x14ac:dyDescent="0.2">
      <c r="A614" s="46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c r="AA614" s="466"/>
      <c r="AB614" s="466"/>
      <c r="AC614" s="466"/>
      <c r="AD614" s="466"/>
      <c r="AE614" s="466"/>
    </row>
    <row r="615" spans="1:31" ht="11.25" customHeight="1" x14ac:dyDescent="0.2">
      <c r="A615" s="46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c r="AA615" s="466"/>
      <c r="AB615" s="466"/>
      <c r="AC615" s="466"/>
      <c r="AD615" s="466"/>
      <c r="AE615" s="466"/>
    </row>
    <row r="616" spans="1:31" ht="11.25" customHeight="1" x14ac:dyDescent="0.2">
      <c r="A616" s="46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c r="AA616" s="466"/>
      <c r="AB616" s="466"/>
      <c r="AC616" s="466"/>
      <c r="AD616" s="466"/>
      <c r="AE616" s="466"/>
    </row>
    <row r="617" spans="1:31" ht="11.25" customHeight="1" x14ac:dyDescent="0.2">
      <c r="A617" s="46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c r="AA617" s="466"/>
      <c r="AB617" s="466"/>
      <c r="AC617" s="466"/>
      <c r="AD617" s="466"/>
      <c r="AE617" s="466"/>
    </row>
    <row r="618" spans="1:31" ht="11.25" customHeight="1" x14ac:dyDescent="0.2">
      <c r="A618" s="46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c r="AA618" s="466"/>
      <c r="AB618" s="466"/>
      <c r="AC618" s="466"/>
      <c r="AD618" s="466"/>
      <c r="AE618" s="466"/>
    </row>
    <row r="619" spans="1:31" ht="11.25" customHeight="1" x14ac:dyDescent="0.2">
      <c r="A619" s="46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c r="AA619" s="466"/>
      <c r="AB619" s="466"/>
      <c r="AC619" s="466"/>
      <c r="AD619" s="466"/>
      <c r="AE619" s="466"/>
    </row>
    <row r="620" spans="1:31" ht="11.25" customHeight="1" x14ac:dyDescent="0.2">
      <c r="A620" s="46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c r="AA620" s="466"/>
      <c r="AB620" s="466"/>
      <c r="AC620" s="466"/>
      <c r="AD620" s="466"/>
      <c r="AE620" s="466"/>
    </row>
    <row r="621" spans="1:31" ht="11.25" customHeight="1" x14ac:dyDescent="0.2">
      <c r="A621" s="46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c r="AA621" s="466"/>
      <c r="AB621" s="466"/>
      <c r="AC621" s="466"/>
      <c r="AD621" s="466"/>
      <c r="AE621" s="466"/>
    </row>
    <row r="622" spans="1:31" ht="11.25" customHeight="1" x14ac:dyDescent="0.2">
      <c r="A622" s="46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c r="AA622" s="466"/>
      <c r="AB622" s="466"/>
      <c r="AC622" s="466"/>
      <c r="AD622" s="466"/>
      <c r="AE622" s="466"/>
    </row>
    <row r="623" spans="1:31" ht="11.25" customHeight="1" x14ac:dyDescent="0.2">
      <c r="A623" s="46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c r="AA623" s="466"/>
      <c r="AB623" s="466"/>
      <c r="AC623" s="466"/>
      <c r="AD623" s="466"/>
      <c r="AE623" s="466"/>
    </row>
    <row r="624" spans="1:31" ht="11.25" customHeight="1" x14ac:dyDescent="0.2">
      <c r="A624" s="46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c r="AA624" s="466"/>
      <c r="AB624" s="466"/>
      <c r="AC624" s="466"/>
      <c r="AD624" s="466"/>
      <c r="AE624" s="466"/>
    </row>
    <row r="625" spans="1:31" ht="11.25" customHeight="1" x14ac:dyDescent="0.2">
      <c r="A625" s="46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c r="AA625" s="466"/>
      <c r="AB625" s="466"/>
      <c r="AC625" s="466"/>
      <c r="AD625" s="466"/>
      <c r="AE625" s="466"/>
    </row>
    <row r="626" spans="1:31" ht="11.25" customHeight="1" x14ac:dyDescent="0.2">
      <c r="A626" s="46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c r="AA626" s="466"/>
      <c r="AB626" s="466"/>
      <c r="AC626" s="466"/>
      <c r="AD626" s="466"/>
      <c r="AE626" s="466"/>
    </row>
    <row r="627" spans="1:31" ht="11.25" customHeight="1" x14ac:dyDescent="0.2">
      <c r="A627" s="46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c r="AA627" s="466"/>
      <c r="AB627" s="466"/>
      <c r="AC627" s="466"/>
      <c r="AD627" s="466"/>
      <c r="AE627" s="466"/>
    </row>
    <row r="628" spans="1:31" ht="11.25" customHeight="1" x14ac:dyDescent="0.2">
      <c r="A628" s="46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c r="AA628" s="466"/>
      <c r="AB628" s="466"/>
      <c r="AC628" s="466"/>
      <c r="AD628" s="466"/>
      <c r="AE628" s="466"/>
    </row>
    <row r="629" spans="1:31" ht="11.25" customHeight="1" x14ac:dyDescent="0.2">
      <c r="A629" s="46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c r="AA629" s="466"/>
      <c r="AB629" s="466"/>
      <c r="AC629" s="466"/>
      <c r="AD629" s="466"/>
      <c r="AE629" s="466"/>
    </row>
    <row r="630" spans="1:31" ht="11.25" customHeight="1" x14ac:dyDescent="0.2">
      <c r="A630" s="46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c r="AA630" s="466"/>
      <c r="AB630" s="466"/>
      <c r="AC630" s="466"/>
      <c r="AD630" s="466"/>
      <c r="AE630" s="466"/>
    </row>
    <row r="631" spans="1:31" ht="11.25" customHeight="1" x14ac:dyDescent="0.2">
      <c r="A631" s="46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c r="AA631" s="466"/>
      <c r="AB631" s="466"/>
      <c r="AC631" s="466"/>
      <c r="AD631" s="466"/>
      <c r="AE631" s="466"/>
    </row>
    <row r="632" spans="1:31" ht="11.25" customHeight="1" x14ac:dyDescent="0.2">
      <c r="A632" s="46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c r="AA632" s="466"/>
      <c r="AB632" s="466"/>
      <c r="AC632" s="466"/>
      <c r="AD632" s="466"/>
      <c r="AE632" s="466"/>
    </row>
    <row r="633" spans="1:31" ht="11.25" customHeight="1" x14ac:dyDescent="0.2">
      <c r="A633" s="46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c r="AA633" s="466"/>
      <c r="AB633" s="466"/>
      <c r="AC633" s="466"/>
      <c r="AD633" s="466"/>
      <c r="AE633" s="466"/>
    </row>
    <row r="634" spans="1:31" ht="11.25" customHeight="1" x14ac:dyDescent="0.2">
      <c r="A634" s="46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c r="AA634" s="466"/>
      <c r="AB634" s="466"/>
      <c r="AC634" s="466"/>
      <c r="AD634" s="466"/>
      <c r="AE634" s="466"/>
    </row>
    <row r="635" spans="1:31" ht="11.25" customHeight="1" x14ac:dyDescent="0.2">
      <c r="A635" s="46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c r="AA635" s="466"/>
      <c r="AB635" s="466"/>
      <c r="AC635" s="466"/>
      <c r="AD635" s="466"/>
      <c r="AE635" s="466"/>
    </row>
    <row r="636" spans="1:31" ht="11.25" customHeight="1" x14ac:dyDescent="0.2">
      <c r="A636" s="46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c r="AA636" s="466"/>
      <c r="AB636" s="466"/>
      <c r="AC636" s="466"/>
      <c r="AD636" s="466"/>
      <c r="AE636" s="466"/>
    </row>
    <row r="637" spans="1:31" ht="11.25" customHeight="1" x14ac:dyDescent="0.2">
      <c r="A637" s="46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c r="AA637" s="466"/>
      <c r="AB637" s="466"/>
      <c r="AC637" s="466"/>
      <c r="AD637" s="466"/>
      <c r="AE637" s="466"/>
    </row>
    <row r="638" spans="1:31" ht="11.25" customHeight="1" x14ac:dyDescent="0.2">
      <c r="A638" s="46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c r="AA638" s="466"/>
      <c r="AB638" s="466"/>
      <c r="AC638" s="466"/>
      <c r="AD638" s="466"/>
      <c r="AE638" s="466"/>
    </row>
    <row r="639" spans="1:31" ht="11.25" customHeight="1" x14ac:dyDescent="0.2">
      <c r="A639" s="46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c r="AA639" s="466"/>
      <c r="AB639" s="466"/>
      <c r="AC639" s="466"/>
      <c r="AD639" s="466"/>
      <c r="AE639" s="466"/>
    </row>
    <row r="640" spans="1:31" ht="11.25" customHeight="1" x14ac:dyDescent="0.2">
      <c r="A640" s="46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c r="AA640" s="466"/>
      <c r="AB640" s="466"/>
      <c r="AC640" s="466"/>
      <c r="AD640" s="466"/>
      <c r="AE640" s="466"/>
    </row>
    <row r="641" spans="1:31" ht="11.25" customHeight="1" x14ac:dyDescent="0.2">
      <c r="A641" s="46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c r="AA641" s="466"/>
      <c r="AB641" s="466"/>
      <c r="AC641" s="466"/>
      <c r="AD641" s="466"/>
      <c r="AE641" s="466"/>
    </row>
    <row r="642" spans="1:31" ht="11.25" customHeight="1" x14ac:dyDescent="0.2">
      <c r="A642" s="46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c r="AA642" s="466"/>
      <c r="AB642" s="466"/>
      <c r="AC642" s="466"/>
      <c r="AD642" s="466"/>
      <c r="AE642" s="466"/>
    </row>
    <row r="643" spans="1:31" ht="11.25" customHeight="1" x14ac:dyDescent="0.2">
      <c r="A643" s="46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c r="AA643" s="466"/>
      <c r="AB643" s="466"/>
      <c r="AC643" s="466"/>
      <c r="AD643" s="466"/>
      <c r="AE643" s="466"/>
    </row>
    <row r="644" spans="1:31" ht="11.25" customHeight="1" x14ac:dyDescent="0.2">
      <c r="A644" s="46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c r="AA644" s="466"/>
      <c r="AB644" s="466"/>
      <c r="AC644" s="466"/>
      <c r="AD644" s="466"/>
      <c r="AE644" s="466"/>
    </row>
    <row r="645" spans="1:31" ht="11.25" customHeight="1" x14ac:dyDescent="0.2">
      <c r="A645" s="46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c r="AA645" s="466"/>
      <c r="AB645" s="466"/>
      <c r="AC645" s="466"/>
      <c r="AD645" s="466"/>
      <c r="AE645" s="466"/>
    </row>
    <row r="646" spans="1:31" ht="11.25" customHeight="1" x14ac:dyDescent="0.2">
      <c r="A646" s="46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c r="AA646" s="466"/>
      <c r="AB646" s="466"/>
      <c r="AC646" s="466"/>
      <c r="AD646" s="466"/>
      <c r="AE646" s="466"/>
    </row>
    <row r="647" spans="1:31" ht="11.25" customHeight="1" x14ac:dyDescent="0.2">
      <c r="A647" s="46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c r="AA647" s="466"/>
      <c r="AB647" s="466"/>
      <c r="AC647" s="466"/>
      <c r="AD647" s="466"/>
      <c r="AE647" s="466"/>
    </row>
    <row r="648" spans="1:31" ht="11.25" customHeight="1" x14ac:dyDescent="0.2">
      <c r="A648" s="46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c r="AA648" s="466"/>
      <c r="AB648" s="466"/>
      <c r="AC648" s="466"/>
      <c r="AD648" s="466"/>
      <c r="AE648" s="466"/>
    </row>
    <row r="649" spans="1:31" ht="11.25" customHeight="1" x14ac:dyDescent="0.2">
      <c r="A649" s="46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c r="AA649" s="466"/>
      <c r="AB649" s="466"/>
      <c r="AC649" s="466"/>
      <c r="AD649" s="466"/>
      <c r="AE649" s="466"/>
    </row>
    <row r="650" spans="1:31" ht="11.25" customHeight="1" x14ac:dyDescent="0.2">
      <c r="A650" s="46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c r="AA650" s="466"/>
      <c r="AB650" s="466"/>
      <c r="AC650" s="466"/>
      <c r="AD650" s="466"/>
      <c r="AE650" s="466"/>
    </row>
    <row r="651" spans="1:31" ht="11.25" customHeight="1" x14ac:dyDescent="0.2">
      <c r="A651" s="46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c r="AA651" s="466"/>
      <c r="AB651" s="466"/>
      <c r="AC651" s="466"/>
      <c r="AD651" s="466"/>
      <c r="AE651" s="466"/>
    </row>
    <row r="652" spans="1:31" ht="11.25" customHeight="1" x14ac:dyDescent="0.2">
      <c r="A652" s="46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c r="AA652" s="466"/>
      <c r="AB652" s="466"/>
      <c r="AC652" s="466"/>
      <c r="AD652" s="466"/>
      <c r="AE652" s="466"/>
    </row>
    <row r="653" spans="1:31" ht="11.25" customHeight="1" x14ac:dyDescent="0.2">
      <c r="A653" s="46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c r="AA653" s="466"/>
      <c r="AB653" s="466"/>
      <c r="AC653" s="466"/>
      <c r="AD653" s="466"/>
      <c r="AE653" s="466"/>
    </row>
    <row r="654" spans="1:31" ht="11.25" customHeight="1" x14ac:dyDescent="0.2">
      <c r="A654" s="46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c r="AA654" s="466"/>
      <c r="AB654" s="466"/>
      <c r="AC654" s="466"/>
      <c r="AD654" s="466"/>
      <c r="AE654" s="466"/>
    </row>
    <row r="655" spans="1:31" ht="11.25" customHeight="1" x14ac:dyDescent="0.2">
      <c r="A655" s="46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c r="AA655" s="466"/>
      <c r="AB655" s="466"/>
      <c r="AC655" s="466"/>
      <c r="AD655" s="466"/>
      <c r="AE655" s="466"/>
    </row>
    <row r="656" spans="1:31" ht="11.25" customHeight="1" x14ac:dyDescent="0.2">
      <c r="A656" s="46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c r="AA656" s="466"/>
      <c r="AB656" s="466"/>
      <c r="AC656" s="466"/>
      <c r="AD656" s="466"/>
      <c r="AE656" s="466"/>
    </row>
    <row r="657" spans="1:31" ht="11.25" customHeight="1" x14ac:dyDescent="0.2">
      <c r="A657" s="46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c r="AA657" s="466"/>
      <c r="AB657" s="466"/>
      <c r="AC657" s="466"/>
      <c r="AD657" s="466"/>
      <c r="AE657" s="466"/>
    </row>
    <row r="658" spans="1:31" ht="11.25" customHeight="1" x14ac:dyDescent="0.2">
      <c r="A658" s="46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c r="AA658" s="466"/>
      <c r="AB658" s="466"/>
      <c r="AC658" s="466"/>
      <c r="AD658" s="466"/>
      <c r="AE658" s="466"/>
    </row>
    <row r="659" spans="1:31" ht="11.25" customHeight="1" x14ac:dyDescent="0.2">
      <c r="A659" s="46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c r="AA659" s="466"/>
      <c r="AB659" s="466"/>
      <c r="AC659" s="466"/>
      <c r="AD659" s="466"/>
      <c r="AE659" s="466"/>
    </row>
    <row r="660" spans="1:31" ht="11.25" customHeight="1" x14ac:dyDescent="0.2">
      <c r="A660" s="46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c r="AA660" s="466"/>
      <c r="AB660" s="466"/>
      <c r="AC660" s="466"/>
      <c r="AD660" s="466"/>
      <c r="AE660" s="466"/>
    </row>
    <row r="661" spans="1:31" ht="11.25" customHeight="1" x14ac:dyDescent="0.2">
      <c r="A661" s="46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c r="AA661" s="466"/>
      <c r="AB661" s="466"/>
      <c r="AC661" s="466"/>
      <c r="AD661" s="466"/>
      <c r="AE661" s="466"/>
    </row>
    <row r="662" spans="1:31" ht="11.25" customHeight="1" x14ac:dyDescent="0.2">
      <c r="A662" s="46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c r="AA662" s="466"/>
      <c r="AB662" s="466"/>
      <c r="AC662" s="466"/>
      <c r="AD662" s="466"/>
      <c r="AE662" s="466"/>
    </row>
    <row r="663" spans="1:31" ht="11.25" customHeight="1" x14ac:dyDescent="0.2">
      <c r="A663" s="46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c r="AA663" s="466"/>
      <c r="AB663" s="466"/>
      <c r="AC663" s="466"/>
      <c r="AD663" s="466"/>
      <c r="AE663" s="466"/>
    </row>
    <row r="664" spans="1:31" ht="11.25" customHeight="1" x14ac:dyDescent="0.2">
      <c r="A664" s="46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c r="AA664" s="466"/>
      <c r="AB664" s="466"/>
      <c r="AC664" s="466"/>
      <c r="AD664" s="466"/>
      <c r="AE664" s="466"/>
    </row>
    <row r="665" spans="1:31" ht="11.25" customHeight="1" x14ac:dyDescent="0.2">
      <c r="A665" s="46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c r="AA665" s="466"/>
      <c r="AB665" s="466"/>
      <c r="AC665" s="466"/>
      <c r="AD665" s="466"/>
      <c r="AE665" s="466"/>
    </row>
    <row r="666" spans="1:31" ht="11.25" customHeight="1" x14ac:dyDescent="0.2">
      <c r="A666" s="46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c r="AA666" s="466"/>
      <c r="AB666" s="466"/>
      <c r="AC666" s="466"/>
      <c r="AD666" s="466"/>
      <c r="AE666" s="466"/>
    </row>
    <row r="667" spans="1:31" ht="11.25" customHeight="1" x14ac:dyDescent="0.2">
      <c r="A667" s="46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c r="AA667" s="466"/>
      <c r="AB667" s="466"/>
      <c r="AC667" s="466"/>
      <c r="AD667" s="466"/>
      <c r="AE667" s="466"/>
    </row>
    <row r="668" spans="1:31" ht="11.25" customHeight="1" x14ac:dyDescent="0.2">
      <c r="A668" s="46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c r="AA668" s="466"/>
      <c r="AB668" s="466"/>
      <c r="AC668" s="466"/>
      <c r="AD668" s="466"/>
      <c r="AE668" s="466"/>
    </row>
    <row r="669" spans="1:31" ht="11.25" customHeight="1" x14ac:dyDescent="0.2">
      <c r="A669" s="46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c r="AA669" s="466"/>
      <c r="AB669" s="466"/>
      <c r="AC669" s="466"/>
      <c r="AD669" s="466"/>
      <c r="AE669" s="466"/>
    </row>
    <row r="670" spans="1:31" ht="11.25" customHeight="1" x14ac:dyDescent="0.2">
      <c r="A670" s="46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c r="AA670" s="466"/>
      <c r="AB670" s="466"/>
      <c r="AC670" s="466"/>
      <c r="AD670" s="466"/>
      <c r="AE670" s="466"/>
    </row>
    <row r="671" spans="1:31" ht="11.25" customHeight="1" x14ac:dyDescent="0.2">
      <c r="A671" s="46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c r="AA671" s="466"/>
      <c r="AB671" s="466"/>
      <c r="AC671" s="466"/>
      <c r="AD671" s="466"/>
      <c r="AE671" s="466"/>
    </row>
    <row r="672" spans="1:31" ht="11.25" customHeight="1" x14ac:dyDescent="0.2">
      <c r="A672" s="46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c r="AA672" s="466"/>
      <c r="AB672" s="466"/>
      <c r="AC672" s="466"/>
      <c r="AD672" s="466"/>
      <c r="AE672" s="466"/>
    </row>
    <row r="673" spans="1:31" ht="11.25" customHeight="1" x14ac:dyDescent="0.2">
      <c r="A673" s="46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c r="AA673" s="466"/>
      <c r="AB673" s="466"/>
      <c r="AC673" s="466"/>
      <c r="AD673" s="466"/>
      <c r="AE673" s="466"/>
    </row>
    <row r="674" spans="1:31" ht="11.25" customHeight="1" x14ac:dyDescent="0.2">
      <c r="A674" s="46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c r="AA674" s="466"/>
      <c r="AB674" s="466"/>
      <c r="AC674" s="466"/>
      <c r="AD674" s="466"/>
      <c r="AE674" s="466"/>
    </row>
    <row r="675" spans="1:31" ht="11.25" customHeight="1" x14ac:dyDescent="0.2">
      <c r="A675" s="46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c r="AA675" s="466"/>
      <c r="AB675" s="466"/>
      <c r="AC675" s="466"/>
      <c r="AD675" s="466"/>
      <c r="AE675" s="466"/>
    </row>
    <row r="676" spans="1:31" ht="11.25" customHeight="1" x14ac:dyDescent="0.2">
      <c r="A676" s="46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c r="AA676" s="466"/>
      <c r="AB676" s="466"/>
      <c r="AC676" s="466"/>
      <c r="AD676" s="466"/>
      <c r="AE676" s="466"/>
    </row>
    <row r="677" spans="1:31" ht="11.25" customHeight="1" x14ac:dyDescent="0.2">
      <c r="A677" s="46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c r="AA677" s="466"/>
      <c r="AB677" s="466"/>
      <c r="AC677" s="466"/>
      <c r="AD677" s="466"/>
      <c r="AE677" s="466"/>
    </row>
    <row r="678" spans="1:31" ht="11.25" customHeight="1" x14ac:dyDescent="0.2">
      <c r="A678" s="46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c r="AA678" s="466"/>
      <c r="AB678" s="466"/>
      <c r="AC678" s="466"/>
      <c r="AD678" s="466"/>
      <c r="AE678" s="466"/>
    </row>
    <row r="679" spans="1:31" ht="11.25" customHeight="1" x14ac:dyDescent="0.2">
      <c r="A679" s="46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c r="AA679" s="466"/>
      <c r="AB679" s="466"/>
      <c r="AC679" s="466"/>
      <c r="AD679" s="466"/>
      <c r="AE679" s="466"/>
    </row>
    <row r="680" spans="1:31" ht="11.25" customHeight="1" x14ac:dyDescent="0.2">
      <c r="A680" s="46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c r="AA680" s="466"/>
      <c r="AB680" s="466"/>
      <c r="AC680" s="466"/>
      <c r="AD680" s="466"/>
      <c r="AE680" s="466"/>
    </row>
    <row r="681" spans="1:31" ht="11.25" customHeight="1" x14ac:dyDescent="0.2">
      <c r="A681" s="46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c r="AA681" s="466"/>
      <c r="AB681" s="466"/>
      <c r="AC681" s="466"/>
      <c r="AD681" s="466"/>
      <c r="AE681" s="466"/>
    </row>
    <row r="682" spans="1:31" ht="11.25" customHeight="1" x14ac:dyDescent="0.2">
      <c r="A682" s="46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c r="AA682" s="466"/>
      <c r="AB682" s="466"/>
      <c r="AC682" s="466"/>
      <c r="AD682" s="466"/>
      <c r="AE682" s="466"/>
    </row>
    <row r="683" spans="1:31" ht="11.25" customHeight="1" x14ac:dyDescent="0.2">
      <c r="A683" s="46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c r="AA683" s="466"/>
      <c r="AB683" s="466"/>
      <c r="AC683" s="466"/>
      <c r="AD683" s="466"/>
      <c r="AE683" s="466"/>
    </row>
    <row r="684" spans="1:31" ht="11.25" customHeight="1" x14ac:dyDescent="0.2">
      <c r="A684" s="46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c r="AA684" s="466"/>
      <c r="AB684" s="466"/>
      <c r="AC684" s="466"/>
      <c r="AD684" s="466"/>
      <c r="AE684" s="466"/>
    </row>
    <row r="685" spans="1:31" ht="11.25" customHeight="1" x14ac:dyDescent="0.2">
      <c r="A685" s="46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c r="AA685" s="466"/>
      <c r="AB685" s="466"/>
      <c r="AC685" s="466"/>
      <c r="AD685" s="466"/>
      <c r="AE685" s="466"/>
    </row>
    <row r="686" spans="1:31" ht="11.25" customHeight="1" x14ac:dyDescent="0.2">
      <c r="A686" s="46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c r="AA686" s="466"/>
      <c r="AB686" s="466"/>
      <c r="AC686" s="466"/>
      <c r="AD686" s="466"/>
      <c r="AE686" s="466"/>
    </row>
    <row r="687" spans="1:31" ht="11.25" customHeight="1" x14ac:dyDescent="0.2">
      <c r="A687" s="46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c r="AA687" s="466"/>
      <c r="AB687" s="466"/>
      <c r="AC687" s="466"/>
      <c r="AD687" s="466"/>
      <c r="AE687" s="466"/>
    </row>
    <row r="688" spans="1:31" ht="11.25" customHeight="1" x14ac:dyDescent="0.2">
      <c r="A688" s="46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c r="AA688" s="466"/>
      <c r="AB688" s="466"/>
      <c r="AC688" s="466"/>
      <c r="AD688" s="466"/>
      <c r="AE688" s="466"/>
    </row>
    <row r="689" spans="1:31" ht="11.25" customHeight="1" x14ac:dyDescent="0.2">
      <c r="A689" s="46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c r="AA689" s="466"/>
      <c r="AB689" s="466"/>
      <c r="AC689" s="466"/>
      <c r="AD689" s="466"/>
      <c r="AE689" s="466"/>
    </row>
    <row r="690" spans="1:31" ht="11.25" customHeight="1" x14ac:dyDescent="0.2">
      <c r="A690" s="46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c r="AA690" s="466"/>
      <c r="AB690" s="466"/>
      <c r="AC690" s="466"/>
      <c r="AD690" s="466"/>
      <c r="AE690" s="466"/>
    </row>
    <row r="691" spans="1:31" ht="11.25" customHeight="1" x14ac:dyDescent="0.2">
      <c r="A691" s="46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c r="AA691" s="466"/>
      <c r="AB691" s="466"/>
      <c r="AC691" s="466"/>
      <c r="AD691" s="466"/>
      <c r="AE691" s="466"/>
    </row>
    <row r="692" spans="1:31" ht="11.25" customHeight="1" x14ac:dyDescent="0.2">
      <c r="A692" s="46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c r="AA692" s="466"/>
      <c r="AB692" s="466"/>
      <c r="AC692" s="466"/>
      <c r="AD692" s="466"/>
      <c r="AE692" s="466"/>
    </row>
    <row r="693" spans="1:31" ht="11.25" customHeight="1" x14ac:dyDescent="0.2">
      <c r="A693" s="46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c r="AA693" s="466"/>
      <c r="AB693" s="466"/>
      <c r="AC693" s="466"/>
      <c r="AD693" s="466"/>
      <c r="AE693" s="466"/>
    </row>
    <row r="694" spans="1:31" ht="11.25" customHeight="1" x14ac:dyDescent="0.2">
      <c r="A694" s="46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c r="AA694" s="466"/>
      <c r="AB694" s="466"/>
      <c r="AC694" s="466"/>
      <c r="AD694" s="466"/>
      <c r="AE694" s="466"/>
    </row>
    <row r="695" spans="1:31" ht="11.25" customHeight="1" x14ac:dyDescent="0.2">
      <c r="A695" s="46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c r="AA695" s="466"/>
      <c r="AB695" s="466"/>
      <c r="AC695" s="466"/>
      <c r="AD695" s="466"/>
      <c r="AE695" s="466"/>
    </row>
    <row r="696" spans="1:31" ht="11.25" customHeight="1" x14ac:dyDescent="0.2">
      <c r="A696" s="46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c r="AA696" s="466"/>
      <c r="AB696" s="466"/>
      <c r="AC696" s="466"/>
      <c r="AD696" s="466"/>
      <c r="AE696" s="466"/>
    </row>
    <row r="697" spans="1:31" ht="11.25" customHeight="1" x14ac:dyDescent="0.2">
      <c r="A697" s="46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c r="AA697" s="466"/>
      <c r="AB697" s="466"/>
      <c r="AC697" s="466"/>
      <c r="AD697" s="466"/>
      <c r="AE697" s="466"/>
    </row>
    <row r="698" spans="1:31" ht="11.25" customHeight="1" x14ac:dyDescent="0.2">
      <c r="A698" s="46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c r="AA698" s="466"/>
      <c r="AB698" s="466"/>
      <c r="AC698" s="466"/>
      <c r="AD698" s="466"/>
      <c r="AE698" s="466"/>
    </row>
    <row r="699" spans="1:31" ht="11.25" customHeight="1" x14ac:dyDescent="0.2">
      <c r="A699" s="46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c r="AA699" s="466"/>
      <c r="AB699" s="466"/>
      <c r="AC699" s="466"/>
      <c r="AD699" s="466"/>
      <c r="AE699" s="466"/>
    </row>
    <row r="700" spans="1:31" ht="11.25" customHeight="1" x14ac:dyDescent="0.2">
      <c r="A700" s="46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c r="AA700" s="466"/>
      <c r="AB700" s="466"/>
      <c r="AC700" s="466"/>
      <c r="AD700" s="466"/>
      <c r="AE700" s="466"/>
    </row>
    <row r="701" spans="1:31" ht="11.25" customHeight="1" x14ac:dyDescent="0.2">
      <c r="A701" s="46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c r="AA701" s="466"/>
      <c r="AB701" s="466"/>
      <c r="AC701" s="466"/>
      <c r="AD701" s="466"/>
      <c r="AE701" s="466"/>
    </row>
    <row r="702" spans="1:31" ht="11.25" customHeight="1" x14ac:dyDescent="0.2">
      <c r="A702" s="46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c r="AA702" s="466"/>
      <c r="AB702" s="466"/>
      <c r="AC702" s="466"/>
      <c r="AD702" s="466"/>
      <c r="AE702" s="466"/>
    </row>
    <row r="703" spans="1:31" ht="11.25" customHeight="1" x14ac:dyDescent="0.2">
      <c r="A703" s="46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c r="AA703" s="466"/>
      <c r="AB703" s="466"/>
      <c r="AC703" s="466"/>
      <c r="AD703" s="466"/>
      <c r="AE703" s="466"/>
    </row>
    <row r="704" spans="1:31" ht="11.25" customHeight="1" x14ac:dyDescent="0.2">
      <c r="A704" s="46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c r="AA704" s="466"/>
      <c r="AB704" s="466"/>
      <c r="AC704" s="466"/>
      <c r="AD704" s="466"/>
      <c r="AE704" s="466"/>
    </row>
    <row r="705" spans="1:31" ht="11.25" customHeight="1" x14ac:dyDescent="0.2">
      <c r="A705" s="46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c r="AA705" s="466"/>
      <c r="AB705" s="466"/>
      <c r="AC705" s="466"/>
      <c r="AD705" s="466"/>
      <c r="AE705" s="466"/>
    </row>
    <row r="706" spans="1:31" ht="11.25" customHeight="1" x14ac:dyDescent="0.2">
      <c r="A706" s="46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c r="AA706" s="466"/>
      <c r="AB706" s="466"/>
      <c r="AC706" s="466"/>
      <c r="AD706" s="466"/>
      <c r="AE706" s="466"/>
    </row>
    <row r="707" spans="1:31" ht="11.25" customHeight="1" x14ac:dyDescent="0.2">
      <c r="A707" s="46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c r="AA707" s="466"/>
      <c r="AB707" s="466"/>
      <c r="AC707" s="466"/>
      <c r="AD707" s="466"/>
      <c r="AE707" s="466"/>
    </row>
    <row r="708" spans="1:31" ht="11.25" customHeight="1" x14ac:dyDescent="0.2">
      <c r="A708" s="46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c r="AA708" s="466"/>
      <c r="AB708" s="466"/>
      <c r="AC708" s="466"/>
      <c r="AD708" s="466"/>
      <c r="AE708" s="466"/>
    </row>
    <row r="709" spans="1:31" ht="11.25" customHeight="1" x14ac:dyDescent="0.2">
      <c r="A709" s="46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c r="AA709" s="466"/>
      <c r="AB709" s="466"/>
      <c r="AC709" s="466"/>
      <c r="AD709" s="466"/>
      <c r="AE709" s="466"/>
    </row>
    <row r="710" spans="1:31" ht="11.25" customHeight="1" x14ac:dyDescent="0.2">
      <c r="A710" s="46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c r="AA710" s="466"/>
      <c r="AB710" s="466"/>
      <c r="AC710" s="466"/>
      <c r="AD710" s="466"/>
      <c r="AE710" s="466"/>
    </row>
    <row r="711" spans="1:31" ht="11.25" customHeight="1" x14ac:dyDescent="0.2">
      <c r="A711" s="46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c r="AA711" s="466"/>
      <c r="AB711" s="466"/>
      <c r="AC711" s="466"/>
      <c r="AD711" s="466"/>
      <c r="AE711" s="466"/>
    </row>
    <row r="712" spans="1:31" ht="11.25" customHeight="1" x14ac:dyDescent="0.2">
      <c r="A712" s="46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c r="AA712" s="466"/>
      <c r="AB712" s="466"/>
      <c r="AC712" s="466"/>
      <c r="AD712" s="466"/>
      <c r="AE712" s="466"/>
    </row>
    <row r="713" spans="1:31" ht="11.25" customHeight="1" x14ac:dyDescent="0.2">
      <c r="A713" s="46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c r="AA713" s="466"/>
      <c r="AB713" s="466"/>
      <c r="AC713" s="466"/>
      <c r="AD713" s="466"/>
      <c r="AE713" s="466"/>
    </row>
    <row r="714" spans="1:31" ht="11.25" customHeight="1" x14ac:dyDescent="0.2">
      <c r="A714" s="46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c r="AA714" s="466"/>
      <c r="AB714" s="466"/>
      <c r="AC714" s="466"/>
      <c r="AD714" s="466"/>
      <c r="AE714" s="466"/>
    </row>
    <row r="715" spans="1:31" ht="11.25" customHeight="1" x14ac:dyDescent="0.2">
      <c r="A715" s="46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c r="AA715" s="466"/>
      <c r="AB715" s="466"/>
      <c r="AC715" s="466"/>
      <c r="AD715" s="466"/>
      <c r="AE715" s="466"/>
    </row>
    <row r="716" spans="1:31" ht="11.25" customHeight="1" x14ac:dyDescent="0.2">
      <c r="A716" s="46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c r="AA716" s="466"/>
      <c r="AB716" s="466"/>
      <c r="AC716" s="466"/>
      <c r="AD716" s="466"/>
      <c r="AE716" s="466"/>
    </row>
    <row r="717" spans="1:31" ht="11.25" customHeight="1" x14ac:dyDescent="0.2">
      <c r="A717" s="46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c r="AA717" s="466"/>
      <c r="AB717" s="466"/>
      <c r="AC717" s="466"/>
      <c r="AD717" s="466"/>
      <c r="AE717" s="466"/>
    </row>
    <row r="718" spans="1:31" ht="11.25" customHeight="1" x14ac:dyDescent="0.2">
      <c r="A718" s="46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c r="AA718" s="466"/>
      <c r="AB718" s="466"/>
      <c r="AC718" s="466"/>
      <c r="AD718" s="466"/>
      <c r="AE718" s="466"/>
    </row>
    <row r="719" spans="1:31" ht="11.25" customHeight="1" x14ac:dyDescent="0.2">
      <c r="A719" s="46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c r="AA719" s="466"/>
      <c r="AB719" s="466"/>
      <c r="AC719" s="466"/>
      <c r="AD719" s="466"/>
      <c r="AE719" s="466"/>
    </row>
    <row r="720" spans="1:31" ht="11.25" customHeight="1" x14ac:dyDescent="0.2">
      <c r="A720" s="46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c r="AA720" s="466"/>
      <c r="AB720" s="466"/>
      <c r="AC720" s="466"/>
      <c r="AD720" s="466"/>
      <c r="AE720" s="466"/>
    </row>
    <row r="721" spans="1:31" ht="11.25" customHeight="1" x14ac:dyDescent="0.2">
      <c r="A721" s="46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c r="AA721" s="466"/>
      <c r="AB721" s="466"/>
      <c r="AC721" s="466"/>
      <c r="AD721" s="466"/>
      <c r="AE721" s="466"/>
    </row>
    <row r="722" spans="1:31" ht="11.25" customHeight="1" x14ac:dyDescent="0.2">
      <c r="A722" s="46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c r="AA722" s="466"/>
      <c r="AB722" s="466"/>
      <c r="AC722" s="466"/>
      <c r="AD722" s="466"/>
      <c r="AE722" s="466"/>
    </row>
    <row r="723" spans="1:31" ht="11.25" customHeight="1" x14ac:dyDescent="0.2">
      <c r="A723" s="46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c r="AA723" s="466"/>
      <c r="AB723" s="466"/>
      <c r="AC723" s="466"/>
      <c r="AD723" s="466"/>
      <c r="AE723" s="466"/>
    </row>
    <row r="724" spans="1:31" ht="11.25" customHeight="1" x14ac:dyDescent="0.2">
      <c r="A724" s="46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c r="AA724" s="466"/>
      <c r="AB724" s="466"/>
      <c r="AC724" s="466"/>
      <c r="AD724" s="466"/>
      <c r="AE724" s="466"/>
    </row>
    <row r="725" spans="1:31" ht="11.25" customHeight="1" x14ac:dyDescent="0.2">
      <c r="A725" s="46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c r="AA725" s="466"/>
      <c r="AB725" s="466"/>
      <c r="AC725" s="466"/>
      <c r="AD725" s="466"/>
      <c r="AE725" s="466"/>
    </row>
    <row r="726" spans="1:31" ht="11.25" customHeight="1" x14ac:dyDescent="0.2">
      <c r="A726" s="46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c r="AA726" s="466"/>
      <c r="AB726" s="466"/>
      <c r="AC726" s="466"/>
      <c r="AD726" s="466"/>
      <c r="AE726" s="466"/>
    </row>
    <row r="727" spans="1:31" ht="11.25" customHeight="1" x14ac:dyDescent="0.2">
      <c r="A727" s="46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c r="AA727" s="466"/>
      <c r="AB727" s="466"/>
      <c r="AC727" s="466"/>
      <c r="AD727" s="466"/>
      <c r="AE727" s="466"/>
    </row>
    <row r="728" spans="1:31" ht="11.25" customHeight="1" x14ac:dyDescent="0.2">
      <c r="A728" s="46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c r="AA728" s="466"/>
      <c r="AB728" s="466"/>
      <c r="AC728" s="466"/>
      <c r="AD728" s="466"/>
      <c r="AE728" s="466"/>
    </row>
    <row r="729" spans="1:31" ht="11.25" customHeight="1" x14ac:dyDescent="0.2">
      <c r="A729" s="46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c r="AA729" s="466"/>
      <c r="AB729" s="466"/>
      <c r="AC729" s="466"/>
      <c r="AD729" s="466"/>
      <c r="AE729" s="466"/>
    </row>
    <row r="730" spans="1:31" ht="11.25" customHeight="1" x14ac:dyDescent="0.2">
      <c r="A730" s="46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c r="AA730" s="466"/>
      <c r="AB730" s="466"/>
      <c r="AC730" s="466"/>
      <c r="AD730" s="466"/>
      <c r="AE730" s="466"/>
    </row>
    <row r="731" spans="1:31" ht="11.25" customHeight="1" x14ac:dyDescent="0.2">
      <c r="A731" s="46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c r="AA731" s="466"/>
      <c r="AB731" s="466"/>
      <c r="AC731" s="466"/>
      <c r="AD731" s="466"/>
      <c r="AE731" s="466"/>
    </row>
    <row r="732" spans="1:31" ht="11.25" customHeight="1" x14ac:dyDescent="0.2">
      <c r="A732" s="46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c r="AA732" s="466"/>
      <c r="AB732" s="466"/>
      <c r="AC732" s="466"/>
      <c r="AD732" s="466"/>
      <c r="AE732" s="466"/>
    </row>
    <row r="733" spans="1:31" ht="11.25" customHeight="1" x14ac:dyDescent="0.2">
      <c r="A733" s="46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c r="AA733" s="466"/>
      <c r="AB733" s="466"/>
      <c r="AC733" s="466"/>
      <c r="AD733" s="466"/>
      <c r="AE733" s="466"/>
    </row>
    <row r="734" spans="1:31" ht="11.25" customHeight="1" x14ac:dyDescent="0.2">
      <c r="A734" s="46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c r="AA734" s="466"/>
      <c r="AB734" s="466"/>
      <c r="AC734" s="466"/>
      <c r="AD734" s="466"/>
      <c r="AE734" s="466"/>
    </row>
    <row r="735" spans="1:31" ht="11.25" customHeight="1" x14ac:dyDescent="0.2">
      <c r="A735" s="46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c r="AA735" s="466"/>
      <c r="AB735" s="466"/>
      <c r="AC735" s="466"/>
      <c r="AD735" s="466"/>
      <c r="AE735" s="466"/>
    </row>
    <row r="736" spans="1:31" ht="11.25" customHeight="1" x14ac:dyDescent="0.2">
      <c r="A736" s="46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c r="AA736" s="466"/>
      <c r="AB736" s="466"/>
      <c r="AC736" s="466"/>
      <c r="AD736" s="466"/>
      <c r="AE736" s="466"/>
    </row>
    <row r="737" spans="1:31" ht="11.25" customHeight="1" x14ac:dyDescent="0.2">
      <c r="A737" s="46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c r="AA737" s="466"/>
      <c r="AB737" s="466"/>
      <c r="AC737" s="466"/>
      <c r="AD737" s="466"/>
      <c r="AE737" s="466"/>
    </row>
    <row r="738" spans="1:31" ht="11.25" customHeight="1" x14ac:dyDescent="0.2">
      <c r="A738" s="46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c r="AA738" s="466"/>
      <c r="AB738" s="466"/>
      <c r="AC738" s="466"/>
      <c r="AD738" s="466"/>
      <c r="AE738" s="466"/>
    </row>
    <row r="739" spans="1:31" ht="11.25" customHeight="1" x14ac:dyDescent="0.2">
      <c r="A739" s="46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c r="AA739" s="466"/>
      <c r="AB739" s="466"/>
      <c r="AC739" s="466"/>
      <c r="AD739" s="466"/>
      <c r="AE739" s="466"/>
    </row>
    <row r="740" spans="1:31" ht="11.25" customHeight="1" x14ac:dyDescent="0.2">
      <c r="A740" s="46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c r="AA740" s="466"/>
      <c r="AB740" s="466"/>
      <c r="AC740" s="466"/>
      <c r="AD740" s="466"/>
      <c r="AE740" s="466"/>
    </row>
    <row r="741" spans="1:31" ht="11.25" customHeight="1" x14ac:dyDescent="0.2">
      <c r="A741" s="46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c r="AA741" s="466"/>
      <c r="AB741" s="466"/>
      <c r="AC741" s="466"/>
      <c r="AD741" s="466"/>
      <c r="AE741" s="466"/>
    </row>
    <row r="742" spans="1:31" ht="11.25" customHeight="1" x14ac:dyDescent="0.2">
      <c r="A742" s="46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c r="AA742" s="466"/>
      <c r="AB742" s="466"/>
      <c r="AC742" s="466"/>
      <c r="AD742" s="466"/>
      <c r="AE742" s="466"/>
    </row>
    <row r="743" spans="1:31" ht="11.25" customHeight="1" x14ac:dyDescent="0.2">
      <c r="A743" s="46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c r="AA743" s="466"/>
      <c r="AB743" s="466"/>
      <c r="AC743" s="466"/>
      <c r="AD743" s="466"/>
      <c r="AE743" s="466"/>
    </row>
    <row r="744" spans="1:31" ht="11.25" customHeight="1" x14ac:dyDescent="0.2">
      <c r="A744" s="46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c r="AA744" s="466"/>
      <c r="AB744" s="466"/>
      <c r="AC744" s="466"/>
      <c r="AD744" s="466"/>
      <c r="AE744" s="466"/>
    </row>
    <row r="745" spans="1:31" ht="11.25" customHeight="1" x14ac:dyDescent="0.2">
      <c r="A745" s="46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c r="AA745" s="466"/>
      <c r="AB745" s="466"/>
      <c r="AC745" s="466"/>
      <c r="AD745" s="466"/>
      <c r="AE745" s="466"/>
    </row>
    <row r="746" spans="1:31" ht="11.25" customHeight="1" x14ac:dyDescent="0.2">
      <c r="A746" s="46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c r="AA746" s="466"/>
      <c r="AB746" s="466"/>
      <c r="AC746" s="466"/>
      <c r="AD746" s="466"/>
      <c r="AE746" s="466"/>
    </row>
    <row r="747" spans="1:31" ht="11.25" customHeight="1" x14ac:dyDescent="0.2">
      <c r="A747" s="46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c r="AA747" s="466"/>
      <c r="AB747" s="466"/>
      <c r="AC747" s="466"/>
      <c r="AD747" s="466"/>
      <c r="AE747" s="466"/>
    </row>
    <row r="748" spans="1:31" ht="11.25" customHeight="1" x14ac:dyDescent="0.2">
      <c r="A748" s="46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c r="AA748" s="466"/>
      <c r="AB748" s="466"/>
      <c r="AC748" s="466"/>
      <c r="AD748" s="466"/>
      <c r="AE748" s="466"/>
    </row>
    <row r="749" spans="1:31" ht="11.25" customHeight="1" x14ac:dyDescent="0.2">
      <c r="A749" s="46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c r="AA749" s="466"/>
      <c r="AB749" s="466"/>
      <c r="AC749" s="466"/>
      <c r="AD749" s="466"/>
      <c r="AE749" s="466"/>
    </row>
    <row r="750" spans="1:31" ht="11.25" customHeight="1" x14ac:dyDescent="0.2">
      <c r="A750" s="46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c r="AA750" s="466"/>
      <c r="AB750" s="466"/>
      <c r="AC750" s="466"/>
      <c r="AD750" s="466"/>
      <c r="AE750" s="466"/>
    </row>
    <row r="751" spans="1:31" ht="11.25" customHeight="1" x14ac:dyDescent="0.2">
      <c r="A751" s="46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c r="AA751" s="466"/>
      <c r="AB751" s="466"/>
      <c r="AC751" s="466"/>
      <c r="AD751" s="466"/>
      <c r="AE751" s="466"/>
    </row>
    <row r="752" spans="1:31" ht="11.25" customHeight="1" x14ac:dyDescent="0.2">
      <c r="A752" s="46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c r="AA752" s="466"/>
      <c r="AB752" s="466"/>
      <c r="AC752" s="466"/>
      <c r="AD752" s="466"/>
      <c r="AE752" s="466"/>
    </row>
    <row r="753" spans="1:31" ht="11.25" customHeight="1" x14ac:dyDescent="0.2">
      <c r="A753" s="46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c r="AA753" s="466"/>
      <c r="AB753" s="466"/>
      <c r="AC753" s="466"/>
      <c r="AD753" s="466"/>
      <c r="AE753" s="466"/>
    </row>
    <row r="754" spans="1:31" ht="11.25" customHeight="1" x14ac:dyDescent="0.2">
      <c r="A754" s="46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c r="AA754" s="466"/>
      <c r="AB754" s="466"/>
      <c r="AC754" s="466"/>
      <c r="AD754" s="466"/>
      <c r="AE754" s="466"/>
    </row>
    <row r="755" spans="1:31" ht="11.25" customHeight="1" x14ac:dyDescent="0.2">
      <c r="A755" s="46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c r="AA755" s="466"/>
      <c r="AB755" s="466"/>
      <c r="AC755" s="466"/>
      <c r="AD755" s="466"/>
      <c r="AE755" s="466"/>
    </row>
    <row r="756" spans="1:31" ht="11.25" customHeight="1" x14ac:dyDescent="0.2">
      <c r="A756" s="46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c r="AA756" s="466"/>
      <c r="AB756" s="466"/>
      <c r="AC756" s="466"/>
      <c r="AD756" s="466"/>
      <c r="AE756" s="466"/>
    </row>
    <row r="757" spans="1:31" ht="11.25" customHeight="1" x14ac:dyDescent="0.2">
      <c r="A757" s="46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c r="AA757" s="466"/>
      <c r="AB757" s="466"/>
      <c r="AC757" s="466"/>
      <c r="AD757" s="466"/>
      <c r="AE757" s="466"/>
    </row>
    <row r="758" spans="1:31" ht="11.25" customHeight="1" x14ac:dyDescent="0.2">
      <c r="A758" s="46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c r="AA758" s="466"/>
      <c r="AB758" s="466"/>
      <c r="AC758" s="466"/>
      <c r="AD758" s="466"/>
      <c r="AE758" s="466"/>
    </row>
    <row r="759" spans="1:31" ht="11.25" customHeight="1" x14ac:dyDescent="0.2">
      <c r="A759" s="46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c r="AA759" s="466"/>
      <c r="AB759" s="466"/>
      <c r="AC759" s="466"/>
      <c r="AD759" s="466"/>
      <c r="AE759" s="466"/>
    </row>
    <row r="760" spans="1:31" ht="11.25" customHeight="1" x14ac:dyDescent="0.2">
      <c r="A760" s="46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c r="AA760" s="466"/>
      <c r="AB760" s="466"/>
      <c r="AC760" s="466"/>
      <c r="AD760" s="466"/>
      <c r="AE760" s="466"/>
    </row>
    <row r="761" spans="1:31" ht="11.25" customHeight="1" x14ac:dyDescent="0.2">
      <c r="A761" s="46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c r="AA761" s="466"/>
      <c r="AB761" s="466"/>
      <c r="AC761" s="466"/>
      <c r="AD761" s="466"/>
      <c r="AE761" s="466"/>
    </row>
    <row r="762" spans="1:31" ht="11.25" customHeight="1" x14ac:dyDescent="0.2">
      <c r="A762" s="46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c r="AA762" s="466"/>
      <c r="AB762" s="466"/>
      <c r="AC762" s="466"/>
      <c r="AD762" s="466"/>
      <c r="AE762" s="466"/>
    </row>
    <row r="763" spans="1:31" ht="11.25" customHeight="1" x14ac:dyDescent="0.2">
      <c r="A763" s="46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c r="AA763" s="466"/>
      <c r="AB763" s="466"/>
      <c r="AC763" s="466"/>
      <c r="AD763" s="466"/>
      <c r="AE763" s="466"/>
    </row>
    <row r="764" spans="1:31" ht="11.25" customHeight="1" x14ac:dyDescent="0.2">
      <c r="A764" s="46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c r="AA764" s="466"/>
      <c r="AB764" s="466"/>
      <c r="AC764" s="466"/>
      <c r="AD764" s="466"/>
      <c r="AE764" s="466"/>
    </row>
    <row r="765" spans="1:31" ht="11.25" customHeight="1" x14ac:dyDescent="0.2">
      <c r="A765" s="46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c r="AA765" s="466"/>
      <c r="AB765" s="466"/>
      <c r="AC765" s="466"/>
      <c r="AD765" s="466"/>
      <c r="AE765" s="466"/>
    </row>
    <row r="766" spans="1:31" ht="11.25" customHeight="1" x14ac:dyDescent="0.2">
      <c r="A766" s="46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c r="AA766" s="466"/>
      <c r="AB766" s="466"/>
      <c r="AC766" s="466"/>
      <c r="AD766" s="466"/>
      <c r="AE766" s="466"/>
    </row>
    <row r="767" spans="1:31" ht="11.25" customHeight="1" x14ac:dyDescent="0.2">
      <c r="A767" s="46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c r="AA767" s="466"/>
      <c r="AB767" s="466"/>
      <c r="AC767" s="466"/>
      <c r="AD767" s="466"/>
      <c r="AE767" s="466"/>
    </row>
    <row r="768" spans="1:31" ht="11.25" customHeight="1" x14ac:dyDescent="0.2">
      <c r="A768" s="46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c r="AA768" s="466"/>
      <c r="AB768" s="466"/>
      <c r="AC768" s="466"/>
      <c r="AD768" s="466"/>
      <c r="AE768" s="466"/>
    </row>
    <row r="769" spans="1:31" ht="11.25" customHeight="1" x14ac:dyDescent="0.2">
      <c r="A769" s="46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c r="AA769" s="466"/>
      <c r="AB769" s="466"/>
      <c r="AC769" s="466"/>
      <c r="AD769" s="466"/>
      <c r="AE769" s="466"/>
    </row>
    <row r="770" spans="1:31" ht="11.25" customHeight="1" x14ac:dyDescent="0.2">
      <c r="A770" s="46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c r="AA770" s="466"/>
      <c r="AB770" s="466"/>
      <c r="AC770" s="466"/>
      <c r="AD770" s="466"/>
      <c r="AE770" s="466"/>
    </row>
    <row r="771" spans="1:31" ht="11.25" customHeight="1" x14ac:dyDescent="0.2">
      <c r="A771" s="46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c r="AA771" s="466"/>
      <c r="AB771" s="466"/>
      <c r="AC771" s="466"/>
      <c r="AD771" s="466"/>
      <c r="AE771" s="466"/>
    </row>
    <row r="772" spans="1:31" ht="11.25" customHeight="1" x14ac:dyDescent="0.2">
      <c r="A772" s="46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c r="AA772" s="466"/>
      <c r="AB772" s="466"/>
      <c r="AC772" s="466"/>
      <c r="AD772" s="466"/>
      <c r="AE772" s="466"/>
    </row>
    <row r="773" spans="1:31" ht="11.25" customHeight="1" x14ac:dyDescent="0.2">
      <c r="A773" s="46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c r="AA773" s="466"/>
      <c r="AB773" s="466"/>
      <c r="AC773" s="466"/>
      <c r="AD773" s="466"/>
      <c r="AE773" s="466"/>
    </row>
    <row r="774" spans="1:31" ht="11.25" customHeight="1" x14ac:dyDescent="0.2">
      <c r="A774" s="46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c r="AA774" s="466"/>
      <c r="AB774" s="466"/>
      <c r="AC774" s="466"/>
      <c r="AD774" s="466"/>
      <c r="AE774" s="466"/>
    </row>
    <row r="775" spans="1:31" ht="11.25" customHeight="1" x14ac:dyDescent="0.2">
      <c r="A775" s="46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c r="AA775" s="466"/>
      <c r="AB775" s="466"/>
      <c r="AC775" s="466"/>
      <c r="AD775" s="466"/>
      <c r="AE775" s="466"/>
    </row>
    <row r="776" spans="1:31" ht="11.25" customHeight="1" x14ac:dyDescent="0.2">
      <c r="A776" s="46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c r="AA776" s="466"/>
      <c r="AB776" s="466"/>
      <c r="AC776" s="466"/>
      <c r="AD776" s="466"/>
      <c r="AE776" s="466"/>
    </row>
    <row r="777" spans="1:31" ht="11.25" customHeight="1" x14ac:dyDescent="0.2">
      <c r="A777" s="46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c r="AA777" s="466"/>
      <c r="AB777" s="466"/>
      <c r="AC777" s="466"/>
      <c r="AD777" s="466"/>
      <c r="AE777" s="466"/>
    </row>
    <row r="778" spans="1:31" ht="11.25" customHeight="1" x14ac:dyDescent="0.2">
      <c r="A778" s="46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c r="AA778" s="466"/>
      <c r="AB778" s="466"/>
      <c r="AC778" s="466"/>
      <c r="AD778" s="466"/>
      <c r="AE778" s="466"/>
    </row>
    <row r="779" spans="1:31" ht="11.25" customHeight="1" x14ac:dyDescent="0.2">
      <c r="A779" s="46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c r="AA779" s="466"/>
      <c r="AB779" s="466"/>
      <c r="AC779" s="466"/>
      <c r="AD779" s="466"/>
      <c r="AE779" s="466"/>
    </row>
    <row r="780" spans="1:31" ht="11.25" customHeight="1" x14ac:dyDescent="0.2">
      <c r="A780" s="46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c r="AA780" s="466"/>
      <c r="AB780" s="466"/>
      <c r="AC780" s="466"/>
      <c r="AD780" s="466"/>
      <c r="AE780" s="466"/>
    </row>
    <row r="781" spans="1:31" ht="11.25" customHeight="1" x14ac:dyDescent="0.2">
      <c r="A781" s="46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c r="AA781" s="466"/>
      <c r="AB781" s="466"/>
      <c r="AC781" s="466"/>
      <c r="AD781" s="466"/>
      <c r="AE781" s="466"/>
    </row>
    <row r="782" spans="1:31" ht="11.25" customHeight="1" x14ac:dyDescent="0.2">
      <c r="A782" s="46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c r="AA782" s="466"/>
      <c r="AB782" s="466"/>
      <c r="AC782" s="466"/>
      <c r="AD782" s="466"/>
      <c r="AE782" s="466"/>
    </row>
    <row r="783" spans="1:31" ht="11.25" customHeight="1" x14ac:dyDescent="0.2">
      <c r="A783" s="46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c r="AA783" s="466"/>
      <c r="AB783" s="466"/>
      <c r="AC783" s="466"/>
      <c r="AD783" s="466"/>
      <c r="AE783" s="466"/>
    </row>
    <row r="784" spans="1:31" ht="11.25" customHeight="1" x14ac:dyDescent="0.2">
      <c r="A784" s="46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c r="AA784" s="466"/>
      <c r="AB784" s="466"/>
      <c r="AC784" s="466"/>
      <c r="AD784" s="466"/>
      <c r="AE784" s="466"/>
    </row>
    <row r="785" spans="1:31" ht="11.25" customHeight="1" x14ac:dyDescent="0.2">
      <c r="A785" s="46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c r="AA785" s="466"/>
      <c r="AB785" s="466"/>
      <c r="AC785" s="466"/>
      <c r="AD785" s="466"/>
      <c r="AE785" s="466"/>
    </row>
    <row r="786" spans="1:31" ht="11.25" customHeight="1" x14ac:dyDescent="0.2">
      <c r="A786" s="46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c r="AA786" s="466"/>
      <c r="AB786" s="466"/>
      <c r="AC786" s="466"/>
      <c r="AD786" s="466"/>
      <c r="AE786" s="466"/>
    </row>
    <row r="787" spans="1:31" ht="11.25" customHeight="1" x14ac:dyDescent="0.2">
      <c r="A787" s="46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c r="AA787" s="466"/>
      <c r="AB787" s="466"/>
      <c r="AC787" s="466"/>
      <c r="AD787" s="466"/>
      <c r="AE787" s="466"/>
    </row>
    <row r="788" spans="1:31" ht="11.25" customHeight="1" x14ac:dyDescent="0.2">
      <c r="A788" s="46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c r="AA788" s="466"/>
      <c r="AB788" s="466"/>
      <c r="AC788" s="466"/>
      <c r="AD788" s="466"/>
      <c r="AE788" s="466"/>
    </row>
    <row r="789" spans="1:31" ht="11.25" customHeight="1" x14ac:dyDescent="0.2">
      <c r="A789" s="46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c r="AA789" s="466"/>
      <c r="AB789" s="466"/>
      <c r="AC789" s="466"/>
      <c r="AD789" s="466"/>
      <c r="AE789" s="466"/>
    </row>
    <row r="790" spans="1:31" ht="11.25" customHeight="1" x14ac:dyDescent="0.2">
      <c r="A790" s="46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c r="AA790" s="466"/>
      <c r="AB790" s="466"/>
      <c r="AC790" s="466"/>
      <c r="AD790" s="466"/>
      <c r="AE790" s="466"/>
    </row>
    <row r="791" spans="1:31" ht="11.25" customHeight="1" x14ac:dyDescent="0.2">
      <c r="A791" s="46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c r="AA791" s="466"/>
      <c r="AB791" s="466"/>
      <c r="AC791" s="466"/>
      <c r="AD791" s="466"/>
      <c r="AE791" s="466"/>
    </row>
    <row r="792" spans="1:31" ht="11.25" customHeight="1" x14ac:dyDescent="0.2">
      <c r="A792" s="46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c r="AA792" s="466"/>
      <c r="AB792" s="466"/>
      <c r="AC792" s="466"/>
      <c r="AD792" s="466"/>
      <c r="AE792" s="466"/>
    </row>
    <row r="793" spans="1:31" ht="11.25" customHeight="1" x14ac:dyDescent="0.2">
      <c r="A793" s="46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c r="AA793" s="466"/>
      <c r="AB793" s="466"/>
      <c r="AC793" s="466"/>
      <c r="AD793" s="466"/>
      <c r="AE793" s="466"/>
    </row>
    <row r="794" spans="1:31" ht="11.25" customHeight="1" x14ac:dyDescent="0.2">
      <c r="A794" s="46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c r="AA794" s="466"/>
      <c r="AB794" s="466"/>
      <c r="AC794" s="466"/>
      <c r="AD794" s="466"/>
      <c r="AE794" s="466"/>
    </row>
    <row r="795" spans="1:31" ht="11.25" customHeight="1" x14ac:dyDescent="0.2">
      <c r="A795" s="46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c r="AA795" s="466"/>
      <c r="AB795" s="466"/>
      <c r="AC795" s="466"/>
      <c r="AD795" s="466"/>
      <c r="AE795" s="466"/>
    </row>
    <row r="796" spans="1:31" ht="11.25" customHeight="1" x14ac:dyDescent="0.2">
      <c r="A796" s="46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c r="AA796" s="466"/>
      <c r="AB796" s="466"/>
      <c r="AC796" s="466"/>
      <c r="AD796" s="466"/>
      <c r="AE796" s="466"/>
    </row>
    <row r="797" spans="1:31" ht="11.25" customHeight="1" x14ac:dyDescent="0.2">
      <c r="A797" s="46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c r="AA797" s="466"/>
      <c r="AB797" s="466"/>
      <c r="AC797" s="466"/>
      <c r="AD797" s="466"/>
      <c r="AE797" s="466"/>
    </row>
    <row r="798" spans="1:31" ht="11.25" customHeight="1" x14ac:dyDescent="0.2">
      <c r="A798" s="46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c r="AA798" s="466"/>
      <c r="AB798" s="466"/>
      <c r="AC798" s="466"/>
      <c r="AD798" s="466"/>
      <c r="AE798" s="466"/>
    </row>
    <row r="799" spans="1:31" ht="11.25" customHeight="1" x14ac:dyDescent="0.2">
      <c r="A799" s="46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c r="AA799" s="466"/>
      <c r="AB799" s="466"/>
      <c r="AC799" s="466"/>
      <c r="AD799" s="466"/>
      <c r="AE799" s="466"/>
    </row>
    <row r="800" spans="1:31" ht="11.25" customHeight="1" x14ac:dyDescent="0.2">
      <c r="A800" s="46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c r="AA800" s="466"/>
      <c r="AB800" s="466"/>
      <c r="AC800" s="466"/>
      <c r="AD800" s="466"/>
      <c r="AE800" s="466"/>
    </row>
    <row r="801" spans="1:31" ht="11.25" customHeight="1" x14ac:dyDescent="0.2">
      <c r="A801" s="46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c r="AA801" s="466"/>
      <c r="AB801" s="466"/>
      <c r="AC801" s="466"/>
      <c r="AD801" s="466"/>
      <c r="AE801" s="466"/>
    </row>
    <row r="802" spans="1:31" ht="11.25" customHeight="1" x14ac:dyDescent="0.2">
      <c r="A802" s="46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c r="AA802" s="466"/>
      <c r="AB802" s="466"/>
      <c r="AC802" s="466"/>
      <c r="AD802" s="466"/>
      <c r="AE802" s="466"/>
    </row>
    <row r="803" spans="1:31" ht="11.25" customHeight="1" x14ac:dyDescent="0.2">
      <c r="A803" s="46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c r="AA803" s="466"/>
      <c r="AB803" s="466"/>
      <c r="AC803" s="466"/>
      <c r="AD803" s="466"/>
      <c r="AE803" s="466"/>
    </row>
    <row r="804" spans="1:31" ht="11.25" customHeight="1" x14ac:dyDescent="0.2">
      <c r="A804" s="46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c r="AA804" s="466"/>
      <c r="AB804" s="466"/>
      <c r="AC804" s="466"/>
      <c r="AD804" s="466"/>
      <c r="AE804" s="466"/>
    </row>
    <row r="805" spans="1:31" ht="11.25" customHeight="1" x14ac:dyDescent="0.2">
      <c r="A805" s="46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c r="AA805" s="466"/>
      <c r="AB805" s="466"/>
      <c r="AC805" s="466"/>
      <c r="AD805" s="466"/>
      <c r="AE805" s="466"/>
    </row>
    <row r="806" spans="1:31" ht="11.25" customHeight="1" x14ac:dyDescent="0.2">
      <c r="A806" s="46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c r="AA806" s="466"/>
      <c r="AB806" s="466"/>
      <c r="AC806" s="466"/>
      <c r="AD806" s="466"/>
      <c r="AE806" s="466"/>
    </row>
    <row r="807" spans="1:31" ht="11.25" customHeight="1" x14ac:dyDescent="0.2">
      <c r="A807" s="46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c r="AA807" s="466"/>
      <c r="AB807" s="466"/>
      <c r="AC807" s="466"/>
      <c r="AD807" s="466"/>
      <c r="AE807" s="466"/>
    </row>
    <row r="808" spans="1:31" ht="11.25" customHeight="1" x14ac:dyDescent="0.2">
      <c r="A808" s="46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c r="AA808" s="466"/>
      <c r="AB808" s="466"/>
      <c r="AC808" s="466"/>
      <c r="AD808" s="466"/>
      <c r="AE808" s="466"/>
    </row>
    <row r="809" spans="1:31" ht="11.25" customHeight="1" x14ac:dyDescent="0.2">
      <c r="A809" s="46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c r="AA809" s="466"/>
      <c r="AB809" s="466"/>
      <c r="AC809" s="466"/>
      <c r="AD809" s="466"/>
      <c r="AE809" s="466"/>
    </row>
    <row r="810" spans="1:31" ht="11.25" customHeight="1" x14ac:dyDescent="0.2">
      <c r="A810" s="46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c r="AA810" s="466"/>
      <c r="AB810" s="466"/>
      <c r="AC810" s="466"/>
      <c r="AD810" s="466"/>
      <c r="AE810" s="466"/>
    </row>
    <row r="811" spans="1:31" ht="11.25" customHeight="1" x14ac:dyDescent="0.2">
      <c r="A811" s="46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c r="AA811" s="466"/>
      <c r="AB811" s="466"/>
      <c r="AC811" s="466"/>
      <c r="AD811" s="466"/>
      <c r="AE811" s="466"/>
    </row>
    <row r="812" spans="1:31" ht="11.25" customHeight="1" x14ac:dyDescent="0.2">
      <c r="A812" s="46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c r="AA812" s="466"/>
      <c r="AB812" s="466"/>
      <c r="AC812" s="466"/>
      <c r="AD812" s="466"/>
      <c r="AE812" s="466"/>
    </row>
    <row r="813" spans="1:31" ht="11.25" customHeight="1" x14ac:dyDescent="0.2">
      <c r="A813" s="46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c r="AA813" s="466"/>
      <c r="AB813" s="466"/>
      <c r="AC813" s="466"/>
      <c r="AD813" s="466"/>
      <c r="AE813" s="466"/>
    </row>
    <row r="814" spans="1:31" ht="11.25" customHeight="1" x14ac:dyDescent="0.2">
      <c r="A814" s="46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c r="AA814" s="466"/>
      <c r="AB814" s="466"/>
      <c r="AC814" s="466"/>
      <c r="AD814" s="466"/>
      <c r="AE814" s="466"/>
    </row>
    <row r="815" spans="1:31" ht="11.25" customHeight="1" x14ac:dyDescent="0.2">
      <c r="A815" s="46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c r="AA815" s="466"/>
      <c r="AB815" s="466"/>
      <c r="AC815" s="466"/>
      <c r="AD815" s="466"/>
      <c r="AE815" s="466"/>
    </row>
    <row r="816" spans="1:31" ht="11.25" customHeight="1" x14ac:dyDescent="0.2">
      <c r="A816" s="46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c r="AA816" s="466"/>
      <c r="AB816" s="466"/>
      <c r="AC816" s="466"/>
      <c r="AD816" s="466"/>
      <c r="AE816" s="466"/>
    </row>
    <row r="817" spans="1:31" ht="11.25" customHeight="1" x14ac:dyDescent="0.2">
      <c r="A817" s="46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c r="AA817" s="466"/>
      <c r="AB817" s="466"/>
      <c r="AC817" s="466"/>
      <c r="AD817" s="466"/>
      <c r="AE817" s="466"/>
    </row>
    <row r="818" spans="1:31" ht="11.25" customHeight="1" x14ac:dyDescent="0.2">
      <c r="A818" s="46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c r="AA818" s="466"/>
      <c r="AB818" s="466"/>
      <c r="AC818" s="466"/>
      <c r="AD818" s="466"/>
      <c r="AE818" s="466"/>
    </row>
    <row r="819" spans="1:31" ht="11.25" customHeight="1" x14ac:dyDescent="0.2">
      <c r="A819" s="46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c r="AA819" s="466"/>
      <c r="AB819" s="466"/>
      <c r="AC819" s="466"/>
      <c r="AD819" s="466"/>
      <c r="AE819" s="466"/>
    </row>
    <row r="820" spans="1:31" ht="11.25" customHeight="1" x14ac:dyDescent="0.2">
      <c r="A820" s="46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c r="AA820" s="466"/>
      <c r="AB820" s="466"/>
      <c r="AC820" s="466"/>
      <c r="AD820" s="466"/>
      <c r="AE820" s="466"/>
    </row>
    <row r="821" spans="1:31" ht="11.25" customHeight="1" x14ac:dyDescent="0.2">
      <c r="A821" s="46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c r="AA821" s="466"/>
      <c r="AB821" s="466"/>
      <c r="AC821" s="466"/>
      <c r="AD821" s="466"/>
      <c r="AE821" s="466"/>
    </row>
    <row r="822" spans="1:31" ht="11.25" customHeight="1" x14ac:dyDescent="0.2">
      <c r="A822" s="46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c r="AA822" s="466"/>
      <c r="AB822" s="466"/>
      <c r="AC822" s="466"/>
      <c r="AD822" s="466"/>
      <c r="AE822" s="466"/>
    </row>
    <row r="823" spans="1:31" ht="11.25" customHeight="1" x14ac:dyDescent="0.2">
      <c r="A823" s="46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c r="AA823" s="466"/>
      <c r="AB823" s="466"/>
      <c r="AC823" s="466"/>
      <c r="AD823" s="466"/>
      <c r="AE823" s="466"/>
    </row>
    <row r="824" spans="1:31" ht="11.25" customHeight="1" x14ac:dyDescent="0.2">
      <c r="A824" s="46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c r="AA824" s="466"/>
      <c r="AB824" s="466"/>
      <c r="AC824" s="466"/>
      <c r="AD824" s="466"/>
      <c r="AE824" s="466"/>
    </row>
    <row r="825" spans="1:31" ht="11.25" customHeight="1" x14ac:dyDescent="0.2">
      <c r="A825" s="46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c r="AA825" s="466"/>
      <c r="AB825" s="466"/>
      <c r="AC825" s="466"/>
      <c r="AD825" s="466"/>
      <c r="AE825" s="466"/>
    </row>
    <row r="826" spans="1:31" ht="11.25" customHeight="1" x14ac:dyDescent="0.2">
      <c r="A826" s="46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c r="AA826" s="466"/>
      <c r="AB826" s="466"/>
      <c r="AC826" s="466"/>
      <c r="AD826" s="466"/>
      <c r="AE826" s="466"/>
    </row>
    <row r="827" spans="1:31" ht="11.25" customHeight="1" x14ac:dyDescent="0.2">
      <c r="A827" s="46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c r="AA827" s="466"/>
      <c r="AB827" s="466"/>
      <c r="AC827" s="466"/>
      <c r="AD827" s="466"/>
      <c r="AE827" s="466"/>
    </row>
    <row r="828" spans="1:31" ht="11.25" customHeight="1" x14ac:dyDescent="0.2">
      <c r="A828" s="46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c r="AA828" s="466"/>
      <c r="AB828" s="466"/>
      <c r="AC828" s="466"/>
      <c r="AD828" s="466"/>
      <c r="AE828" s="466"/>
    </row>
    <row r="829" spans="1:31" ht="11.25" customHeight="1" x14ac:dyDescent="0.2">
      <c r="A829" s="46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c r="AA829" s="466"/>
      <c r="AB829" s="466"/>
      <c r="AC829" s="466"/>
      <c r="AD829" s="466"/>
      <c r="AE829" s="466"/>
    </row>
    <row r="830" spans="1:31" ht="11.25" customHeight="1" x14ac:dyDescent="0.2">
      <c r="A830" s="46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c r="AA830" s="466"/>
      <c r="AB830" s="466"/>
      <c r="AC830" s="466"/>
      <c r="AD830" s="466"/>
      <c r="AE830" s="466"/>
    </row>
    <row r="831" spans="1:31" ht="11.25" customHeight="1" x14ac:dyDescent="0.2">
      <c r="A831" s="46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c r="AA831" s="466"/>
      <c r="AB831" s="466"/>
      <c r="AC831" s="466"/>
      <c r="AD831" s="466"/>
      <c r="AE831" s="466"/>
    </row>
    <row r="832" spans="1:31" ht="11.25" customHeight="1" x14ac:dyDescent="0.2">
      <c r="A832" s="46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c r="AA832" s="466"/>
      <c r="AB832" s="466"/>
      <c r="AC832" s="466"/>
      <c r="AD832" s="466"/>
      <c r="AE832" s="466"/>
    </row>
    <row r="833" spans="1:31" ht="11.25" customHeight="1" x14ac:dyDescent="0.2">
      <c r="A833" s="46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c r="AA833" s="466"/>
      <c r="AB833" s="466"/>
      <c r="AC833" s="466"/>
      <c r="AD833" s="466"/>
      <c r="AE833" s="466"/>
    </row>
    <row r="834" spans="1:31" ht="11.25" customHeight="1" x14ac:dyDescent="0.2">
      <c r="A834" s="46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c r="AA834" s="466"/>
      <c r="AB834" s="466"/>
      <c r="AC834" s="466"/>
      <c r="AD834" s="466"/>
      <c r="AE834" s="466"/>
    </row>
    <row r="835" spans="1:31" ht="11.25" customHeight="1" x14ac:dyDescent="0.2">
      <c r="A835" s="46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c r="AA835" s="466"/>
      <c r="AB835" s="466"/>
      <c r="AC835" s="466"/>
      <c r="AD835" s="466"/>
      <c r="AE835" s="466"/>
    </row>
    <row r="836" spans="1:31" ht="11.25" customHeight="1" x14ac:dyDescent="0.2">
      <c r="A836" s="46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c r="AA836" s="466"/>
      <c r="AB836" s="466"/>
      <c r="AC836" s="466"/>
      <c r="AD836" s="466"/>
      <c r="AE836" s="466"/>
    </row>
    <row r="837" spans="1:31" ht="11.25" customHeight="1" x14ac:dyDescent="0.2">
      <c r="A837" s="46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c r="AA837" s="466"/>
      <c r="AB837" s="466"/>
      <c r="AC837" s="466"/>
      <c r="AD837" s="466"/>
      <c r="AE837" s="466"/>
    </row>
    <row r="838" spans="1:31" ht="11.25" customHeight="1" x14ac:dyDescent="0.2">
      <c r="A838" s="46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c r="AA838" s="466"/>
      <c r="AB838" s="466"/>
      <c r="AC838" s="466"/>
      <c r="AD838" s="466"/>
      <c r="AE838" s="466"/>
    </row>
    <row r="839" spans="1:31" ht="11.25" customHeight="1" x14ac:dyDescent="0.2">
      <c r="A839" s="46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c r="AA839" s="466"/>
      <c r="AB839" s="466"/>
      <c r="AC839" s="466"/>
      <c r="AD839" s="466"/>
      <c r="AE839" s="466"/>
    </row>
    <row r="840" spans="1:31" ht="11.25" customHeight="1" x14ac:dyDescent="0.2">
      <c r="A840" s="46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c r="AA840" s="466"/>
      <c r="AB840" s="466"/>
      <c r="AC840" s="466"/>
      <c r="AD840" s="466"/>
      <c r="AE840" s="466"/>
    </row>
    <row r="841" spans="1:31" ht="11.25" customHeight="1" x14ac:dyDescent="0.2">
      <c r="A841" s="46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c r="AA841" s="466"/>
      <c r="AB841" s="466"/>
      <c r="AC841" s="466"/>
      <c r="AD841" s="466"/>
      <c r="AE841" s="466"/>
    </row>
    <row r="842" spans="1:31" ht="11.25" customHeight="1" x14ac:dyDescent="0.2">
      <c r="A842" s="46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c r="AA842" s="466"/>
      <c r="AB842" s="466"/>
      <c r="AC842" s="466"/>
      <c r="AD842" s="466"/>
      <c r="AE842" s="466"/>
    </row>
    <row r="843" spans="1:31" ht="11.25" customHeight="1" x14ac:dyDescent="0.2">
      <c r="A843" s="46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c r="AA843" s="466"/>
      <c r="AB843" s="466"/>
      <c r="AC843" s="466"/>
      <c r="AD843" s="466"/>
      <c r="AE843" s="466"/>
    </row>
    <row r="844" spans="1:31" ht="11.25" customHeight="1" x14ac:dyDescent="0.2">
      <c r="A844" s="46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c r="AA844" s="466"/>
      <c r="AB844" s="466"/>
      <c r="AC844" s="466"/>
      <c r="AD844" s="466"/>
      <c r="AE844" s="466"/>
    </row>
    <row r="845" spans="1:31" ht="11.25" customHeight="1" x14ac:dyDescent="0.2">
      <c r="A845" s="46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c r="AA845" s="466"/>
      <c r="AB845" s="466"/>
      <c r="AC845" s="466"/>
      <c r="AD845" s="466"/>
      <c r="AE845" s="466"/>
    </row>
    <row r="846" spans="1:31" ht="11.25" customHeight="1" x14ac:dyDescent="0.2">
      <c r="A846" s="46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c r="AA846" s="466"/>
      <c r="AB846" s="466"/>
      <c r="AC846" s="466"/>
      <c r="AD846" s="466"/>
      <c r="AE846" s="466"/>
    </row>
    <row r="847" spans="1:31" ht="11.25" customHeight="1" x14ac:dyDescent="0.2">
      <c r="A847" s="46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c r="AA847" s="466"/>
      <c r="AB847" s="466"/>
      <c r="AC847" s="466"/>
      <c r="AD847" s="466"/>
      <c r="AE847" s="466"/>
    </row>
    <row r="848" spans="1:31" ht="11.25" customHeight="1" x14ac:dyDescent="0.2">
      <c r="A848" s="46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c r="AA848" s="466"/>
      <c r="AB848" s="466"/>
      <c r="AC848" s="466"/>
      <c r="AD848" s="466"/>
      <c r="AE848" s="466"/>
    </row>
    <row r="849" spans="1:31" ht="11.25" customHeight="1" x14ac:dyDescent="0.2">
      <c r="A849" s="46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c r="AA849" s="466"/>
      <c r="AB849" s="466"/>
      <c r="AC849" s="466"/>
      <c r="AD849" s="466"/>
      <c r="AE849" s="466"/>
    </row>
    <row r="850" spans="1:31" ht="11.25" customHeight="1" x14ac:dyDescent="0.2">
      <c r="A850" s="46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c r="AA850" s="466"/>
      <c r="AB850" s="466"/>
      <c r="AC850" s="466"/>
      <c r="AD850" s="466"/>
      <c r="AE850" s="466"/>
    </row>
    <row r="851" spans="1:31" ht="11.25" customHeight="1" x14ac:dyDescent="0.2">
      <c r="A851" s="46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c r="AA851" s="466"/>
      <c r="AB851" s="466"/>
      <c r="AC851" s="466"/>
      <c r="AD851" s="466"/>
      <c r="AE851" s="466"/>
    </row>
    <row r="852" spans="1:31" ht="11.25" customHeight="1" x14ac:dyDescent="0.2">
      <c r="A852" s="46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c r="AA852" s="466"/>
      <c r="AB852" s="466"/>
      <c r="AC852" s="466"/>
      <c r="AD852" s="466"/>
      <c r="AE852" s="466"/>
    </row>
    <row r="853" spans="1:31" ht="11.25" customHeight="1" x14ac:dyDescent="0.2">
      <c r="A853" s="46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c r="AA853" s="466"/>
      <c r="AB853" s="466"/>
      <c r="AC853" s="466"/>
      <c r="AD853" s="466"/>
      <c r="AE853" s="466"/>
    </row>
    <row r="854" spans="1:31" ht="11.25" customHeight="1" x14ac:dyDescent="0.2">
      <c r="A854" s="46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c r="AA854" s="466"/>
      <c r="AB854" s="466"/>
      <c r="AC854" s="466"/>
      <c r="AD854" s="466"/>
      <c r="AE854" s="466"/>
    </row>
    <row r="855" spans="1:31" ht="11.25" customHeight="1" x14ac:dyDescent="0.2">
      <c r="A855" s="46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c r="AA855" s="466"/>
      <c r="AB855" s="466"/>
      <c r="AC855" s="466"/>
      <c r="AD855" s="466"/>
      <c r="AE855" s="466"/>
    </row>
    <row r="856" spans="1:31" ht="11.25" customHeight="1" x14ac:dyDescent="0.2">
      <c r="A856" s="46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c r="AA856" s="466"/>
      <c r="AB856" s="466"/>
      <c r="AC856" s="466"/>
      <c r="AD856" s="466"/>
      <c r="AE856" s="466"/>
    </row>
    <row r="857" spans="1:31" ht="11.25" customHeight="1" x14ac:dyDescent="0.2">
      <c r="A857" s="46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c r="AA857" s="466"/>
      <c r="AB857" s="466"/>
      <c r="AC857" s="466"/>
      <c r="AD857" s="466"/>
      <c r="AE857" s="466"/>
    </row>
    <row r="858" spans="1:31" ht="11.25" customHeight="1" x14ac:dyDescent="0.2">
      <c r="A858" s="46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c r="AA858" s="466"/>
      <c r="AB858" s="466"/>
      <c r="AC858" s="466"/>
      <c r="AD858" s="466"/>
      <c r="AE858" s="466"/>
    </row>
    <row r="859" spans="1:31" ht="11.25" customHeight="1" x14ac:dyDescent="0.2">
      <c r="A859" s="46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c r="AA859" s="466"/>
      <c r="AB859" s="466"/>
      <c r="AC859" s="466"/>
      <c r="AD859" s="466"/>
      <c r="AE859" s="466"/>
    </row>
    <row r="860" spans="1:31" ht="11.25" customHeight="1" x14ac:dyDescent="0.2">
      <c r="A860" s="46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c r="AA860" s="466"/>
      <c r="AB860" s="466"/>
      <c r="AC860" s="466"/>
      <c r="AD860" s="466"/>
      <c r="AE860" s="466"/>
    </row>
    <row r="861" spans="1:31" ht="11.25" customHeight="1" x14ac:dyDescent="0.2">
      <c r="A861" s="46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c r="AA861" s="466"/>
      <c r="AB861" s="466"/>
      <c r="AC861" s="466"/>
      <c r="AD861" s="466"/>
      <c r="AE861" s="466"/>
    </row>
    <row r="862" spans="1:31" ht="11.25" customHeight="1" x14ac:dyDescent="0.2">
      <c r="A862" s="46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c r="AA862" s="466"/>
      <c r="AB862" s="466"/>
      <c r="AC862" s="466"/>
      <c r="AD862" s="466"/>
      <c r="AE862" s="466"/>
    </row>
    <row r="863" spans="1:31" ht="11.25" customHeight="1" x14ac:dyDescent="0.2">
      <c r="A863" s="46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c r="AA863" s="466"/>
      <c r="AB863" s="466"/>
      <c r="AC863" s="466"/>
      <c r="AD863" s="466"/>
      <c r="AE863" s="466"/>
    </row>
    <row r="864" spans="1:31" ht="11.25" customHeight="1" x14ac:dyDescent="0.2">
      <c r="A864" s="46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c r="AA864" s="466"/>
      <c r="AB864" s="466"/>
      <c r="AC864" s="466"/>
      <c r="AD864" s="466"/>
      <c r="AE864" s="466"/>
    </row>
    <row r="865" spans="1:31" ht="11.25" customHeight="1" x14ac:dyDescent="0.2">
      <c r="A865" s="46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c r="AA865" s="466"/>
      <c r="AB865" s="466"/>
      <c r="AC865" s="466"/>
      <c r="AD865" s="466"/>
      <c r="AE865" s="466"/>
    </row>
    <row r="866" spans="1:31" ht="11.25" customHeight="1" x14ac:dyDescent="0.2">
      <c r="A866" s="46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c r="AA866" s="466"/>
      <c r="AB866" s="466"/>
      <c r="AC866" s="466"/>
      <c r="AD866" s="466"/>
      <c r="AE866" s="466"/>
    </row>
    <row r="867" spans="1:31" ht="11.25" customHeight="1" x14ac:dyDescent="0.2">
      <c r="A867" s="46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c r="AA867" s="466"/>
      <c r="AB867" s="466"/>
      <c r="AC867" s="466"/>
      <c r="AD867" s="466"/>
      <c r="AE867" s="466"/>
    </row>
    <row r="868" spans="1:31" ht="11.25" customHeight="1" x14ac:dyDescent="0.2">
      <c r="A868" s="46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c r="AA868" s="466"/>
      <c r="AB868" s="466"/>
      <c r="AC868" s="466"/>
      <c r="AD868" s="466"/>
      <c r="AE868" s="466"/>
    </row>
    <row r="869" spans="1:31" ht="11.25" customHeight="1" x14ac:dyDescent="0.2">
      <c r="A869" s="46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c r="AA869" s="466"/>
      <c r="AB869" s="466"/>
      <c r="AC869" s="466"/>
      <c r="AD869" s="466"/>
      <c r="AE869" s="466"/>
    </row>
    <row r="870" spans="1:31" ht="11.25" customHeight="1" x14ac:dyDescent="0.2">
      <c r="A870" s="46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c r="AA870" s="466"/>
      <c r="AB870" s="466"/>
      <c r="AC870" s="466"/>
      <c r="AD870" s="466"/>
      <c r="AE870" s="466"/>
    </row>
    <row r="871" spans="1:31" ht="11.25" customHeight="1" x14ac:dyDescent="0.2">
      <c r="A871" s="46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c r="AA871" s="466"/>
      <c r="AB871" s="466"/>
      <c r="AC871" s="466"/>
      <c r="AD871" s="466"/>
      <c r="AE871" s="466"/>
    </row>
    <row r="872" spans="1:31" ht="11.25" customHeight="1" x14ac:dyDescent="0.2">
      <c r="A872" s="46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c r="AA872" s="466"/>
      <c r="AB872" s="466"/>
      <c r="AC872" s="466"/>
      <c r="AD872" s="466"/>
      <c r="AE872" s="466"/>
    </row>
    <row r="873" spans="1:31" ht="11.25" customHeight="1" x14ac:dyDescent="0.2">
      <c r="A873" s="46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c r="AA873" s="466"/>
      <c r="AB873" s="466"/>
      <c r="AC873" s="466"/>
      <c r="AD873" s="466"/>
      <c r="AE873" s="466"/>
    </row>
    <row r="874" spans="1:31" ht="11.25" customHeight="1" x14ac:dyDescent="0.2">
      <c r="A874" s="46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c r="AA874" s="466"/>
      <c r="AB874" s="466"/>
      <c r="AC874" s="466"/>
      <c r="AD874" s="466"/>
      <c r="AE874" s="466"/>
    </row>
    <row r="875" spans="1:31" ht="11.25" customHeight="1" x14ac:dyDescent="0.2">
      <c r="A875" s="46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c r="AA875" s="466"/>
      <c r="AB875" s="466"/>
      <c r="AC875" s="466"/>
      <c r="AD875" s="466"/>
      <c r="AE875" s="466"/>
    </row>
    <row r="876" spans="1:31" ht="11.25" customHeight="1" x14ac:dyDescent="0.2">
      <c r="A876" s="46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c r="AA876" s="466"/>
      <c r="AB876" s="466"/>
      <c r="AC876" s="466"/>
      <c r="AD876" s="466"/>
      <c r="AE876" s="466"/>
    </row>
    <row r="877" spans="1:31" ht="11.25" customHeight="1" x14ac:dyDescent="0.2">
      <c r="A877" s="46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c r="AA877" s="466"/>
      <c r="AB877" s="466"/>
      <c r="AC877" s="466"/>
      <c r="AD877" s="466"/>
      <c r="AE877" s="466"/>
    </row>
    <row r="878" spans="1:31" ht="11.25" customHeight="1" x14ac:dyDescent="0.2">
      <c r="A878" s="46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c r="AA878" s="466"/>
      <c r="AB878" s="466"/>
      <c r="AC878" s="466"/>
      <c r="AD878" s="466"/>
      <c r="AE878" s="466"/>
    </row>
    <row r="879" spans="1:31" ht="11.25" customHeight="1" x14ac:dyDescent="0.2">
      <c r="A879" s="46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c r="AA879" s="466"/>
      <c r="AB879" s="466"/>
      <c r="AC879" s="466"/>
      <c r="AD879" s="466"/>
      <c r="AE879" s="466"/>
    </row>
    <row r="880" spans="1:31" ht="11.25" customHeight="1" x14ac:dyDescent="0.2">
      <c r="A880" s="46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c r="AA880" s="466"/>
      <c r="AB880" s="466"/>
      <c r="AC880" s="466"/>
      <c r="AD880" s="466"/>
      <c r="AE880" s="466"/>
    </row>
    <row r="881" spans="1:31" ht="11.25" customHeight="1" x14ac:dyDescent="0.2">
      <c r="A881" s="46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c r="AA881" s="466"/>
      <c r="AB881" s="466"/>
      <c r="AC881" s="466"/>
      <c r="AD881" s="466"/>
      <c r="AE881" s="466"/>
    </row>
    <row r="882" spans="1:31" ht="11.25" customHeight="1" x14ac:dyDescent="0.2">
      <c r="A882" s="46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c r="AA882" s="466"/>
      <c r="AB882" s="466"/>
      <c r="AC882" s="466"/>
      <c r="AD882" s="466"/>
      <c r="AE882" s="466"/>
    </row>
    <row r="883" spans="1:31" ht="11.25" customHeight="1" x14ac:dyDescent="0.2">
      <c r="A883" s="46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c r="AA883" s="466"/>
      <c r="AB883" s="466"/>
      <c r="AC883" s="466"/>
      <c r="AD883" s="466"/>
      <c r="AE883" s="466"/>
    </row>
    <row r="884" spans="1:31" ht="11.25" customHeight="1" x14ac:dyDescent="0.2">
      <c r="A884" s="46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c r="AA884" s="466"/>
      <c r="AB884" s="466"/>
      <c r="AC884" s="466"/>
      <c r="AD884" s="466"/>
      <c r="AE884" s="466"/>
    </row>
    <row r="885" spans="1:31" ht="11.25" customHeight="1" x14ac:dyDescent="0.2">
      <c r="A885" s="46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c r="AA885" s="466"/>
      <c r="AB885" s="466"/>
      <c r="AC885" s="466"/>
      <c r="AD885" s="466"/>
      <c r="AE885" s="466"/>
    </row>
    <row r="886" spans="1:31" ht="11.25" customHeight="1" x14ac:dyDescent="0.2">
      <c r="A886" s="46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c r="AA886" s="466"/>
      <c r="AB886" s="466"/>
      <c r="AC886" s="466"/>
      <c r="AD886" s="466"/>
      <c r="AE886" s="466"/>
    </row>
    <row r="887" spans="1:31" ht="11.25" customHeight="1" x14ac:dyDescent="0.2">
      <c r="A887" s="46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c r="AA887" s="466"/>
      <c r="AB887" s="466"/>
      <c r="AC887" s="466"/>
      <c r="AD887" s="466"/>
      <c r="AE887" s="466"/>
    </row>
    <row r="888" spans="1:31" ht="11.25" customHeight="1" x14ac:dyDescent="0.2">
      <c r="A888" s="46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c r="AA888" s="466"/>
      <c r="AB888" s="466"/>
      <c r="AC888" s="466"/>
      <c r="AD888" s="466"/>
      <c r="AE888" s="466"/>
    </row>
    <row r="889" spans="1:31" ht="11.25" customHeight="1" x14ac:dyDescent="0.2">
      <c r="A889" s="46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c r="AA889" s="466"/>
      <c r="AB889" s="466"/>
      <c r="AC889" s="466"/>
      <c r="AD889" s="466"/>
      <c r="AE889" s="466"/>
    </row>
    <row r="890" spans="1:31" ht="11.25" customHeight="1" x14ac:dyDescent="0.2">
      <c r="A890" s="46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c r="AA890" s="466"/>
      <c r="AB890" s="466"/>
      <c r="AC890" s="466"/>
      <c r="AD890" s="466"/>
      <c r="AE890" s="466"/>
    </row>
    <row r="891" spans="1:31" ht="11.25" customHeight="1" x14ac:dyDescent="0.2">
      <c r="A891" s="46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c r="AA891" s="466"/>
      <c r="AB891" s="466"/>
      <c r="AC891" s="466"/>
      <c r="AD891" s="466"/>
      <c r="AE891" s="466"/>
    </row>
    <row r="892" spans="1:31" ht="11.25" customHeight="1" x14ac:dyDescent="0.2">
      <c r="A892" s="46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c r="AA892" s="466"/>
      <c r="AB892" s="466"/>
      <c r="AC892" s="466"/>
      <c r="AD892" s="466"/>
      <c r="AE892" s="466"/>
    </row>
    <row r="893" spans="1:31" ht="11.25" customHeight="1" x14ac:dyDescent="0.2">
      <c r="A893" s="46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c r="AA893" s="466"/>
      <c r="AB893" s="466"/>
      <c r="AC893" s="466"/>
      <c r="AD893" s="466"/>
      <c r="AE893" s="466"/>
    </row>
    <row r="894" spans="1:31" ht="11.25" customHeight="1" x14ac:dyDescent="0.2">
      <c r="A894" s="46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c r="AA894" s="466"/>
      <c r="AB894" s="466"/>
      <c r="AC894" s="466"/>
      <c r="AD894" s="466"/>
      <c r="AE894" s="466"/>
    </row>
    <row r="895" spans="1:31" ht="11.25" customHeight="1" x14ac:dyDescent="0.2">
      <c r="A895" s="46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c r="AA895" s="466"/>
      <c r="AB895" s="466"/>
      <c r="AC895" s="466"/>
      <c r="AD895" s="466"/>
      <c r="AE895" s="466"/>
    </row>
    <row r="896" spans="1:31" ht="11.25" customHeight="1" x14ac:dyDescent="0.2">
      <c r="A896" s="46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c r="AA896" s="466"/>
      <c r="AB896" s="466"/>
      <c r="AC896" s="466"/>
      <c r="AD896" s="466"/>
      <c r="AE896" s="466"/>
    </row>
    <row r="897" spans="1:31" ht="11.25" customHeight="1" x14ac:dyDescent="0.2">
      <c r="A897" s="46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c r="AA897" s="466"/>
      <c r="AB897" s="466"/>
      <c r="AC897" s="466"/>
      <c r="AD897" s="466"/>
      <c r="AE897" s="466"/>
    </row>
    <row r="898" spans="1:31" ht="11.25" customHeight="1" x14ac:dyDescent="0.2">
      <c r="A898" s="46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c r="AA898" s="466"/>
      <c r="AB898" s="466"/>
      <c r="AC898" s="466"/>
      <c r="AD898" s="466"/>
      <c r="AE898" s="466"/>
    </row>
    <row r="899" spans="1:31" ht="11.25" customHeight="1" x14ac:dyDescent="0.2">
      <c r="A899" s="46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c r="AA899" s="466"/>
      <c r="AB899" s="466"/>
      <c r="AC899" s="466"/>
      <c r="AD899" s="466"/>
      <c r="AE899" s="466"/>
    </row>
    <row r="900" spans="1:31" ht="11.25" customHeight="1" x14ac:dyDescent="0.2">
      <c r="A900" s="46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c r="AA900" s="466"/>
      <c r="AB900" s="466"/>
      <c r="AC900" s="466"/>
      <c r="AD900" s="466"/>
      <c r="AE900" s="466"/>
    </row>
    <row r="901" spans="1:31" ht="11.25" customHeight="1" x14ac:dyDescent="0.2">
      <c r="A901" s="46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c r="AA901" s="466"/>
      <c r="AB901" s="466"/>
      <c r="AC901" s="466"/>
      <c r="AD901" s="466"/>
      <c r="AE901" s="466"/>
    </row>
    <row r="902" spans="1:31" ht="11.25" customHeight="1" x14ac:dyDescent="0.2">
      <c r="A902" s="46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c r="AA902" s="466"/>
      <c r="AB902" s="466"/>
      <c r="AC902" s="466"/>
      <c r="AD902" s="466"/>
      <c r="AE902" s="466"/>
    </row>
    <row r="903" spans="1:31" ht="11.25" customHeight="1" x14ac:dyDescent="0.2">
      <c r="A903" s="46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c r="AA903" s="466"/>
      <c r="AB903" s="466"/>
      <c r="AC903" s="466"/>
      <c r="AD903" s="466"/>
      <c r="AE903" s="466"/>
    </row>
    <row r="904" spans="1:31" ht="11.25" customHeight="1" x14ac:dyDescent="0.2">
      <c r="A904" s="46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c r="AA904" s="466"/>
      <c r="AB904" s="466"/>
      <c r="AC904" s="466"/>
      <c r="AD904" s="466"/>
      <c r="AE904" s="466"/>
    </row>
    <row r="905" spans="1:31" ht="11.25" customHeight="1" x14ac:dyDescent="0.2">
      <c r="A905" s="46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c r="AA905" s="466"/>
      <c r="AB905" s="466"/>
      <c r="AC905" s="466"/>
      <c r="AD905" s="466"/>
      <c r="AE905" s="466"/>
    </row>
    <row r="906" spans="1:31" ht="11.25" customHeight="1" x14ac:dyDescent="0.2">
      <c r="A906" s="46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c r="AA906" s="466"/>
      <c r="AB906" s="466"/>
      <c r="AC906" s="466"/>
      <c r="AD906" s="466"/>
      <c r="AE906" s="466"/>
    </row>
    <row r="907" spans="1:31" ht="11.25" customHeight="1" x14ac:dyDescent="0.2">
      <c r="A907" s="46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c r="AA907" s="466"/>
      <c r="AB907" s="466"/>
      <c r="AC907" s="466"/>
      <c r="AD907" s="466"/>
      <c r="AE907" s="466"/>
    </row>
    <row r="908" spans="1:31" ht="11.25" customHeight="1" x14ac:dyDescent="0.2">
      <c r="A908" s="46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c r="AA908" s="466"/>
      <c r="AB908" s="466"/>
      <c r="AC908" s="466"/>
      <c r="AD908" s="466"/>
      <c r="AE908" s="466"/>
    </row>
    <row r="909" spans="1:31" ht="11.25" customHeight="1" x14ac:dyDescent="0.2">
      <c r="A909" s="46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c r="AA909" s="466"/>
      <c r="AB909" s="466"/>
      <c r="AC909" s="466"/>
      <c r="AD909" s="466"/>
      <c r="AE909" s="466"/>
    </row>
    <row r="910" spans="1:31" ht="11.25" customHeight="1" x14ac:dyDescent="0.2">
      <c r="A910" s="46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c r="AA910" s="466"/>
      <c r="AB910" s="466"/>
      <c r="AC910" s="466"/>
      <c r="AD910" s="466"/>
      <c r="AE910" s="466"/>
    </row>
    <row r="911" spans="1:31" ht="11.25" customHeight="1" x14ac:dyDescent="0.2">
      <c r="A911" s="46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c r="AA911" s="466"/>
      <c r="AB911" s="466"/>
      <c r="AC911" s="466"/>
      <c r="AD911" s="466"/>
      <c r="AE911" s="466"/>
    </row>
    <row r="912" spans="1:31" ht="11.25" customHeight="1" x14ac:dyDescent="0.2">
      <c r="A912" s="46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c r="AA912" s="466"/>
      <c r="AB912" s="466"/>
      <c r="AC912" s="466"/>
      <c r="AD912" s="466"/>
      <c r="AE912" s="466"/>
    </row>
    <row r="913" spans="1:31" ht="11.25" customHeight="1" x14ac:dyDescent="0.2">
      <c r="A913" s="46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c r="AA913" s="466"/>
      <c r="AB913" s="466"/>
      <c r="AC913" s="466"/>
      <c r="AD913" s="466"/>
      <c r="AE913" s="466"/>
    </row>
    <row r="914" spans="1:31" ht="11.25" customHeight="1" x14ac:dyDescent="0.2">
      <c r="A914" s="46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c r="AA914" s="466"/>
      <c r="AB914" s="466"/>
      <c r="AC914" s="466"/>
      <c r="AD914" s="466"/>
      <c r="AE914" s="466"/>
    </row>
    <row r="915" spans="1:31" ht="11.25" customHeight="1" x14ac:dyDescent="0.2">
      <c r="A915" s="46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c r="AA915" s="466"/>
      <c r="AB915" s="466"/>
      <c r="AC915" s="466"/>
      <c r="AD915" s="466"/>
      <c r="AE915" s="466"/>
    </row>
    <row r="916" spans="1:31" ht="11.25" customHeight="1" x14ac:dyDescent="0.2">
      <c r="A916" s="46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c r="AA916" s="466"/>
      <c r="AB916" s="466"/>
      <c r="AC916" s="466"/>
      <c r="AD916" s="466"/>
      <c r="AE916" s="466"/>
    </row>
    <row r="917" spans="1:31" ht="11.25" customHeight="1" x14ac:dyDescent="0.2">
      <c r="A917" s="46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c r="AA917" s="466"/>
      <c r="AB917" s="466"/>
      <c r="AC917" s="466"/>
      <c r="AD917" s="466"/>
      <c r="AE917" s="466"/>
    </row>
    <row r="918" spans="1:31" ht="11.25" customHeight="1" x14ac:dyDescent="0.2">
      <c r="A918" s="46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c r="AA918" s="466"/>
      <c r="AB918" s="466"/>
      <c r="AC918" s="466"/>
      <c r="AD918" s="466"/>
      <c r="AE918" s="466"/>
    </row>
    <row r="919" spans="1:31" ht="11.25" customHeight="1" x14ac:dyDescent="0.2">
      <c r="A919" s="46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c r="AA919" s="466"/>
      <c r="AB919" s="466"/>
      <c r="AC919" s="466"/>
      <c r="AD919" s="466"/>
      <c r="AE919" s="466"/>
    </row>
    <row r="920" spans="1:31" ht="11.25" customHeight="1" x14ac:dyDescent="0.2">
      <c r="A920" s="46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c r="AA920" s="466"/>
      <c r="AB920" s="466"/>
      <c r="AC920" s="466"/>
      <c r="AD920" s="466"/>
      <c r="AE920" s="466"/>
    </row>
    <row r="921" spans="1:31" ht="11.25" customHeight="1" x14ac:dyDescent="0.2">
      <c r="A921" s="46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c r="AA921" s="466"/>
      <c r="AB921" s="466"/>
      <c r="AC921" s="466"/>
      <c r="AD921" s="466"/>
      <c r="AE921" s="466"/>
    </row>
    <row r="922" spans="1:31" ht="11.25" customHeight="1" x14ac:dyDescent="0.2">
      <c r="A922" s="46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c r="AA922" s="466"/>
      <c r="AB922" s="466"/>
      <c r="AC922" s="466"/>
      <c r="AD922" s="466"/>
      <c r="AE922" s="466"/>
    </row>
    <row r="923" spans="1:31" ht="11.25" customHeight="1" x14ac:dyDescent="0.2">
      <c r="A923" s="46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c r="AA923" s="466"/>
      <c r="AB923" s="466"/>
      <c r="AC923" s="466"/>
      <c r="AD923" s="466"/>
      <c r="AE923" s="466"/>
    </row>
    <row r="924" spans="1:31" ht="11.25" customHeight="1" x14ac:dyDescent="0.2">
      <c r="A924" s="46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c r="AA924" s="466"/>
      <c r="AB924" s="466"/>
      <c r="AC924" s="466"/>
      <c r="AD924" s="466"/>
      <c r="AE924" s="466"/>
    </row>
    <row r="925" spans="1:31" ht="11.25" customHeight="1" x14ac:dyDescent="0.2">
      <c r="A925" s="46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c r="AA925" s="466"/>
      <c r="AB925" s="466"/>
      <c r="AC925" s="466"/>
      <c r="AD925" s="466"/>
      <c r="AE925" s="466"/>
    </row>
    <row r="926" spans="1:31" ht="11.25" customHeight="1" x14ac:dyDescent="0.2">
      <c r="A926" s="46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c r="AA926" s="466"/>
      <c r="AB926" s="466"/>
      <c r="AC926" s="466"/>
      <c r="AD926" s="466"/>
      <c r="AE926" s="466"/>
    </row>
    <row r="927" spans="1:31" ht="11.25" customHeight="1" x14ac:dyDescent="0.2">
      <c r="A927" s="46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c r="AA927" s="466"/>
      <c r="AB927" s="466"/>
      <c r="AC927" s="466"/>
      <c r="AD927" s="466"/>
      <c r="AE927" s="466"/>
    </row>
    <row r="928" spans="1:31" ht="11.25" customHeight="1" x14ac:dyDescent="0.2">
      <c r="A928" s="46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c r="AA928" s="466"/>
      <c r="AB928" s="466"/>
      <c r="AC928" s="466"/>
      <c r="AD928" s="466"/>
      <c r="AE928" s="466"/>
    </row>
    <row r="929" spans="1:31" ht="11.25" customHeight="1" x14ac:dyDescent="0.2">
      <c r="A929" s="46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c r="AA929" s="466"/>
      <c r="AB929" s="466"/>
      <c r="AC929" s="466"/>
      <c r="AD929" s="466"/>
      <c r="AE929" s="466"/>
    </row>
    <row r="930" spans="1:31" ht="11.25" customHeight="1" x14ac:dyDescent="0.2">
      <c r="A930" s="46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c r="AA930" s="466"/>
      <c r="AB930" s="466"/>
      <c r="AC930" s="466"/>
      <c r="AD930" s="466"/>
      <c r="AE930" s="466"/>
    </row>
    <row r="931" spans="1:31" ht="11.25" customHeight="1" x14ac:dyDescent="0.2">
      <c r="A931" s="46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c r="AA931" s="466"/>
      <c r="AB931" s="466"/>
      <c r="AC931" s="466"/>
      <c r="AD931" s="466"/>
      <c r="AE931" s="466"/>
    </row>
    <row r="932" spans="1:31" ht="11.25" customHeight="1" x14ac:dyDescent="0.2">
      <c r="A932" s="46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c r="AA932" s="466"/>
      <c r="AB932" s="466"/>
      <c r="AC932" s="466"/>
      <c r="AD932" s="466"/>
      <c r="AE932" s="466"/>
    </row>
    <row r="933" spans="1:31" ht="11.25" customHeight="1" x14ac:dyDescent="0.2">
      <c r="A933" s="46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c r="AA933" s="466"/>
      <c r="AB933" s="466"/>
      <c r="AC933" s="466"/>
      <c r="AD933" s="466"/>
      <c r="AE933" s="466"/>
    </row>
    <row r="934" spans="1:31" ht="11.25" customHeight="1" x14ac:dyDescent="0.2">
      <c r="A934" s="46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c r="AA934" s="466"/>
      <c r="AB934" s="466"/>
      <c r="AC934" s="466"/>
      <c r="AD934" s="466"/>
      <c r="AE934" s="466"/>
    </row>
    <row r="935" spans="1:31" ht="11.25" customHeight="1" x14ac:dyDescent="0.2">
      <c r="A935" s="46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c r="AA935" s="466"/>
      <c r="AB935" s="466"/>
      <c r="AC935" s="466"/>
      <c r="AD935" s="466"/>
      <c r="AE935" s="466"/>
    </row>
    <row r="936" spans="1:31" ht="11.25" customHeight="1" x14ac:dyDescent="0.2">
      <c r="A936" s="46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c r="AA936" s="466"/>
      <c r="AB936" s="466"/>
      <c r="AC936" s="466"/>
      <c r="AD936" s="466"/>
      <c r="AE936" s="466"/>
    </row>
    <row r="937" spans="1:31" ht="11.25" customHeight="1" x14ac:dyDescent="0.2">
      <c r="A937" s="46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c r="AA937" s="466"/>
      <c r="AB937" s="466"/>
      <c r="AC937" s="466"/>
      <c r="AD937" s="466"/>
      <c r="AE937" s="466"/>
    </row>
    <row r="938" spans="1:31" ht="11.25" customHeight="1" x14ac:dyDescent="0.2">
      <c r="A938" s="46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c r="AA938" s="466"/>
      <c r="AB938" s="466"/>
      <c r="AC938" s="466"/>
      <c r="AD938" s="466"/>
      <c r="AE938" s="466"/>
    </row>
    <row r="939" spans="1:31" ht="11.25" customHeight="1" x14ac:dyDescent="0.2">
      <c r="A939" s="46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c r="AA939" s="466"/>
      <c r="AB939" s="466"/>
      <c r="AC939" s="466"/>
      <c r="AD939" s="466"/>
      <c r="AE939" s="466"/>
    </row>
    <row r="940" spans="1:31" ht="11.25" customHeight="1" x14ac:dyDescent="0.2">
      <c r="A940" s="46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c r="AA940" s="466"/>
      <c r="AB940" s="466"/>
      <c r="AC940" s="466"/>
      <c r="AD940" s="466"/>
      <c r="AE940" s="466"/>
    </row>
    <row r="941" spans="1:31" ht="11.25" customHeight="1" x14ac:dyDescent="0.2">
      <c r="A941" s="46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c r="AA941" s="466"/>
      <c r="AB941" s="466"/>
      <c r="AC941" s="466"/>
      <c r="AD941" s="466"/>
      <c r="AE941" s="466"/>
    </row>
    <row r="942" spans="1:31" ht="11.25" customHeight="1" x14ac:dyDescent="0.2">
      <c r="A942" s="46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c r="AA942" s="466"/>
      <c r="AB942" s="466"/>
      <c r="AC942" s="466"/>
      <c r="AD942" s="466"/>
      <c r="AE942" s="466"/>
    </row>
    <row r="943" spans="1:31" ht="11.25" customHeight="1" x14ac:dyDescent="0.2">
      <c r="A943" s="46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c r="AA943" s="466"/>
      <c r="AB943" s="466"/>
      <c r="AC943" s="466"/>
      <c r="AD943" s="466"/>
      <c r="AE943" s="466"/>
    </row>
    <row r="944" spans="1:31" ht="11.25" customHeight="1" x14ac:dyDescent="0.2">
      <c r="A944" s="46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c r="AA944" s="466"/>
      <c r="AB944" s="466"/>
      <c r="AC944" s="466"/>
      <c r="AD944" s="466"/>
      <c r="AE944" s="466"/>
    </row>
    <row r="945" spans="1:31" ht="11.25" customHeight="1" x14ac:dyDescent="0.2">
      <c r="A945" s="46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c r="AA945" s="466"/>
      <c r="AB945" s="466"/>
      <c r="AC945" s="466"/>
      <c r="AD945" s="466"/>
      <c r="AE945" s="466"/>
    </row>
    <row r="946" spans="1:31" ht="11.25" customHeight="1" x14ac:dyDescent="0.2">
      <c r="A946" s="46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c r="AA946" s="466"/>
      <c r="AB946" s="466"/>
      <c r="AC946" s="466"/>
      <c r="AD946" s="466"/>
      <c r="AE946" s="466"/>
    </row>
    <row r="947" spans="1:31" ht="11.25" customHeight="1" x14ac:dyDescent="0.2">
      <c r="A947" s="46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c r="AA947" s="466"/>
      <c r="AB947" s="466"/>
      <c r="AC947" s="466"/>
      <c r="AD947" s="466"/>
      <c r="AE947" s="466"/>
    </row>
    <row r="948" spans="1:31" ht="11.25" customHeight="1" x14ac:dyDescent="0.2">
      <c r="A948" s="46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c r="AA948" s="466"/>
      <c r="AB948" s="466"/>
      <c r="AC948" s="466"/>
      <c r="AD948" s="466"/>
      <c r="AE948" s="466"/>
    </row>
    <row r="949" spans="1:31" ht="11.25" customHeight="1" x14ac:dyDescent="0.2">
      <c r="A949" s="46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c r="AA949" s="466"/>
      <c r="AB949" s="466"/>
      <c r="AC949" s="466"/>
      <c r="AD949" s="466"/>
      <c r="AE949" s="466"/>
    </row>
    <row r="950" spans="1:31" ht="11.25" customHeight="1" x14ac:dyDescent="0.2">
      <c r="A950" s="46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c r="AA950" s="466"/>
      <c r="AB950" s="466"/>
      <c r="AC950" s="466"/>
      <c r="AD950" s="466"/>
      <c r="AE950" s="466"/>
    </row>
    <row r="951" spans="1:31" ht="11.25" customHeight="1" x14ac:dyDescent="0.2">
      <c r="A951" s="46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c r="AA951" s="466"/>
      <c r="AB951" s="466"/>
      <c r="AC951" s="466"/>
      <c r="AD951" s="466"/>
      <c r="AE951" s="466"/>
    </row>
    <row r="952" spans="1:31" ht="11.25" customHeight="1" x14ac:dyDescent="0.2">
      <c r="A952" s="46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c r="AA952" s="466"/>
      <c r="AB952" s="466"/>
      <c r="AC952" s="466"/>
      <c r="AD952" s="466"/>
      <c r="AE952" s="466"/>
    </row>
    <row r="953" spans="1:31" ht="11.25" customHeight="1" x14ac:dyDescent="0.2">
      <c r="A953" s="46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c r="AA953" s="466"/>
      <c r="AB953" s="466"/>
      <c r="AC953" s="466"/>
      <c r="AD953" s="466"/>
      <c r="AE953" s="466"/>
    </row>
    <row r="954" spans="1:31" ht="11.25" customHeight="1" x14ac:dyDescent="0.2">
      <c r="A954" s="46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c r="AA954" s="466"/>
      <c r="AB954" s="466"/>
      <c r="AC954" s="466"/>
      <c r="AD954" s="466"/>
      <c r="AE954" s="466"/>
    </row>
    <row r="955" spans="1:31" ht="11.25" customHeight="1" x14ac:dyDescent="0.2">
      <c r="A955" s="46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c r="AA955" s="466"/>
      <c r="AB955" s="466"/>
      <c r="AC955" s="466"/>
      <c r="AD955" s="466"/>
      <c r="AE955" s="466"/>
    </row>
    <row r="956" spans="1:31" ht="11.25" customHeight="1" x14ac:dyDescent="0.2">
      <c r="A956" s="46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c r="AA956" s="466"/>
      <c r="AB956" s="466"/>
      <c r="AC956" s="466"/>
      <c r="AD956" s="466"/>
      <c r="AE956" s="466"/>
    </row>
    <row r="957" spans="1:31" ht="11.25" customHeight="1" x14ac:dyDescent="0.2">
      <c r="A957" s="46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c r="AA957" s="466"/>
      <c r="AB957" s="466"/>
      <c r="AC957" s="466"/>
      <c r="AD957" s="466"/>
      <c r="AE957" s="466"/>
    </row>
    <row r="958" spans="1:31" ht="11.25" customHeight="1" x14ac:dyDescent="0.2">
      <c r="A958" s="46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c r="AA958" s="466"/>
      <c r="AB958" s="466"/>
      <c r="AC958" s="466"/>
      <c r="AD958" s="466"/>
      <c r="AE958" s="466"/>
    </row>
    <row r="959" spans="1:31" ht="11.25" customHeight="1" x14ac:dyDescent="0.2">
      <c r="A959" s="46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c r="AA959" s="466"/>
      <c r="AB959" s="466"/>
      <c r="AC959" s="466"/>
      <c r="AD959" s="466"/>
      <c r="AE959" s="466"/>
    </row>
    <row r="960" spans="1:31" ht="11.25" customHeight="1" x14ac:dyDescent="0.2">
      <c r="A960" s="46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c r="AA960" s="466"/>
      <c r="AB960" s="466"/>
      <c r="AC960" s="466"/>
      <c r="AD960" s="466"/>
      <c r="AE960" s="466"/>
    </row>
    <row r="961" spans="1:31" ht="11.25" customHeight="1" x14ac:dyDescent="0.2">
      <c r="A961" s="46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c r="AA961" s="466"/>
      <c r="AB961" s="466"/>
      <c r="AC961" s="466"/>
      <c r="AD961" s="466"/>
      <c r="AE961" s="466"/>
    </row>
    <row r="962" spans="1:31" ht="11.25" customHeight="1" x14ac:dyDescent="0.2">
      <c r="A962" s="46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c r="AA962" s="466"/>
      <c r="AB962" s="466"/>
      <c r="AC962" s="466"/>
      <c r="AD962" s="466"/>
      <c r="AE962" s="466"/>
    </row>
    <row r="963" spans="1:31" ht="11.25" customHeight="1" x14ac:dyDescent="0.2">
      <c r="A963" s="46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c r="AA963" s="466"/>
      <c r="AB963" s="466"/>
      <c r="AC963" s="466"/>
      <c r="AD963" s="466"/>
      <c r="AE963" s="466"/>
    </row>
    <row r="964" spans="1:31" ht="11.25" customHeight="1" x14ac:dyDescent="0.2">
      <c r="A964" s="46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c r="AA964" s="466"/>
      <c r="AB964" s="466"/>
      <c r="AC964" s="466"/>
      <c r="AD964" s="466"/>
      <c r="AE964" s="466"/>
    </row>
    <row r="965" spans="1:31" ht="11.25" customHeight="1" x14ac:dyDescent="0.2">
      <c r="A965" s="46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c r="AA965" s="466"/>
      <c r="AB965" s="466"/>
      <c r="AC965" s="466"/>
      <c r="AD965" s="466"/>
      <c r="AE965" s="466"/>
    </row>
    <row r="966" spans="1:31" ht="11.25" customHeight="1" x14ac:dyDescent="0.2">
      <c r="A966" s="46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c r="AA966" s="466"/>
      <c r="AB966" s="466"/>
      <c r="AC966" s="466"/>
      <c r="AD966" s="466"/>
      <c r="AE966" s="466"/>
    </row>
    <row r="967" spans="1:31" ht="11.25" customHeight="1" x14ac:dyDescent="0.2">
      <c r="A967" s="46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c r="AA967" s="466"/>
      <c r="AB967" s="466"/>
      <c r="AC967" s="466"/>
      <c r="AD967" s="466"/>
      <c r="AE967" s="466"/>
    </row>
    <row r="968" spans="1:31" ht="11.25" customHeight="1" x14ac:dyDescent="0.2">
      <c r="A968" s="46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c r="AA968" s="466"/>
      <c r="AB968" s="466"/>
      <c r="AC968" s="466"/>
      <c r="AD968" s="466"/>
      <c r="AE968" s="466"/>
    </row>
    <row r="969" spans="1:31" ht="11.25" customHeight="1" x14ac:dyDescent="0.2">
      <c r="A969" s="46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c r="AA969" s="466"/>
      <c r="AB969" s="466"/>
      <c r="AC969" s="466"/>
      <c r="AD969" s="466"/>
      <c r="AE969" s="466"/>
    </row>
    <row r="970" spans="1:31" ht="11.25" customHeight="1" x14ac:dyDescent="0.2">
      <c r="A970" s="46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c r="AA970" s="466"/>
      <c r="AB970" s="466"/>
      <c r="AC970" s="466"/>
      <c r="AD970" s="466"/>
      <c r="AE970" s="466"/>
    </row>
    <row r="971" spans="1:31" ht="11.25" customHeight="1" x14ac:dyDescent="0.2">
      <c r="A971" s="46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c r="AA971" s="466"/>
      <c r="AB971" s="466"/>
      <c r="AC971" s="466"/>
      <c r="AD971" s="466"/>
      <c r="AE971" s="466"/>
    </row>
    <row r="972" spans="1:31" ht="11.25" customHeight="1" x14ac:dyDescent="0.2">
      <c r="A972" s="46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c r="AA972" s="466"/>
      <c r="AB972" s="466"/>
      <c r="AC972" s="466"/>
      <c r="AD972" s="466"/>
      <c r="AE972" s="466"/>
    </row>
    <row r="973" spans="1:31" ht="11.25" customHeight="1" x14ac:dyDescent="0.2">
      <c r="A973" s="46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c r="AA973" s="466"/>
      <c r="AB973" s="466"/>
      <c r="AC973" s="466"/>
      <c r="AD973" s="466"/>
      <c r="AE973" s="466"/>
    </row>
    <row r="974" spans="1:31" ht="11.25" customHeight="1" x14ac:dyDescent="0.2">
      <c r="A974" s="46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c r="AA974" s="466"/>
      <c r="AB974" s="466"/>
      <c r="AC974" s="466"/>
      <c r="AD974" s="466"/>
      <c r="AE974" s="466"/>
    </row>
    <row r="975" spans="1:31" ht="11.25" customHeight="1" x14ac:dyDescent="0.2">
      <c r="A975" s="46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c r="AA975" s="466"/>
      <c r="AB975" s="466"/>
      <c r="AC975" s="466"/>
      <c r="AD975" s="466"/>
      <c r="AE975" s="466"/>
    </row>
    <row r="976" spans="1:31" ht="11.25" customHeight="1" x14ac:dyDescent="0.2">
      <c r="A976" s="46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c r="AA976" s="466"/>
      <c r="AB976" s="466"/>
      <c r="AC976" s="466"/>
      <c r="AD976" s="466"/>
      <c r="AE976" s="466"/>
    </row>
    <row r="977" spans="1:31" ht="11.25" customHeight="1" x14ac:dyDescent="0.2">
      <c r="A977" s="46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c r="AA977" s="466"/>
      <c r="AB977" s="466"/>
      <c r="AC977" s="466"/>
      <c r="AD977" s="466"/>
      <c r="AE977" s="466"/>
    </row>
    <row r="978" spans="1:31" ht="11.25" customHeight="1" x14ac:dyDescent="0.2">
      <c r="A978" s="46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c r="AA978" s="466"/>
      <c r="AB978" s="466"/>
      <c r="AC978" s="466"/>
      <c r="AD978" s="466"/>
      <c r="AE978" s="466"/>
    </row>
    <row r="979" spans="1:31" ht="11.25" customHeight="1" x14ac:dyDescent="0.2">
      <c r="A979" s="46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c r="AA979" s="466"/>
      <c r="AB979" s="466"/>
      <c r="AC979" s="466"/>
      <c r="AD979" s="466"/>
      <c r="AE979" s="466"/>
    </row>
    <row r="980" spans="1:31" ht="11.25" customHeight="1" x14ac:dyDescent="0.2">
      <c r="A980" s="46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c r="AA980" s="466"/>
      <c r="AB980" s="466"/>
      <c r="AC980" s="466"/>
      <c r="AD980" s="466"/>
      <c r="AE980" s="466"/>
    </row>
    <row r="981" spans="1:31" ht="11.25" customHeight="1" x14ac:dyDescent="0.2">
      <c r="A981" s="46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c r="AA981" s="466"/>
      <c r="AB981" s="466"/>
      <c r="AC981" s="466"/>
      <c r="AD981" s="466"/>
      <c r="AE981" s="466"/>
    </row>
    <row r="982" spans="1:31" ht="11.25" customHeight="1" x14ac:dyDescent="0.2">
      <c r="A982" s="46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c r="AA982" s="466"/>
      <c r="AB982" s="466"/>
      <c r="AC982" s="466"/>
      <c r="AD982" s="466"/>
      <c r="AE982" s="466"/>
    </row>
    <row r="983" spans="1:31" ht="11.25" customHeight="1" x14ac:dyDescent="0.2">
      <c r="A983" s="46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c r="AA983" s="466"/>
      <c r="AB983" s="466"/>
      <c r="AC983" s="466"/>
      <c r="AD983" s="466"/>
      <c r="AE983" s="466"/>
    </row>
    <row r="984" spans="1:31" ht="11.25" customHeight="1" x14ac:dyDescent="0.2">
      <c r="A984" s="46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c r="AA984" s="466"/>
      <c r="AB984" s="466"/>
      <c r="AC984" s="466"/>
      <c r="AD984" s="466"/>
      <c r="AE984" s="466"/>
    </row>
    <row r="985" spans="1:31" ht="11.25" customHeight="1" x14ac:dyDescent="0.2">
      <c r="A985" s="46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c r="AA985" s="466"/>
      <c r="AB985" s="466"/>
      <c r="AC985" s="466"/>
      <c r="AD985" s="466"/>
      <c r="AE985" s="466"/>
    </row>
    <row r="986" spans="1:31" ht="11.25" customHeight="1" x14ac:dyDescent="0.2">
      <c r="A986" s="46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c r="AA986" s="466"/>
      <c r="AB986" s="466"/>
      <c r="AC986" s="466"/>
      <c r="AD986" s="466"/>
      <c r="AE986" s="466"/>
    </row>
    <row r="987" spans="1:31" ht="11.25" customHeight="1" x14ac:dyDescent="0.2">
      <c r="A987" s="46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c r="AA987" s="466"/>
      <c r="AB987" s="466"/>
      <c r="AC987" s="466"/>
      <c r="AD987" s="466"/>
      <c r="AE987" s="466"/>
    </row>
    <row r="988" spans="1:31" ht="11.25" customHeight="1" x14ac:dyDescent="0.2">
      <c r="A988" s="46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c r="AA988" s="466"/>
      <c r="AB988" s="466"/>
      <c r="AC988" s="466"/>
      <c r="AD988" s="466"/>
      <c r="AE988" s="466"/>
    </row>
    <row r="989" spans="1:31" ht="11.25" customHeight="1" x14ac:dyDescent="0.2">
      <c r="A989" s="46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c r="AA989" s="466"/>
      <c r="AB989" s="466"/>
      <c r="AC989" s="466"/>
      <c r="AD989" s="466"/>
      <c r="AE989" s="466"/>
    </row>
    <row r="990" spans="1:31" ht="11.25" customHeight="1" x14ac:dyDescent="0.2">
      <c r="A990" s="46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c r="AA990" s="466"/>
      <c r="AB990" s="466"/>
      <c r="AC990" s="466"/>
      <c r="AD990" s="466"/>
      <c r="AE990" s="466"/>
    </row>
    <row r="991" spans="1:31" ht="11.25" customHeight="1" x14ac:dyDescent="0.2">
      <c r="A991" s="46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c r="AA991" s="466"/>
      <c r="AB991" s="466"/>
      <c r="AC991" s="466"/>
      <c r="AD991" s="466"/>
      <c r="AE991" s="466"/>
    </row>
    <row r="992" spans="1:31" ht="11.25" customHeight="1" x14ac:dyDescent="0.2">
      <c r="A992" s="46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c r="AA992" s="466"/>
      <c r="AB992" s="466"/>
      <c r="AC992" s="466"/>
      <c r="AD992" s="466"/>
      <c r="AE992" s="466"/>
    </row>
    <row r="993" spans="1:31" ht="11.25" customHeight="1" x14ac:dyDescent="0.2">
      <c r="A993" s="46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c r="AA993" s="466"/>
      <c r="AB993" s="466"/>
      <c r="AC993" s="466"/>
      <c r="AD993" s="466"/>
      <c r="AE993" s="466"/>
    </row>
    <row r="994" spans="1:31" ht="11.25" customHeight="1" x14ac:dyDescent="0.2">
      <c r="A994" s="46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c r="AA994" s="466"/>
      <c r="AB994" s="466"/>
      <c r="AC994" s="466"/>
      <c r="AD994" s="466"/>
      <c r="AE994" s="466"/>
    </row>
    <row r="995" spans="1:31" ht="11.25" customHeight="1" x14ac:dyDescent="0.2">
      <c r="A995" s="46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c r="AA995" s="466"/>
      <c r="AB995" s="466"/>
      <c r="AC995" s="466"/>
      <c r="AD995" s="466"/>
      <c r="AE995" s="466"/>
    </row>
    <row r="996" spans="1:31" ht="11.25" customHeight="1" x14ac:dyDescent="0.2">
      <c r="A996" s="46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c r="AA996" s="466"/>
      <c r="AB996" s="466"/>
      <c r="AC996" s="466"/>
      <c r="AD996" s="466"/>
      <c r="AE996" s="466"/>
    </row>
    <row r="997" spans="1:31" ht="11.25" customHeight="1" x14ac:dyDescent="0.2">
      <c r="A997" s="46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c r="AA997" s="466"/>
      <c r="AB997" s="466"/>
      <c r="AC997" s="466"/>
      <c r="AD997" s="466"/>
      <c r="AE997" s="466"/>
    </row>
    <row r="998" spans="1:31" ht="11.25" customHeight="1" x14ac:dyDescent="0.2">
      <c r="A998" s="46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c r="AA998" s="466"/>
      <c r="AB998" s="466"/>
      <c r="AC998" s="466"/>
      <c r="AD998" s="466"/>
      <c r="AE998" s="466"/>
    </row>
    <row r="999" spans="1:31" ht="11.25" customHeight="1" x14ac:dyDescent="0.2">
      <c r="A999" s="46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c r="AA999" s="466"/>
      <c r="AB999" s="466"/>
      <c r="AC999" s="466"/>
      <c r="AD999" s="466"/>
      <c r="AE999" s="466"/>
    </row>
    <row r="1000" spans="1:31" ht="11.25" customHeight="1" x14ac:dyDescent="0.2">
      <c r="A1000" s="46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c r="AA1000" s="466"/>
      <c r="AB1000" s="466"/>
      <c r="AC1000" s="466"/>
      <c r="AD1000" s="466"/>
      <c r="AE1000" s="466"/>
    </row>
    <row r="1001" spans="1:31" ht="11.25" customHeight="1" x14ac:dyDescent="0.2">
      <c r="A1001" s="466"/>
      <c r="B1001" s="466"/>
      <c r="C1001" s="466"/>
      <c r="D1001" s="466"/>
      <c r="E1001" s="466"/>
      <c r="F1001" s="466"/>
      <c r="G1001" s="466"/>
      <c r="H1001" s="466"/>
      <c r="I1001" s="466"/>
      <c r="J1001" s="466"/>
      <c r="K1001" s="466"/>
      <c r="L1001" s="466"/>
      <c r="M1001" s="466"/>
      <c r="N1001" s="466"/>
      <c r="O1001" s="466"/>
      <c r="P1001" s="466"/>
      <c r="Q1001" s="466"/>
      <c r="R1001" s="466"/>
      <c r="S1001" s="466"/>
      <c r="T1001" s="466"/>
      <c r="U1001" s="466"/>
      <c r="V1001" s="466"/>
      <c r="W1001" s="466"/>
      <c r="X1001" s="466"/>
      <c r="Y1001" s="466"/>
      <c r="Z1001" s="466"/>
      <c r="AA1001" s="466"/>
      <c r="AB1001" s="466"/>
      <c r="AC1001" s="466"/>
      <c r="AD1001" s="466"/>
      <c r="AE1001" s="466"/>
    </row>
    <row r="1002" spans="1:31" ht="11.25" customHeight="1" x14ac:dyDescent="0.2">
      <c r="A1002" s="466"/>
      <c r="B1002" s="466"/>
      <c r="C1002" s="466"/>
      <c r="D1002" s="466"/>
      <c r="E1002" s="466"/>
      <c r="F1002" s="466"/>
      <c r="G1002" s="466"/>
      <c r="H1002" s="466"/>
      <c r="I1002" s="466"/>
      <c r="J1002" s="466"/>
      <c r="K1002" s="466"/>
      <c r="L1002" s="466"/>
      <c r="M1002" s="466"/>
      <c r="N1002" s="466"/>
      <c r="O1002" s="466"/>
      <c r="P1002" s="466"/>
      <c r="Q1002" s="466"/>
      <c r="R1002" s="466"/>
      <c r="S1002" s="466"/>
      <c r="T1002" s="466"/>
      <c r="U1002" s="466"/>
      <c r="V1002" s="466"/>
      <c r="W1002" s="466"/>
      <c r="X1002" s="466"/>
      <c r="Y1002" s="466"/>
      <c r="Z1002" s="466"/>
      <c r="AA1002" s="466"/>
      <c r="AB1002" s="466"/>
      <c r="AC1002" s="466"/>
      <c r="AD1002" s="466"/>
      <c r="AE1002" s="466"/>
    </row>
    <row r="1003" spans="1:31" ht="11.25" customHeight="1" x14ac:dyDescent="0.2">
      <c r="A1003" s="466"/>
      <c r="B1003" s="466"/>
      <c r="C1003" s="466"/>
      <c r="D1003" s="466"/>
      <c r="E1003" s="466"/>
      <c r="F1003" s="466"/>
      <c r="G1003" s="466"/>
      <c r="H1003" s="466"/>
      <c r="I1003" s="466"/>
      <c r="J1003" s="466"/>
      <c r="K1003" s="466"/>
      <c r="L1003" s="466"/>
      <c r="M1003" s="466"/>
      <c r="N1003" s="466"/>
      <c r="O1003" s="466"/>
      <c r="P1003" s="466"/>
      <c r="Q1003" s="466"/>
      <c r="R1003" s="466"/>
      <c r="S1003" s="466"/>
      <c r="T1003" s="466"/>
      <c r="U1003" s="466"/>
      <c r="V1003" s="466"/>
      <c r="W1003" s="466"/>
      <c r="X1003" s="466"/>
      <c r="Y1003" s="466"/>
      <c r="Z1003" s="466"/>
      <c r="AA1003" s="466"/>
      <c r="AB1003" s="466"/>
      <c r="AC1003" s="466"/>
      <c r="AD1003" s="466"/>
      <c r="AE1003" s="466"/>
    </row>
    <row r="1004" spans="1:31" ht="11.25" customHeight="1" x14ac:dyDescent="0.2">
      <c r="A1004" s="466"/>
      <c r="B1004" s="466"/>
      <c r="C1004" s="466"/>
      <c r="D1004" s="466"/>
      <c r="E1004" s="466"/>
      <c r="F1004" s="466"/>
      <c r="G1004" s="466"/>
      <c r="H1004" s="466"/>
      <c r="I1004" s="466"/>
      <c r="J1004" s="466"/>
      <c r="K1004" s="466"/>
      <c r="L1004" s="466"/>
      <c r="M1004" s="466"/>
      <c r="N1004" s="466"/>
      <c r="O1004" s="466"/>
      <c r="P1004" s="466"/>
      <c r="Q1004" s="466"/>
      <c r="R1004" s="466"/>
      <c r="S1004" s="466"/>
      <c r="T1004" s="466"/>
      <c r="U1004" s="466"/>
      <c r="V1004" s="466"/>
      <c r="W1004" s="466"/>
      <c r="X1004" s="466"/>
      <c r="Y1004" s="466"/>
      <c r="Z1004" s="466"/>
      <c r="AA1004" s="466"/>
      <c r="AB1004" s="466"/>
      <c r="AC1004" s="466"/>
      <c r="AD1004" s="466"/>
      <c r="AE1004" s="466"/>
    </row>
    <row r="1005" spans="1:31" ht="11.25" customHeight="1" x14ac:dyDescent="0.2">
      <c r="A1005" s="466"/>
      <c r="B1005" s="466"/>
      <c r="C1005" s="466"/>
      <c r="D1005" s="466"/>
      <c r="E1005" s="466"/>
      <c r="F1005" s="466"/>
      <c r="G1005" s="466"/>
      <c r="H1005" s="466"/>
      <c r="I1005" s="466"/>
      <c r="J1005" s="466"/>
      <c r="K1005" s="466"/>
      <c r="L1005" s="466"/>
      <c r="M1005" s="466"/>
      <c r="N1005" s="466"/>
      <c r="O1005" s="466"/>
      <c r="P1005" s="466"/>
      <c r="Q1005" s="466"/>
      <c r="R1005" s="466"/>
      <c r="S1005" s="466"/>
      <c r="T1005" s="466"/>
      <c r="U1005" s="466"/>
      <c r="V1005" s="466"/>
      <c r="W1005" s="466"/>
      <c r="X1005" s="466"/>
      <c r="Y1005" s="466"/>
      <c r="Z1005" s="466"/>
      <c r="AA1005" s="466"/>
      <c r="AB1005" s="466"/>
      <c r="AC1005" s="466"/>
      <c r="AD1005" s="466"/>
      <c r="AE1005" s="466"/>
    </row>
  </sheetData>
  <sheetProtection algorithmName="SHA-512" hashValue="lvgpXDFfZOQY+1/esuLuZLuIdT2IoTyccFDdKGfb0G1PiH94nQPwOtpaYUXcQ+teb9Bt1AhBNRxOS5bTDX/vyg==" saltValue="C1WHcahRGx48fyKCFdkueg==" spinCount="100000" sheet="1" objects="1" scenarios="1"/>
  <mergeCells count="13">
    <mergeCell ref="B8:C8"/>
    <mergeCell ref="B10:C10"/>
    <mergeCell ref="M23:O23"/>
    <mergeCell ref="B12:C12"/>
    <mergeCell ref="B14:C14"/>
    <mergeCell ref="B18:C18"/>
    <mergeCell ref="C23:E23"/>
    <mergeCell ref="I23:K23"/>
    <mergeCell ref="B3:C3"/>
    <mergeCell ref="B4:C4"/>
    <mergeCell ref="B5:C5"/>
    <mergeCell ref="B6:C6"/>
    <mergeCell ref="B7:C7"/>
  </mergeCell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000"/>
  <sheetViews>
    <sheetView topLeftCell="F1" workbookViewId="0">
      <selection activeCell="AC36" sqref="AC36"/>
    </sheetView>
  </sheetViews>
  <sheetFormatPr defaultColWidth="16.83203125" defaultRowHeight="15" customHeight="1" x14ac:dyDescent="0.2"/>
  <cols>
    <col min="1" max="1" width="8.83203125" customWidth="1"/>
    <col min="2" max="2" width="35.6640625" customWidth="1"/>
    <col min="3" max="3" width="21.6640625" customWidth="1"/>
    <col min="4" max="4" width="15.6640625" customWidth="1"/>
    <col min="5" max="5" width="16.1640625" customWidth="1"/>
    <col min="6" max="6" width="17.1640625" customWidth="1"/>
    <col min="7" max="7" width="11.5" customWidth="1"/>
    <col min="8" max="8" width="3" customWidth="1"/>
    <col min="9" max="9" width="33.6640625" customWidth="1"/>
    <col min="10" max="10" width="25.5" customWidth="1"/>
    <col min="11" max="12" width="16.1640625" customWidth="1"/>
    <col min="13" max="13" width="11.1640625" customWidth="1"/>
    <col min="14" max="14" width="11.5" customWidth="1"/>
    <col min="15" max="15" width="2" customWidth="1"/>
    <col min="16" max="16" width="32.33203125" customWidth="1"/>
    <col min="17" max="17" width="12.6640625" customWidth="1"/>
    <col min="18" max="18" width="14.5" customWidth="1"/>
    <col min="19" max="20" width="14.83203125" customWidth="1"/>
    <col min="21" max="21" width="9.5" customWidth="1"/>
    <col min="22" max="22" width="8.83203125" customWidth="1"/>
    <col min="23" max="23" width="4.1640625" customWidth="1"/>
    <col min="24" max="24" width="31.6640625" customWidth="1"/>
    <col min="25" max="25" width="17.83203125" customWidth="1"/>
    <col min="26" max="26" width="8.83203125" customWidth="1"/>
    <col min="27" max="27" width="4" customWidth="1"/>
    <col min="28" max="28" width="38.1640625" customWidth="1"/>
    <col min="29" max="29" width="14.1640625" customWidth="1"/>
    <col min="30" max="30" width="12.5" customWidth="1"/>
  </cols>
  <sheetData>
    <row r="1" spans="1:30" ht="11.25" customHeight="1" x14ac:dyDescent="0.45">
      <c r="A1" s="9" t="s">
        <v>1319</v>
      </c>
      <c r="B1" s="480"/>
      <c r="C1" s="482"/>
      <c r="G1" s="466"/>
      <c r="H1" s="466"/>
    </row>
    <row r="2" spans="1:30" ht="54" customHeight="1" x14ac:dyDescent="0.2"/>
    <row r="3" spans="1:30" ht="11.25" customHeight="1" x14ac:dyDescent="0.2"/>
    <row r="4" spans="1:30" ht="11.25" customHeight="1" x14ac:dyDescent="0.2"/>
    <row r="5" spans="1:30" ht="11.25" customHeight="1" x14ac:dyDescent="0.2">
      <c r="B5" s="487"/>
      <c r="C5" s="1341">
        <v>2014</v>
      </c>
      <c r="D5" s="444"/>
      <c r="E5" s="444"/>
      <c r="F5" s="444"/>
      <c r="G5" s="695"/>
      <c r="I5" s="487"/>
      <c r="J5" s="444">
        <v>2014</v>
      </c>
      <c r="K5" s="444"/>
      <c r="L5" s="444"/>
      <c r="M5" s="444"/>
      <c r="N5" s="695"/>
      <c r="P5" s="487"/>
      <c r="Q5" s="444">
        <v>2014</v>
      </c>
      <c r="R5" s="444"/>
      <c r="S5" s="444"/>
      <c r="T5" s="444"/>
      <c r="U5" s="444"/>
      <c r="V5" s="695"/>
      <c r="X5" s="487"/>
      <c r="Y5" s="444">
        <v>2014</v>
      </c>
      <c r="Z5" s="695"/>
      <c r="AB5" s="1342"/>
      <c r="AC5" s="849">
        <v>2014</v>
      </c>
      <c r="AD5" s="1343"/>
    </row>
    <row r="6" spans="1:30" ht="11.25" customHeight="1" x14ac:dyDescent="0.2">
      <c r="B6" s="491"/>
      <c r="C6" s="492"/>
      <c r="D6" s="492"/>
      <c r="E6" s="492"/>
      <c r="F6" s="492"/>
      <c r="G6" s="495"/>
      <c r="I6" s="491"/>
      <c r="J6" s="492"/>
      <c r="K6" s="492"/>
      <c r="L6" s="492"/>
      <c r="M6" s="492"/>
      <c r="N6" s="495"/>
      <c r="P6" s="491"/>
      <c r="Q6" s="492"/>
      <c r="R6" s="492"/>
      <c r="S6" s="492"/>
      <c r="T6" s="492"/>
      <c r="U6" s="492"/>
      <c r="V6" s="495"/>
      <c r="X6" s="1344" t="s">
        <v>610</v>
      </c>
      <c r="Y6" s="492"/>
      <c r="Z6" s="495"/>
      <c r="AB6" s="1345" t="s">
        <v>1320</v>
      </c>
      <c r="AC6" s="492"/>
      <c r="AD6" s="1346"/>
    </row>
    <row r="7" spans="1:30" ht="11.25" customHeight="1" x14ac:dyDescent="0.2">
      <c r="B7" s="1347" t="s">
        <v>1321</v>
      </c>
      <c r="C7" s="563" t="s">
        <v>95</v>
      </c>
      <c r="D7" s="563" t="s">
        <v>99</v>
      </c>
      <c r="E7" s="563" t="s">
        <v>115</v>
      </c>
      <c r="F7" s="563" t="s">
        <v>393</v>
      </c>
      <c r="G7" s="495"/>
      <c r="I7" s="1347" t="s">
        <v>613</v>
      </c>
      <c r="J7" s="563" t="s">
        <v>95</v>
      </c>
      <c r="K7" s="563" t="s">
        <v>99</v>
      </c>
      <c r="L7" s="563" t="s">
        <v>115</v>
      </c>
      <c r="M7" s="563" t="s">
        <v>393</v>
      </c>
      <c r="N7" s="495"/>
      <c r="P7" s="1347" t="s">
        <v>1322</v>
      </c>
      <c r="Q7" s="492" t="s">
        <v>1323</v>
      </c>
      <c r="R7" s="492" t="s">
        <v>1324</v>
      </c>
      <c r="S7" s="492" t="s">
        <v>1325</v>
      </c>
      <c r="T7" s="492" t="s">
        <v>1326</v>
      </c>
      <c r="U7" s="563" t="s">
        <v>393</v>
      </c>
      <c r="V7" s="495"/>
      <c r="X7" s="491"/>
      <c r="Y7" s="492"/>
      <c r="Z7" s="495"/>
      <c r="AB7" s="1348"/>
      <c r="AC7" s="492"/>
      <c r="AD7" s="1346"/>
    </row>
    <row r="8" spans="1:30" ht="11.25" customHeight="1" x14ac:dyDescent="0.2">
      <c r="B8" s="491"/>
      <c r="C8" s="492"/>
      <c r="D8" s="492"/>
      <c r="E8" s="492"/>
      <c r="F8" s="492"/>
      <c r="G8" s="495"/>
      <c r="I8" s="491"/>
      <c r="J8" s="492"/>
      <c r="K8" s="492"/>
      <c r="L8" s="492"/>
      <c r="M8" s="492"/>
      <c r="N8" s="495"/>
      <c r="P8" s="491"/>
      <c r="Q8" s="492"/>
      <c r="R8" s="492"/>
      <c r="S8" s="492"/>
      <c r="T8" s="492"/>
      <c r="U8" s="492"/>
      <c r="V8" s="495"/>
      <c r="X8" s="491"/>
      <c r="Y8" s="492"/>
      <c r="Z8" s="495"/>
      <c r="AB8" s="1348"/>
      <c r="AC8" s="492"/>
      <c r="AD8" s="1346"/>
    </row>
    <row r="9" spans="1:30" ht="11.25" customHeight="1" x14ac:dyDescent="0.2">
      <c r="B9" s="491" t="s">
        <v>1327</v>
      </c>
      <c r="C9" s="501">
        <v>242597</v>
      </c>
      <c r="D9" s="501">
        <v>244122</v>
      </c>
      <c r="E9" s="501">
        <v>239619</v>
      </c>
      <c r="F9" s="1349">
        <f>SUM(C9:E9)</f>
        <v>726338</v>
      </c>
      <c r="G9" s="495"/>
      <c r="I9" s="491" t="s">
        <v>1327</v>
      </c>
      <c r="J9" s="501">
        <v>199842</v>
      </c>
      <c r="K9" s="501">
        <v>187152</v>
      </c>
      <c r="L9" s="501">
        <v>208396</v>
      </c>
      <c r="M9" s="1349">
        <f>SUM(J9:L9)</f>
        <v>595390</v>
      </c>
      <c r="N9" s="495"/>
      <c r="P9" s="491" t="s">
        <v>1327</v>
      </c>
      <c r="Q9" s="670">
        <f>1669512*0.0005</f>
        <v>834.75599999999997</v>
      </c>
      <c r="R9" s="670">
        <f>2271697*0.0005</f>
        <v>1135.8485000000001</v>
      </c>
      <c r="S9" s="670">
        <f>633393*0.0005</f>
        <v>316.69650000000001</v>
      </c>
      <c r="T9" s="670">
        <f>574154*0.0005</f>
        <v>287.077</v>
      </c>
      <c r="U9" s="569">
        <f>SUM(Q9:S9)</f>
        <v>2287.3009999999999</v>
      </c>
      <c r="V9" s="495"/>
      <c r="X9" s="491" t="s">
        <v>1327</v>
      </c>
      <c r="Y9" s="1349">
        <v>119589</v>
      </c>
      <c r="Z9" s="495"/>
      <c r="AB9" s="1348" t="s">
        <v>1327</v>
      </c>
      <c r="AC9" s="501">
        <f>F9+M9+U9+Y9</f>
        <v>1443604.301</v>
      </c>
      <c r="AD9" s="1346"/>
    </row>
    <row r="10" spans="1:30" ht="11.25" customHeight="1" x14ac:dyDescent="0.2">
      <c r="B10" s="491"/>
      <c r="C10" s="501"/>
      <c r="D10" s="501"/>
      <c r="E10" s="501"/>
      <c r="F10" s="501"/>
      <c r="G10" s="495"/>
      <c r="I10" s="491"/>
      <c r="J10" s="670"/>
      <c r="K10" s="670"/>
      <c r="L10" s="670"/>
      <c r="M10" s="670"/>
      <c r="N10" s="495"/>
      <c r="P10" s="491"/>
      <c r="Q10" s="492"/>
      <c r="R10" s="492"/>
      <c r="S10" s="492"/>
      <c r="T10" s="492"/>
      <c r="U10" s="492"/>
      <c r="V10" s="495"/>
      <c r="X10" s="491"/>
      <c r="Y10" s="492"/>
      <c r="Z10" s="495"/>
      <c r="AB10" s="1348"/>
      <c r="AC10" s="492"/>
      <c r="AD10" s="1346"/>
    </row>
    <row r="11" spans="1:30" ht="11.25" customHeight="1" x14ac:dyDescent="0.2">
      <c r="B11" s="491" t="s">
        <v>1328</v>
      </c>
      <c r="C11" s="670">
        <v>9.9499999999999993</v>
      </c>
      <c r="D11" s="670">
        <v>9.9499999999999993</v>
      </c>
      <c r="E11" s="670">
        <v>9.9499999999999993</v>
      </c>
      <c r="F11" s="670"/>
      <c r="G11" s="495"/>
      <c r="I11" s="491" t="s">
        <v>1328</v>
      </c>
      <c r="J11" s="670">
        <v>9.9499999999999993</v>
      </c>
      <c r="K11" s="670">
        <v>9.9499999999999993</v>
      </c>
      <c r="L11" s="670">
        <v>9.9499999999999993</v>
      </c>
      <c r="M11" s="670"/>
      <c r="N11" s="495" t="s">
        <v>1329</v>
      </c>
      <c r="P11" s="491" t="s">
        <v>1328</v>
      </c>
      <c r="Q11" s="492">
        <v>9.9499999999999993</v>
      </c>
      <c r="R11" s="492">
        <v>9.9499999999999993</v>
      </c>
      <c r="S11" s="492">
        <v>9.9499999999999993</v>
      </c>
      <c r="T11" s="492">
        <v>9.9499999999999993</v>
      </c>
      <c r="U11" s="492"/>
      <c r="V11" s="495" t="s">
        <v>1329</v>
      </c>
      <c r="X11" s="491" t="s">
        <v>1328</v>
      </c>
      <c r="Y11" s="492">
        <v>9.9499999999999993</v>
      </c>
      <c r="Z11" s="495" t="s">
        <v>1329</v>
      </c>
      <c r="AB11" s="1348" t="s">
        <v>1328</v>
      </c>
      <c r="AC11" s="492">
        <v>9.9499999999999993</v>
      </c>
      <c r="AD11" s="1346" t="s">
        <v>1329</v>
      </c>
    </row>
    <row r="12" spans="1:30" ht="11.25" customHeight="1" x14ac:dyDescent="0.2">
      <c r="B12" s="491"/>
      <c r="C12" s="670"/>
      <c r="D12" s="670"/>
      <c r="E12" s="670"/>
      <c r="F12" s="670"/>
      <c r="G12" s="495"/>
      <c r="I12" s="491"/>
      <c r="J12" s="670"/>
      <c r="K12" s="670"/>
      <c r="L12" s="670"/>
      <c r="M12" s="670"/>
      <c r="N12" s="495"/>
      <c r="P12" s="491"/>
      <c r="Q12" s="492"/>
      <c r="R12" s="492"/>
      <c r="S12" s="492"/>
      <c r="T12" s="492"/>
      <c r="U12" s="492"/>
      <c r="V12" s="495"/>
      <c r="X12" s="491"/>
      <c r="Y12" s="492"/>
      <c r="Z12" s="495"/>
      <c r="AB12" s="1348"/>
      <c r="AC12" s="492"/>
      <c r="AD12" s="1346"/>
    </row>
    <row r="13" spans="1:30" ht="11.25" customHeight="1" x14ac:dyDescent="0.2">
      <c r="B13" s="491" t="s">
        <v>1330</v>
      </c>
      <c r="C13" s="670">
        <f t="shared" ref="C13:E13" si="0">C9*C11</f>
        <v>2413840.15</v>
      </c>
      <c r="D13" s="670">
        <f t="shared" si="0"/>
        <v>2429013.9</v>
      </c>
      <c r="E13" s="670">
        <f t="shared" si="0"/>
        <v>2384209.0499999998</v>
      </c>
      <c r="F13" s="670"/>
      <c r="G13" s="495"/>
      <c r="I13" s="491" t="s">
        <v>1330</v>
      </c>
      <c r="J13" s="670">
        <f t="shared" ref="J13:L13" si="1">J9*J11</f>
        <v>1988427.9</v>
      </c>
      <c r="K13" s="670">
        <f t="shared" si="1"/>
        <v>1862162.4</v>
      </c>
      <c r="L13" s="670">
        <f t="shared" si="1"/>
        <v>2073540.2</v>
      </c>
      <c r="M13" s="670"/>
      <c r="N13" s="495"/>
      <c r="P13" s="491" t="s">
        <v>1330</v>
      </c>
      <c r="Q13" s="670">
        <f t="shared" ref="Q13:T13" si="2">Q9*Q11</f>
        <v>8305.8221999999987</v>
      </c>
      <c r="R13" s="670">
        <f t="shared" si="2"/>
        <v>11301.692574999999</v>
      </c>
      <c r="S13" s="670">
        <f t="shared" si="2"/>
        <v>3151.1301749999998</v>
      </c>
      <c r="T13" s="670">
        <f t="shared" si="2"/>
        <v>2856.4161499999996</v>
      </c>
      <c r="U13" s="492"/>
      <c r="V13" s="495"/>
      <c r="X13" s="491" t="s">
        <v>1330</v>
      </c>
      <c r="Y13" s="501">
        <f>Y9*Y11</f>
        <v>1189910.5499999998</v>
      </c>
      <c r="Z13" s="495"/>
      <c r="AB13" s="1348" t="s">
        <v>1330</v>
      </c>
      <c r="AC13" s="501">
        <f>AC9*AC11</f>
        <v>14363862.794949999</v>
      </c>
      <c r="AD13" s="1346"/>
    </row>
    <row r="14" spans="1:30" ht="11.25" customHeight="1" x14ac:dyDescent="0.2">
      <c r="B14" s="491"/>
      <c r="C14" s="670"/>
      <c r="D14" s="670"/>
      <c r="E14" s="670"/>
      <c r="F14" s="670"/>
      <c r="G14" s="495"/>
      <c r="I14" s="491"/>
      <c r="J14" s="670"/>
      <c r="K14" s="670"/>
      <c r="L14" s="670"/>
      <c r="M14" s="670"/>
      <c r="N14" s="495"/>
      <c r="P14" s="491"/>
      <c r="Q14" s="492"/>
      <c r="R14" s="492"/>
      <c r="S14" s="492"/>
      <c r="T14" s="492"/>
      <c r="U14" s="492"/>
      <c r="V14" s="495"/>
      <c r="X14" s="491"/>
      <c r="Y14" s="492"/>
      <c r="Z14" s="495"/>
      <c r="AB14" s="1348"/>
      <c r="AC14" s="492"/>
      <c r="AD14" s="1346"/>
    </row>
    <row r="15" spans="1:30" ht="11.25" customHeight="1" x14ac:dyDescent="0.2">
      <c r="B15" s="491" t="s">
        <v>1331</v>
      </c>
      <c r="C15" s="670">
        <v>90.7</v>
      </c>
      <c r="D15" s="670">
        <v>90.7</v>
      </c>
      <c r="E15" s="670">
        <v>90.7</v>
      </c>
      <c r="F15" s="670"/>
      <c r="G15" s="495"/>
      <c r="I15" s="491" t="s">
        <v>1332</v>
      </c>
      <c r="J15" s="670">
        <v>90.7</v>
      </c>
      <c r="K15" s="670">
        <v>90.7</v>
      </c>
      <c r="L15" s="670">
        <v>90.7</v>
      </c>
      <c r="M15" s="670"/>
      <c r="N15" s="495" t="s">
        <v>1329</v>
      </c>
      <c r="P15" s="491" t="s">
        <v>1333</v>
      </c>
      <c r="Q15" s="492">
        <v>90.7</v>
      </c>
      <c r="R15" s="492">
        <v>90.7</v>
      </c>
      <c r="S15" s="492">
        <v>90.7</v>
      </c>
      <c r="T15" s="492">
        <v>90.7</v>
      </c>
      <c r="U15" s="492"/>
      <c r="V15" s="495"/>
      <c r="X15" s="491" t="s">
        <v>1334</v>
      </c>
      <c r="Y15" s="492">
        <v>90.7</v>
      </c>
      <c r="Z15" s="495" t="s">
        <v>1329</v>
      </c>
      <c r="AB15" s="1348" t="s">
        <v>1335</v>
      </c>
      <c r="AC15" s="492">
        <v>90.7</v>
      </c>
      <c r="AD15" s="1346" t="s">
        <v>1329</v>
      </c>
    </row>
    <row r="16" spans="1:30" ht="11.25" customHeight="1" x14ac:dyDescent="0.2">
      <c r="B16" s="491"/>
      <c r="C16" s="670"/>
      <c r="D16" s="670"/>
      <c r="E16" s="670"/>
      <c r="F16" s="670"/>
      <c r="G16" s="495"/>
      <c r="I16" s="491"/>
      <c r="J16" s="670"/>
      <c r="K16" s="670"/>
      <c r="L16" s="670"/>
      <c r="M16" s="670"/>
      <c r="N16" s="495"/>
      <c r="P16" s="491"/>
      <c r="Q16" s="492"/>
      <c r="R16" s="492"/>
      <c r="S16" s="492"/>
      <c r="T16" s="492"/>
      <c r="U16" s="492"/>
      <c r="V16" s="495"/>
      <c r="X16" s="491"/>
      <c r="Y16" s="492"/>
      <c r="Z16" s="495"/>
      <c r="AB16" s="1348"/>
      <c r="AC16" s="492"/>
      <c r="AD16" s="1346"/>
    </row>
    <row r="17" spans="2:30" ht="11.25" customHeight="1" x14ac:dyDescent="0.2">
      <c r="B17" s="491" t="s">
        <v>1336</v>
      </c>
      <c r="C17" s="501">
        <f t="shared" ref="C17:E17" si="3">C13*C15</f>
        <v>218935301.60499999</v>
      </c>
      <c r="D17" s="501">
        <f t="shared" si="3"/>
        <v>220311560.72999999</v>
      </c>
      <c r="E17" s="501">
        <f t="shared" si="3"/>
        <v>216247760.83499998</v>
      </c>
      <c r="F17" s="670"/>
      <c r="G17" s="495"/>
      <c r="I17" s="491" t="s">
        <v>1337</v>
      </c>
      <c r="J17" s="670">
        <f t="shared" ref="J17:L17" si="4">J13*J15</f>
        <v>180350410.53</v>
      </c>
      <c r="K17" s="670">
        <f t="shared" si="4"/>
        <v>168898129.68000001</v>
      </c>
      <c r="L17" s="670">
        <f t="shared" si="4"/>
        <v>188070096.14000002</v>
      </c>
      <c r="M17" s="670"/>
      <c r="N17" s="495"/>
      <c r="P17" s="491" t="s">
        <v>1338</v>
      </c>
      <c r="Q17" s="670">
        <f t="shared" ref="Q17:T17" si="5">Q13*Q15</f>
        <v>753338.0735399999</v>
      </c>
      <c r="R17" s="670">
        <f t="shared" si="5"/>
        <v>1025063.5165525</v>
      </c>
      <c r="S17" s="670">
        <f t="shared" si="5"/>
        <v>285807.5068725</v>
      </c>
      <c r="T17" s="670">
        <f t="shared" si="5"/>
        <v>259076.94480499998</v>
      </c>
      <c r="U17" s="492"/>
      <c r="V17" s="495"/>
      <c r="X17" s="491" t="s">
        <v>1339</v>
      </c>
      <c r="Y17" s="670">
        <f>Y13*Y15</f>
        <v>107924886.88499999</v>
      </c>
      <c r="Z17" s="495"/>
      <c r="AB17" s="1348" t="s">
        <v>1340</v>
      </c>
      <c r="AC17" s="501">
        <f>AC13*AC15</f>
        <v>1302802355.501965</v>
      </c>
      <c r="AD17" s="1346"/>
    </row>
    <row r="18" spans="2:30" ht="11.25" customHeight="1" x14ac:dyDescent="0.2">
      <c r="B18" s="491"/>
      <c r="C18" s="670"/>
      <c r="D18" s="670"/>
      <c r="E18" s="670"/>
      <c r="F18" s="670"/>
      <c r="G18" s="495"/>
      <c r="I18" s="491"/>
      <c r="J18" s="670"/>
      <c r="K18" s="670"/>
      <c r="L18" s="670"/>
      <c r="M18" s="670"/>
      <c r="N18" s="495"/>
      <c r="P18" s="491"/>
      <c r="Q18" s="492"/>
      <c r="R18" s="492"/>
      <c r="S18" s="492"/>
      <c r="T18" s="492"/>
      <c r="U18" s="492"/>
      <c r="V18" s="495"/>
      <c r="X18" s="491"/>
      <c r="Y18" s="492"/>
      <c r="Z18" s="495"/>
      <c r="AB18" s="1348"/>
      <c r="AC18" s="492"/>
      <c r="AD18" s="1346"/>
    </row>
    <row r="19" spans="2:30" ht="11.25" customHeight="1" x14ac:dyDescent="0.2">
      <c r="B19" s="491" t="s">
        <v>1341</v>
      </c>
      <c r="C19" s="501">
        <f t="shared" ref="C19:E19" si="6">C17*0.0011023</f>
        <v>241332.38295919151</v>
      </c>
      <c r="D19" s="501">
        <f t="shared" si="6"/>
        <v>242849.433392679</v>
      </c>
      <c r="E19" s="501">
        <f t="shared" si="6"/>
        <v>238369.90676842048</v>
      </c>
      <c r="F19" s="569">
        <f>SUM(C19:E19)</f>
        <v>722551.72312029102</v>
      </c>
      <c r="G19" s="495" t="s">
        <v>1329</v>
      </c>
      <c r="I19" s="491" t="s">
        <v>1342</v>
      </c>
      <c r="J19" s="670">
        <f t="shared" ref="J19:L19" si="7">J17*0.0011023</f>
        <v>198800.25752721902</v>
      </c>
      <c r="K19" s="670">
        <f t="shared" si="7"/>
        <v>186176.40834626401</v>
      </c>
      <c r="L19" s="670">
        <f t="shared" si="7"/>
        <v>207309.66697512203</v>
      </c>
      <c r="M19" s="670">
        <v>554009.90692775359</v>
      </c>
      <c r="N19" s="495" t="s">
        <v>1329</v>
      </c>
      <c r="P19" s="491" t="s">
        <v>1343</v>
      </c>
      <c r="Q19" s="501">
        <f t="shared" ref="Q19:T19" si="8">Q17*0.0011023</f>
        <v>830.40455846314194</v>
      </c>
      <c r="R19" s="501">
        <f t="shared" si="8"/>
        <v>1129.9275142958209</v>
      </c>
      <c r="S19" s="501">
        <f t="shared" si="8"/>
        <v>315.04561482555675</v>
      </c>
      <c r="T19" s="501">
        <f t="shared" si="8"/>
        <v>285.58051625855148</v>
      </c>
      <c r="U19" s="501">
        <f>SUM(Q19:S19)</f>
        <v>2275.3776875845197</v>
      </c>
      <c r="V19" s="495" t="s">
        <v>1329</v>
      </c>
      <c r="X19" s="491" t="s">
        <v>1344</v>
      </c>
      <c r="Y19" s="501">
        <f>Y17*0.0011023</f>
        <v>118965.6028133355</v>
      </c>
      <c r="Z19" s="495" t="s">
        <v>1329</v>
      </c>
      <c r="AB19" s="1348" t="s">
        <v>1345</v>
      </c>
      <c r="AC19" s="501">
        <f>AC17*0.0011023</f>
        <v>1436079.0364698162</v>
      </c>
      <c r="AD19" s="1346" t="s">
        <v>1329</v>
      </c>
    </row>
    <row r="20" spans="2:30" ht="11.25" customHeight="1" x14ac:dyDescent="0.2">
      <c r="B20" s="491"/>
      <c r="C20" s="670"/>
      <c r="D20" s="670"/>
      <c r="E20" s="670"/>
      <c r="F20" s="670"/>
      <c r="G20" s="495"/>
      <c r="I20" s="491"/>
      <c r="J20" s="670"/>
      <c r="K20" s="670"/>
      <c r="L20" s="670"/>
      <c r="M20" s="670"/>
      <c r="N20" s="495"/>
      <c r="P20" s="491"/>
      <c r="Q20" s="492"/>
      <c r="R20" s="492"/>
      <c r="S20" s="492"/>
      <c r="T20" s="492"/>
      <c r="U20" s="492"/>
      <c r="V20" s="495"/>
      <c r="X20" s="491"/>
      <c r="Y20" s="1350"/>
      <c r="Z20" s="495"/>
      <c r="AB20" s="1348"/>
      <c r="AC20" s="492"/>
      <c r="AD20" s="1346"/>
    </row>
    <row r="21" spans="2:30" ht="11.25" customHeight="1" x14ac:dyDescent="0.2">
      <c r="B21" s="491" t="s">
        <v>1346</v>
      </c>
      <c r="C21" s="501">
        <v>215257</v>
      </c>
      <c r="D21" s="501">
        <v>200828</v>
      </c>
      <c r="E21" s="501">
        <v>229653</v>
      </c>
      <c r="F21" s="670">
        <f>C21+D21+E21</f>
        <v>645738</v>
      </c>
      <c r="G21" s="495" t="s">
        <v>498</v>
      </c>
      <c r="I21" s="491" t="s">
        <v>1347</v>
      </c>
      <c r="J21" s="670">
        <f t="shared" ref="J21:L21" si="9">J23*0.907441</f>
        <v>181909.25262400002</v>
      </c>
      <c r="K21" s="670">
        <f t="shared" si="9"/>
        <v>172961.884364</v>
      </c>
      <c r="L21" s="670">
        <f t="shared" si="9"/>
        <v>193654.26148700001</v>
      </c>
      <c r="M21" s="670"/>
      <c r="N21" s="598" t="s">
        <v>1348</v>
      </c>
      <c r="P21" s="491" t="s">
        <v>1349</v>
      </c>
      <c r="Q21" s="670">
        <f t="shared" ref="Q21:T21" si="10">Q23*0.907441</f>
        <v>745.91650200000004</v>
      </c>
      <c r="R21" s="670">
        <f t="shared" si="10"/>
        <v>1016.33392</v>
      </c>
      <c r="S21" s="670">
        <f t="shared" si="10"/>
        <v>283.12159200000002</v>
      </c>
      <c r="T21" s="670">
        <f t="shared" si="10"/>
        <v>2304.9001400000002</v>
      </c>
      <c r="U21" s="492"/>
      <c r="V21" s="598" t="s">
        <v>1348</v>
      </c>
      <c r="X21" s="491" t="s">
        <v>1350</v>
      </c>
      <c r="Y21" s="1350">
        <f>Y23*0.907441</f>
        <v>101447.366595</v>
      </c>
      <c r="Z21" s="598" t="s">
        <v>1348</v>
      </c>
      <c r="AB21" s="1348"/>
      <c r="AC21" s="492"/>
      <c r="AD21" s="1346"/>
    </row>
    <row r="22" spans="2:30" ht="11.25" customHeight="1" x14ac:dyDescent="0.2">
      <c r="B22" s="491"/>
      <c r="C22" s="670"/>
      <c r="D22" s="670"/>
      <c r="E22" s="670"/>
      <c r="F22" s="670"/>
      <c r="G22" s="495"/>
      <c r="I22" s="491"/>
      <c r="J22" s="670"/>
      <c r="K22" s="670"/>
      <c r="L22" s="670"/>
      <c r="M22" s="670"/>
      <c r="N22" s="495"/>
      <c r="P22" s="491"/>
      <c r="Q22" s="492"/>
      <c r="R22" s="492"/>
      <c r="S22" s="492"/>
      <c r="T22" s="492"/>
      <c r="U22" s="492"/>
      <c r="V22" s="495"/>
      <c r="X22" s="491"/>
      <c r="Y22" s="1350"/>
      <c r="Z22" s="495"/>
      <c r="AB22" s="1348"/>
      <c r="AC22" s="492"/>
      <c r="AD22" s="1346"/>
    </row>
    <row r="23" spans="2:30" ht="11.25" customHeight="1" x14ac:dyDescent="0.2">
      <c r="B23" s="1344" t="s">
        <v>1351</v>
      </c>
      <c r="C23" s="1351">
        <f t="shared" ref="C23:E23" si="11">C21*1.1023</f>
        <v>237277.7911</v>
      </c>
      <c r="D23" s="1351">
        <f t="shared" si="11"/>
        <v>221372.70440000002</v>
      </c>
      <c r="E23" s="1351">
        <f t="shared" si="11"/>
        <v>253146.5019</v>
      </c>
      <c r="F23" s="1352">
        <f>SUM(C23:E23)</f>
        <v>711796.99739999999</v>
      </c>
      <c r="G23" s="598" t="s">
        <v>498</v>
      </c>
      <c r="I23" s="1344" t="s">
        <v>1352</v>
      </c>
      <c r="J23" s="1351">
        <v>200464</v>
      </c>
      <c r="K23" s="1351">
        <v>190604</v>
      </c>
      <c r="L23" s="1351">
        <v>213407</v>
      </c>
      <c r="M23" s="1352">
        <f>SUM(J23:L23)</f>
        <v>604475</v>
      </c>
      <c r="N23" s="598" t="s">
        <v>1348</v>
      </c>
      <c r="P23" s="1344" t="s">
        <v>1353</v>
      </c>
      <c r="Q23" s="1353">
        <v>822</v>
      </c>
      <c r="R23" s="1353">
        <v>1120</v>
      </c>
      <c r="S23" s="1353">
        <v>312</v>
      </c>
      <c r="T23" s="1353">
        <v>2540</v>
      </c>
      <c r="U23" s="1354">
        <f>SUM(Q23:S23)</f>
        <v>2254</v>
      </c>
      <c r="V23" s="598" t="s">
        <v>1348</v>
      </c>
      <c r="X23" s="1344" t="s">
        <v>1354</v>
      </c>
      <c r="Y23" s="1355">
        <v>111795</v>
      </c>
      <c r="Z23" s="598" t="s">
        <v>1348</v>
      </c>
      <c r="AB23" s="1356" t="s">
        <v>1355</v>
      </c>
      <c r="AC23" s="1354">
        <f>F23+M23+U23+Y23</f>
        <v>1430320.9974</v>
      </c>
      <c r="AD23" s="1346"/>
    </row>
    <row r="24" spans="2:30" ht="11.25" customHeight="1" x14ac:dyDescent="0.2">
      <c r="B24" s="491"/>
      <c r="C24" s="670"/>
      <c r="D24" s="670"/>
      <c r="E24" s="670"/>
      <c r="F24" s="670"/>
      <c r="G24" s="495"/>
      <c r="I24" s="491"/>
      <c r="J24" s="670"/>
      <c r="K24" s="670"/>
      <c r="L24" s="670"/>
      <c r="M24" s="670"/>
      <c r="N24" s="495"/>
      <c r="P24" s="491"/>
      <c r="Q24" s="492"/>
      <c r="R24" s="492"/>
      <c r="S24" s="492"/>
      <c r="T24" s="492"/>
      <c r="U24" s="492"/>
      <c r="V24" s="495"/>
      <c r="X24" s="491"/>
      <c r="Y24" s="1350"/>
      <c r="Z24" s="495"/>
      <c r="AB24" s="1348"/>
      <c r="AC24" s="492"/>
      <c r="AD24" s="1346"/>
    </row>
    <row r="25" spans="2:30" ht="11.25" customHeight="1" x14ac:dyDescent="0.2">
      <c r="B25" s="491" t="s">
        <v>1356</v>
      </c>
      <c r="C25" s="670">
        <v>3.2000000000000001E-2</v>
      </c>
      <c r="D25" s="670">
        <v>3.2000000000000001E-2</v>
      </c>
      <c r="E25" s="670">
        <v>3.2000000000000001E-2</v>
      </c>
      <c r="F25" s="670"/>
      <c r="G25" s="495"/>
      <c r="I25" s="491" t="s">
        <v>1357</v>
      </c>
      <c r="J25" s="670">
        <v>3.2000000000000001E-2</v>
      </c>
      <c r="K25" s="670">
        <v>3.2000000000000001E-2</v>
      </c>
      <c r="L25" s="670">
        <v>3.2000000000000001E-2</v>
      </c>
      <c r="M25" s="670"/>
      <c r="N25" s="495"/>
      <c r="P25" s="491" t="s">
        <v>1358</v>
      </c>
      <c r="Q25" s="492">
        <v>3.2000000000000001E-2</v>
      </c>
      <c r="R25" s="492">
        <v>3.2000000000000001E-2</v>
      </c>
      <c r="S25" s="492">
        <v>3.2000000000000001E-2</v>
      </c>
      <c r="T25" s="492">
        <v>3.2000000000000001E-2</v>
      </c>
      <c r="U25" s="492"/>
      <c r="V25" s="495" t="s">
        <v>1329</v>
      </c>
      <c r="X25" s="491" t="s">
        <v>1359</v>
      </c>
      <c r="Y25" s="1350">
        <v>3.2000000000000001E-2</v>
      </c>
      <c r="Z25" s="495"/>
      <c r="AB25" s="1348" t="s">
        <v>1360</v>
      </c>
      <c r="AC25" s="492">
        <v>3.2000000000000001E-2</v>
      </c>
      <c r="AD25" s="1346"/>
    </row>
    <row r="26" spans="2:30" ht="11.25" customHeight="1" x14ac:dyDescent="0.2">
      <c r="B26" s="491" t="s">
        <v>1361</v>
      </c>
      <c r="C26" s="670">
        <f t="shared" ref="C26:E26" si="12">C13*C25</f>
        <v>77242.8848</v>
      </c>
      <c r="D26" s="670">
        <f t="shared" si="12"/>
        <v>77728.444799999997</v>
      </c>
      <c r="E26" s="670">
        <f t="shared" si="12"/>
        <v>76294.689599999998</v>
      </c>
      <c r="F26" s="670"/>
      <c r="G26" s="495"/>
      <c r="I26" s="491" t="s">
        <v>1362</v>
      </c>
      <c r="J26" s="670">
        <f t="shared" ref="J26:L26" si="13">J13*J25</f>
        <v>63629.692799999997</v>
      </c>
      <c r="K26" s="670">
        <f t="shared" si="13"/>
        <v>59589.196799999998</v>
      </c>
      <c r="L26" s="670">
        <f t="shared" si="13"/>
        <v>66353.286399999997</v>
      </c>
      <c r="M26" s="670"/>
      <c r="N26" s="495"/>
      <c r="P26" s="491" t="s">
        <v>1363</v>
      </c>
      <c r="Q26" s="670">
        <f t="shared" ref="Q26:T26" si="14">Q13*Q25</f>
        <v>265.78631039999999</v>
      </c>
      <c r="R26" s="670">
        <f t="shared" si="14"/>
        <v>361.65416239999996</v>
      </c>
      <c r="S26" s="670">
        <f t="shared" si="14"/>
        <v>100.8361656</v>
      </c>
      <c r="T26" s="670">
        <f t="shared" si="14"/>
        <v>91.405316799999994</v>
      </c>
      <c r="U26" s="492"/>
      <c r="V26" s="495"/>
      <c r="X26" s="491" t="s">
        <v>1364</v>
      </c>
      <c r="Y26" s="1350">
        <v>37630.422399999996</v>
      </c>
      <c r="Z26" s="495"/>
      <c r="AB26" s="1348" t="s">
        <v>1365</v>
      </c>
      <c r="AC26" s="670">
        <f>AC13*AC25</f>
        <v>459643.60943839996</v>
      </c>
      <c r="AD26" s="1346"/>
    </row>
    <row r="27" spans="2:30" ht="11.25" customHeight="1" x14ac:dyDescent="0.2">
      <c r="B27" s="491" t="s">
        <v>1366</v>
      </c>
      <c r="C27" s="670">
        <f t="shared" ref="C27:E27" si="15">C26*0.0011023</f>
        <v>85.144831915040001</v>
      </c>
      <c r="D27" s="670">
        <f t="shared" si="15"/>
        <v>85.680064703040003</v>
      </c>
      <c r="E27" s="670">
        <f t="shared" si="15"/>
        <v>84.099636346080004</v>
      </c>
      <c r="F27" s="670">
        <f>SUM(C27:E27)</f>
        <v>254.92453296415999</v>
      </c>
      <c r="G27" s="495" t="s">
        <v>1329</v>
      </c>
      <c r="I27" s="491" t="s">
        <v>1367</v>
      </c>
      <c r="J27" s="670">
        <v>83.394994316799981</v>
      </c>
      <c r="K27" s="670">
        <v>82.256329721440011</v>
      </c>
      <c r="L27" s="670">
        <v>81.416452959680001</v>
      </c>
      <c r="M27" s="670">
        <v>195.44356166143999</v>
      </c>
      <c r="N27" s="495" t="s">
        <v>1329</v>
      </c>
      <c r="P27" s="491" t="s">
        <v>1368</v>
      </c>
      <c r="Q27" s="670">
        <f t="shared" ref="Q27:T27" si="16">Q26*0.0011023</f>
        <v>0.29297624995392002</v>
      </c>
      <c r="R27" s="670">
        <f t="shared" si="16"/>
        <v>0.39865138321352001</v>
      </c>
      <c r="S27" s="670">
        <f t="shared" si="16"/>
        <v>0.11115170534088001</v>
      </c>
      <c r="T27" s="670">
        <f t="shared" si="16"/>
        <v>0.10075608070864001</v>
      </c>
      <c r="U27" s="670">
        <f>SUM(Q27:S27)</f>
        <v>0.80277933850832006</v>
      </c>
      <c r="V27" s="495"/>
      <c r="X27" s="491" t="s">
        <v>1369</v>
      </c>
      <c r="Y27" s="1350">
        <v>41.46872548479999</v>
      </c>
      <c r="Z27" s="495" t="s">
        <v>1329</v>
      </c>
      <c r="AB27" s="1348" t="s">
        <v>1370</v>
      </c>
      <c r="AC27" s="670">
        <f>AC26*0.0011023</f>
        <v>506.6651506839483</v>
      </c>
      <c r="AD27" s="1346" t="s">
        <v>1329</v>
      </c>
    </row>
    <row r="28" spans="2:30" ht="11.25" customHeight="1" x14ac:dyDescent="0.2">
      <c r="B28" s="491"/>
      <c r="C28" s="670"/>
      <c r="D28" s="670"/>
      <c r="E28" s="670"/>
      <c r="F28" s="569"/>
      <c r="G28" s="495"/>
      <c r="I28" s="491"/>
      <c r="J28" s="670"/>
      <c r="K28" s="670"/>
      <c r="L28" s="670"/>
      <c r="M28" s="670"/>
      <c r="N28" s="495"/>
      <c r="P28" s="491"/>
      <c r="Q28" s="670"/>
      <c r="R28" s="670"/>
      <c r="S28" s="670"/>
      <c r="T28" s="670"/>
      <c r="U28" s="492"/>
      <c r="V28" s="495"/>
      <c r="X28" s="491"/>
      <c r="Y28" s="1350"/>
      <c r="Z28" s="495"/>
      <c r="AB28" s="1348"/>
      <c r="AC28" s="492"/>
      <c r="AD28" s="1346"/>
    </row>
    <row r="29" spans="2:30" ht="11.25" customHeight="1" x14ac:dyDescent="0.2">
      <c r="B29" s="1357" t="s">
        <v>1371</v>
      </c>
      <c r="C29" s="1358">
        <v>1.44</v>
      </c>
      <c r="D29" s="1358">
        <v>1.42</v>
      </c>
      <c r="E29" s="1358">
        <v>1.4</v>
      </c>
      <c r="F29" s="1359">
        <f>SUM(C29:E29)</f>
        <v>4.26</v>
      </c>
      <c r="G29" s="1360" t="s">
        <v>498</v>
      </c>
      <c r="I29" s="1357" t="s">
        <v>1372</v>
      </c>
      <c r="J29" s="1361">
        <v>1.29E-2</v>
      </c>
      <c r="K29" s="1361">
        <v>9.5999999999999992E-3</v>
      </c>
      <c r="L29" s="1361">
        <v>7.6E-3</v>
      </c>
      <c r="M29" s="1361">
        <f>SUM(J29:L29)</f>
        <v>3.0099999999999998E-2</v>
      </c>
      <c r="N29" s="1360" t="s">
        <v>1348</v>
      </c>
      <c r="P29" s="1357" t="s">
        <v>1373</v>
      </c>
      <c r="Q29" s="1362">
        <v>1.1900000000000001E-2</v>
      </c>
      <c r="R29" s="1362">
        <v>9.41E-3</v>
      </c>
      <c r="S29" s="1362">
        <v>5.79E-3</v>
      </c>
      <c r="T29" s="1362">
        <v>6.1000000000000004E-3</v>
      </c>
      <c r="U29" s="1363">
        <f>SUM(Q29:T29)</f>
        <v>3.32E-2</v>
      </c>
      <c r="V29" s="1360" t="s">
        <v>1348</v>
      </c>
      <c r="X29" s="1357" t="s">
        <v>1374</v>
      </c>
      <c r="Y29" s="1364">
        <f>Y33</f>
        <v>5.5088812769129998</v>
      </c>
      <c r="Z29" s="1360"/>
      <c r="AB29" s="1365" t="s">
        <v>1375</v>
      </c>
      <c r="AC29" s="1359">
        <f>(F29+M29+U29+Y29)*AC43</f>
        <v>275.30107575356396</v>
      </c>
      <c r="AD29" s="1360" t="s">
        <v>1348</v>
      </c>
    </row>
    <row r="30" spans="2:30" ht="11.25" customHeight="1" x14ac:dyDescent="0.2">
      <c r="B30" s="491"/>
      <c r="C30" s="670"/>
      <c r="D30" s="670"/>
      <c r="E30" s="670"/>
      <c r="F30" s="670"/>
      <c r="G30" s="495"/>
      <c r="I30" s="491"/>
      <c r="J30" s="670"/>
      <c r="K30" s="670"/>
      <c r="L30" s="670"/>
      <c r="M30" s="670"/>
      <c r="N30" s="495"/>
      <c r="P30" s="491"/>
      <c r="Q30" s="492"/>
      <c r="R30" s="492"/>
      <c r="S30" s="492"/>
      <c r="T30" s="492"/>
      <c r="U30" s="492"/>
      <c r="V30" s="495"/>
      <c r="X30" s="491"/>
      <c r="Y30" s="1350"/>
      <c r="Z30" s="495"/>
      <c r="AB30" s="1348"/>
      <c r="AC30" s="492"/>
      <c r="AD30" s="1346"/>
    </row>
    <row r="31" spans="2:30" ht="11.25" customHeight="1" x14ac:dyDescent="0.2">
      <c r="B31" s="491" t="s">
        <v>1376</v>
      </c>
      <c r="C31" s="697">
        <v>4.1999999999999997E-3</v>
      </c>
      <c r="D31" s="697">
        <v>4.1999999999999997E-3</v>
      </c>
      <c r="E31" s="697">
        <v>4.1999999999999997E-3</v>
      </c>
      <c r="F31" s="670"/>
      <c r="G31" s="495"/>
      <c r="I31" s="491" t="s">
        <v>1377</v>
      </c>
      <c r="J31" s="697">
        <v>4.1999999999999997E-3</v>
      </c>
      <c r="K31" s="697">
        <v>4.1999999999999997E-3</v>
      </c>
      <c r="L31" s="697">
        <v>4.1999999999999997E-3</v>
      </c>
      <c r="M31" s="670"/>
      <c r="N31" s="495"/>
      <c r="P31" s="491" t="s">
        <v>1378</v>
      </c>
      <c r="Q31" s="492">
        <v>4.1999999999999997E-3</v>
      </c>
      <c r="R31" s="492">
        <v>4.1999999999999997E-3</v>
      </c>
      <c r="S31" s="492">
        <v>4.1999999999999997E-3</v>
      </c>
      <c r="T31" s="492">
        <v>4.1999999999999997E-3</v>
      </c>
      <c r="U31" s="492"/>
      <c r="V31" s="495" t="s">
        <v>1329</v>
      </c>
      <c r="X31" s="491" t="s">
        <v>1379</v>
      </c>
      <c r="Y31" s="697">
        <v>4.1999999999999997E-3</v>
      </c>
      <c r="Z31" s="495"/>
      <c r="AB31" s="1348" t="s">
        <v>1380</v>
      </c>
      <c r="AC31" s="492">
        <v>4.1999999999999997E-3</v>
      </c>
      <c r="AD31" s="1346"/>
    </row>
    <row r="32" spans="2:30" ht="11.25" customHeight="1" x14ac:dyDescent="0.2">
      <c r="B32" s="491" t="s">
        <v>1381</v>
      </c>
      <c r="C32" s="670">
        <f t="shared" ref="C32:E32" si="17">C13*C31</f>
        <v>10138.128629999999</v>
      </c>
      <c r="D32" s="670">
        <f t="shared" si="17"/>
        <v>10201.85838</v>
      </c>
      <c r="E32" s="670">
        <f t="shared" si="17"/>
        <v>10013.678009999998</v>
      </c>
      <c r="F32" s="670"/>
      <c r="G32" s="495"/>
      <c r="I32" s="491" t="s">
        <v>1382</v>
      </c>
      <c r="J32" s="670">
        <f t="shared" ref="J32:L32" si="18">J13*J31</f>
        <v>8351.3971799999999</v>
      </c>
      <c r="K32" s="670">
        <f t="shared" si="18"/>
        <v>7821.0820799999992</v>
      </c>
      <c r="L32" s="670">
        <f t="shared" si="18"/>
        <v>8708.8688399999992</v>
      </c>
      <c r="M32" s="670"/>
      <c r="N32" s="495"/>
      <c r="P32" s="491" t="s">
        <v>1383</v>
      </c>
      <c r="Q32" s="670">
        <f t="shared" ref="Q32:T32" si="19">Q13*Q31</f>
        <v>34.884453239999992</v>
      </c>
      <c r="R32" s="670">
        <f t="shared" si="19"/>
        <v>47.467108814999996</v>
      </c>
      <c r="S32" s="670">
        <f t="shared" si="19"/>
        <v>13.234746734999998</v>
      </c>
      <c r="T32" s="670">
        <f t="shared" si="19"/>
        <v>11.996947829999998</v>
      </c>
      <c r="U32" s="492"/>
      <c r="V32" s="495"/>
      <c r="X32" s="491" t="s">
        <v>1384</v>
      </c>
      <c r="Y32" s="1350">
        <f>Y13*Y31</f>
        <v>4997.6243099999992</v>
      </c>
      <c r="Z32" s="495"/>
      <c r="AB32" s="1348" t="s">
        <v>1385</v>
      </c>
      <c r="AC32" s="670">
        <f>AC13*AC31</f>
        <v>60328.223738789995</v>
      </c>
      <c r="AD32" s="1346"/>
    </row>
    <row r="33" spans="2:30" ht="11.25" customHeight="1" x14ac:dyDescent="0.2">
      <c r="B33" s="491" t="s">
        <v>1386</v>
      </c>
      <c r="C33" s="670">
        <f t="shared" ref="C33:E33" si="20">C32*0.0011023</f>
        <v>11.175259188848999</v>
      </c>
      <c r="D33" s="670">
        <f t="shared" si="20"/>
        <v>11.245508492274</v>
      </c>
      <c r="E33" s="670">
        <f t="shared" si="20"/>
        <v>11.038077270422999</v>
      </c>
      <c r="F33" s="569">
        <f>SUM(C33:E33)</f>
        <v>33.458844951545998</v>
      </c>
      <c r="G33" s="495" t="s">
        <v>1329</v>
      </c>
      <c r="I33" s="491" t="s">
        <v>1387</v>
      </c>
      <c r="J33" s="670">
        <f t="shared" ref="J33:L33" si="21">J32*0.0011023</f>
        <v>9.2057451115140001</v>
      </c>
      <c r="K33" s="670">
        <f t="shared" si="21"/>
        <v>8.6211787767839994</v>
      </c>
      <c r="L33" s="670">
        <f t="shared" si="21"/>
        <v>9.5997861223320005</v>
      </c>
      <c r="M33" s="670">
        <f>SUM(J33:L33)</f>
        <v>27.426710010629996</v>
      </c>
      <c r="N33" s="495" t="s">
        <v>1329</v>
      </c>
      <c r="P33" s="491" t="s">
        <v>1388</v>
      </c>
      <c r="Q33" s="670">
        <f t="shared" ref="Q33:T33" si="22">Q32*0.0011023</f>
        <v>3.8453132806451996E-2</v>
      </c>
      <c r="R33" s="670">
        <f t="shared" si="22"/>
        <v>5.2322994046774499E-2</v>
      </c>
      <c r="S33" s="670">
        <f t="shared" si="22"/>
        <v>1.45886613259905E-2</v>
      </c>
      <c r="T33" s="670">
        <f t="shared" si="22"/>
        <v>1.3224235593008999E-2</v>
      </c>
      <c r="U33" s="1366">
        <v>9.8723234772949489E-2</v>
      </c>
      <c r="V33" s="495"/>
      <c r="X33" s="491" t="s">
        <v>1389</v>
      </c>
      <c r="Y33" s="1350">
        <f>Y32*0.0011023</f>
        <v>5.5088812769129998</v>
      </c>
      <c r="Z33" s="495" t="s">
        <v>1329</v>
      </c>
      <c r="AB33" s="1348" t="s">
        <v>1390</v>
      </c>
      <c r="AC33" s="670">
        <f>AC32*0.0011023</f>
        <v>66.499801027268219</v>
      </c>
      <c r="AD33" s="1346" t="s">
        <v>1329</v>
      </c>
    </row>
    <row r="34" spans="2:30" ht="11.25" customHeight="1" x14ac:dyDescent="0.2">
      <c r="B34" s="518"/>
      <c r="C34" s="573"/>
      <c r="D34" s="573"/>
      <c r="E34" s="573"/>
      <c r="F34" s="573"/>
      <c r="G34" s="607"/>
      <c r="I34" s="491"/>
      <c r="J34" s="492"/>
      <c r="K34" s="492"/>
      <c r="L34" s="492"/>
      <c r="M34" s="492"/>
      <c r="N34" s="495"/>
      <c r="P34" s="491"/>
      <c r="Q34" s="492"/>
      <c r="R34" s="492"/>
      <c r="S34" s="492"/>
      <c r="T34" s="492"/>
      <c r="U34" s="492"/>
      <c r="V34" s="495"/>
      <c r="X34" s="491"/>
      <c r="Y34" s="492"/>
      <c r="Z34" s="495"/>
      <c r="AB34" s="1367"/>
      <c r="AC34" s="519"/>
      <c r="AD34" s="1368"/>
    </row>
    <row r="35" spans="2:30" ht="11.25" customHeight="1" x14ac:dyDescent="0.2">
      <c r="B35" s="1369" t="s">
        <v>1391</v>
      </c>
      <c r="C35" s="1370">
        <v>12.01</v>
      </c>
      <c r="D35" s="1370">
        <v>11.84</v>
      </c>
      <c r="E35" s="1370">
        <v>11.72</v>
      </c>
      <c r="F35" s="1371">
        <f>SUM(C35:E35)</f>
        <v>35.57</v>
      </c>
      <c r="G35" s="1372" t="s">
        <v>498</v>
      </c>
      <c r="I35" s="1373" t="s">
        <v>1392</v>
      </c>
      <c r="J35" s="1316">
        <v>1.24E-2</v>
      </c>
      <c r="K35" s="1316">
        <v>9.1000000000000004E-3</v>
      </c>
      <c r="L35" s="1316">
        <v>7.3000000000000001E-3</v>
      </c>
      <c r="M35" s="1374">
        <f>SUM(J35:L35)</f>
        <v>2.8799999999999999E-2</v>
      </c>
      <c r="N35" s="1375" t="s">
        <v>1348</v>
      </c>
      <c r="P35" s="1373" t="s">
        <v>1393</v>
      </c>
      <c r="Q35" s="1376">
        <v>1.14E-2</v>
      </c>
      <c r="R35" s="1376">
        <v>8.9999999999999993E-3</v>
      </c>
      <c r="S35" s="1376">
        <v>5.5399999999999998E-3</v>
      </c>
      <c r="T35" s="1376">
        <v>5.8399999999999997E-3</v>
      </c>
      <c r="U35" s="1377">
        <f>SUM(Q35:S35)</f>
        <v>2.5940000000000001E-2</v>
      </c>
      <c r="V35" s="1375" t="s">
        <v>1348</v>
      </c>
      <c r="X35" s="1373" t="s">
        <v>1394</v>
      </c>
      <c r="Y35" s="1378">
        <v>0.5</v>
      </c>
      <c r="Z35" s="1375" t="s">
        <v>1348</v>
      </c>
      <c r="AB35" s="1379" t="s">
        <v>1395</v>
      </c>
      <c r="AC35" s="1374">
        <f>(F35+M35+U35+Y35)*AC44</f>
        <v>9573.056099999998</v>
      </c>
      <c r="AD35" s="956"/>
    </row>
    <row r="36" spans="2:30" ht="11.25" customHeight="1" x14ac:dyDescent="0.2">
      <c r="B36" s="577"/>
      <c r="C36" s="578"/>
      <c r="D36" s="578"/>
      <c r="E36" s="578"/>
      <c r="F36" s="578"/>
      <c r="G36" s="1104"/>
      <c r="I36" s="578"/>
      <c r="J36" s="578"/>
      <c r="K36" s="578"/>
      <c r="L36" s="578"/>
      <c r="M36" s="578"/>
      <c r="N36" s="1380"/>
      <c r="P36" s="548"/>
      <c r="Q36" s="1381"/>
      <c r="R36" s="1381"/>
      <c r="S36" s="1381"/>
      <c r="T36" s="1381"/>
      <c r="U36" s="1381"/>
      <c r="V36" s="1380"/>
      <c r="X36" s="577"/>
      <c r="Y36" s="578"/>
      <c r="Z36" s="1104"/>
      <c r="AB36" s="474"/>
      <c r="AC36" s="1311"/>
      <c r="AD36" s="1312"/>
    </row>
    <row r="37" spans="2:30" ht="11.25" customHeight="1" x14ac:dyDescent="0.2"/>
    <row r="38" spans="2:30" ht="11.25" customHeight="1" x14ac:dyDescent="0.2">
      <c r="C38" s="538"/>
    </row>
    <row r="39" spans="2:30" ht="11.25" customHeight="1" x14ac:dyDescent="0.2"/>
    <row r="40" spans="2:30" ht="11.25" customHeight="1" x14ac:dyDescent="0.2">
      <c r="AB40" s="2501" t="s">
        <v>0</v>
      </c>
      <c r="AC40" s="2502"/>
    </row>
    <row r="41" spans="2:30" ht="11.25" customHeight="1" x14ac:dyDescent="0.2">
      <c r="AB41" s="1382"/>
      <c r="AC41" s="1382"/>
    </row>
    <row r="42" spans="2:30" ht="11.25" customHeight="1" x14ac:dyDescent="0.2">
      <c r="AB42" s="1383" t="s">
        <v>4</v>
      </c>
      <c r="AC42" s="1384">
        <f>'Summ GHG Rpt Expanded'!$G4</f>
        <v>1</v>
      </c>
    </row>
    <row r="43" spans="2:30" ht="11.25" customHeight="1" x14ac:dyDescent="0.2">
      <c r="B43" s="492"/>
      <c r="C43" s="597" t="s">
        <v>1396</v>
      </c>
      <c r="D43" s="492"/>
      <c r="E43" s="492"/>
      <c r="AB43" s="1383" t="s">
        <v>5</v>
      </c>
      <c r="AC43" s="1384">
        <f>'Summ GHG Rpt Expanded'!$G5</f>
        <v>28</v>
      </c>
    </row>
    <row r="44" spans="2:30" ht="11.25" customHeight="1" x14ac:dyDescent="0.2">
      <c r="B44" s="492" t="s">
        <v>437</v>
      </c>
      <c r="C44" s="492" t="s">
        <v>1397</v>
      </c>
      <c r="D44" s="492" t="s">
        <v>508</v>
      </c>
      <c r="E44" s="492"/>
      <c r="AB44" s="1383" t="s">
        <v>6</v>
      </c>
      <c r="AC44" s="1384">
        <f>'Summ GHG Rpt Expanded'!$G6</f>
        <v>265</v>
      </c>
    </row>
    <row r="45" spans="2:30" ht="11.25" customHeight="1" x14ac:dyDescent="0.2">
      <c r="B45" s="492" t="s">
        <v>1398</v>
      </c>
      <c r="C45" s="492">
        <v>90.7</v>
      </c>
      <c r="D45" s="492">
        <v>53.06</v>
      </c>
      <c r="E45" s="492" t="s">
        <v>1399</v>
      </c>
      <c r="AB45" s="1383" t="s">
        <v>7</v>
      </c>
      <c r="AC45" s="202">
        <f>'Summ GHG Rpt Expanded'!$G7</f>
        <v>23500</v>
      </c>
    </row>
    <row r="46" spans="2:30" ht="11.25" customHeight="1" x14ac:dyDescent="0.2">
      <c r="B46" s="492" t="s">
        <v>1400</v>
      </c>
      <c r="C46" s="492">
        <v>3.2000000000000001E-2</v>
      </c>
      <c r="D46" s="492">
        <v>1E-3</v>
      </c>
      <c r="E46" s="492" t="s">
        <v>1401</v>
      </c>
      <c r="AB46" s="1383" t="s">
        <v>8</v>
      </c>
      <c r="AC46" s="202">
        <f>'Summ GHG Rpt Expanded'!$G8</f>
        <v>11100</v>
      </c>
    </row>
    <row r="47" spans="2:30" ht="11.25" customHeight="1" x14ac:dyDescent="0.2">
      <c r="B47" s="492" t="s">
        <v>1402</v>
      </c>
      <c r="C47" s="492">
        <v>4.1999999999999997E-3</v>
      </c>
      <c r="D47" s="492">
        <v>1E-4</v>
      </c>
      <c r="E47" s="492" t="s">
        <v>1403</v>
      </c>
    </row>
    <row r="48" spans="2:30" ht="11.25" customHeight="1" x14ac:dyDescent="0.2"/>
    <row r="49" spans="2:5" ht="11.25" customHeight="1" x14ac:dyDescent="0.2"/>
    <row r="50" spans="2:5" ht="11.25" customHeight="1" x14ac:dyDescent="0.2">
      <c r="B50" s="492" t="s">
        <v>336</v>
      </c>
      <c r="C50" s="597" t="s">
        <v>1404</v>
      </c>
      <c r="D50" s="1385"/>
      <c r="E50" s="466"/>
    </row>
    <row r="51" spans="2:5" ht="11.25" customHeight="1" x14ac:dyDescent="0.2">
      <c r="B51" s="492" t="s">
        <v>1405</v>
      </c>
      <c r="C51" s="492">
        <v>1</v>
      </c>
      <c r="D51" s="1385"/>
      <c r="E51" s="466"/>
    </row>
    <row r="52" spans="2:5" ht="11.25" customHeight="1" x14ac:dyDescent="0.2">
      <c r="B52" s="492" t="s">
        <v>1406</v>
      </c>
      <c r="C52" s="492">
        <v>21</v>
      </c>
      <c r="D52" s="1386" t="s">
        <v>1407</v>
      </c>
      <c r="E52" s="5"/>
    </row>
    <row r="53" spans="2:5" ht="11.25" customHeight="1" x14ac:dyDescent="0.2">
      <c r="B53" s="492" t="s">
        <v>1408</v>
      </c>
      <c r="C53" s="492">
        <v>310</v>
      </c>
      <c r="D53" s="1385"/>
      <c r="E53" s="466"/>
    </row>
    <row r="54" spans="2:5" ht="11.25" customHeight="1" x14ac:dyDescent="0.2"/>
    <row r="55" spans="2:5" ht="11.25" customHeight="1" x14ac:dyDescent="0.2"/>
    <row r="56" spans="2:5" ht="11.25" customHeight="1" x14ac:dyDescent="0.2"/>
    <row r="57" spans="2:5" ht="11.25" customHeight="1" x14ac:dyDescent="0.2"/>
    <row r="58" spans="2:5" ht="11.25" customHeight="1" x14ac:dyDescent="0.2"/>
    <row r="59" spans="2:5" ht="11.25" customHeight="1" x14ac:dyDescent="0.2"/>
    <row r="60" spans="2:5" ht="11.25" customHeight="1" x14ac:dyDescent="0.2"/>
    <row r="61" spans="2:5" ht="11.25" customHeight="1" x14ac:dyDescent="0.2"/>
    <row r="62" spans="2:5" ht="11.25" customHeight="1" x14ac:dyDescent="0.2"/>
    <row r="63" spans="2:5" ht="11.25" customHeight="1" x14ac:dyDescent="0.2"/>
    <row r="64" spans="2:5"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OfIKVIhUZ8ouELWmFVTd8u9ztdGZckttdfTl0cTa5LWZ/5r0DGr0b+x6Uw6GUuowzyfUjG7EBKAh/N00+SKi4A==" saltValue="dBGY/X3UpiQbJTDXwHPfPw==" spinCount="100000" sheet="1" objects="1" scenarios="1"/>
  <mergeCells count="1">
    <mergeCell ref="AB40:AC40"/>
  </mergeCells>
  <pageMargins left="0.75" right="0.75" top="1" bottom="1" header="0" footer="0"/>
  <pageSetup orientation="portrait"/>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defaultColWidth="16.83203125" defaultRowHeight="15" customHeight="1" x14ac:dyDescent="0.2"/>
  <cols>
    <col min="1" max="2" width="8.83203125" customWidth="1"/>
    <col min="3" max="3" width="20.83203125" customWidth="1"/>
    <col min="4" max="4" width="15.5" customWidth="1"/>
    <col min="5" max="5" width="12.6640625" customWidth="1"/>
    <col min="6" max="6" width="8.83203125" customWidth="1"/>
    <col min="7" max="7" width="18.33203125" customWidth="1"/>
    <col min="8" max="8" width="8.83203125" customWidth="1"/>
    <col min="9" max="9" width="11" customWidth="1"/>
    <col min="10" max="10" width="12.6640625" customWidth="1"/>
    <col min="11" max="26" width="8.83203125" customWidth="1"/>
  </cols>
  <sheetData>
    <row r="1" spans="1:26" ht="11.25" customHeight="1" x14ac:dyDescent="0.45">
      <c r="A1" s="9" t="s">
        <v>1409</v>
      </c>
      <c r="B1" s="480"/>
      <c r="G1" s="482"/>
      <c r="H1" s="466"/>
    </row>
    <row r="2" spans="1:26" ht="93.75" customHeight="1" x14ac:dyDescent="0.25">
      <c r="A2" s="2"/>
      <c r="B2" s="1387"/>
      <c r="C2" s="1387"/>
      <c r="D2" s="1388"/>
      <c r="E2" s="1388"/>
      <c r="F2" s="1388"/>
      <c r="G2" s="1388"/>
      <c r="H2" s="1389"/>
      <c r="I2" s="2"/>
      <c r="J2" s="1389"/>
      <c r="K2" s="1389"/>
      <c r="L2" s="1389"/>
      <c r="M2" s="2"/>
      <c r="N2" s="2"/>
      <c r="O2" s="2"/>
      <c r="P2" s="2"/>
      <c r="Q2" s="2"/>
      <c r="R2" s="2"/>
      <c r="S2" s="2"/>
      <c r="T2" s="2"/>
      <c r="U2" s="2"/>
      <c r="V2" s="2"/>
      <c r="W2" s="2"/>
      <c r="X2" s="2"/>
      <c r="Y2" s="2"/>
      <c r="Z2" s="2"/>
    </row>
    <row r="3" spans="1:26" ht="11.25" customHeight="1" x14ac:dyDescent="0.25">
      <c r="A3" s="2"/>
      <c r="B3" s="1390"/>
      <c r="C3" s="1322"/>
      <c r="D3" s="1391" t="s">
        <v>397</v>
      </c>
      <c r="E3" s="2"/>
      <c r="F3" s="2"/>
      <c r="G3" s="2"/>
      <c r="H3" s="2"/>
      <c r="I3" s="2"/>
      <c r="J3" s="2"/>
      <c r="K3" s="2"/>
      <c r="L3" s="2"/>
      <c r="M3" s="2"/>
      <c r="N3" s="2"/>
      <c r="O3" s="2"/>
      <c r="P3" s="2"/>
      <c r="Q3" s="2"/>
      <c r="R3" s="2"/>
      <c r="S3" s="2"/>
      <c r="T3" s="2"/>
      <c r="U3" s="2"/>
      <c r="V3" s="2"/>
      <c r="W3" s="2"/>
      <c r="X3" s="2"/>
      <c r="Y3" s="2"/>
      <c r="Z3" s="2"/>
    </row>
    <row r="4" spans="1:26" ht="11.25" customHeight="1" x14ac:dyDescent="0.35">
      <c r="A4" s="2"/>
      <c r="B4" s="1392"/>
      <c r="C4" s="450"/>
      <c r="D4" s="1393" t="s">
        <v>1410</v>
      </c>
      <c r="E4" s="2"/>
      <c r="F4" s="2"/>
      <c r="G4" s="2"/>
      <c r="H4" s="2"/>
      <c r="I4" s="2"/>
      <c r="J4" s="2"/>
      <c r="K4" s="2"/>
      <c r="L4" s="2"/>
      <c r="M4" s="2"/>
      <c r="N4" s="2"/>
      <c r="O4" s="2"/>
      <c r="P4" s="2"/>
      <c r="Q4" s="2"/>
      <c r="R4" s="2"/>
      <c r="S4" s="2"/>
      <c r="T4" s="2"/>
      <c r="U4" s="2"/>
      <c r="V4" s="2"/>
      <c r="W4" s="2"/>
      <c r="X4" s="2"/>
      <c r="Y4" s="2"/>
      <c r="Z4" s="2"/>
    </row>
    <row r="5" spans="1:26" ht="11.25" customHeight="1" x14ac:dyDescent="0.25">
      <c r="A5" s="2"/>
      <c r="B5" s="1392"/>
      <c r="C5" s="1394"/>
      <c r="D5" s="1323"/>
      <c r="E5" s="2"/>
      <c r="F5" s="2"/>
      <c r="G5" s="2"/>
      <c r="H5" s="2"/>
      <c r="I5" s="2"/>
      <c r="J5" s="2"/>
      <c r="K5" s="2"/>
      <c r="L5" s="2"/>
      <c r="M5" s="2"/>
      <c r="N5" s="2"/>
      <c r="O5" s="2"/>
      <c r="P5" s="2"/>
      <c r="Q5" s="2"/>
      <c r="R5" s="2"/>
      <c r="S5" s="2"/>
      <c r="T5" s="2"/>
      <c r="U5" s="2"/>
      <c r="V5" s="2"/>
      <c r="W5" s="2"/>
      <c r="X5" s="2"/>
      <c r="Y5" s="2"/>
      <c r="Z5" s="2"/>
    </row>
    <row r="6" spans="1:26" ht="11.25" customHeight="1" x14ac:dyDescent="0.25">
      <c r="A6" s="2"/>
      <c r="B6" s="1395"/>
      <c r="C6" s="355"/>
      <c r="D6" s="1323"/>
      <c r="E6" s="2"/>
      <c r="F6" s="2"/>
      <c r="G6" s="2"/>
      <c r="H6" s="2"/>
      <c r="I6" s="2"/>
      <c r="J6" s="2"/>
      <c r="K6" s="2"/>
      <c r="L6" s="2"/>
      <c r="M6" s="2"/>
      <c r="N6" s="2"/>
      <c r="O6" s="2"/>
      <c r="P6" s="2"/>
      <c r="Q6" s="2"/>
      <c r="R6" s="2"/>
      <c r="S6" s="2"/>
      <c r="T6" s="2"/>
      <c r="U6" s="2"/>
      <c r="V6" s="2"/>
      <c r="W6" s="2"/>
      <c r="X6" s="2"/>
      <c r="Y6" s="2"/>
      <c r="Z6" s="2"/>
    </row>
    <row r="7" spans="1:26" ht="11.25" customHeight="1" x14ac:dyDescent="0.25">
      <c r="A7" s="2"/>
      <c r="B7" s="1396">
        <v>2014</v>
      </c>
      <c r="C7" s="618" t="s">
        <v>1411</v>
      </c>
      <c r="D7" s="1323">
        <v>3.3000000000000002E-2</v>
      </c>
      <c r="E7" s="431"/>
      <c r="F7" s="2"/>
      <c r="G7" s="2"/>
      <c r="H7" s="2"/>
      <c r="I7" s="2"/>
      <c r="J7" s="2"/>
      <c r="K7" s="2"/>
      <c r="L7" s="2"/>
      <c r="M7" s="2"/>
      <c r="N7" s="2"/>
      <c r="O7" s="2"/>
      <c r="P7" s="2"/>
      <c r="Q7" s="2"/>
      <c r="R7" s="2"/>
      <c r="S7" s="2"/>
      <c r="T7" s="2"/>
      <c r="U7" s="2"/>
      <c r="V7" s="2"/>
      <c r="W7" s="2"/>
      <c r="X7" s="2"/>
      <c r="Y7" s="2"/>
      <c r="Z7" s="2"/>
    </row>
    <row r="8" spans="1:26" ht="11.25" customHeight="1" x14ac:dyDescent="0.25">
      <c r="A8" s="2"/>
      <c r="B8" s="1397"/>
      <c r="C8" s="1398"/>
      <c r="D8" s="1324"/>
      <c r="E8" s="2"/>
      <c r="F8" s="2"/>
      <c r="G8" s="2"/>
      <c r="H8" s="2"/>
      <c r="I8" s="2"/>
      <c r="J8" s="2"/>
      <c r="K8" s="2"/>
      <c r="L8" s="2"/>
      <c r="M8" s="2"/>
      <c r="N8" s="2"/>
      <c r="O8" s="2"/>
      <c r="P8" s="2"/>
      <c r="Q8" s="2"/>
      <c r="R8" s="2"/>
      <c r="S8" s="2"/>
      <c r="T8" s="2"/>
      <c r="U8" s="2"/>
      <c r="V8" s="2"/>
      <c r="W8" s="2"/>
      <c r="X8" s="2"/>
      <c r="Y8" s="2"/>
      <c r="Z8" s="2"/>
    </row>
    <row r="9" spans="1:26" ht="11.25" customHeight="1" x14ac:dyDescent="0.25">
      <c r="A9" s="2"/>
      <c r="B9" s="2"/>
      <c r="C9" s="2"/>
      <c r="D9" s="2"/>
      <c r="E9" s="2"/>
      <c r="F9" s="2"/>
      <c r="G9" s="2"/>
      <c r="H9" s="2"/>
      <c r="I9" s="2"/>
      <c r="J9" s="2"/>
      <c r="K9" s="2"/>
      <c r="L9" s="2"/>
      <c r="M9" s="2"/>
      <c r="N9" s="2"/>
      <c r="O9" s="2"/>
      <c r="P9" s="2"/>
      <c r="Q9" s="2"/>
      <c r="R9" s="2"/>
      <c r="S9" s="2"/>
      <c r="T9" s="2"/>
      <c r="U9" s="2"/>
      <c r="V9" s="2"/>
      <c r="W9" s="2"/>
      <c r="X9" s="2"/>
      <c r="Y9" s="2"/>
      <c r="Z9" s="2"/>
    </row>
    <row r="10" spans="1:26" ht="11.25" customHeight="1" x14ac:dyDescent="0.2"/>
    <row r="11" spans="1:26" ht="11.25" customHeight="1" x14ac:dyDescent="0.2"/>
    <row r="12" spans="1:26" ht="11.25" customHeight="1" x14ac:dyDescent="0.2"/>
    <row r="13" spans="1:26" ht="11.25" customHeight="1" x14ac:dyDescent="0.2"/>
    <row r="14" spans="1:26" ht="11.25" customHeight="1" x14ac:dyDescent="0.2"/>
    <row r="15" spans="1:26" ht="11.25" customHeight="1" x14ac:dyDescent="0.2"/>
    <row r="16" spans="1:26"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2jZqHPy+8RVcdUfTLtaOGlNCfVxvNrxZZq/smWkGsgQcoISC4FrZP3HavcFY+YV83GJl+fic0ryiSHSqjiRqqQ==" saltValue="WOzIIQj0wXm9oPYHl89b6Q==" spinCount="100000" sheet="1" objects="1" scenarios="1"/>
  <pageMargins left="0.75" right="0.75" top="1" bottom="1" header="0" footer="0"/>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88"/>
  <sheetViews>
    <sheetView workbookViewId="0"/>
  </sheetViews>
  <sheetFormatPr defaultColWidth="16.83203125" defaultRowHeight="15" customHeight="1" x14ac:dyDescent="0.2"/>
  <cols>
    <col min="1" max="1" width="3.6640625" customWidth="1"/>
    <col min="2" max="2" width="30.33203125" customWidth="1"/>
    <col min="3" max="3" width="17.1640625" customWidth="1"/>
    <col min="4" max="4" width="21.6640625" customWidth="1"/>
    <col min="5" max="5" width="18.1640625" customWidth="1"/>
    <col min="6" max="6" width="17.83203125" customWidth="1"/>
    <col min="7" max="7" width="18.83203125" customWidth="1"/>
    <col min="8" max="9" width="18" customWidth="1"/>
    <col min="11" max="11" width="20.1640625" customWidth="1"/>
    <col min="12" max="26" width="8.83203125" customWidth="1"/>
  </cols>
  <sheetData>
    <row r="1" spans="1:12" ht="33" x14ac:dyDescent="0.45">
      <c r="A1" s="9" t="s">
        <v>1412</v>
      </c>
      <c r="B1" s="480"/>
      <c r="E1" s="482"/>
      <c r="G1" s="466"/>
      <c r="H1" s="466"/>
    </row>
    <row r="2" spans="1:12" ht="170.25" customHeight="1" x14ac:dyDescent="0.4">
      <c r="A2" s="9"/>
    </row>
    <row r="3" spans="1:12" ht="14.25" x14ac:dyDescent="0.3">
      <c r="B3" s="1092"/>
      <c r="C3" s="869"/>
      <c r="D3" s="869"/>
      <c r="E3" s="1399"/>
      <c r="F3" s="869"/>
      <c r="G3" s="1399"/>
      <c r="H3" s="1400"/>
      <c r="I3" s="1401"/>
      <c r="J3" s="1402"/>
      <c r="K3" s="869"/>
    </row>
    <row r="4" spans="1:12" ht="21" x14ac:dyDescent="0.4">
      <c r="B4" s="1403" t="s">
        <v>1413</v>
      </c>
      <c r="C4" s="1404"/>
      <c r="D4" s="1403">
        <v>2014</v>
      </c>
      <c r="E4" s="1405"/>
      <c r="F4" s="1404"/>
      <c r="G4" s="1399"/>
      <c r="H4" s="869"/>
      <c r="I4" s="869"/>
      <c r="J4" s="869"/>
      <c r="K4" s="869"/>
      <c r="L4" s="466"/>
    </row>
    <row r="5" spans="1:12" ht="12.75" x14ac:dyDescent="0.25">
      <c r="B5" s="869"/>
      <c r="C5" s="869"/>
      <c r="D5" s="869"/>
      <c r="E5" s="1399"/>
      <c r="F5" s="869"/>
      <c r="G5" s="1399"/>
      <c r="H5" s="869"/>
      <c r="I5" s="869"/>
      <c r="J5" s="869"/>
      <c r="K5" s="869"/>
    </row>
    <row r="6" spans="1:12" ht="14.25" x14ac:dyDescent="0.3">
      <c r="B6" s="1406"/>
      <c r="C6" s="1407" t="s">
        <v>1414</v>
      </c>
      <c r="D6" s="1407" t="s">
        <v>985</v>
      </c>
      <c r="E6" s="1407" t="s">
        <v>1415</v>
      </c>
      <c r="F6" s="1408" t="s">
        <v>1416</v>
      </c>
      <c r="G6" s="1399"/>
      <c r="H6" s="2501" t="s">
        <v>0</v>
      </c>
      <c r="I6" s="2502"/>
      <c r="K6" s="869"/>
    </row>
    <row r="7" spans="1:12" ht="25.5" x14ac:dyDescent="0.25">
      <c r="B7" s="1409"/>
      <c r="C7" s="869"/>
      <c r="D7" s="1410" t="s">
        <v>1417</v>
      </c>
      <c r="E7" s="869"/>
      <c r="F7" s="1411"/>
      <c r="G7" s="1399"/>
      <c r="H7" s="1382"/>
      <c r="I7" s="1382"/>
      <c r="K7" s="869"/>
    </row>
    <row r="8" spans="1:12" ht="12.75" x14ac:dyDescent="0.25">
      <c r="B8" s="1412" t="s">
        <v>1418</v>
      </c>
      <c r="C8" s="1413">
        <v>7</v>
      </c>
      <c r="D8" s="1414">
        <v>4.1021717966689701</v>
      </c>
      <c r="E8" s="1413">
        <f>C8*D8</f>
        <v>28.715202576682792</v>
      </c>
      <c r="F8" s="1415">
        <f t="shared" ref="F8:F9" si="0">E8*$I$9/1000000</f>
        <v>8.0402567214711812E-4</v>
      </c>
      <c r="G8" s="1399"/>
      <c r="H8" s="1383" t="s">
        <v>4</v>
      </c>
      <c r="I8" s="1384">
        <f>'Summ GHG Rpt Expanded'!$G4</f>
        <v>1</v>
      </c>
      <c r="K8" s="869"/>
    </row>
    <row r="9" spans="1:12" ht="25.5" x14ac:dyDescent="0.25">
      <c r="B9" s="1412" t="s">
        <v>1419</v>
      </c>
      <c r="C9" s="1413">
        <v>0</v>
      </c>
      <c r="D9" s="1414">
        <v>13.055796863999998</v>
      </c>
      <c r="E9" s="1413">
        <v>0</v>
      </c>
      <c r="F9" s="1415">
        <f t="shared" si="0"/>
        <v>0</v>
      </c>
      <c r="G9" s="1399"/>
      <c r="H9" s="1383" t="s">
        <v>5</v>
      </c>
      <c r="I9" s="1384">
        <f>'Summ GHG Rpt Expanded'!$G5</f>
        <v>28</v>
      </c>
      <c r="K9" s="869"/>
    </row>
    <row r="10" spans="1:12" ht="14.25" x14ac:dyDescent="0.3">
      <c r="B10" s="1416" t="s">
        <v>1420</v>
      </c>
      <c r="C10" s="1417"/>
      <c r="D10" s="1418"/>
      <c r="E10" s="1419">
        <v>21.095017507998922</v>
      </c>
      <c r="F10" s="1420">
        <f>F8+F9</f>
        <v>8.0402567214711812E-4</v>
      </c>
      <c r="G10" s="1399"/>
      <c r="H10" s="1383" t="s">
        <v>6</v>
      </c>
      <c r="I10" s="1384">
        <f>'Summ GHG Rpt Expanded'!$G6</f>
        <v>265</v>
      </c>
      <c r="K10" s="869"/>
    </row>
    <row r="11" spans="1:12" ht="11.25" x14ac:dyDescent="0.2">
      <c r="B11" s="474"/>
      <c r="C11" s="1311"/>
      <c r="D11" s="1311"/>
      <c r="E11" s="1311"/>
      <c r="F11" s="1312"/>
      <c r="H11" s="1383" t="s">
        <v>7</v>
      </c>
      <c r="I11" s="202">
        <f>'Summ GHG Rpt Expanded'!$G7</f>
        <v>23500</v>
      </c>
    </row>
    <row r="12" spans="1:12" ht="11.25" x14ac:dyDescent="0.2">
      <c r="B12" s="466"/>
      <c r="C12" s="466"/>
      <c r="D12" s="466"/>
      <c r="E12" s="466"/>
      <c r="F12" s="466"/>
      <c r="H12" s="1383" t="s">
        <v>8</v>
      </c>
      <c r="I12" s="202">
        <f>'Summ GHG Rpt Expanded'!$G8</f>
        <v>11100</v>
      </c>
    </row>
    <row r="13" spans="1:12" ht="11.25" x14ac:dyDescent="0.2">
      <c r="B13" s="466" t="s">
        <v>1421</v>
      </c>
      <c r="C13" s="466"/>
      <c r="D13" s="466"/>
      <c r="E13" s="466"/>
      <c r="F13" s="466"/>
    </row>
    <row r="14" spans="1:12" ht="11.25" x14ac:dyDescent="0.2">
      <c r="B14" s="466"/>
      <c r="C14" s="1005" t="s">
        <v>1422</v>
      </c>
      <c r="D14" s="466"/>
      <c r="E14" s="466"/>
      <c r="F14" s="466"/>
    </row>
    <row r="15" spans="1:12" ht="11.25" x14ac:dyDescent="0.2">
      <c r="B15" s="2563" t="s">
        <v>1423</v>
      </c>
      <c r="C15" s="2504"/>
      <c r="D15" s="2504"/>
      <c r="E15" s="2504"/>
      <c r="F15" s="2504"/>
      <c r="G15" s="2504"/>
      <c r="H15" s="2504"/>
      <c r="I15" s="2504"/>
    </row>
    <row r="16" spans="1:12" ht="11.25" x14ac:dyDescent="0.2">
      <c r="B16" s="466"/>
      <c r="C16" s="466"/>
      <c r="D16" s="466"/>
      <c r="E16" s="466"/>
      <c r="F16" s="466"/>
    </row>
    <row r="17" spans="2:7" ht="11.25" x14ac:dyDescent="0.2">
      <c r="B17" s="466"/>
      <c r="C17" s="466"/>
      <c r="D17" s="466"/>
      <c r="E17" s="466"/>
      <c r="F17" s="466"/>
    </row>
    <row r="20" spans="2:7" ht="21" x14ac:dyDescent="0.4">
      <c r="B20" s="1422" t="s">
        <v>1424</v>
      </c>
      <c r="C20" s="1422"/>
      <c r="D20" s="1423"/>
      <c r="E20" s="1423"/>
      <c r="F20" s="1423"/>
    </row>
    <row r="21" spans="2:7" ht="11.25" x14ac:dyDescent="0.2">
      <c r="C21" s="2563"/>
      <c r="D21" s="2504"/>
      <c r="E21" s="2504"/>
      <c r="F21" s="2504"/>
    </row>
    <row r="22" spans="2:7" ht="11.25" x14ac:dyDescent="0.2">
      <c r="B22" s="1424"/>
      <c r="C22" s="1425" t="s">
        <v>1414</v>
      </c>
      <c r="D22" s="1425" t="s">
        <v>985</v>
      </c>
      <c r="E22" s="1425" t="s">
        <v>1425</v>
      </c>
      <c r="F22" s="1426" t="s">
        <v>1426</v>
      </c>
      <c r="G22" s="873"/>
    </row>
    <row r="23" spans="2:7" ht="18.75" x14ac:dyDescent="0.2">
      <c r="B23" s="1427" t="s">
        <v>1427</v>
      </c>
      <c r="C23" s="1428"/>
      <c r="D23" s="1429" t="s">
        <v>1428</v>
      </c>
      <c r="E23" s="1430"/>
      <c r="F23" s="1431"/>
      <c r="G23" s="1432"/>
    </row>
    <row r="24" spans="2:7" ht="11.25" x14ac:dyDescent="0.2">
      <c r="B24" s="1433"/>
      <c r="C24" s="1434"/>
      <c r="D24" s="1434"/>
      <c r="E24" s="1435"/>
      <c r="F24" s="1436"/>
      <c r="G24" s="1437"/>
    </row>
    <row r="25" spans="2:7" ht="11.25" x14ac:dyDescent="0.2">
      <c r="B25" s="1438" t="s">
        <v>1429</v>
      </c>
      <c r="C25" s="1439">
        <v>1278</v>
      </c>
      <c r="D25" s="1440">
        <v>5.8037235656204409</v>
      </c>
      <c r="E25" s="1441">
        <f t="shared" ref="E25:E28" si="1">C25*D25</f>
        <v>7417.158716862923</v>
      </c>
      <c r="F25" s="1442">
        <f t="shared" ref="F25:F28" si="2">E25*$I$9/1000000</f>
        <v>0.20768044407216185</v>
      </c>
      <c r="G25" s="1443"/>
    </row>
    <row r="26" spans="2:7" ht="18" x14ac:dyDescent="0.2">
      <c r="B26" s="1438" t="s">
        <v>1430</v>
      </c>
      <c r="C26" s="1439">
        <v>35</v>
      </c>
      <c r="D26" s="1440">
        <v>2.1221753994811778</v>
      </c>
      <c r="E26" s="1439">
        <f t="shared" si="1"/>
        <v>74.276138981841228</v>
      </c>
      <c r="F26" s="1442">
        <f t="shared" si="2"/>
        <v>2.0797318914915547E-3</v>
      </c>
      <c r="G26" s="1443"/>
    </row>
    <row r="27" spans="2:7" ht="18" x14ac:dyDescent="0.2">
      <c r="B27" s="1438" t="s">
        <v>1431</v>
      </c>
      <c r="C27" s="1439">
        <v>2817</v>
      </c>
      <c r="D27" s="1440">
        <v>6.0046884276387047E-2</v>
      </c>
      <c r="E27" s="1439">
        <f t="shared" si="1"/>
        <v>169.1520730065823</v>
      </c>
      <c r="F27" s="1442">
        <f t="shared" si="2"/>
        <v>4.7362580441843048E-3</v>
      </c>
      <c r="G27" s="1443"/>
    </row>
    <row r="28" spans="2:7" ht="11.25" x14ac:dyDescent="0.2">
      <c r="B28" s="1438" t="s">
        <v>1432</v>
      </c>
      <c r="C28" s="1439">
        <v>3292</v>
      </c>
      <c r="D28" s="1440">
        <v>0.37164760100393374</v>
      </c>
      <c r="E28" s="1439">
        <f t="shared" si="1"/>
        <v>1223.4639025049498</v>
      </c>
      <c r="F28" s="1442">
        <f t="shared" si="2"/>
        <v>3.4256989270138601E-2</v>
      </c>
      <c r="G28" s="1443"/>
    </row>
    <row r="29" spans="2:7" ht="11.25" x14ac:dyDescent="0.2">
      <c r="B29" s="1444"/>
      <c r="C29" s="1445"/>
      <c r="D29" s="1446"/>
      <c r="E29" s="1445"/>
      <c r="F29" s="1447"/>
      <c r="G29" s="1443"/>
    </row>
    <row r="30" spans="2:7" ht="11.25" x14ac:dyDescent="0.2">
      <c r="B30" s="1448" t="s">
        <v>1433</v>
      </c>
      <c r="C30" s="1449"/>
      <c r="D30" s="1450"/>
      <c r="E30" s="1449"/>
      <c r="F30" s="1451"/>
      <c r="G30" s="1443"/>
    </row>
    <row r="31" spans="2:7" ht="11.25" x14ac:dyDescent="0.2">
      <c r="B31" s="1452" t="s">
        <v>1434</v>
      </c>
      <c r="C31" s="1453">
        <v>544843</v>
      </c>
      <c r="D31" s="1454">
        <v>1.5267140136098032E-2</v>
      </c>
      <c r="E31" s="1453">
        <f t="shared" ref="E31:E33" si="3">C31*D31</f>
        <v>8318.1944331720606</v>
      </c>
      <c r="F31" s="1455">
        <f t="shared" ref="F31:F33" si="4">E31*$I$9/1000000</f>
        <v>0.2329094441288177</v>
      </c>
      <c r="G31" s="1443"/>
    </row>
    <row r="32" spans="2:7" ht="11.25" x14ac:dyDescent="0.2">
      <c r="B32" s="1438" t="s">
        <v>1435</v>
      </c>
      <c r="C32" s="1439">
        <v>77194</v>
      </c>
      <c r="D32" s="1440">
        <v>3.2750300015441415E-2</v>
      </c>
      <c r="E32" s="1439">
        <f t="shared" si="3"/>
        <v>2528.1266593919845</v>
      </c>
      <c r="F32" s="1442">
        <f t="shared" si="4"/>
        <v>7.0787546462975554E-2</v>
      </c>
      <c r="G32" s="1443"/>
    </row>
    <row r="33" spans="2:10" ht="11.25" x14ac:dyDescent="0.2">
      <c r="B33" s="1438" t="s">
        <v>1436</v>
      </c>
      <c r="C33" s="1439">
        <v>78296</v>
      </c>
      <c r="D33" s="1440">
        <v>3.4007868318860182E-3</v>
      </c>
      <c r="E33" s="1439">
        <f t="shared" si="3"/>
        <v>266.26800578934768</v>
      </c>
      <c r="F33" s="1442">
        <f t="shared" si="4"/>
        <v>7.4555041621017356E-3</v>
      </c>
      <c r="G33" s="1443"/>
    </row>
    <row r="34" spans="2:10" ht="11.25" x14ac:dyDescent="0.2">
      <c r="B34" s="1456" t="s">
        <v>1420</v>
      </c>
      <c r="C34" s="1457"/>
      <c r="D34" s="1457"/>
      <c r="E34" s="1458">
        <f t="shared" ref="E34:F34" si="5">SUM(E25:E33)</f>
        <v>19996.63992970969</v>
      </c>
      <c r="F34" s="1459">
        <f t="shared" si="5"/>
        <v>0.55990591803187129</v>
      </c>
      <c r="G34" s="1460"/>
    </row>
    <row r="36" spans="2:10" ht="11.25" x14ac:dyDescent="0.2">
      <c r="B36" s="2563" t="s">
        <v>1437</v>
      </c>
      <c r="C36" s="2504"/>
      <c r="D36" s="2504"/>
      <c r="E36" s="2504"/>
      <c r="F36" s="2504"/>
      <c r="G36" s="2504"/>
      <c r="H36" s="2504"/>
      <c r="I36" s="2504"/>
    </row>
    <row r="37" spans="2:10" ht="11.25" x14ac:dyDescent="0.2">
      <c r="B37" s="1421"/>
      <c r="C37" s="1421"/>
      <c r="D37" s="1421"/>
      <c r="E37" s="1421"/>
      <c r="F37" s="1421"/>
      <c r="G37" s="1421"/>
      <c r="H37" s="1421"/>
      <c r="I37" s="1421"/>
    </row>
    <row r="38" spans="2:10" ht="11.25" x14ac:dyDescent="0.2">
      <c r="B38" s="2563" t="s">
        <v>1438</v>
      </c>
      <c r="C38" s="2504"/>
      <c r="D38" s="2504"/>
      <c r="E38" s="2504"/>
      <c r="F38" s="2504"/>
      <c r="G38" s="2504"/>
      <c r="H38" s="2504"/>
      <c r="I38" s="2504"/>
    </row>
    <row r="43" spans="2:10" ht="21" x14ac:dyDescent="0.4">
      <c r="B43" s="1461" t="s">
        <v>1439</v>
      </c>
      <c r="C43" s="1461"/>
      <c r="D43" s="1461"/>
      <c r="E43" s="1462"/>
      <c r="F43" s="1463"/>
      <c r="G43" s="1399"/>
      <c r="H43" s="869"/>
      <c r="I43" s="869"/>
      <c r="J43" s="869"/>
    </row>
    <row r="44" spans="2:10" ht="12.75" x14ac:dyDescent="0.25">
      <c r="B44" s="869"/>
      <c r="C44" s="869"/>
      <c r="D44" s="869"/>
      <c r="E44" s="1399"/>
      <c r="F44" s="869"/>
      <c r="G44" s="1399"/>
      <c r="H44" s="869"/>
      <c r="I44" s="869"/>
      <c r="J44" s="869"/>
    </row>
    <row r="45" spans="2:10" ht="14.25" x14ac:dyDescent="0.3">
      <c r="B45" s="1406"/>
      <c r="C45" s="1464" t="s">
        <v>1414</v>
      </c>
      <c r="D45" s="1464" t="s">
        <v>985</v>
      </c>
      <c r="E45" s="1464" t="s">
        <v>1440</v>
      </c>
      <c r="F45" s="1465" t="s">
        <v>1441</v>
      </c>
      <c r="G45" s="1399"/>
      <c r="I45" s="1399"/>
    </row>
    <row r="46" spans="2:10" ht="12.75" x14ac:dyDescent="0.25">
      <c r="B46" s="1409"/>
      <c r="C46" s="1466"/>
      <c r="D46" s="2564" t="s">
        <v>1442</v>
      </c>
      <c r="E46" s="1466"/>
      <c r="F46" s="1467"/>
      <c r="G46" s="1399"/>
      <c r="I46" s="1399"/>
    </row>
    <row r="47" spans="2:10" ht="12.75" x14ac:dyDescent="0.25">
      <c r="B47" s="1468"/>
      <c r="C47" s="1469"/>
      <c r="D47" s="2565"/>
      <c r="E47" s="1469"/>
      <c r="F47" s="1470"/>
      <c r="G47" s="1399"/>
      <c r="I47" s="1401"/>
    </row>
    <row r="48" spans="2:10" ht="12.75" x14ac:dyDescent="0.25">
      <c r="B48" s="1471" t="s">
        <v>1443</v>
      </c>
      <c r="C48" s="1472">
        <v>978.173</v>
      </c>
      <c r="D48" s="1473">
        <v>0.61847932799999994</v>
      </c>
      <c r="E48" s="1472">
        <f t="shared" ref="E48:E50" si="6">C48*D48</f>
        <v>604.97977970774389</v>
      </c>
      <c r="F48" s="1474">
        <f t="shared" ref="F48:F50" si="7">E48*$I$9/1000000</f>
        <v>1.6939433831816831E-2</v>
      </c>
      <c r="G48" s="1399"/>
      <c r="I48" s="1401"/>
    </row>
    <row r="49" spans="2:9" ht="25.5" x14ac:dyDescent="0.25">
      <c r="B49" s="1475" t="s">
        <v>1444</v>
      </c>
      <c r="C49" s="1413">
        <f>C48*0.006</f>
        <v>5.8690379999999998</v>
      </c>
      <c r="D49" s="1476">
        <v>983.65967615375553</v>
      </c>
      <c r="E49" s="1413">
        <f t="shared" si="6"/>
        <v>5773.1360184140849</v>
      </c>
      <c r="F49" s="1415">
        <f t="shared" si="7"/>
        <v>0.16164780851559438</v>
      </c>
      <c r="G49" s="1399"/>
      <c r="I49" s="1401"/>
    </row>
    <row r="50" spans="2:9" ht="25.5" x14ac:dyDescent="0.25">
      <c r="B50" s="1475" t="s">
        <v>1445</v>
      </c>
      <c r="C50" s="1413">
        <f>C48*0.0015</f>
        <v>1.4672594999999999</v>
      </c>
      <c r="D50" s="1476">
        <v>964.14925058889139</v>
      </c>
      <c r="E50" s="1413">
        <f t="shared" si="6"/>
        <v>1414.6571473444315</v>
      </c>
      <c r="F50" s="1415">
        <f t="shared" si="7"/>
        <v>3.9610400125644082E-2</v>
      </c>
      <c r="G50" s="1399"/>
      <c r="I50" s="1401"/>
    </row>
    <row r="51" spans="2:9" ht="14.25" x14ac:dyDescent="0.3">
      <c r="B51" s="1416" t="s">
        <v>1420</v>
      </c>
      <c r="C51" s="1477"/>
      <c r="D51" s="1477"/>
      <c r="E51" s="1419">
        <f>SUM(E47:E50)</f>
        <v>7792.7729454662604</v>
      </c>
      <c r="F51" s="1420">
        <f>SUM(F48:F50)</f>
        <v>0.21819764247305529</v>
      </c>
      <c r="G51" s="1399"/>
      <c r="I51" s="1478"/>
    </row>
    <row r="52" spans="2:9" ht="11.25" x14ac:dyDescent="0.2">
      <c r="B52" s="474"/>
      <c r="C52" s="1479"/>
      <c r="D52" s="1479"/>
      <c r="E52" s="1479"/>
      <c r="F52" s="1480"/>
    </row>
    <row r="53" spans="2:9" ht="11.25" x14ac:dyDescent="0.2">
      <c r="B53" s="466"/>
      <c r="C53" s="466"/>
      <c r="D53" s="466"/>
      <c r="E53" s="466"/>
      <c r="F53" s="466"/>
    </row>
    <row r="54" spans="2:9" ht="11.25" x14ac:dyDescent="0.2">
      <c r="B54" s="2563" t="s">
        <v>1446</v>
      </c>
      <c r="C54" s="2504"/>
      <c r="D54" s="2504"/>
      <c r="E54" s="2504"/>
      <c r="F54" s="2504"/>
      <c r="G54" s="2504"/>
      <c r="H54" s="2504"/>
      <c r="I54" s="2504"/>
    </row>
    <row r="55" spans="2:9" ht="11.25" x14ac:dyDescent="0.2">
      <c r="B55" s="2563" t="s">
        <v>1447</v>
      </c>
      <c r="C55" s="2504"/>
      <c r="D55" s="2504"/>
      <c r="E55" s="2504"/>
      <c r="F55" s="2504"/>
      <c r="G55" s="2504"/>
      <c r="H55" s="2504"/>
      <c r="I55" s="2504"/>
    </row>
    <row r="56" spans="2:9" ht="11.25" x14ac:dyDescent="0.2">
      <c r="B56" s="2563" t="s">
        <v>1448</v>
      </c>
      <c r="C56" s="2504"/>
      <c r="D56" s="2504"/>
      <c r="E56" s="2504"/>
      <c r="F56" s="2504"/>
      <c r="G56" s="2504"/>
      <c r="H56" s="2504"/>
      <c r="I56" s="2504"/>
    </row>
    <row r="57" spans="2:9" ht="11.25" x14ac:dyDescent="0.2">
      <c r="B57" s="2563" t="s">
        <v>1449</v>
      </c>
      <c r="C57" s="2504"/>
      <c r="D57" s="2504"/>
      <c r="E57" s="2504"/>
      <c r="F57" s="2504"/>
      <c r="G57" s="2504"/>
      <c r="H57" s="2504"/>
      <c r="I57" s="2504"/>
    </row>
    <row r="58" spans="2:9" ht="11.25" x14ac:dyDescent="0.2">
      <c r="B58" s="2563" t="s">
        <v>1450</v>
      </c>
      <c r="C58" s="2504"/>
      <c r="D58" s="2504"/>
      <c r="E58" s="2504"/>
      <c r="F58" s="2504"/>
      <c r="G58" s="2504"/>
      <c r="H58" s="2504"/>
      <c r="I58" s="2504"/>
    </row>
    <row r="59" spans="2:9" ht="11.25" x14ac:dyDescent="0.2">
      <c r="B59" s="466"/>
      <c r="C59" s="466"/>
      <c r="D59" s="466"/>
      <c r="E59" s="466"/>
      <c r="F59" s="466"/>
    </row>
    <row r="60" spans="2:9" ht="11.25" x14ac:dyDescent="0.2">
      <c r="B60" s="466"/>
      <c r="C60" s="466"/>
      <c r="D60" s="466"/>
      <c r="E60" s="466"/>
      <c r="F60" s="466"/>
    </row>
    <row r="61" spans="2:9" ht="11.25" x14ac:dyDescent="0.2">
      <c r="B61" s="466"/>
      <c r="C61" s="466"/>
      <c r="D61" s="466"/>
      <c r="E61" s="466"/>
      <c r="F61" s="466"/>
    </row>
    <row r="62" spans="2:9" ht="11.25" x14ac:dyDescent="0.2">
      <c r="B62" s="466"/>
      <c r="C62" s="466"/>
      <c r="D62" s="466"/>
      <c r="E62" s="466"/>
      <c r="F62" s="466"/>
    </row>
    <row r="63" spans="2:9" ht="11.25" x14ac:dyDescent="0.2">
      <c r="B63" s="466"/>
      <c r="C63" s="466"/>
      <c r="D63" s="466"/>
      <c r="E63" s="466"/>
      <c r="F63" s="466"/>
    </row>
    <row r="65" spans="2:11" ht="21" x14ac:dyDescent="0.4">
      <c r="B65" s="1422" t="s">
        <v>1451</v>
      </c>
      <c r="C65" s="1422"/>
      <c r="D65" s="1423"/>
      <c r="E65" s="1423"/>
      <c r="F65" s="1423"/>
    </row>
    <row r="67" spans="2:11" ht="14.25" x14ac:dyDescent="0.25">
      <c r="B67" s="1481"/>
      <c r="C67" s="1482">
        <v>2014</v>
      </c>
      <c r="D67" s="2566" t="s">
        <v>1452</v>
      </c>
      <c r="E67" s="2520"/>
      <c r="F67" s="2521"/>
      <c r="G67" s="1483" t="s">
        <v>1453</v>
      </c>
      <c r="H67" s="237" t="s">
        <v>1454</v>
      </c>
      <c r="I67" s="1484" t="s">
        <v>1455</v>
      </c>
      <c r="J67" s="1484" t="s">
        <v>1456</v>
      </c>
      <c r="K67" s="1485" t="s">
        <v>1457</v>
      </c>
    </row>
    <row r="68" spans="2:11" ht="14.25" x14ac:dyDescent="0.25">
      <c r="B68" s="1486" t="s">
        <v>1458</v>
      </c>
      <c r="C68" s="1487" t="s">
        <v>1459</v>
      </c>
      <c r="D68" s="237" t="s">
        <v>1460</v>
      </c>
      <c r="E68" s="237" t="s">
        <v>1461</v>
      </c>
      <c r="F68" s="237" t="s">
        <v>1462</v>
      </c>
      <c r="G68" s="1488" t="s">
        <v>988</v>
      </c>
      <c r="H68" s="265" t="s">
        <v>1463</v>
      </c>
      <c r="I68" s="266" t="s">
        <v>1464</v>
      </c>
      <c r="J68" s="266" t="s">
        <v>1465</v>
      </c>
      <c r="K68" s="1106"/>
    </row>
    <row r="69" spans="2:11" ht="11.25" x14ac:dyDescent="0.2">
      <c r="B69" s="577"/>
      <c r="C69" s="1489"/>
      <c r="D69" s="1489" t="s">
        <v>1466</v>
      </c>
      <c r="E69" s="1489" t="s">
        <v>1467</v>
      </c>
      <c r="F69" s="1489" t="s">
        <v>1467</v>
      </c>
      <c r="G69" s="1490"/>
      <c r="H69" s="1489"/>
      <c r="I69" s="578"/>
      <c r="J69" s="578"/>
      <c r="K69" s="1104"/>
    </row>
    <row r="70" spans="2:11" ht="12.75" x14ac:dyDescent="0.2">
      <c r="B70" s="1491" t="s">
        <v>1468</v>
      </c>
      <c r="C70" s="1492">
        <v>6644</v>
      </c>
      <c r="D70" s="1493">
        <v>31.87</v>
      </c>
      <c r="E70" s="1494">
        <v>9.4955026735800017E-5</v>
      </c>
      <c r="F70" s="1494">
        <v>9.4955026735800007E-4</v>
      </c>
      <c r="G70" s="1495">
        <v>1</v>
      </c>
      <c r="H70" s="1496">
        <f>C70*1000*D70*(44/12)*0.00045359237*0.001/1000000</f>
        <v>3.5216716259685977E-4</v>
      </c>
      <c r="I70" s="1497">
        <f>C70*E70*$I$10*0.000001</f>
        <v>1.6718351737265365E-4</v>
      </c>
      <c r="J70" s="1498">
        <f>C70*F70*$I$9*0.000001</f>
        <v>1.7664673533714347E-4</v>
      </c>
      <c r="K70" s="1499">
        <f>H70+I70+J70</f>
        <v>6.9599741530665697E-4</v>
      </c>
    </row>
    <row r="72" spans="2:11" ht="12.75" x14ac:dyDescent="0.2">
      <c r="B72" s="224" t="s">
        <v>1469</v>
      </c>
      <c r="C72" s="545">
        <f>C70*1000</f>
        <v>6644000</v>
      </c>
    </row>
    <row r="75" spans="2:11" ht="11.25" x14ac:dyDescent="0.2">
      <c r="B75" s="468" t="s">
        <v>1470</v>
      </c>
    </row>
    <row r="77" spans="2:11" ht="11.25" x14ac:dyDescent="0.2">
      <c r="B77" s="2563" t="s">
        <v>1471</v>
      </c>
      <c r="C77" s="2504"/>
      <c r="D77" s="2504"/>
      <c r="E77" s="2504"/>
      <c r="F77" s="2504"/>
      <c r="G77" s="2504"/>
      <c r="H77" s="2504"/>
      <c r="I77" s="2504"/>
    </row>
    <row r="78" spans="2:11" ht="11.25" x14ac:dyDescent="0.2">
      <c r="B78" s="1421"/>
      <c r="C78" s="1421"/>
      <c r="D78" s="1421"/>
      <c r="E78" s="1421"/>
      <c r="F78" s="1421"/>
      <c r="G78" s="1421"/>
      <c r="H78" s="1421"/>
      <c r="I78" s="1421"/>
    </row>
    <row r="79" spans="2:11" ht="11.25" x14ac:dyDescent="0.2">
      <c r="B79" s="1421"/>
      <c r="C79" s="1421"/>
      <c r="D79" s="1421"/>
      <c r="E79" s="1421"/>
      <c r="F79" s="1421"/>
      <c r="G79" s="1421"/>
      <c r="H79" s="1421"/>
      <c r="I79" s="1421"/>
    </row>
    <row r="81" spans="2:3" ht="14.25" x14ac:dyDescent="0.3">
      <c r="B81" s="1500" t="s">
        <v>1472</v>
      </c>
      <c r="C81" s="1501"/>
    </row>
    <row r="82" spans="2:3" ht="14.25" x14ac:dyDescent="0.3">
      <c r="B82" s="1502"/>
      <c r="C82" s="1503">
        <v>2014</v>
      </c>
    </row>
    <row r="83" spans="2:3" ht="12.75" x14ac:dyDescent="0.25">
      <c r="B83" s="1409" t="s">
        <v>331</v>
      </c>
      <c r="C83" s="1504">
        <f>C84+C85+C86+C87</f>
        <v>0.77960358359238036</v>
      </c>
    </row>
    <row r="84" spans="2:3" ht="12.75" x14ac:dyDescent="0.25">
      <c r="B84" s="1505" t="s">
        <v>1473</v>
      </c>
      <c r="C84" s="1506">
        <f>F10</f>
        <v>8.0402567214711812E-4</v>
      </c>
    </row>
    <row r="85" spans="2:3" ht="12.75" x14ac:dyDescent="0.25">
      <c r="B85" s="1505" t="s">
        <v>1474</v>
      </c>
      <c r="C85" s="1506">
        <f>F51</f>
        <v>0.21819764247305529</v>
      </c>
    </row>
    <row r="86" spans="2:3" ht="12.75" x14ac:dyDescent="0.25">
      <c r="B86" s="1505" t="s">
        <v>1475</v>
      </c>
      <c r="C86" s="1506">
        <f>F34</f>
        <v>0.55990591803187129</v>
      </c>
    </row>
    <row r="87" spans="2:3" ht="12.75" x14ac:dyDescent="0.25">
      <c r="B87" s="1409" t="s">
        <v>1476</v>
      </c>
      <c r="C87" s="1506">
        <f>K70</f>
        <v>6.9599741530665697E-4</v>
      </c>
    </row>
    <row r="88" spans="2:3" ht="11.25" x14ac:dyDescent="0.2">
      <c r="B88" s="474"/>
      <c r="C88" s="1312"/>
    </row>
  </sheetData>
  <sheetProtection algorithmName="SHA-512" hashValue="pJ/hmW0gBwj7WDQRGOYWj//DIObGaiqGG3JmZiObCGRTqkfaaOhOohMIHoRuYCdBIHs4yVNli6If5Lg8eyiHVw==" saltValue="3pmz3kejjZjXzFXYN1UELQ==" spinCount="100000" sheet="1" objects="1" scenarios="1"/>
  <mergeCells count="13">
    <mergeCell ref="B77:I77"/>
    <mergeCell ref="H6:I6"/>
    <mergeCell ref="B15:I15"/>
    <mergeCell ref="C21:F21"/>
    <mergeCell ref="B36:I36"/>
    <mergeCell ref="B38:I38"/>
    <mergeCell ref="D46:D47"/>
    <mergeCell ref="B54:I54"/>
    <mergeCell ref="B55:I55"/>
    <mergeCell ref="B56:I56"/>
    <mergeCell ref="B57:I57"/>
    <mergeCell ref="B58:I58"/>
    <mergeCell ref="D67:F67"/>
  </mergeCells>
  <hyperlinks>
    <hyperlink ref="C14" r:id="rId1" xr:uid="{00000000-0004-0000-1100-000000000000}"/>
  </hyperlinks>
  <printOptions gridLines="1"/>
  <pageMargins left="0.16" right="0.16" top="1" bottom="1" header="0" footer="0"/>
  <pageSetup paperSize="5" scale="65" orientation="portrait"/>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69"/>
  <sheetViews>
    <sheetView workbookViewId="0"/>
  </sheetViews>
  <sheetFormatPr defaultColWidth="16.83203125" defaultRowHeight="15" customHeight="1" x14ac:dyDescent="0.2"/>
  <cols>
    <col min="1" max="1" width="4.6640625" customWidth="1"/>
    <col min="2" max="2" width="26.6640625" customWidth="1"/>
    <col min="3" max="3" width="25" customWidth="1"/>
    <col min="4" max="4" width="17" customWidth="1"/>
    <col min="5" max="5" width="3.83203125" customWidth="1"/>
    <col min="6" max="6" width="13.83203125" customWidth="1"/>
    <col min="7" max="7" width="3.83203125" customWidth="1"/>
    <col min="8" max="8" width="18.83203125" customWidth="1"/>
    <col min="9" max="9" width="3.83203125" customWidth="1"/>
    <col min="10" max="10" width="10.6640625" customWidth="1"/>
    <col min="11" max="11" width="3.83203125" customWidth="1"/>
    <col min="12" max="12" width="11.5" customWidth="1"/>
    <col min="13" max="13" width="3.83203125" customWidth="1"/>
    <col min="14" max="14" width="10.33203125" customWidth="1"/>
    <col min="15" max="26" width="8.83203125" customWidth="1"/>
  </cols>
  <sheetData>
    <row r="1" spans="1:26" ht="33" x14ac:dyDescent="0.45">
      <c r="A1" s="9" t="s">
        <v>1477</v>
      </c>
      <c r="B1" s="480"/>
      <c r="D1" s="482"/>
      <c r="G1" s="466"/>
      <c r="H1" s="466"/>
    </row>
    <row r="2" spans="1:26" ht="201.75" customHeight="1" x14ac:dyDescent="0.45">
      <c r="A2" s="1091"/>
      <c r="B2" s="1507"/>
      <c r="C2" s="1508"/>
    </row>
    <row r="3" spans="1:26" ht="20.25" x14ac:dyDescent="0.35">
      <c r="A3" s="223"/>
      <c r="B3" s="1509" t="s">
        <v>1478</v>
      </c>
      <c r="C3" s="223"/>
      <c r="D3" s="223"/>
      <c r="E3" s="223"/>
      <c r="F3" s="223"/>
      <c r="G3" s="223"/>
      <c r="H3" s="223"/>
      <c r="I3" s="223"/>
      <c r="J3" s="223"/>
      <c r="K3" s="223"/>
      <c r="L3" s="223"/>
      <c r="M3" s="223"/>
      <c r="N3" s="223"/>
      <c r="O3" s="223"/>
      <c r="P3" s="223"/>
      <c r="Q3" s="223"/>
      <c r="R3" s="223"/>
      <c r="S3" s="223"/>
      <c r="T3" s="223"/>
      <c r="U3" s="223"/>
      <c r="V3" s="223"/>
      <c r="W3" s="223"/>
      <c r="X3" s="223"/>
      <c r="Y3" s="223"/>
      <c r="Z3" s="223"/>
    </row>
    <row r="4" spans="1:26" ht="45.75" x14ac:dyDescent="0.2">
      <c r="A4" s="1510"/>
      <c r="B4" s="1511" t="s">
        <v>1479</v>
      </c>
      <c r="C4" s="1512" t="s">
        <v>1480</v>
      </c>
      <c r="D4" s="1513" t="s">
        <v>1481</v>
      </c>
      <c r="E4" s="1512"/>
      <c r="F4" s="1513" t="s">
        <v>1482</v>
      </c>
      <c r="G4" s="1512"/>
      <c r="H4" s="1513" t="s">
        <v>1483</v>
      </c>
      <c r="I4" s="1514"/>
      <c r="J4" s="1513" t="s">
        <v>1484</v>
      </c>
      <c r="K4" s="1514"/>
      <c r="L4" s="1513" t="s">
        <v>1485</v>
      </c>
      <c r="M4" s="1515"/>
      <c r="N4" s="1516" t="s">
        <v>1486</v>
      </c>
      <c r="O4" s="223"/>
      <c r="P4" s="223"/>
      <c r="Q4" s="223"/>
      <c r="R4" s="223"/>
      <c r="S4" s="223"/>
      <c r="T4" s="223"/>
      <c r="U4" s="223"/>
      <c r="V4" s="223"/>
      <c r="W4" s="223"/>
      <c r="X4" s="223"/>
      <c r="Y4" s="223"/>
      <c r="Z4" s="223"/>
    </row>
    <row r="5" spans="1:26" ht="12.75" x14ac:dyDescent="0.2">
      <c r="A5" s="1510"/>
      <c r="B5" s="1517" t="s">
        <v>1487</v>
      </c>
      <c r="C5" s="1518"/>
      <c r="D5" s="1519"/>
      <c r="E5" s="1520"/>
      <c r="F5" s="1521"/>
      <c r="G5" s="1521"/>
      <c r="H5" s="1521"/>
      <c r="I5" s="1521"/>
      <c r="J5" s="1522"/>
      <c r="K5" s="1521"/>
      <c r="L5" s="1521"/>
      <c r="M5" s="1521"/>
      <c r="N5" s="1523"/>
      <c r="O5" s="223"/>
      <c r="P5" s="223"/>
      <c r="Q5" s="223"/>
      <c r="R5" s="223"/>
      <c r="S5" s="223"/>
      <c r="T5" s="223"/>
      <c r="U5" s="223"/>
      <c r="V5" s="223"/>
      <c r="W5" s="223"/>
      <c r="X5" s="223"/>
      <c r="Y5" s="223"/>
      <c r="Z5" s="223"/>
    </row>
    <row r="6" spans="1:26" ht="12.75" x14ac:dyDescent="0.2">
      <c r="A6" s="1510"/>
      <c r="B6" s="1524" t="s">
        <v>1488</v>
      </c>
      <c r="C6" s="1525"/>
      <c r="D6" s="1526">
        <v>0</v>
      </c>
      <c r="E6" s="1520" t="s">
        <v>1489</v>
      </c>
      <c r="F6" s="1526">
        <v>0</v>
      </c>
      <c r="G6" s="1527" t="s">
        <v>1490</v>
      </c>
      <c r="H6" s="1526">
        <v>0</v>
      </c>
      <c r="I6" s="1520" t="s">
        <v>649</v>
      </c>
      <c r="J6" s="1528">
        <f>D6+F6-H6</f>
        <v>0</v>
      </c>
      <c r="K6" s="1520" t="s">
        <v>649</v>
      </c>
      <c r="L6" s="1529">
        <f>J6*1000000*0.0000192</f>
        <v>0</v>
      </c>
      <c r="M6" s="1520" t="s">
        <v>649</v>
      </c>
      <c r="N6" s="1530">
        <f>(L6*$Q$9)</f>
        <v>0</v>
      </c>
      <c r="O6" s="223"/>
      <c r="P6" s="2501" t="s">
        <v>0</v>
      </c>
      <c r="Q6" s="2502"/>
      <c r="R6" s="223"/>
      <c r="S6" s="223"/>
      <c r="T6" s="223"/>
      <c r="U6" s="223"/>
      <c r="V6" s="223"/>
      <c r="W6" s="223"/>
      <c r="X6" s="223"/>
      <c r="Y6" s="223"/>
      <c r="Z6" s="223"/>
    </row>
    <row r="7" spans="1:26" ht="12.75" x14ac:dyDescent="0.2">
      <c r="A7" s="1510"/>
      <c r="B7" s="1517"/>
      <c r="C7" s="1525"/>
      <c r="D7" s="1531"/>
      <c r="E7" s="1520"/>
      <c r="F7" s="1519"/>
      <c r="G7" s="1520"/>
      <c r="H7" s="1529"/>
      <c r="I7" s="1520"/>
      <c r="J7" s="1532"/>
      <c r="K7" s="1520"/>
      <c r="L7" s="1533"/>
      <c r="M7" s="1520"/>
      <c r="N7" s="1534"/>
      <c r="O7" s="223"/>
      <c r="P7" s="1382"/>
      <c r="Q7" s="1382"/>
      <c r="R7" s="223"/>
      <c r="S7" s="223"/>
      <c r="T7" s="223"/>
      <c r="U7" s="223"/>
      <c r="V7" s="223"/>
      <c r="W7" s="223"/>
      <c r="X7" s="223"/>
      <c r="Y7" s="223"/>
      <c r="Z7" s="223"/>
    </row>
    <row r="8" spans="1:26" ht="27.75" x14ac:dyDescent="0.2">
      <c r="A8" s="1510"/>
      <c r="B8" s="1535"/>
      <c r="C8" s="1536"/>
      <c r="D8" s="1537" t="s">
        <v>1491</v>
      </c>
      <c r="E8" s="1520"/>
      <c r="F8" s="1538" t="s">
        <v>1492</v>
      </c>
      <c r="G8" s="1520"/>
      <c r="H8" s="1538" t="s">
        <v>1493</v>
      </c>
      <c r="I8" s="1520"/>
      <c r="J8" s="1538" t="s">
        <v>1494</v>
      </c>
      <c r="K8" s="1521"/>
      <c r="L8" s="1538" t="s">
        <v>1495</v>
      </c>
      <c r="M8" s="1520"/>
      <c r="N8" s="1534"/>
      <c r="O8" s="223"/>
      <c r="P8" s="1383" t="s">
        <v>4</v>
      </c>
      <c r="Q8" s="1384">
        <f>'Summ GHG Rpt Expanded'!$G4</f>
        <v>1</v>
      </c>
      <c r="R8" s="223"/>
      <c r="S8" s="223"/>
      <c r="T8" s="223"/>
      <c r="U8" s="223"/>
      <c r="V8" s="223"/>
      <c r="W8" s="223"/>
      <c r="X8" s="223"/>
      <c r="Y8" s="223"/>
      <c r="Z8" s="223"/>
    </row>
    <row r="9" spans="1:26" ht="12.75" x14ac:dyDescent="0.2">
      <c r="A9" s="1510"/>
      <c r="B9" s="1539" t="s">
        <v>1496</v>
      </c>
      <c r="C9" s="1536" t="s">
        <v>1497</v>
      </c>
      <c r="D9" s="1526">
        <v>1200</v>
      </c>
      <c r="E9" s="1520" t="s">
        <v>1002</v>
      </c>
      <c r="F9" s="1540">
        <v>119</v>
      </c>
      <c r="G9" s="1520" t="s">
        <v>649</v>
      </c>
      <c r="H9" s="1529">
        <f>D9*F9</f>
        <v>142800</v>
      </c>
      <c r="I9" s="1520" t="s">
        <v>649</v>
      </c>
      <c r="J9" s="1529">
        <v>5090.5343999999996</v>
      </c>
      <c r="K9" s="1520" t="s">
        <v>649</v>
      </c>
      <c r="L9" s="1529">
        <f>(J9*$Q$9)</f>
        <v>142534.9632</v>
      </c>
      <c r="M9" s="1520"/>
      <c r="N9" s="1534"/>
      <c r="O9" s="223"/>
      <c r="P9" s="1383" t="s">
        <v>5</v>
      </c>
      <c r="Q9" s="1384">
        <f>'Summ GHG Rpt Expanded'!$G5</f>
        <v>28</v>
      </c>
      <c r="R9" s="223"/>
      <c r="S9" s="223"/>
      <c r="T9" s="223"/>
      <c r="U9" s="223"/>
      <c r="V9" s="223"/>
      <c r="W9" s="223"/>
      <c r="X9" s="223"/>
      <c r="Y9" s="223"/>
      <c r="Z9" s="223"/>
    </row>
    <row r="10" spans="1:26" ht="12.75" x14ac:dyDescent="0.2">
      <c r="A10" s="1510"/>
      <c r="B10" s="1517"/>
      <c r="C10" s="1536" t="s">
        <v>1498</v>
      </c>
      <c r="D10" s="1541">
        <v>0</v>
      </c>
      <c r="E10" s="1520" t="s">
        <v>1002</v>
      </c>
      <c r="F10" s="1540">
        <v>0</v>
      </c>
      <c r="G10" s="1520" t="s">
        <v>649</v>
      </c>
      <c r="H10" s="1542" t="s">
        <v>1490</v>
      </c>
      <c r="I10" s="1520" t="s">
        <v>649</v>
      </c>
      <c r="J10" s="1542" t="s">
        <v>1490</v>
      </c>
      <c r="K10" s="1543" t="s">
        <v>649</v>
      </c>
      <c r="L10" s="1542" t="s">
        <v>1490</v>
      </c>
      <c r="M10" s="1520"/>
      <c r="N10" s="1534"/>
      <c r="O10" s="223"/>
      <c r="P10" s="1383" t="s">
        <v>6</v>
      </c>
      <c r="Q10" s="1384">
        <f>'Summ GHG Rpt Expanded'!$G6</f>
        <v>265</v>
      </c>
      <c r="R10" s="223"/>
      <c r="S10" s="223"/>
      <c r="T10" s="223"/>
      <c r="U10" s="223"/>
      <c r="V10" s="223"/>
      <c r="W10" s="223"/>
      <c r="X10" s="223"/>
      <c r="Y10" s="223"/>
      <c r="Z10" s="223"/>
    </row>
    <row r="11" spans="1:26" ht="12.75" x14ac:dyDescent="0.2">
      <c r="A11" s="1510"/>
      <c r="B11" s="1544"/>
      <c r="C11" s="1521"/>
      <c r="D11" s="1519"/>
      <c r="E11" s="1521"/>
      <c r="F11" s="1545"/>
      <c r="G11" s="1521"/>
      <c r="H11" s="1521"/>
      <c r="I11" s="1521"/>
      <c r="J11" s="1521"/>
      <c r="K11" s="1521"/>
      <c r="L11" s="1521"/>
      <c r="M11" s="1521"/>
      <c r="N11" s="1523"/>
      <c r="O11" s="223"/>
      <c r="P11" s="1383" t="s">
        <v>7</v>
      </c>
      <c r="Q11" s="202">
        <f>'Summ GHG Rpt Expanded'!$G7</f>
        <v>23500</v>
      </c>
      <c r="R11" s="223"/>
      <c r="S11" s="223"/>
      <c r="T11" s="223"/>
      <c r="U11" s="223"/>
      <c r="V11" s="223"/>
      <c r="W11" s="223"/>
      <c r="X11" s="223"/>
      <c r="Y11" s="223"/>
      <c r="Z11" s="223"/>
    </row>
    <row r="12" spans="1:26" ht="27.75" x14ac:dyDescent="0.2">
      <c r="A12" s="1510"/>
      <c r="B12" s="1546" t="s">
        <v>1499</v>
      </c>
      <c r="C12" s="1518"/>
      <c r="D12" s="1537" t="s">
        <v>1500</v>
      </c>
      <c r="E12" s="1520"/>
      <c r="F12" s="1547" t="s">
        <v>1501</v>
      </c>
      <c r="G12" s="1520"/>
      <c r="H12" s="1538" t="s">
        <v>1502</v>
      </c>
      <c r="I12" s="1521"/>
      <c r="J12" s="1538" t="s">
        <v>1503</v>
      </c>
      <c r="K12" s="1521"/>
      <c r="L12" s="1538" t="s">
        <v>1504</v>
      </c>
      <c r="M12" s="1521"/>
      <c r="N12" s="1548"/>
      <c r="O12" s="223"/>
      <c r="P12" s="1383" t="s">
        <v>8</v>
      </c>
      <c r="Q12" s="202">
        <f>'Summ GHG Rpt Expanded'!$G8</f>
        <v>11100</v>
      </c>
      <c r="R12" s="223"/>
      <c r="S12" s="223"/>
      <c r="T12" s="223"/>
      <c r="U12" s="223"/>
      <c r="V12" s="223"/>
      <c r="W12" s="223"/>
      <c r="X12" s="223"/>
      <c r="Y12" s="223"/>
      <c r="Z12" s="223"/>
    </row>
    <row r="13" spans="1:26" ht="12.75" x14ac:dyDescent="0.2">
      <c r="A13" s="1510"/>
      <c r="B13" s="1524" t="s">
        <v>1488</v>
      </c>
      <c r="C13" s="1536" t="s">
        <v>1497</v>
      </c>
      <c r="D13" s="1526">
        <v>700</v>
      </c>
      <c r="E13" s="1520" t="s">
        <v>1002</v>
      </c>
      <c r="F13" s="1540">
        <v>44.98</v>
      </c>
      <c r="G13" s="1520" t="s">
        <v>649</v>
      </c>
      <c r="H13" s="1529">
        <f>D13*F13</f>
        <v>31485.999999999996</v>
      </c>
      <c r="I13" s="1520" t="s">
        <v>649</v>
      </c>
      <c r="J13" s="1529">
        <f>H13*0.0000192*1000</f>
        <v>604.5311999999999</v>
      </c>
      <c r="K13" s="1543" t="s">
        <v>649</v>
      </c>
      <c r="L13" s="1529">
        <f>(J13*$Q$9)</f>
        <v>16926.873599999999</v>
      </c>
      <c r="M13" s="1520"/>
      <c r="N13" s="1534"/>
      <c r="O13" s="223"/>
      <c r="P13" s="223"/>
      <c r="Q13" s="223"/>
      <c r="R13" s="223"/>
      <c r="S13" s="223"/>
      <c r="T13" s="223"/>
      <c r="U13" s="223"/>
      <c r="V13" s="223"/>
      <c r="W13" s="223"/>
      <c r="X13" s="223"/>
      <c r="Y13" s="223"/>
      <c r="Z13" s="223"/>
    </row>
    <row r="14" spans="1:26" ht="12.75" x14ac:dyDescent="0.2">
      <c r="A14" s="1510"/>
      <c r="B14" s="1517"/>
      <c r="C14" s="1536" t="s">
        <v>1498</v>
      </c>
      <c r="D14" s="1526">
        <v>0</v>
      </c>
      <c r="E14" s="1520" t="s">
        <v>1002</v>
      </c>
      <c r="F14" s="1540">
        <v>0</v>
      </c>
      <c r="G14" s="1520" t="s">
        <v>649</v>
      </c>
      <c r="H14" s="1542" t="s">
        <v>1490</v>
      </c>
      <c r="I14" s="1520" t="s">
        <v>649</v>
      </c>
      <c r="J14" s="1542" t="s">
        <v>1490</v>
      </c>
      <c r="K14" s="1543" t="s">
        <v>649</v>
      </c>
      <c r="L14" s="1542" t="s">
        <v>1490</v>
      </c>
      <c r="M14" s="1520"/>
      <c r="N14" s="1534"/>
      <c r="O14" s="223"/>
      <c r="P14" s="223"/>
      <c r="Q14" s="223"/>
      <c r="R14" s="223"/>
      <c r="S14" s="223"/>
      <c r="T14" s="223"/>
      <c r="U14" s="223"/>
      <c r="V14" s="223"/>
      <c r="W14" s="223"/>
      <c r="X14" s="223"/>
      <c r="Y14" s="223"/>
      <c r="Z14" s="223"/>
    </row>
    <row r="15" spans="1:26" ht="12.75" x14ac:dyDescent="0.2">
      <c r="A15" s="1510"/>
      <c r="B15" s="1524" t="s">
        <v>1496</v>
      </c>
      <c r="C15" s="1536" t="s">
        <v>1497</v>
      </c>
      <c r="D15" s="1526">
        <v>1200</v>
      </c>
      <c r="E15" s="1520" t="s">
        <v>1002</v>
      </c>
      <c r="F15" s="1540">
        <v>19.337499999999999</v>
      </c>
      <c r="G15" s="1520" t="s">
        <v>649</v>
      </c>
      <c r="H15" s="1529">
        <f>D15*F15</f>
        <v>23205</v>
      </c>
      <c r="I15" s="1520" t="s">
        <v>649</v>
      </c>
      <c r="J15" s="1529">
        <f>H15*0.0000192*1000</f>
        <v>445.536</v>
      </c>
      <c r="K15" s="1543" t="s">
        <v>649</v>
      </c>
      <c r="L15" s="1529">
        <f>(J15*$Q$9)</f>
        <v>12475.008</v>
      </c>
      <c r="M15" s="1520"/>
      <c r="N15" s="1534"/>
      <c r="O15" s="223"/>
      <c r="P15" s="223"/>
      <c r="Q15" s="223"/>
      <c r="R15" s="223"/>
      <c r="S15" s="223"/>
      <c r="T15" s="223"/>
      <c r="U15" s="223"/>
      <c r="V15" s="223"/>
      <c r="W15" s="223"/>
      <c r="X15" s="223"/>
      <c r="Y15" s="223"/>
      <c r="Z15" s="223"/>
    </row>
    <row r="16" spans="1:26" ht="12.75" x14ac:dyDescent="0.2">
      <c r="A16" s="1510"/>
      <c r="B16" s="1517"/>
      <c r="C16" s="1536" t="s">
        <v>1498</v>
      </c>
      <c r="D16" s="1526">
        <v>0</v>
      </c>
      <c r="E16" s="1520" t="s">
        <v>1002</v>
      </c>
      <c r="F16" s="1540">
        <v>0</v>
      </c>
      <c r="G16" s="1520" t="s">
        <v>649</v>
      </c>
      <c r="H16" s="1549" t="s">
        <v>1498</v>
      </c>
      <c r="I16" s="1520" t="s">
        <v>649</v>
      </c>
      <c r="J16" s="1549" t="s">
        <v>1498</v>
      </c>
      <c r="K16" s="1543" t="s">
        <v>649</v>
      </c>
      <c r="L16" s="1549" t="s">
        <v>1498</v>
      </c>
      <c r="M16" s="1520"/>
      <c r="N16" s="1534"/>
      <c r="O16" s="223"/>
      <c r="P16" s="223"/>
      <c r="Q16" s="223"/>
      <c r="R16" s="223"/>
      <c r="S16" s="223"/>
      <c r="T16" s="223"/>
      <c r="U16" s="223"/>
      <c r="V16" s="223"/>
      <c r="W16" s="223"/>
      <c r="X16" s="223"/>
      <c r="Y16" s="223"/>
      <c r="Z16" s="223"/>
    </row>
    <row r="17" spans="1:26" ht="12.75" x14ac:dyDescent="0.2">
      <c r="A17" s="1510"/>
      <c r="B17" s="1524" t="s">
        <v>1505</v>
      </c>
      <c r="C17" s="1536"/>
      <c r="D17" s="1525"/>
      <c r="E17" s="1520"/>
      <c r="F17" s="1519"/>
      <c r="G17" s="1520"/>
      <c r="H17" s="1529">
        <f>SUM(H13:H16)</f>
        <v>54691</v>
      </c>
      <c r="I17" s="1520" t="s">
        <v>649</v>
      </c>
      <c r="J17" s="1529">
        <f>SUM(J13:J16)</f>
        <v>1050.0672</v>
      </c>
      <c r="K17" s="1543" t="s">
        <v>649</v>
      </c>
      <c r="L17" s="1529">
        <f>SUM(L13:L16)</f>
        <v>29401.881600000001</v>
      </c>
      <c r="M17" s="1521"/>
      <c r="N17" s="1523"/>
      <c r="O17" s="223"/>
      <c r="P17" s="223"/>
      <c r="Q17" s="223"/>
      <c r="R17" s="223"/>
      <c r="S17" s="223"/>
      <c r="T17" s="223"/>
      <c r="U17" s="223"/>
      <c r="V17" s="223"/>
      <c r="W17" s="223"/>
      <c r="X17" s="223"/>
      <c r="Y17" s="223"/>
      <c r="Z17" s="223"/>
    </row>
    <row r="18" spans="1:26" ht="12.75" x14ac:dyDescent="0.2">
      <c r="A18" s="1510"/>
      <c r="B18" s="1544"/>
      <c r="C18" s="1521"/>
      <c r="D18" s="1519"/>
      <c r="E18" s="1521"/>
      <c r="F18" s="1521"/>
      <c r="G18" s="1521"/>
      <c r="H18" s="1521"/>
      <c r="I18" s="1521"/>
      <c r="J18" s="1521"/>
      <c r="K18" s="1521"/>
      <c r="L18" s="1521"/>
      <c r="M18" s="1521"/>
      <c r="N18" s="1523"/>
      <c r="O18" s="223"/>
      <c r="P18" s="223"/>
      <c r="Q18" s="223"/>
      <c r="R18" s="223"/>
      <c r="S18" s="223"/>
      <c r="T18" s="223"/>
      <c r="U18" s="223"/>
      <c r="V18" s="223"/>
      <c r="W18" s="223"/>
      <c r="X18" s="223"/>
      <c r="Y18" s="223"/>
      <c r="Z18" s="223"/>
    </row>
    <row r="19" spans="1:26" ht="12.75" x14ac:dyDescent="0.2">
      <c r="A19" s="1510"/>
      <c r="B19" s="1550" t="s">
        <v>1506</v>
      </c>
      <c r="C19" s="1551" t="s">
        <v>1507</v>
      </c>
      <c r="D19" s="1552">
        <f>SUM(D20:D22)</f>
        <v>171936.84479999999</v>
      </c>
      <c r="E19" s="1521"/>
      <c r="F19" s="1553"/>
      <c r="G19" s="1521"/>
      <c r="H19" s="1521"/>
      <c r="I19" s="1521"/>
      <c r="J19" s="1521"/>
      <c r="K19" s="1521"/>
      <c r="L19" s="1521"/>
      <c r="M19" s="1521"/>
      <c r="N19" s="1523"/>
      <c r="O19" s="223"/>
      <c r="P19" s="223"/>
      <c r="Q19" s="223"/>
      <c r="R19" s="223"/>
      <c r="S19" s="223"/>
      <c r="T19" s="223"/>
      <c r="U19" s="223"/>
      <c r="V19" s="223"/>
      <c r="W19" s="223"/>
      <c r="X19" s="223"/>
      <c r="Y19" s="223"/>
      <c r="Z19" s="223"/>
    </row>
    <row r="20" spans="1:26" ht="12.75" x14ac:dyDescent="0.2">
      <c r="A20" s="1510"/>
      <c r="B20" s="1544"/>
      <c r="C20" s="1554" t="s">
        <v>1488</v>
      </c>
      <c r="D20" s="1555">
        <f>N6</f>
        <v>0</v>
      </c>
      <c r="E20" s="1521"/>
      <c r="F20" s="1521"/>
      <c r="G20" s="1521"/>
      <c r="H20" s="1521"/>
      <c r="I20" s="1521"/>
      <c r="J20" s="1521"/>
      <c r="K20" s="1521"/>
      <c r="L20" s="1521"/>
      <c r="M20" s="1521"/>
      <c r="N20" s="1523"/>
      <c r="O20" s="223"/>
      <c r="P20" s="223"/>
      <c r="Q20" s="223"/>
      <c r="R20" s="223"/>
      <c r="S20" s="223"/>
      <c r="T20" s="223"/>
      <c r="U20" s="223"/>
      <c r="V20" s="223"/>
      <c r="W20" s="223"/>
      <c r="X20" s="223"/>
      <c r="Y20" s="223"/>
      <c r="Z20" s="223"/>
    </row>
    <row r="21" spans="1:26" ht="12.75" x14ac:dyDescent="0.2">
      <c r="A21" s="1510"/>
      <c r="B21" s="1544"/>
      <c r="C21" s="1554" t="s">
        <v>1496</v>
      </c>
      <c r="D21" s="1555">
        <f>SUM(L9:L10)</f>
        <v>142534.9632</v>
      </c>
      <c r="E21" s="1521"/>
      <c r="F21" s="1556"/>
      <c r="G21" s="1521"/>
      <c r="H21" s="1521"/>
      <c r="I21" s="1521"/>
      <c r="J21" s="1521"/>
      <c r="K21" s="1521"/>
      <c r="L21" s="1521"/>
      <c r="M21" s="1521"/>
      <c r="N21" s="1523"/>
      <c r="O21" s="223"/>
      <c r="P21" s="223"/>
      <c r="Q21" s="223"/>
      <c r="R21" s="223"/>
      <c r="S21" s="223"/>
      <c r="T21" s="223"/>
      <c r="U21" s="223"/>
      <c r="V21" s="223"/>
      <c r="W21" s="223"/>
      <c r="X21" s="223"/>
      <c r="Y21" s="223"/>
      <c r="Z21" s="223"/>
    </row>
    <row r="22" spans="1:26" ht="12.75" x14ac:dyDescent="0.2">
      <c r="A22" s="1510"/>
      <c r="B22" s="1544"/>
      <c r="C22" s="1554" t="s">
        <v>1499</v>
      </c>
      <c r="D22" s="1555">
        <f>L17</f>
        <v>29401.881600000001</v>
      </c>
      <c r="E22" s="1521"/>
      <c r="F22" s="1556"/>
      <c r="G22" s="1521"/>
      <c r="H22" s="1556"/>
      <c r="I22" s="1521"/>
      <c r="J22" s="1521"/>
      <c r="K22" s="1521"/>
      <c r="L22" s="1521"/>
      <c r="M22" s="1521"/>
      <c r="N22" s="1523"/>
      <c r="O22" s="223"/>
      <c r="P22" s="223"/>
      <c r="Q22" s="223"/>
      <c r="R22" s="223"/>
      <c r="S22" s="223"/>
      <c r="T22" s="223"/>
      <c r="U22" s="223"/>
      <c r="V22" s="223"/>
      <c r="W22" s="223"/>
      <c r="X22" s="223"/>
      <c r="Y22" s="223"/>
      <c r="Z22" s="223"/>
    </row>
    <row r="23" spans="1:26" ht="12.75" x14ac:dyDescent="0.2">
      <c r="A23" s="1510"/>
      <c r="B23" s="1544"/>
      <c r="C23" s="1521"/>
      <c r="D23" s="1519"/>
      <c r="E23" s="1521"/>
      <c r="F23" s="1521"/>
      <c r="G23" s="1521"/>
      <c r="H23" s="1521"/>
      <c r="I23" s="1521"/>
      <c r="J23" s="1521"/>
      <c r="K23" s="1521"/>
      <c r="L23" s="1521"/>
      <c r="M23" s="1521"/>
      <c r="N23" s="1523"/>
      <c r="O23" s="223"/>
      <c r="P23" s="223"/>
      <c r="Q23" s="223"/>
      <c r="R23" s="223"/>
      <c r="S23" s="223"/>
      <c r="T23" s="223"/>
      <c r="U23" s="223"/>
      <c r="V23" s="223"/>
      <c r="W23" s="223"/>
      <c r="X23" s="223"/>
      <c r="Y23" s="223"/>
      <c r="Z23" s="223"/>
    </row>
    <row r="24" spans="1:26" ht="18.75" x14ac:dyDescent="0.3">
      <c r="A24" s="1"/>
      <c r="B24" s="1557"/>
      <c r="C24" s="1558"/>
      <c r="D24" s="1559"/>
      <c r="E24" s="1559"/>
      <c r="F24" s="1559"/>
      <c r="G24" s="1559"/>
      <c r="H24" s="1559"/>
      <c r="I24" s="1559"/>
      <c r="J24" s="1559"/>
      <c r="K24" s="1559"/>
      <c r="L24" s="1559"/>
      <c r="M24" s="1559"/>
      <c r="N24" s="1560"/>
      <c r="O24" s="223"/>
      <c r="P24" s="223"/>
      <c r="Q24" s="223"/>
      <c r="R24" s="223"/>
      <c r="S24" s="223"/>
      <c r="T24" s="223"/>
      <c r="U24" s="223"/>
      <c r="V24" s="223"/>
      <c r="W24" s="223"/>
      <c r="X24" s="223"/>
      <c r="Y24" s="223"/>
      <c r="Z24" s="223"/>
    </row>
    <row r="25" spans="1:26" ht="18.75" x14ac:dyDescent="0.3">
      <c r="A25" s="1"/>
      <c r="B25" s="223"/>
      <c r="C25" s="1561"/>
      <c r="D25" s="223"/>
      <c r="E25" s="223"/>
      <c r="F25" s="223"/>
      <c r="G25" s="223"/>
      <c r="H25" s="223"/>
      <c r="I25" s="223"/>
      <c r="J25" s="223"/>
      <c r="K25" s="223"/>
      <c r="L25" s="223"/>
      <c r="M25" s="223"/>
      <c r="N25" s="223"/>
      <c r="O25" s="223"/>
      <c r="P25" s="223"/>
      <c r="Q25" s="223"/>
      <c r="R25" s="223"/>
      <c r="S25" s="223"/>
      <c r="T25" s="223"/>
      <c r="U25" s="223"/>
      <c r="V25" s="223"/>
      <c r="W25" s="223"/>
      <c r="X25" s="223"/>
      <c r="Y25" s="223"/>
      <c r="Z25" s="223"/>
    </row>
    <row r="26" spans="1:26" ht="18.75" x14ac:dyDescent="0.3">
      <c r="A26" s="1"/>
      <c r="B26" s="1562" t="s">
        <v>1508</v>
      </c>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row>
    <row r="27" spans="1:26" ht="36" x14ac:dyDescent="0.3">
      <c r="A27" s="1"/>
      <c r="B27" s="1563"/>
      <c r="C27" s="1564"/>
      <c r="D27" s="1565" t="s">
        <v>1509</v>
      </c>
      <c r="E27" s="1566"/>
      <c r="F27" s="1567" t="s">
        <v>1510</v>
      </c>
      <c r="G27" s="1564"/>
      <c r="H27" s="1565" t="s">
        <v>1119</v>
      </c>
      <c r="I27" s="1568"/>
      <c r="J27" s="1565" t="s">
        <v>1511</v>
      </c>
      <c r="K27" s="1564"/>
      <c r="L27" s="1565" t="s">
        <v>1512</v>
      </c>
      <c r="M27" s="1564"/>
      <c r="N27" s="1569"/>
      <c r="O27" s="223"/>
      <c r="P27" s="223"/>
      <c r="Q27" s="223"/>
      <c r="R27" s="223"/>
      <c r="S27" s="223"/>
      <c r="T27" s="223"/>
      <c r="U27" s="223"/>
      <c r="V27" s="223"/>
      <c r="W27" s="223"/>
      <c r="X27" s="223"/>
      <c r="Y27" s="223"/>
      <c r="Z27" s="223"/>
    </row>
    <row r="28" spans="1:26" ht="18.75" x14ac:dyDescent="0.3">
      <c r="A28" s="1"/>
      <c r="B28" s="1570"/>
      <c r="C28" s="1571" t="s">
        <v>1513</v>
      </c>
      <c r="D28" s="1522">
        <v>0.2893143272</v>
      </c>
      <c r="E28" s="1520" t="s">
        <v>1002</v>
      </c>
      <c r="F28" s="1572">
        <v>0.125</v>
      </c>
      <c r="G28" s="1520" t="s">
        <v>649</v>
      </c>
      <c r="H28" s="1573">
        <f t="shared" ref="H28:H30" si="0">D28*F28*1000*12/44*21</f>
        <v>207.12275697272727</v>
      </c>
      <c r="I28" s="1520" t="s">
        <v>649</v>
      </c>
      <c r="J28" s="1573">
        <f t="shared" ref="J28:J30" si="1">D28*F28*1000</f>
        <v>36.164290899999997</v>
      </c>
      <c r="K28" s="1520" t="s">
        <v>649</v>
      </c>
      <c r="L28" s="1573">
        <f t="shared" ref="L28:L30" si="2">D28*F28*1000*$Q$9</f>
        <v>1012.6001451999999</v>
      </c>
      <c r="M28" s="1521"/>
      <c r="N28" s="1574"/>
      <c r="O28" s="223"/>
      <c r="P28" s="223"/>
      <c r="Q28" s="223"/>
      <c r="R28" s="223"/>
      <c r="S28" s="223"/>
      <c r="T28" s="223"/>
      <c r="U28" s="223"/>
      <c r="V28" s="223"/>
      <c r="W28" s="223"/>
      <c r="X28" s="223"/>
      <c r="Y28" s="223"/>
      <c r="Z28" s="223"/>
    </row>
    <row r="29" spans="1:26" ht="18.75" x14ac:dyDescent="0.3">
      <c r="A29" s="1"/>
      <c r="B29" s="1570"/>
      <c r="C29" s="1571" t="s">
        <v>1514</v>
      </c>
      <c r="D29" s="1522">
        <v>0.2893143272</v>
      </c>
      <c r="E29" s="1520" t="s">
        <v>1002</v>
      </c>
      <c r="F29" s="1572">
        <v>0.25</v>
      </c>
      <c r="G29" s="1520" t="s">
        <v>649</v>
      </c>
      <c r="H29" s="1573">
        <f t="shared" si="0"/>
        <v>414.24551394545455</v>
      </c>
      <c r="I29" s="1520" t="s">
        <v>649</v>
      </c>
      <c r="J29" s="1573">
        <f t="shared" si="1"/>
        <v>72.328581799999995</v>
      </c>
      <c r="K29" s="1520" t="s">
        <v>649</v>
      </c>
      <c r="L29" s="1573">
        <f t="shared" si="2"/>
        <v>2025.2002903999999</v>
      </c>
      <c r="M29" s="1521"/>
      <c r="N29" s="1574"/>
      <c r="O29" s="223"/>
      <c r="P29" s="223"/>
      <c r="Q29" s="223"/>
      <c r="R29" s="223"/>
      <c r="S29" s="223"/>
      <c r="T29" s="223"/>
      <c r="U29" s="223"/>
      <c r="V29" s="223"/>
      <c r="W29" s="223"/>
      <c r="X29" s="223"/>
      <c r="Y29" s="223"/>
      <c r="Z29" s="223"/>
    </row>
    <row r="30" spans="1:26" ht="18.75" x14ac:dyDescent="0.3">
      <c r="A30" s="1"/>
      <c r="B30" s="1575"/>
      <c r="C30" s="1576" t="s">
        <v>1515</v>
      </c>
      <c r="D30" s="1577">
        <v>0.2893143272</v>
      </c>
      <c r="E30" s="1578" t="s">
        <v>1002</v>
      </c>
      <c r="F30" s="1579">
        <v>0.625</v>
      </c>
      <c r="G30" s="1578" t="s">
        <v>649</v>
      </c>
      <c r="H30" s="1580">
        <f t="shared" si="0"/>
        <v>1035.6137848636363</v>
      </c>
      <c r="I30" s="1578" t="s">
        <v>649</v>
      </c>
      <c r="J30" s="1580">
        <f t="shared" si="1"/>
        <v>180.82145450000002</v>
      </c>
      <c r="K30" s="1578" t="s">
        <v>649</v>
      </c>
      <c r="L30" s="1580">
        <f t="shared" si="2"/>
        <v>5063.0007260000002</v>
      </c>
      <c r="M30" s="1581"/>
      <c r="N30" s="1582"/>
      <c r="O30" s="223"/>
      <c r="P30" s="223"/>
      <c r="Q30" s="223"/>
      <c r="R30" s="223"/>
      <c r="S30" s="223"/>
      <c r="T30" s="223"/>
      <c r="U30" s="223"/>
      <c r="V30" s="223"/>
      <c r="W30" s="223"/>
      <c r="X30" s="223"/>
      <c r="Y30" s="223"/>
      <c r="Z30" s="223"/>
    </row>
    <row r="31" spans="1:26" ht="18.75" x14ac:dyDescent="0.3">
      <c r="A31" s="1"/>
      <c r="B31" s="1583"/>
      <c r="C31" s="1561"/>
      <c r="D31" s="223"/>
      <c r="E31" s="223"/>
      <c r="F31" s="223"/>
      <c r="G31" s="223"/>
      <c r="H31" s="223"/>
      <c r="I31" s="223"/>
      <c r="J31" s="223"/>
      <c r="K31" s="223"/>
      <c r="L31" s="223"/>
      <c r="M31" s="223"/>
      <c r="N31" s="223"/>
      <c r="O31" s="223"/>
      <c r="P31" s="223"/>
      <c r="Q31" s="223"/>
      <c r="R31" s="223"/>
      <c r="S31" s="223"/>
      <c r="T31" s="223"/>
      <c r="U31" s="223"/>
      <c r="V31" s="223"/>
      <c r="W31" s="223"/>
      <c r="X31" s="223"/>
      <c r="Y31" s="223"/>
      <c r="Z31" s="223"/>
    </row>
    <row r="32" spans="1:26" ht="18.75" x14ac:dyDescent="0.3">
      <c r="A32" s="1"/>
      <c r="B32" s="1583"/>
      <c r="C32" s="1561"/>
      <c r="D32" s="223"/>
      <c r="E32" s="223"/>
      <c r="F32" s="223"/>
      <c r="G32" s="223"/>
      <c r="H32" s="223"/>
      <c r="I32" s="223"/>
      <c r="J32" s="223"/>
      <c r="K32" s="223"/>
      <c r="L32" s="223"/>
      <c r="M32" s="223"/>
      <c r="N32" s="223"/>
      <c r="O32" s="223"/>
      <c r="P32" s="223"/>
      <c r="Q32" s="223"/>
      <c r="R32" s="223"/>
      <c r="S32" s="223"/>
      <c r="T32" s="223"/>
      <c r="U32" s="223"/>
      <c r="V32" s="223"/>
      <c r="W32" s="223"/>
      <c r="X32" s="223"/>
      <c r="Y32" s="223"/>
      <c r="Z32" s="223"/>
    </row>
    <row r="33" spans="1:26" ht="18.75" x14ac:dyDescent="0.3">
      <c r="A33" s="1"/>
      <c r="B33" s="1562" t="s">
        <v>1516</v>
      </c>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row>
    <row r="34" spans="1:26" ht="18.75" x14ac:dyDescent="0.3">
      <c r="A34" s="1"/>
      <c r="B34" s="1584" t="s">
        <v>1517</v>
      </c>
      <c r="C34" s="1585"/>
      <c r="D34" s="223"/>
      <c r="E34" s="223"/>
      <c r="F34" s="223"/>
      <c r="G34" s="223"/>
      <c r="H34" s="223"/>
      <c r="I34" s="223"/>
      <c r="J34" s="223"/>
      <c r="K34" s="223"/>
      <c r="L34" s="223"/>
      <c r="M34" s="223"/>
      <c r="N34" s="223"/>
      <c r="O34" s="223"/>
      <c r="P34" s="223"/>
      <c r="Q34" s="223"/>
      <c r="R34" s="223"/>
      <c r="S34" s="223"/>
      <c r="T34" s="223"/>
      <c r="U34" s="223"/>
      <c r="V34" s="223"/>
      <c r="W34" s="223"/>
      <c r="X34" s="223"/>
      <c r="Y34" s="223"/>
      <c r="Z34" s="223"/>
    </row>
    <row r="35" spans="1:26" ht="18.75" x14ac:dyDescent="0.3">
      <c r="A35" s="1"/>
      <c r="B35" s="1584"/>
      <c r="C35" s="1586">
        <v>2014</v>
      </c>
      <c r="D35" s="223"/>
      <c r="E35" s="223"/>
      <c r="F35" s="223"/>
      <c r="G35" s="223"/>
      <c r="H35" s="223"/>
      <c r="I35" s="223"/>
      <c r="J35" s="223"/>
      <c r="K35" s="223"/>
      <c r="L35" s="223"/>
      <c r="M35" s="223"/>
      <c r="N35" s="223"/>
      <c r="O35" s="223"/>
      <c r="P35" s="223"/>
      <c r="Q35" s="223"/>
      <c r="R35" s="223"/>
      <c r="S35" s="223"/>
      <c r="T35" s="223"/>
      <c r="U35" s="223"/>
      <c r="V35" s="223"/>
      <c r="W35" s="223"/>
      <c r="X35" s="223"/>
      <c r="Y35" s="223"/>
      <c r="Z35" s="223"/>
    </row>
    <row r="36" spans="1:26" ht="18.75" x14ac:dyDescent="0.3">
      <c r="A36" s="1"/>
      <c r="B36" s="1587" t="s">
        <v>1518</v>
      </c>
      <c r="C36" s="1588">
        <f>D19/1000000</f>
        <v>0.17193684479999999</v>
      </c>
      <c r="D36" s="1589"/>
      <c r="E36" s="223"/>
      <c r="F36" s="223"/>
      <c r="G36" s="223"/>
      <c r="H36" s="223"/>
      <c r="I36" s="223"/>
      <c r="J36" s="223"/>
      <c r="K36" s="223"/>
      <c r="L36" s="223"/>
      <c r="M36" s="223"/>
      <c r="N36" s="223"/>
      <c r="O36" s="223"/>
      <c r="P36" s="223"/>
      <c r="Q36" s="223"/>
      <c r="R36" s="223"/>
      <c r="S36" s="223"/>
      <c r="T36" s="223"/>
      <c r="U36" s="223"/>
      <c r="V36" s="223"/>
      <c r="W36" s="223"/>
      <c r="X36" s="223"/>
      <c r="Y36" s="223"/>
      <c r="Z36" s="223"/>
    </row>
    <row r="37" spans="1:26" ht="18.75" x14ac:dyDescent="0.3">
      <c r="A37" s="1"/>
      <c r="B37" s="1587" t="s">
        <v>1519</v>
      </c>
      <c r="C37" s="1588">
        <f>SUM(C38:C40)</f>
        <v>8.1008011616000002E-3</v>
      </c>
      <c r="D37" s="1590"/>
      <c r="E37" s="223"/>
      <c r="F37" s="223"/>
      <c r="G37" s="223"/>
      <c r="H37" s="223"/>
      <c r="I37" s="223"/>
      <c r="J37" s="223"/>
      <c r="K37" s="223"/>
      <c r="L37" s="223"/>
      <c r="M37" s="223"/>
      <c r="N37" s="223"/>
      <c r="O37" s="223"/>
      <c r="P37" s="223"/>
      <c r="Q37" s="223"/>
      <c r="R37" s="223"/>
      <c r="S37" s="223"/>
      <c r="T37" s="223"/>
      <c r="U37" s="223"/>
      <c r="V37" s="223"/>
      <c r="W37" s="223"/>
      <c r="X37" s="223"/>
      <c r="Y37" s="223"/>
      <c r="Z37" s="223"/>
    </row>
    <row r="38" spans="1:26" ht="18.75" x14ac:dyDescent="0.3">
      <c r="A38" s="1"/>
      <c r="B38" s="1591" t="s">
        <v>1513</v>
      </c>
      <c r="C38" s="1588">
        <f t="shared" ref="C38:C40" si="3">L28/1000000</f>
        <v>1.0126001452E-3</v>
      </c>
      <c r="D38" s="1590"/>
      <c r="E38" s="223"/>
      <c r="F38" s="223"/>
      <c r="G38" s="223"/>
      <c r="H38" s="223"/>
      <c r="I38" s="223"/>
      <c r="J38" s="223"/>
      <c r="K38" s="223"/>
      <c r="L38" s="223"/>
      <c r="M38" s="223"/>
      <c r="N38" s="223"/>
      <c r="O38" s="223"/>
      <c r="P38" s="223"/>
      <c r="Q38" s="223"/>
      <c r="R38" s="223"/>
      <c r="S38" s="223"/>
      <c r="T38" s="223"/>
      <c r="U38" s="223"/>
      <c r="V38" s="223"/>
      <c r="W38" s="223"/>
      <c r="X38" s="223"/>
      <c r="Y38" s="223"/>
      <c r="Z38" s="223"/>
    </row>
    <row r="39" spans="1:26" ht="18.75" x14ac:dyDescent="0.3">
      <c r="A39" s="1"/>
      <c r="B39" s="1591" t="s">
        <v>1514</v>
      </c>
      <c r="C39" s="1588">
        <f t="shared" si="3"/>
        <v>2.0252002904000001E-3</v>
      </c>
      <c r="D39" s="1590"/>
      <c r="E39" s="223"/>
      <c r="F39" s="223"/>
      <c r="G39" s="223"/>
      <c r="H39" s="223"/>
      <c r="I39" s="223"/>
      <c r="J39" s="223"/>
      <c r="K39" s="223"/>
      <c r="L39" s="223"/>
      <c r="M39" s="223"/>
      <c r="N39" s="223"/>
      <c r="O39" s="223"/>
      <c r="P39" s="223"/>
      <c r="Q39" s="223"/>
      <c r="R39" s="223"/>
      <c r="S39" s="223"/>
      <c r="T39" s="223"/>
      <c r="U39" s="223"/>
      <c r="V39" s="223"/>
      <c r="W39" s="223"/>
      <c r="X39" s="223"/>
      <c r="Y39" s="223"/>
      <c r="Z39" s="223"/>
    </row>
    <row r="40" spans="1:26" ht="18.75" x14ac:dyDescent="0.3">
      <c r="A40" s="1"/>
      <c r="B40" s="1591" t="s">
        <v>1515</v>
      </c>
      <c r="C40" s="1588">
        <f t="shared" si="3"/>
        <v>5.0630007260000004E-3</v>
      </c>
      <c r="D40" s="1590"/>
      <c r="E40" s="223"/>
      <c r="F40" s="223"/>
      <c r="G40" s="223"/>
      <c r="H40" s="223"/>
      <c r="I40" s="223"/>
      <c r="J40" s="223"/>
      <c r="K40" s="223"/>
      <c r="L40" s="223"/>
      <c r="M40" s="223"/>
      <c r="N40" s="223"/>
      <c r="O40" s="223"/>
      <c r="P40" s="223"/>
      <c r="Q40" s="223"/>
      <c r="R40" s="223"/>
      <c r="S40" s="223"/>
      <c r="T40" s="223"/>
      <c r="U40" s="223"/>
      <c r="V40" s="223"/>
      <c r="W40" s="223"/>
      <c r="X40" s="223"/>
      <c r="Y40" s="223"/>
      <c r="Z40" s="223"/>
    </row>
    <row r="41" spans="1:26" ht="18.75" x14ac:dyDescent="0.3">
      <c r="A41" s="1"/>
      <c r="B41" s="1592"/>
      <c r="C41" s="1593"/>
      <c r="D41" s="223"/>
      <c r="E41" s="223"/>
      <c r="F41" s="223"/>
      <c r="G41" s="223"/>
      <c r="H41" s="223"/>
      <c r="I41" s="223"/>
      <c r="J41" s="223"/>
      <c r="K41" s="223"/>
      <c r="L41" s="223"/>
      <c r="M41" s="223"/>
      <c r="N41" s="223"/>
      <c r="O41" s="223"/>
      <c r="P41" s="223"/>
      <c r="Q41" s="223"/>
      <c r="R41" s="223"/>
      <c r="S41" s="223"/>
      <c r="T41" s="223"/>
      <c r="U41" s="223"/>
      <c r="V41" s="223"/>
      <c r="W41" s="223"/>
      <c r="X41" s="223"/>
      <c r="Y41" s="223"/>
      <c r="Z41" s="223"/>
    </row>
    <row r="42" spans="1:26" ht="18.75" x14ac:dyDescent="0.3">
      <c r="A42" s="1"/>
      <c r="B42" s="1583"/>
      <c r="C42" s="1561"/>
      <c r="D42" s="223"/>
      <c r="E42" s="223"/>
      <c r="F42" s="223"/>
      <c r="G42" s="223"/>
      <c r="H42" s="223"/>
      <c r="I42" s="223"/>
      <c r="J42" s="223"/>
      <c r="K42" s="223"/>
      <c r="L42" s="223"/>
      <c r="M42" s="223"/>
      <c r="N42" s="223"/>
      <c r="O42" s="223"/>
      <c r="P42" s="223"/>
      <c r="Q42" s="223"/>
      <c r="R42" s="223"/>
      <c r="S42" s="223"/>
      <c r="T42" s="223"/>
      <c r="U42" s="223"/>
      <c r="V42" s="223"/>
      <c r="W42" s="223"/>
      <c r="X42" s="223"/>
      <c r="Y42" s="223"/>
      <c r="Z42" s="223"/>
    </row>
    <row r="43" spans="1:26" ht="18.75" x14ac:dyDescent="0.3">
      <c r="A43" s="1"/>
      <c r="B43" s="1583"/>
      <c r="C43" s="1561"/>
      <c r="D43" s="223"/>
      <c r="E43" s="223"/>
      <c r="F43" s="223"/>
      <c r="G43" s="223"/>
      <c r="H43" s="223"/>
      <c r="I43" s="223"/>
      <c r="J43" s="223"/>
      <c r="K43" s="223"/>
      <c r="L43" s="223"/>
      <c r="M43" s="223"/>
      <c r="N43" s="223"/>
      <c r="O43" s="223"/>
      <c r="P43" s="223"/>
      <c r="Q43" s="223"/>
      <c r="R43" s="223"/>
      <c r="S43" s="223"/>
      <c r="T43" s="223"/>
      <c r="U43" s="223"/>
      <c r="V43" s="223"/>
      <c r="W43" s="223"/>
      <c r="X43" s="223"/>
      <c r="Y43" s="223"/>
      <c r="Z43" s="223"/>
    </row>
    <row r="44" spans="1:26" ht="12.75" x14ac:dyDescent="0.25">
      <c r="A44" s="223"/>
      <c r="B44" s="1584" t="s">
        <v>1520</v>
      </c>
      <c r="C44" s="1585"/>
      <c r="D44" s="223"/>
      <c r="E44" s="223"/>
      <c r="F44" s="223"/>
      <c r="G44" s="223"/>
      <c r="H44" s="223"/>
      <c r="I44" s="223"/>
      <c r="J44" s="223"/>
      <c r="K44" s="223"/>
      <c r="L44" s="223"/>
      <c r="M44" s="223"/>
      <c r="N44" s="223"/>
      <c r="O44" s="223"/>
      <c r="P44" s="223"/>
      <c r="Q44" s="223"/>
      <c r="R44" s="223"/>
      <c r="S44" s="223"/>
      <c r="T44" s="223"/>
      <c r="U44" s="223"/>
      <c r="V44" s="223"/>
      <c r="W44" s="223"/>
      <c r="X44" s="223"/>
      <c r="Y44" s="223"/>
      <c r="Z44" s="223"/>
    </row>
    <row r="45" spans="1:26" ht="11.25" x14ac:dyDescent="0.2">
      <c r="A45" s="223"/>
      <c r="B45" s="1584"/>
      <c r="C45" s="1586">
        <v>2014</v>
      </c>
      <c r="D45" s="223"/>
      <c r="E45" s="223"/>
      <c r="F45" s="223"/>
      <c r="G45" s="223"/>
      <c r="H45" s="223"/>
      <c r="I45" s="223"/>
      <c r="J45" s="223"/>
      <c r="K45" s="223"/>
      <c r="L45" s="223"/>
      <c r="M45" s="223"/>
      <c r="N45" s="223"/>
      <c r="O45" s="223"/>
      <c r="P45" s="223"/>
      <c r="Q45" s="223"/>
      <c r="R45" s="223"/>
      <c r="S45" s="223"/>
      <c r="T45" s="223"/>
      <c r="U45" s="223"/>
      <c r="V45" s="223"/>
      <c r="W45" s="223"/>
      <c r="X45" s="223"/>
      <c r="Y45" s="223"/>
      <c r="Z45" s="223"/>
    </row>
    <row r="46" spans="1:26" ht="11.25" x14ac:dyDescent="0.2">
      <c r="A46" s="223"/>
      <c r="B46" s="1587" t="s">
        <v>1518</v>
      </c>
      <c r="C46" s="1594">
        <f>D19</f>
        <v>171936.84479999999</v>
      </c>
      <c r="D46" s="223"/>
      <c r="E46" s="223"/>
      <c r="F46" s="223"/>
      <c r="G46" s="223"/>
      <c r="H46" s="223"/>
      <c r="I46" s="223"/>
      <c r="J46" s="223"/>
      <c r="K46" s="223"/>
      <c r="L46" s="223"/>
      <c r="M46" s="223"/>
      <c r="N46" s="223"/>
      <c r="O46" s="223"/>
      <c r="P46" s="223"/>
      <c r="Q46" s="223"/>
      <c r="R46" s="223"/>
      <c r="S46" s="223"/>
      <c r="T46" s="223"/>
      <c r="U46" s="223"/>
      <c r="V46" s="223"/>
      <c r="W46" s="223"/>
      <c r="X46" s="223"/>
      <c r="Y46" s="223"/>
      <c r="Z46" s="223"/>
    </row>
    <row r="47" spans="1:26" ht="11.25" x14ac:dyDescent="0.2">
      <c r="A47" s="223"/>
      <c r="B47" s="1587" t="s">
        <v>1519</v>
      </c>
      <c r="C47" s="1594">
        <f>SUM(C48:C50)</f>
        <v>8100.8011616000003</v>
      </c>
      <c r="D47" s="223"/>
      <c r="E47" s="223"/>
      <c r="F47" s="223"/>
      <c r="G47" s="223"/>
      <c r="H47" s="223"/>
      <c r="I47" s="223"/>
      <c r="J47" s="223"/>
      <c r="K47" s="223"/>
      <c r="L47" s="223"/>
      <c r="M47" s="223"/>
      <c r="N47" s="223"/>
      <c r="O47" s="223"/>
      <c r="P47" s="223"/>
      <c r="Q47" s="223"/>
      <c r="R47" s="223"/>
      <c r="S47" s="223"/>
      <c r="T47" s="223"/>
      <c r="U47" s="223"/>
      <c r="V47" s="223"/>
      <c r="W47" s="223"/>
      <c r="X47" s="223"/>
      <c r="Y47" s="223"/>
      <c r="Z47" s="223"/>
    </row>
    <row r="48" spans="1:26" ht="11.25" x14ac:dyDescent="0.2">
      <c r="A48" s="223"/>
      <c r="B48" s="1591" t="s">
        <v>1513</v>
      </c>
      <c r="C48" s="1594">
        <f t="shared" ref="C48:C50" si="4">L28</f>
        <v>1012.6001451999999</v>
      </c>
      <c r="D48" s="223"/>
      <c r="E48" s="223"/>
      <c r="F48" s="223"/>
      <c r="G48" s="223"/>
      <c r="H48" s="223"/>
      <c r="I48" s="223"/>
      <c r="J48" s="223"/>
      <c r="K48" s="223"/>
      <c r="L48" s="223"/>
      <c r="M48" s="223"/>
      <c r="N48" s="223"/>
      <c r="O48" s="223"/>
      <c r="P48" s="223"/>
      <c r="Q48" s="223"/>
      <c r="R48" s="223"/>
      <c r="S48" s="223"/>
      <c r="T48" s="223"/>
      <c r="U48" s="223"/>
      <c r="V48" s="223"/>
      <c r="W48" s="223"/>
      <c r="X48" s="223"/>
      <c r="Y48" s="223"/>
      <c r="Z48" s="223"/>
    </row>
    <row r="49" spans="1:26" ht="11.25" x14ac:dyDescent="0.2">
      <c r="A49" s="223"/>
      <c r="B49" s="1591" t="s">
        <v>1514</v>
      </c>
      <c r="C49" s="1594">
        <f t="shared" si="4"/>
        <v>2025.2002903999999</v>
      </c>
      <c r="D49" s="223"/>
      <c r="E49" s="223"/>
      <c r="F49" s="223"/>
      <c r="G49" s="223"/>
      <c r="H49" s="223"/>
      <c r="I49" s="223"/>
      <c r="J49" s="223"/>
      <c r="K49" s="223"/>
      <c r="L49" s="223"/>
      <c r="M49" s="223"/>
      <c r="N49" s="223"/>
      <c r="O49" s="223"/>
      <c r="P49" s="223"/>
      <c r="Q49" s="223"/>
      <c r="R49" s="223"/>
      <c r="S49" s="223"/>
      <c r="T49" s="223"/>
      <c r="U49" s="223"/>
      <c r="V49" s="223"/>
      <c r="W49" s="223"/>
      <c r="X49" s="223"/>
      <c r="Y49" s="223"/>
      <c r="Z49" s="223"/>
    </row>
    <row r="50" spans="1:26" ht="11.25" x14ac:dyDescent="0.2">
      <c r="A50" s="223"/>
      <c r="B50" s="1591" t="s">
        <v>1515</v>
      </c>
      <c r="C50" s="1594">
        <f t="shared" si="4"/>
        <v>5063.0007260000002</v>
      </c>
      <c r="D50" s="223"/>
      <c r="E50" s="223"/>
      <c r="F50" s="223"/>
      <c r="G50" s="223"/>
      <c r="H50" s="223"/>
      <c r="I50" s="223"/>
      <c r="J50" s="223"/>
      <c r="K50" s="223"/>
      <c r="L50" s="223"/>
      <c r="M50" s="223"/>
      <c r="N50" s="223"/>
      <c r="O50" s="223"/>
      <c r="P50" s="223"/>
      <c r="Q50" s="223"/>
      <c r="R50" s="223"/>
      <c r="S50" s="223"/>
      <c r="T50" s="223"/>
      <c r="U50" s="223"/>
      <c r="V50" s="223"/>
      <c r="W50" s="223"/>
      <c r="X50" s="223"/>
      <c r="Y50" s="223"/>
      <c r="Z50" s="223"/>
    </row>
    <row r="51" spans="1:26" ht="11.25" x14ac:dyDescent="0.2">
      <c r="A51" s="223"/>
      <c r="B51" s="1595"/>
      <c r="C51" s="1596"/>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spans="1:26" ht="11.25" x14ac:dyDescent="0.2">
      <c r="A52" s="223"/>
      <c r="B52" s="1584" t="s">
        <v>1521</v>
      </c>
      <c r="C52" s="1597">
        <v>2014</v>
      </c>
      <c r="D52" s="223"/>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26" ht="11.25" x14ac:dyDescent="0.2">
      <c r="A53" s="223"/>
      <c r="B53" s="1587" t="s">
        <v>1518</v>
      </c>
      <c r="C53" s="1594">
        <f>C46*12/44</f>
        <v>46891.866763636361</v>
      </c>
      <c r="D53" s="1598"/>
      <c r="E53" s="223"/>
      <c r="F53" s="223"/>
      <c r="G53" s="223"/>
      <c r="H53" s="223"/>
      <c r="I53" s="223"/>
      <c r="J53" s="223"/>
      <c r="K53" s="223"/>
      <c r="L53" s="223"/>
      <c r="M53" s="223"/>
      <c r="N53" s="223"/>
      <c r="O53" s="223"/>
      <c r="P53" s="223"/>
      <c r="Q53" s="223"/>
      <c r="R53" s="223"/>
      <c r="S53" s="223"/>
      <c r="T53" s="223"/>
      <c r="U53" s="223"/>
      <c r="V53" s="223"/>
      <c r="W53" s="223"/>
      <c r="X53" s="223"/>
      <c r="Y53" s="223"/>
      <c r="Z53" s="223"/>
    </row>
    <row r="54" spans="1:26" ht="11.25" x14ac:dyDescent="0.2">
      <c r="A54" s="223"/>
      <c r="B54" s="1587" t="s">
        <v>1519</v>
      </c>
      <c r="C54" s="1594">
        <f>SUM(C55:C57)</f>
        <v>1656.982055781818</v>
      </c>
      <c r="D54" s="223"/>
      <c r="E54" s="223"/>
      <c r="F54" s="223"/>
      <c r="G54" s="223"/>
      <c r="H54" s="223"/>
      <c r="I54" s="223"/>
      <c r="J54" s="223"/>
      <c r="K54" s="223"/>
      <c r="L54" s="223"/>
      <c r="M54" s="223"/>
      <c r="N54" s="223"/>
      <c r="O54" s="223"/>
      <c r="P54" s="223"/>
      <c r="Q54" s="223"/>
      <c r="R54" s="223"/>
      <c r="S54" s="223"/>
      <c r="T54" s="223"/>
      <c r="U54" s="223"/>
      <c r="V54" s="223"/>
      <c r="W54" s="223"/>
      <c r="X54" s="223"/>
      <c r="Y54" s="223"/>
      <c r="Z54" s="223"/>
    </row>
    <row r="55" spans="1:26" ht="11.25" x14ac:dyDescent="0.2">
      <c r="A55" s="223"/>
      <c r="B55" s="1591" t="s">
        <v>1513</v>
      </c>
      <c r="C55" s="1594">
        <f t="shared" ref="C55:C57" si="5">H28</f>
        <v>207.12275697272727</v>
      </c>
      <c r="D55" s="1598"/>
      <c r="E55" s="223"/>
      <c r="F55" s="223"/>
      <c r="G55" s="223"/>
      <c r="H55" s="223"/>
      <c r="I55" s="223"/>
      <c r="J55" s="223"/>
      <c r="K55" s="223"/>
      <c r="L55" s="223"/>
      <c r="M55" s="223"/>
      <c r="N55" s="223"/>
      <c r="O55" s="223"/>
      <c r="P55" s="223"/>
      <c r="Q55" s="223"/>
      <c r="R55" s="223"/>
      <c r="S55" s="223"/>
      <c r="T55" s="223"/>
      <c r="U55" s="223"/>
      <c r="V55" s="223"/>
      <c r="W55" s="223"/>
      <c r="X55" s="223"/>
      <c r="Y55" s="223"/>
      <c r="Z55" s="223"/>
    </row>
    <row r="56" spans="1:26" ht="11.25" x14ac:dyDescent="0.2">
      <c r="A56" s="223"/>
      <c r="B56" s="1591" t="s">
        <v>1514</v>
      </c>
      <c r="C56" s="1594">
        <f t="shared" si="5"/>
        <v>414.24551394545455</v>
      </c>
      <c r="D56" s="1598"/>
      <c r="E56" s="223"/>
      <c r="F56" s="223"/>
      <c r="G56" s="223"/>
      <c r="H56" s="223"/>
      <c r="I56" s="223"/>
      <c r="J56" s="223"/>
      <c r="K56" s="223"/>
      <c r="L56" s="223"/>
      <c r="M56" s="223"/>
      <c r="N56" s="223"/>
      <c r="O56" s="223"/>
      <c r="P56" s="223"/>
      <c r="Q56" s="223"/>
      <c r="R56" s="223"/>
      <c r="S56" s="223"/>
      <c r="T56" s="223"/>
      <c r="U56" s="223"/>
      <c r="V56" s="223"/>
      <c r="W56" s="223"/>
      <c r="X56" s="223"/>
      <c r="Y56" s="223"/>
      <c r="Z56" s="223"/>
    </row>
    <row r="57" spans="1:26" ht="11.25" x14ac:dyDescent="0.2">
      <c r="A57" s="223"/>
      <c r="B57" s="1591" t="s">
        <v>1515</v>
      </c>
      <c r="C57" s="1594">
        <f t="shared" si="5"/>
        <v>1035.6137848636363</v>
      </c>
      <c r="D57" s="1598"/>
      <c r="E57" s="223"/>
      <c r="F57" s="223"/>
      <c r="G57" s="223"/>
      <c r="H57" s="223"/>
      <c r="I57" s="223"/>
      <c r="J57" s="223"/>
      <c r="K57" s="223"/>
      <c r="L57" s="223"/>
      <c r="M57" s="223"/>
      <c r="N57" s="223"/>
      <c r="O57" s="223"/>
      <c r="P57" s="223"/>
      <c r="Q57" s="223"/>
      <c r="R57" s="223"/>
      <c r="S57" s="223"/>
      <c r="T57" s="223"/>
      <c r="U57" s="223"/>
      <c r="V57" s="223"/>
      <c r="W57" s="223"/>
      <c r="X57" s="223"/>
      <c r="Y57" s="223"/>
      <c r="Z57" s="223"/>
    </row>
    <row r="58" spans="1:26" ht="11.25" x14ac:dyDescent="0.2">
      <c r="A58" s="223"/>
      <c r="B58" s="1595"/>
      <c r="C58" s="1596"/>
      <c r="D58" s="223"/>
      <c r="E58" s="223"/>
      <c r="F58" s="223"/>
      <c r="G58" s="223"/>
      <c r="H58" s="223"/>
      <c r="I58" s="223"/>
      <c r="J58" s="223"/>
      <c r="K58" s="223"/>
      <c r="L58" s="223"/>
      <c r="M58" s="223"/>
      <c r="N58" s="223"/>
      <c r="O58" s="223"/>
      <c r="P58" s="223"/>
      <c r="Q58" s="223"/>
      <c r="R58" s="223"/>
      <c r="S58" s="223"/>
      <c r="T58" s="223"/>
      <c r="U58" s="223"/>
      <c r="V58" s="223"/>
      <c r="W58" s="223"/>
      <c r="X58" s="223"/>
      <c r="Y58" s="223"/>
      <c r="Z58" s="223"/>
    </row>
    <row r="59" spans="1:26" ht="12.75" x14ac:dyDescent="0.25">
      <c r="A59" s="223"/>
      <c r="B59" s="1584" t="s">
        <v>1522</v>
      </c>
      <c r="C59" s="1597">
        <v>2014</v>
      </c>
      <c r="D59" s="223"/>
      <c r="E59" s="223"/>
      <c r="F59" s="223"/>
      <c r="G59" s="223"/>
      <c r="H59" s="223"/>
      <c r="I59" s="223"/>
      <c r="J59" s="223"/>
      <c r="K59" s="223"/>
      <c r="L59" s="223"/>
      <c r="M59" s="223"/>
      <c r="N59" s="223"/>
      <c r="O59" s="223"/>
      <c r="P59" s="223"/>
      <c r="Q59" s="223"/>
      <c r="R59" s="223"/>
      <c r="S59" s="223"/>
      <c r="T59" s="223"/>
      <c r="U59" s="223"/>
      <c r="V59" s="223"/>
      <c r="W59" s="223"/>
      <c r="X59" s="223"/>
      <c r="Y59" s="223"/>
      <c r="Z59" s="223"/>
    </row>
    <row r="60" spans="1:26" ht="11.25" x14ac:dyDescent="0.2">
      <c r="A60" s="223"/>
      <c r="B60" s="1587" t="s">
        <v>1518</v>
      </c>
      <c r="C60" s="1594">
        <f>C46/21</f>
        <v>8187.4687999999996</v>
      </c>
      <c r="D60" s="223"/>
      <c r="E60" s="223"/>
      <c r="F60" s="223"/>
      <c r="G60" s="223"/>
      <c r="H60" s="223"/>
      <c r="I60" s="223"/>
      <c r="J60" s="223"/>
      <c r="K60" s="223"/>
      <c r="L60" s="223"/>
      <c r="M60" s="223"/>
      <c r="N60" s="223"/>
      <c r="O60" s="223"/>
      <c r="P60" s="223"/>
      <c r="Q60" s="223"/>
      <c r="R60" s="223"/>
      <c r="S60" s="223"/>
      <c r="T60" s="223"/>
      <c r="U60" s="223"/>
      <c r="V60" s="223"/>
      <c r="W60" s="223"/>
      <c r="X60" s="223"/>
      <c r="Y60" s="223"/>
      <c r="Z60" s="223"/>
    </row>
    <row r="61" spans="1:26" ht="11.25" x14ac:dyDescent="0.2">
      <c r="A61" s="223"/>
      <c r="B61" s="1587" t="s">
        <v>1519</v>
      </c>
      <c r="C61" s="1594">
        <f>SUM(C62:C64)</f>
        <v>289.31432719999998</v>
      </c>
      <c r="D61" s="223"/>
      <c r="E61" s="223"/>
      <c r="F61" s="223"/>
      <c r="G61" s="223"/>
      <c r="H61" s="223"/>
      <c r="I61" s="223"/>
      <c r="J61" s="223"/>
      <c r="K61" s="223"/>
      <c r="L61" s="223"/>
      <c r="M61" s="223"/>
      <c r="N61" s="223"/>
      <c r="O61" s="223"/>
      <c r="P61" s="223"/>
      <c r="Q61" s="223"/>
      <c r="R61" s="223"/>
      <c r="S61" s="223"/>
      <c r="T61" s="223"/>
      <c r="U61" s="223"/>
      <c r="V61" s="223"/>
      <c r="W61" s="223"/>
      <c r="X61" s="223"/>
      <c r="Y61" s="223"/>
      <c r="Z61" s="223"/>
    </row>
    <row r="62" spans="1:26" ht="11.25" x14ac:dyDescent="0.2">
      <c r="A62" s="223"/>
      <c r="B62" s="1591" t="s">
        <v>1513</v>
      </c>
      <c r="C62" s="1594">
        <f t="shared" ref="C62:C64" si="6">J28</f>
        <v>36.164290899999997</v>
      </c>
      <c r="D62" s="1598"/>
      <c r="E62" s="223"/>
      <c r="F62" s="223"/>
      <c r="G62" s="223"/>
      <c r="H62" s="223"/>
      <c r="I62" s="223"/>
      <c r="J62" s="223"/>
      <c r="K62" s="223"/>
      <c r="L62" s="223"/>
      <c r="M62" s="223"/>
      <c r="N62" s="223"/>
      <c r="O62" s="223"/>
      <c r="P62" s="223"/>
      <c r="Q62" s="223"/>
      <c r="R62" s="223"/>
      <c r="S62" s="223"/>
      <c r="T62" s="223"/>
      <c r="U62" s="223"/>
      <c r="V62" s="223"/>
      <c r="W62" s="223"/>
      <c r="X62" s="223"/>
      <c r="Y62" s="223"/>
      <c r="Z62" s="223"/>
    </row>
    <row r="63" spans="1:26" ht="11.25" x14ac:dyDescent="0.2">
      <c r="A63" s="223"/>
      <c r="B63" s="1591" t="s">
        <v>1514</v>
      </c>
      <c r="C63" s="1594">
        <f t="shared" si="6"/>
        <v>72.328581799999995</v>
      </c>
      <c r="D63" s="223"/>
      <c r="E63" s="223"/>
      <c r="F63" s="223"/>
      <c r="G63" s="223"/>
      <c r="H63" s="223"/>
      <c r="I63" s="223"/>
      <c r="J63" s="223"/>
      <c r="K63" s="223"/>
      <c r="L63" s="223"/>
      <c r="M63" s="223"/>
      <c r="N63" s="223"/>
      <c r="O63" s="223"/>
      <c r="P63" s="223"/>
      <c r="Q63" s="223"/>
      <c r="R63" s="223"/>
      <c r="S63" s="223"/>
      <c r="T63" s="223"/>
      <c r="U63" s="223"/>
      <c r="V63" s="223"/>
      <c r="W63" s="223"/>
      <c r="X63" s="223"/>
      <c r="Y63" s="223"/>
      <c r="Z63" s="223"/>
    </row>
    <row r="64" spans="1:26" ht="11.25" x14ac:dyDescent="0.2">
      <c r="A64" s="223"/>
      <c r="B64" s="1599" t="s">
        <v>1515</v>
      </c>
      <c r="C64" s="1596">
        <f t="shared" si="6"/>
        <v>180.82145450000002</v>
      </c>
      <c r="D64" s="223"/>
      <c r="E64" s="223"/>
      <c r="F64" s="223"/>
      <c r="G64" s="223"/>
      <c r="H64" s="223"/>
      <c r="I64" s="223"/>
      <c r="J64" s="223"/>
      <c r="K64" s="223"/>
      <c r="L64" s="223"/>
      <c r="M64" s="223"/>
      <c r="N64" s="223"/>
      <c r="O64" s="223"/>
      <c r="P64" s="223"/>
      <c r="Q64" s="223"/>
      <c r="R64" s="223"/>
      <c r="S64" s="223"/>
      <c r="T64" s="223"/>
      <c r="U64" s="223"/>
      <c r="V64" s="223"/>
      <c r="W64" s="223"/>
      <c r="X64" s="223"/>
      <c r="Y64" s="223"/>
      <c r="Z64" s="223"/>
    </row>
    <row r="65" spans="1:26" ht="11.25" x14ac:dyDescent="0.2">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row>
    <row r="66" spans="1:26" ht="11.25" x14ac:dyDescent="0.2">
      <c r="D66" s="468" t="s">
        <v>1523</v>
      </c>
    </row>
    <row r="67" spans="1:26" ht="11.25" x14ac:dyDescent="0.2">
      <c r="D67" s="468" t="s">
        <v>1524</v>
      </c>
    </row>
    <row r="68" spans="1:26" ht="11.25" x14ac:dyDescent="0.2">
      <c r="D68" s="583" t="s">
        <v>1525</v>
      </c>
    </row>
    <row r="69" spans="1:26" ht="11.25" x14ac:dyDescent="0.2">
      <c r="D69" s="468" t="s">
        <v>1526</v>
      </c>
    </row>
  </sheetData>
  <sheetProtection algorithmName="SHA-512" hashValue="DJIqh4LjzVMeV53ON8EJQ+0et0vza4mF14nRU3uZQOok+vaCU+wTeeQuZgyPOI7+HlQFr4bXGMv8fYncQNsfJg==" saltValue="rpkuOiRWjjE1r5+R5aoPjQ==" spinCount="100000" sheet="1" objects="1" scenarios="1"/>
  <mergeCells count="1">
    <mergeCell ref="P6:Q6"/>
  </mergeCells>
  <pageMargins left="0.75" right="0.75" top="1" bottom="1"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6.83203125" defaultRowHeight="15" customHeight="1" x14ac:dyDescent="0.2"/>
  <cols>
    <col min="1" max="1" width="3.6640625" customWidth="1"/>
    <col min="2" max="2" width="19.1640625" customWidth="1"/>
    <col min="3" max="3" width="43.5" customWidth="1"/>
    <col min="4" max="4" width="41.5" customWidth="1"/>
    <col min="5" max="5" width="22.1640625" customWidth="1"/>
    <col min="6" max="6" width="21.83203125" customWidth="1"/>
    <col min="7" max="7" width="20.5" customWidth="1"/>
    <col min="8" max="8" width="12.33203125" customWidth="1"/>
    <col min="9" max="9" width="28.33203125" customWidth="1"/>
    <col min="10" max="10" width="21.6640625" customWidth="1"/>
    <col min="11" max="11" width="22.1640625" customWidth="1"/>
    <col min="12" max="12" width="22.5" customWidth="1"/>
    <col min="13" max="13" width="20.33203125" customWidth="1"/>
    <col min="14" max="26" width="8.83203125" customWidth="1"/>
  </cols>
  <sheetData>
    <row r="1" spans="1:26" ht="21" x14ac:dyDescent="0.4">
      <c r="A1" s="9" t="s">
        <v>66</v>
      </c>
      <c r="B1" s="10"/>
      <c r="C1" s="10"/>
      <c r="D1" s="10"/>
      <c r="E1" s="10"/>
      <c r="F1" s="10"/>
      <c r="G1" s="10"/>
      <c r="H1" s="10"/>
      <c r="I1" s="10"/>
      <c r="J1" s="10"/>
      <c r="K1" s="10"/>
      <c r="L1" s="10"/>
      <c r="M1" s="10"/>
      <c r="N1" s="10"/>
      <c r="O1" s="10"/>
      <c r="P1" s="10"/>
      <c r="Q1" s="10"/>
      <c r="R1" s="10"/>
      <c r="S1" s="10"/>
      <c r="T1" s="10"/>
      <c r="U1" s="10"/>
      <c r="V1" s="10"/>
      <c r="W1" s="10"/>
      <c r="X1" s="10"/>
      <c r="Y1" s="10"/>
      <c r="Z1" s="10"/>
    </row>
    <row r="2" spans="1:26" ht="12.75"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2.75" customHeight="1" x14ac:dyDescent="0.25">
      <c r="A3" s="10"/>
      <c r="B3" s="11" t="s">
        <v>67</v>
      </c>
      <c r="C3" s="10"/>
      <c r="D3" s="10"/>
      <c r="E3" s="10"/>
      <c r="F3" s="10"/>
      <c r="G3" s="10"/>
      <c r="H3" s="10"/>
      <c r="I3" s="10"/>
      <c r="J3" s="10"/>
      <c r="K3" s="10"/>
      <c r="L3" s="10"/>
      <c r="M3" s="10"/>
      <c r="N3" s="10"/>
      <c r="O3" s="10"/>
      <c r="P3" s="10"/>
      <c r="Q3" s="10"/>
      <c r="R3" s="10"/>
      <c r="S3" s="10"/>
      <c r="T3" s="10"/>
      <c r="U3" s="10"/>
      <c r="V3" s="10"/>
      <c r="W3" s="10"/>
      <c r="X3" s="10"/>
      <c r="Y3" s="10"/>
      <c r="Z3" s="10"/>
    </row>
    <row r="4" spans="1:26" ht="12.75" customHeight="1" x14ac:dyDescent="0.2">
      <c r="A4" s="10"/>
      <c r="B4" s="10"/>
      <c r="C4" s="10"/>
      <c r="D4" s="10"/>
      <c r="E4" s="10"/>
      <c r="F4" s="10"/>
      <c r="G4" s="10"/>
      <c r="H4" s="10"/>
      <c r="I4" s="10"/>
      <c r="J4" s="10"/>
      <c r="K4" s="10"/>
      <c r="L4" s="10"/>
      <c r="M4" s="10"/>
      <c r="N4" s="10"/>
      <c r="O4" s="10"/>
      <c r="P4" s="10"/>
      <c r="Q4" s="10"/>
      <c r="R4" s="10"/>
      <c r="S4" s="10"/>
      <c r="T4" s="10"/>
      <c r="U4" s="10"/>
      <c r="V4" s="10"/>
      <c r="W4" s="10"/>
      <c r="X4" s="10"/>
      <c r="Y4" s="10"/>
      <c r="Z4" s="10"/>
    </row>
    <row r="5" spans="1:26" ht="12.75" customHeight="1" x14ac:dyDescent="0.2">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2.75"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row>
    <row r="7" spans="1:26" ht="12.75"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row>
    <row r="8" spans="1:26" ht="12.75" customHeight="1" x14ac:dyDescent="0.2">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2.75" customHeight="1" x14ac:dyDescent="0.2">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2.75" customHeight="1" x14ac:dyDescent="0.2">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2.75" customHeight="1" x14ac:dyDescent="0.2">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2.75" customHeight="1" x14ac:dyDescent="0.2">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2.75" customHeight="1"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2.75" customHeight="1" x14ac:dyDescent="0.2">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2.75" customHeight="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2.75" customHeight="1" x14ac:dyDescent="0.2">
      <c r="A16" s="10"/>
      <c r="B16" s="12" t="s">
        <v>68</v>
      </c>
      <c r="C16" s="13"/>
      <c r="D16" s="10"/>
      <c r="E16" s="10"/>
      <c r="F16" s="10"/>
      <c r="G16" s="10"/>
      <c r="H16" s="10"/>
      <c r="I16" s="10"/>
      <c r="J16" s="10"/>
      <c r="K16" s="10"/>
      <c r="L16" s="10"/>
      <c r="M16" s="10"/>
      <c r="N16" s="10"/>
      <c r="O16" s="10"/>
      <c r="P16" s="10"/>
      <c r="Q16" s="10"/>
      <c r="R16" s="10"/>
      <c r="S16" s="10"/>
      <c r="T16" s="10"/>
      <c r="U16" s="10"/>
      <c r="V16" s="10"/>
      <c r="W16" s="10"/>
      <c r="X16" s="10"/>
      <c r="Y16" s="10"/>
      <c r="Z16" s="10"/>
    </row>
    <row r="17" spans="1:26" ht="12.75" customHeight="1" x14ac:dyDescent="0.2">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2.75" customHeight="1" x14ac:dyDescent="0.2">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2.75" customHeight="1" x14ac:dyDescent="0.25">
      <c r="A19" s="10"/>
      <c r="B19" s="14" t="s">
        <v>69</v>
      </c>
      <c r="C19" s="15" t="s">
        <v>70</v>
      </c>
      <c r="D19" s="15" t="s">
        <v>71</v>
      </c>
      <c r="E19" s="15" t="s">
        <v>72</v>
      </c>
      <c r="F19" s="15" t="s">
        <v>73</v>
      </c>
      <c r="G19" s="15" t="s">
        <v>73</v>
      </c>
      <c r="H19" s="15" t="s">
        <v>74</v>
      </c>
      <c r="I19" s="15" t="s">
        <v>75</v>
      </c>
      <c r="J19" s="16" t="s">
        <v>76</v>
      </c>
      <c r="K19" s="15" t="s">
        <v>77</v>
      </c>
      <c r="L19" s="15" t="s">
        <v>78</v>
      </c>
      <c r="M19" s="17" t="s">
        <v>79</v>
      </c>
      <c r="N19" s="10"/>
      <c r="O19" s="10"/>
      <c r="P19" s="10"/>
      <c r="Q19" s="10"/>
      <c r="R19" s="10"/>
      <c r="S19" s="10"/>
      <c r="T19" s="10"/>
      <c r="U19" s="10"/>
      <c r="V19" s="10"/>
      <c r="W19" s="10"/>
      <c r="X19" s="10"/>
      <c r="Y19" s="10"/>
      <c r="Z19" s="10"/>
    </row>
    <row r="20" spans="1:26" ht="12.75" customHeight="1" x14ac:dyDescent="0.2">
      <c r="A20" s="10"/>
      <c r="B20" s="18"/>
      <c r="C20" s="19"/>
      <c r="D20" s="19"/>
      <c r="E20" s="19"/>
      <c r="F20" s="19"/>
      <c r="G20" s="19" t="s">
        <v>80</v>
      </c>
      <c r="H20" s="19" t="s">
        <v>81</v>
      </c>
      <c r="I20" s="19" t="s">
        <v>82</v>
      </c>
      <c r="J20" s="19" t="s">
        <v>83</v>
      </c>
      <c r="K20" s="19" t="s">
        <v>84</v>
      </c>
      <c r="L20" s="19" t="s">
        <v>84</v>
      </c>
      <c r="M20" s="20" t="s">
        <v>84</v>
      </c>
      <c r="N20" s="10"/>
      <c r="O20" s="10"/>
      <c r="P20" s="10"/>
      <c r="Q20" s="10"/>
      <c r="R20" s="10"/>
      <c r="S20" s="10"/>
      <c r="T20" s="10"/>
      <c r="U20" s="10"/>
      <c r="V20" s="10"/>
      <c r="W20" s="10"/>
      <c r="X20" s="10"/>
      <c r="Y20" s="10"/>
      <c r="Z20" s="10"/>
    </row>
    <row r="21" spans="1:26" ht="12.75" customHeight="1" x14ac:dyDescent="0.2">
      <c r="A21" s="10"/>
      <c r="B21" s="21"/>
      <c r="C21" s="22"/>
      <c r="D21" s="22"/>
      <c r="E21" s="22"/>
      <c r="F21" s="22"/>
      <c r="G21" s="22"/>
      <c r="H21" s="22"/>
      <c r="I21" s="22"/>
      <c r="J21" s="22"/>
      <c r="K21" s="23"/>
      <c r="L21" s="22"/>
      <c r="M21" s="24"/>
      <c r="N21" s="10"/>
      <c r="O21" s="10"/>
      <c r="P21" s="10"/>
      <c r="Q21" s="10"/>
      <c r="R21" s="10"/>
      <c r="S21" s="10"/>
      <c r="T21" s="10"/>
      <c r="U21" s="10"/>
      <c r="V21" s="10"/>
      <c r="W21" s="10"/>
      <c r="X21" s="10"/>
      <c r="Y21" s="10"/>
      <c r="Z21" s="10"/>
    </row>
    <row r="22" spans="1:26" ht="12.75" customHeight="1" x14ac:dyDescent="0.2">
      <c r="A22" s="10"/>
      <c r="B22" s="25" t="s">
        <v>85</v>
      </c>
      <c r="C22" s="26" t="s">
        <v>86</v>
      </c>
      <c r="D22" s="27"/>
      <c r="E22" s="27"/>
      <c r="F22" s="28"/>
      <c r="G22" s="27"/>
      <c r="H22" s="27"/>
      <c r="I22" s="29"/>
      <c r="J22" s="27"/>
      <c r="K22" s="30"/>
      <c r="L22" s="27"/>
      <c r="M22" s="31"/>
      <c r="N22" s="10"/>
      <c r="O22" s="10"/>
      <c r="P22" s="10"/>
      <c r="Q22" s="10"/>
      <c r="R22" s="10"/>
      <c r="S22" s="10"/>
      <c r="T22" s="10"/>
      <c r="U22" s="10"/>
      <c r="V22" s="10"/>
      <c r="W22" s="10"/>
      <c r="X22" s="10"/>
      <c r="Y22" s="10"/>
      <c r="Z22" s="10"/>
    </row>
    <row r="23" spans="1:26" ht="12.75" customHeight="1" x14ac:dyDescent="0.2">
      <c r="A23" s="10"/>
      <c r="B23" s="21"/>
      <c r="C23" s="22" t="s">
        <v>87</v>
      </c>
      <c r="D23" s="32" t="s">
        <v>88</v>
      </c>
      <c r="E23" s="22" t="s">
        <v>89</v>
      </c>
      <c r="F23" s="33">
        <v>644453</v>
      </c>
      <c r="G23" s="32" t="s">
        <v>90</v>
      </c>
      <c r="H23" s="34">
        <v>10777</v>
      </c>
      <c r="I23" s="35" t="s">
        <v>91</v>
      </c>
      <c r="J23" s="36">
        <v>14615569</v>
      </c>
      <c r="K23" s="36">
        <v>1496167.2380759774</v>
      </c>
      <c r="L23" s="36">
        <v>176.96781822588017</v>
      </c>
      <c r="M23" s="37">
        <v>25.750209859724261</v>
      </c>
      <c r="N23" s="10"/>
      <c r="O23" s="10"/>
      <c r="P23" s="10"/>
      <c r="Q23" s="10"/>
      <c r="R23" s="10"/>
      <c r="S23" s="10"/>
      <c r="T23" s="10"/>
      <c r="U23" s="10"/>
      <c r="V23" s="10"/>
      <c r="W23" s="10"/>
      <c r="X23" s="10"/>
      <c r="Y23" s="10"/>
      <c r="Z23" s="10"/>
    </row>
    <row r="24" spans="1:26" ht="12.75" customHeight="1" x14ac:dyDescent="0.2">
      <c r="A24" s="10"/>
      <c r="B24" s="38"/>
      <c r="C24" s="39"/>
      <c r="D24" s="40"/>
      <c r="E24" s="39"/>
      <c r="F24" s="41"/>
      <c r="G24" s="40"/>
      <c r="H24" s="42"/>
      <c r="I24" s="43"/>
      <c r="J24" s="36"/>
      <c r="K24" s="36"/>
      <c r="L24" s="36"/>
      <c r="M24" s="37"/>
      <c r="N24" s="10"/>
      <c r="O24" s="10"/>
      <c r="P24" s="10"/>
      <c r="Q24" s="10"/>
      <c r="R24" s="10"/>
      <c r="S24" s="10"/>
      <c r="T24" s="10"/>
      <c r="U24" s="10"/>
      <c r="V24" s="10"/>
      <c r="W24" s="10"/>
      <c r="X24" s="10"/>
      <c r="Y24" s="10"/>
      <c r="Z24" s="10"/>
    </row>
    <row r="25" spans="1:26" ht="12.75" customHeight="1" x14ac:dyDescent="0.2">
      <c r="A25" s="10"/>
      <c r="B25" s="21"/>
      <c r="C25" s="22"/>
      <c r="D25" s="32"/>
      <c r="E25" s="22"/>
      <c r="F25" s="34"/>
      <c r="G25" s="32"/>
      <c r="H25" s="34"/>
      <c r="I25" s="35"/>
      <c r="J25" s="28"/>
      <c r="K25" s="28"/>
      <c r="L25" s="28"/>
      <c r="M25" s="44"/>
      <c r="N25" s="10"/>
      <c r="O25" s="10"/>
      <c r="P25" s="10"/>
      <c r="Q25" s="10"/>
      <c r="R25" s="10"/>
      <c r="S25" s="10"/>
      <c r="T25" s="10"/>
      <c r="U25" s="10"/>
      <c r="V25" s="10"/>
      <c r="W25" s="10"/>
      <c r="X25" s="10"/>
      <c r="Y25" s="10"/>
      <c r="Z25" s="10"/>
    </row>
    <row r="26" spans="1:26" ht="12.75" customHeight="1" x14ac:dyDescent="0.2">
      <c r="A26" s="10"/>
      <c r="B26" s="21" t="s">
        <v>92</v>
      </c>
      <c r="C26" s="45" t="s">
        <v>93</v>
      </c>
      <c r="D26" s="32"/>
      <c r="E26" s="22"/>
      <c r="F26" s="34"/>
      <c r="G26" s="32"/>
      <c r="H26" s="34"/>
      <c r="I26" s="35"/>
      <c r="J26" s="36"/>
      <c r="K26" s="36"/>
      <c r="L26" s="36"/>
      <c r="M26" s="37"/>
      <c r="N26" s="10"/>
      <c r="O26" s="10"/>
      <c r="P26" s="10"/>
      <c r="Q26" s="10"/>
      <c r="R26" s="10"/>
      <c r="S26" s="10"/>
      <c r="T26" s="10"/>
      <c r="U26" s="10"/>
      <c r="V26" s="10"/>
      <c r="W26" s="10"/>
      <c r="X26" s="10"/>
      <c r="Y26" s="10"/>
      <c r="Z26" s="10"/>
    </row>
    <row r="27" spans="1:26" ht="12.75" customHeight="1" x14ac:dyDescent="0.2">
      <c r="A27" s="10"/>
      <c r="B27" s="21"/>
      <c r="C27" s="45"/>
      <c r="D27" s="32"/>
      <c r="E27" s="22"/>
      <c r="F27" s="34"/>
      <c r="G27" s="32"/>
      <c r="H27" s="34"/>
      <c r="I27" s="35"/>
      <c r="J27" s="36"/>
      <c r="K27" s="36"/>
      <c r="L27" s="36"/>
      <c r="M27" s="37"/>
      <c r="N27" s="10"/>
      <c r="O27" s="10"/>
      <c r="P27" s="10"/>
      <c r="Q27" s="10"/>
      <c r="R27" s="10"/>
      <c r="S27" s="10"/>
      <c r="T27" s="10"/>
      <c r="U27" s="10"/>
      <c r="V27" s="10"/>
      <c r="W27" s="10"/>
      <c r="X27" s="10"/>
      <c r="Y27" s="10"/>
      <c r="Z27" s="10"/>
    </row>
    <row r="28" spans="1:26" ht="12.75" customHeight="1" x14ac:dyDescent="0.2">
      <c r="A28" s="10"/>
      <c r="B28" s="21"/>
      <c r="C28" s="22" t="s">
        <v>94</v>
      </c>
      <c r="D28" s="32" t="s">
        <v>95</v>
      </c>
      <c r="E28" s="22" t="s">
        <v>96</v>
      </c>
      <c r="F28" s="33">
        <v>1067574</v>
      </c>
      <c r="G28" s="32" t="s">
        <v>90</v>
      </c>
      <c r="H28" s="46">
        <v>25.91</v>
      </c>
      <c r="I28" s="35" t="s">
        <v>97</v>
      </c>
      <c r="J28" s="36">
        <v>27660842.34</v>
      </c>
      <c r="K28" s="36">
        <v>2911316.958882587</v>
      </c>
      <c r="L28" s="36">
        <v>30.4</v>
      </c>
      <c r="M28" s="37">
        <v>48.68</v>
      </c>
      <c r="N28" s="10"/>
      <c r="O28" s="10"/>
      <c r="P28" s="10"/>
      <c r="Q28" s="10"/>
      <c r="R28" s="10"/>
      <c r="S28" s="10"/>
      <c r="T28" s="10"/>
      <c r="U28" s="10"/>
      <c r="V28" s="10"/>
      <c r="W28" s="10"/>
      <c r="X28" s="10"/>
      <c r="Y28" s="10"/>
      <c r="Z28" s="10"/>
    </row>
    <row r="29" spans="1:26" ht="12.75" customHeight="1" x14ac:dyDescent="0.2">
      <c r="A29" s="10"/>
      <c r="B29" s="21"/>
      <c r="C29" s="22"/>
      <c r="D29" s="32"/>
      <c r="E29" s="22"/>
      <c r="F29" s="34"/>
      <c r="G29" s="32"/>
      <c r="H29" s="34"/>
      <c r="I29" s="35"/>
      <c r="J29" s="36"/>
      <c r="K29" s="36"/>
      <c r="L29" s="36"/>
      <c r="M29" s="37"/>
      <c r="N29" s="10"/>
      <c r="O29" s="10"/>
      <c r="P29" s="10"/>
      <c r="Q29" s="10"/>
      <c r="R29" s="10"/>
      <c r="S29" s="10"/>
      <c r="T29" s="10"/>
      <c r="U29" s="10"/>
      <c r="V29" s="10"/>
      <c r="W29" s="10"/>
      <c r="X29" s="10"/>
      <c r="Y29" s="10"/>
      <c r="Z29" s="10"/>
    </row>
    <row r="30" spans="1:26" ht="12.75" customHeight="1" x14ac:dyDescent="0.2">
      <c r="A30" s="10"/>
      <c r="B30" s="21"/>
      <c r="C30" s="22" t="s">
        <v>98</v>
      </c>
      <c r="D30" s="32" t="s">
        <v>99</v>
      </c>
      <c r="E30" s="22" t="s">
        <v>96</v>
      </c>
      <c r="F30" s="33">
        <v>946129</v>
      </c>
      <c r="G30" s="32" t="s">
        <v>90</v>
      </c>
      <c r="H30" s="46">
        <v>25.91</v>
      </c>
      <c r="I30" s="35" t="s">
        <v>97</v>
      </c>
      <c r="J30" s="36">
        <v>24514202.390000001</v>
      </c>
      <c r="K30" s="36">
        <v>2652716.6332997652</v>
      </c>
      <c r="L30" s="36">
        <v>27</v>
      </c>
      <c r="M30" s="37">
        <v>43.14</v>
      </c>
      <c r="N30" s="10"/>
      <c r="O30" s="10"/>
      <c r="P30" s="10"/>
      <c r="Q30" s="10"/>
      <c r="R30" s="10"/>
      <c r="S30" s="10"/>
      <c r="T30" s="10"/>
      <c r="U30" s="10"/>
      <c r="V30" s="10"/>
      <c r="W30" s="10"/>
      <c r="X30" s="10"/>
      <c r="Y30" s="10"/>
      <c r="Z30" s="10"/>
    </row>
    <row r="31" spans="1:26" ht="12.75" customHeight="1" x14ac:dyDescent="0.2">
      <c r="A31" s="10"/>
      <c r="B31" s="21"/>
      <c r="C31" s="22"/>
      <c r="D31" s="32"/>
      <c r="E31" s="22"/>
      <c r="F31" s="34"/>
      <c r="G31" s="32"/>
      <c r="H31" s="34"/>
      <c r="I31" s="35"/>
      <c r="J31" s="36"/>
      <c r="K31" s="36"/>
      <c r="L31" s="36"/>
      <c r="M31" s="37"/>
      <c r="N31" s="10"/>
      <c r="O31" s="10"/>
      <c r="P31" s="10"/>
      <c r="Q31" s="10"/>
      <c r="R31" s="10"/>
      <c r="S31" s="10"/>
      <c r="T31" s="10"/>
      <c r="U31" s="10"/>
      <c r="V31" s="10"/>
      <c r="W31" s="10"/>
      <c r="X31" s="10"/>
      <c r="Y31" s="10"/>
      <c r="Z31" s="10"/>
    </row>
    <row r="32" spans="1:26" ht="12.75" customHeight="1" x14ac:dyDescent="0.2">
      <c r="A32" s="10"/>
      <c r="B32" s="25"/>
      <c r="C32" s="27"/>
      <c r="D32" s="47"/>
      <c r="E32" s="27"/>
      <c r="F32" s="48"/>
      <c r="G32" s="47"/>
      <c r="H32" s="48"/>
      <c r="I32" s="49"/>
      <c r="J32" s="28"/>
      <c r="K32" s="28"/>
      <c r="L32" s="28"/>
      <c r="M32" s="44"/>
      <c r="N32" s="10"/>
      <c r="O32" s="10"/>
      <c r="P32" s="10"/>
      <c r="Q32" s="10"/>
      <c r="R32" s="10"/>
      <c r="S32" s="10"/>
      <c r="T32" s="10"/>
      <c r="U32" s="10"/>
      <c r="V32" s="10"/>
      <c r="W32" s="10"/>
      <c r="X32" s="10"/>
      <c r="Y32" s="10"/>
      <c r="Z32" s="10"/>
    </row>
    <row r="33" spans="1:26" ht="12.75" customHeight="1" x14ac:dyDescent="0.2">
      <c r="A33" s="10"/>
      <c r="B33" s="21" t="s">
        <v>100</v>
      </c>
      <c r="C33" s="45" t="s">
        <v>101</v>
      </c>
      <c r="D33" s="32"/>
      <c r="E33" s="22"/>
      <c r="F33" s="34"/>
      <c r="G33" s="32"/>
      <c r="H33" s="34"/>
      <c r="I33" s="35"/>
      <c r="J33" s="36"/>
      <c r="K33" s="36"/>
      <c r="L33" s="36"/>
      <c r="M33" s="37"/>
      <c r="N33" s="10"/>
      <c r="O33" s="10"/>
      <c r="P33" s="10"/>
      <c r="Q33" s="10"/>
      <c r="R33" s="10"/>
      <c r="S33" s="10"/>
      <c r="T33" s="10"/>
      <c r="U33" s="10"/>
      <c r="V33" s="10"/>
      <c r="W33" s="10"/>
      <c r="X33" s="10"/>
      <c r="Y33" s="10"/>
      <c r="Z33" s="10"/>
    </row>
    <row r="34" spans="1:26" ht="12.75" customHeight="1" x14ac:dyDescent="0.2">
      <c r="A34" s="10"/>
      <c r="B34" s="21"/>
      <c r="C34" s="22" t="s">
        <v>102</v>
      </c>
      <c r="D34" s="32" t="s">
        <v>103</v>
      </c>
      <c r="E34" s="22" t="s">
        <v>104</v>
      </c>
      <c r="F34" s="33">
        <v>3300</v>
      </c>
      <c r="G34" s="32" t="s">
        <v>90</v>
      </c>
      <c r="H34" s="46">
        <v>26.12</v>
      </c>
      <c r="I34" s="35" t="s">
        <v>105</v>
      </c>
      <c r="J34" s="36">
        <v>86196</v>
      </c>
      <c r="K34" s="36">
        <v>8996.1644735173377</v>
      </c>
      <c r="L34" s="36">
        <v>9.5000000000000001E-2</v>
      </c>
      <c r="M34" s="37">
        <v>0.152</v>
      </c>
      <c r="N34" s="10"/>
      <c r="O34" s="10"/>
      <c r="P34" s="10"/>
      <c r="Q34" s="10"/>
      <c r="R34" s="10"/>
      <c r="S34" s="10"/>
      <c r="T34" s="10"/>
      <c r="U34" s="10"/>
      <c r="V34" s="10"/>
      <c r="W34" s="10"/>
      <c r="X34" s="10"/>
      <c r="Y34" s="10"/>
      <c r="Z34" s="10"/>
    </row>
    <row r="35" spans="1:26" ht="12.75" customHeight="1" x14ac:dyDescent="0.2">
      <c r="A35" s="10"/>
      <c r="B35" s="21"/>
      <c r="C35" s="22"/>
      <c r="D35" s="32" t="s">
        <v>103</v>
      </c>
      <c r="E35" s="22" t="s">
        <v>106</v>
      </c>
      <c r="F35" s="33">
        <v>115044</v>
      </c>
      <c r="G35" s="32" t="s">
        <v>90</v>
      </c>
      <c r="H35" s="46">
        <v>17.8</v>
      </c>
      <c r="I35" s="35" t="s">
        <v>105</v>
      </c>
      <c r="J35" s="36">
        <v>2047783.2000000002</v>
      </c>
      <c r="K35" s="36">
        <v>213724.47066343739</v>
      </c>
      <c r="L35" s="36">
        <v>2.2530000000000001</v>
      </c>
      <c r="M35" s="37">
        <v>3.6040000000000001</v>
      </c>
      <c r="N35" s="10"/>
      <c r="O35" s="10"/>
      <c r="P35" s="10"/>
      <c r="Q35" s="10"/>
      <c r="R35" s="10"/>
      <c r="S35" s="10"/>
      <c r="T35" s="10"/>
      <c r="U35" s="10"/>
      <c r="V35" s="10"/>
      <c r="W35" s="10"/>
      <c r="X35" s="10"/>
      <c r="Y35" s="10"/>
      <c r="Z35" s="10"/>
    </row>
    <row r="36" spans="1:26" ht="12.75" customHeight="1" x14ac:dyDescent="0.2">
      <c r="A36" s="10"/>
      <c r="B36" s="21"/>
      <c r="C36" s="22"/>
      <c r="D36" s="32"/>
      <c r="E36" s="22"/>
      <c r="F36" s="34"/>
      <c r="G36" s="32"/>
      <c r="H36" s="34"/>
      <c r="I36" s="35"/>
      <c r="J36" s="36"/>
      <c r="K36" s="36"/>
      <c r="L36" s="36"/>
      <c r="M36" s="37"/>
      <c r="N36" s="10"/>
      <c r="O36" s="10"/>
      <c r="P36" s="10"/>
      <c r="Q36" s="10"/>
      <c r="R36" s="10"/>
      <c r="S36" s="10"/>
      <c r="T36" s="10"/>
      <c r="U36" s="10"/>
      <c r="V36" s="10"/>
      <c r="W36" s="10"/>
      <c r="X36" s="10"/>
      <c r="Y36" s="10"/>
      <c r="Z36" s="10"/>
    </row>
    <row r="37" spans="1:26" ht="12.75" customHeight="1" x14ac:dyDescent="0.2">
      <c r="A37" s="10"/>
      <c r="B37" s="21"/>
      <c r="C37" s="22" t="s">
        <v>107</v>
      </c>
      <c r="D37" s="32" t="s">
        <v>108</v>
      </c>
      <c r="E37" s="22" t="s">
        <v>104</v>
      </c>
      <c r="F37" s="33">
        <v>11562</v>
      </c>
      <c r="G37" s="32"/>
      <c r="H37" s="46">
        <v>26.12</v>
      </c>
      <c r="I37" s="35" t="s">
        <v>105</v>
      </c>
      <c r="J37" s="36">
        <v>301999.44</v>
      </c>
      <c r="K37" s="36">
        <v>36283.383251433639</v>
      </c>
      <c r="L37" s="36">
        <v>0.33200000000000002</v>
      </c>
      <c r="M37" s="37">
        <v>0.53200000000000003</v>
      </c>
      <c r="N37" s="10"/>
      <c r="O37" s="10"/>
      <c r="P37" s="10"/>
      <c r="Q37" s="10"/>
      <c r="R37" s="10"/>
      <c r="S37" s="10"/>
      <c r="T37" s="10"/>
      <c r="U37" s="10"/>
      <c r="V37" s="10"/>
      <c r="W37" s="10"/>
      <c r="X37" s="10"/>
      <c r="Y37" s="10"/>
      <c r="Z37" s="10"/>
    </row>
    <row r="38" spans="1:26" ht="12.75" customHeight="1" x14ac:dyDescent="0.2">
      <c r="A38" s="10"/>
      <c r="B38" s="21"/>
      <c r="C38" s="22"/>
      <c r="D38" s="32" t="s">
        <v>108</v>
      </c>
      <c r="E38" s="22" t="s">
        <v>106</v>
      </c>
      <c r="F38" s="33">
        <v>180195</v>
      </c>
      <c r="G38" s="32" t="s">
        <v>90</v>
      </c>
      <c r="H38" s="46">
        <v>17.79</v>
      </c>
      <c r="I38" s="35" t="s">
        <v>105</v>
      </c>
      <c r="J38" s="36">
        <v>3205669.05</v>
      </c>
      <c r="K38" s="36">
        <v>385141.504627986</v>
      </c>
      <c r="L38" s="36">
        <v>3.5259999999999998</v>
      </c>
      <c r="M38" s="37">
        <v>5.6420000000000003</v>
      </c>
      <c r="N38" s="10"/>
      <c r="O38" s="10"/>
      <c r="P38" s="10"/>
      <c r="Q38" s="10"/>
      <c r="R38" s="10"/>
      <c r="S38" s="10"/>
      <c r="T38" s="10"/>
      <c r="U38" s="10"/>
      <c r="V38" s="10"/>
      <c r="W38" s="10"/>
      <c r="X38" s="10"/>
      <c r="Y38" s="10"/>
      <c r="Z38" s="10"/>
    </row>
    <row r="39" spans="1:26" ht="12.75" customHeight="1" x14ac:dyDescent="0.2">
      <c r="A39" s="10"/>
      <c r="B39" s="21"/>
      <c r="C39" s="22"/>
      <c r="D39" s="32"/>
      <c r="E39" s="22"/>
      <c r="F39" s="34"/>
      <c r="G39" s="32"/>
      <c r="H39" s="34"/>
      <c r="I39" s="35"/>
      <c r="J39" s="36"/>
      <c r="K39" s="36"/>
      <c r="L39" s="36"/>
      <c r="M39" s="37"/>
      <c r="N39" s="10"/>
      <c r="O39" s="10"/>
      <c r="P39" s="10"/>
      <c r="Q39" s="10"/>
      <c r="R39" s="10"/>
      <c r="S39" s="10"/>
      <c r="T39" s="10"/>
      <c r="U39" s="10"/>
      <c r="V39" s="10"/>
      <c r="W39" s="10"/>
      <c r="X39" s="10"/>
      <c r="Y39" s="10"/>
      <c r="Z39" s="10"/>
    </row>
    <row r="40" spans="1:26" ht="12.75" customHeight="1" x14ac:dyDescent="0.2">
      <c r="A40" s="10"/>
      <c r="B40" s="21"/>
      <c r="C40" s="22"/>
      <c r="D40" s="32"/>
      <c r="E40" s="22"/>
      <c r="F40" s="34"/>
      <c r="G40" s="32"/>
      <c r="H40" s="34"/>
      <c r="I40" s="35"/>
      <c r="J40" s="36"/>
      <c r="K40" s="36"/>
      <c r="L40" s="36"/>
      <c r="M40" s="37"/>
      <c r="N40" s="10"/>
      <c r="O40" s="10"/>
      <c r="P40" s="10"/>
      <c r="Q40" s="10"/>
      <c r="R40" s="10"/>
      <c r="S40" s="10"/>
      <c r="T40" s="10"/>
      <c r="U40" s="10"/>
      <c r="V40" s="10"/>
      <c r="W40" s="10"/>
      <c r="X40" s="10"/>
      <c r="Y40" s="10"/>
      <c r="Z40" s="10"/>
    </row>
    <row r="41" spans="1:26" ht="12.75" customHeight="1" x14ac:dyDescent="0.2">
      <c r="A41" s="10"/>
      <c r="B41" s="25"/>
      <c r="C41" s="26"/>
      <c r="D41" s="47"/>
      <c r="E41" s="27"/>
      <c r="F41" s="48"/>
      <c r="G41" s="47"/>
      <c r="H41" s="48"/>
      <c r="I41" s="49"/>
      <c r="J41" s="28"/>
      <c r="K41" s="28"/>
      <c r="L41" s="28"/>
      <c r="M41" s="44"/>
      <c r="N41" s="10"/>
      <c r="O41" s="10"/>
      <c r="P41" s="10"/>
      <c r="Q41" s="10"/>
      <c r="R41" s="10"/>
      <c r="S41" s="10"/>
      <c r="T41" s="10"/>
      <c r="U41" s="10"/>
      <c r="V41" s="10"/>
      <c r="W41" s="10"/>
      <c r="X41" s="10"/>
      <c r="Y41" s="10"/>
      <c r="Z41" s="10"/>
    </row>
    <row r="42" spans="1:26" ht="12.75" customHeight="1" x14ac:dyDescent="0.2">
      <c r="A42" s="10"/>
      <c r="B42" s="21" t="s">
        <v>109</v>
      </c>
      <c r="C42" s="45" t="s">
        <v>110</v>
      </c>
      <c r="D42" s="32"/>
      <c r="E42" s="22"/>
      <c r="F42" s="34"/>
      <c r="G42" s="32"/>
      <c r="H42" s="34"/>
      <c r="I42" s="35"/>
      <c r="J42" s="36"/>
      <c r="K42" s="36"/>
      <c r="L42" s="36"/>
      <c r="M42" s="37"/>
      <c r="N42" s="10"/>
      <c r="O42" s="10"/>
      <c r="P42" s="10"/>
      <c r="Q42" s="10"/>
      <c r="R42" s="10"/>
      <c r="S42" s="10"/>
      <c r="T42" s="10"/>
      <c r="U42" s="10"/>
      <c r="V42" s="10"/>
      <c r="W42" s="10"/>
      <c r="X42" s="10"/>
      <c r="Y42" s="10"/>
      <c r="Z42" s="10"/>
    </row>
    <row r="43" spans="1:26" ht="12.75" customHeight="1" x14ac:dyDescent="0.2">
      <c r="A43" s="10"/>
      <c r="B43" s="21"/>
      <c r="C43" s="22" t="s">
        <v>111</v>
      </c>
      <c r="D43" s="32" t="s">
        <v>95</v>
      </c>
      <c r="E43" s="22" t="s">
        <v>89</v>
      </c>
      <c r="F43" s="33">
        <v>497291</v>
      </c>
      <c r="G43" s="32" t="s">
        <v>90</v>
      </c>
      <c r="H43" s="34">
        <v>12871</v>
      </c>
      <c r="I43" s="35" t="s">
        <v>112</v>
      </c>
      <c r="J43" s="36">
        <v>12801264.922</v>
      </c>
      <c r="K43" s="36">
        <v>1360379.0915007901</v>
      </c>
      <c r="L43" s="36">
        <v>155.17693338448399</v>
      </c>
      <c r="M43" s="37">
        <v>22.571190310470399</v>
      </c>
      <c r="N43" s="10"/>
      <c r="O43" s="10"/>
      <c r="P43" s="10"/>
      <c r="Q43" s="10"/>
      <c r="R43" s="10"/>
      <c r="S43" s="10"/>
      <c r="T43" s="10"/>
      <c r="U43" s="10"/>
      <c r="V43" s="10"/>
      <c r="W43" s="10"/>
      <c r="X43" s="10"/>
      <c r="Y43" s="10"/>
      <c r="Z43" s="10"/>
    </row>
    <row r="44" spans="1:26" ht="12.75" customHeight="1" x14ac:dyDescent="0.2">
      <c r="A44" s="10"/>
      <c r="B44" s="21"/>
      <c r="C44" s="22"/>
      <c r="D44" s="32"/>
      <c r="E44" s="22"/>
      <c r="F44" s="34"/>
      <c r="G44" s="32"/>
      <c r="H44" s="34"/>
      <c r="I44" s="35"/>
      <c r="J44" s="36"/>
      <c r="K44" s="36"/>
      <c r="L44" s="36"/>
      <c r="M44" s="37"/>
      <c r="N44" s="10"/>
      <c r="O44" s="10"/>
      <c r="P44" s="10"/>
      <c r="Q44" s="10"/>
      <c r="R44" s="10"/>
      <c r="S44" s="10"/>
      <c r="T44" s="10"/>
      <c r="U44" s="10"/>
      <c r="V44" s="10"/>
      <c r="W44" s="10"/>
      <c r="X44" s="10"/>
      <c r="Y44" s="10"/>
      <c r="Z44" s="10"/>
    </row>
    <row r="45" spans="1:26" ht="12.75" customHeight="1" x14ac:dyDescent="0.2">
      <c r="A45" s="10"/>
      <c r="B45" s="21"/>
      <c r="C45" s="22" t="s">
        <v>113</v>
      </c>
      <c r="D45" s="32" t="s">
        <v>99</v>
      </c>
      <c r="E45" s="22" t="s">
        <v>89</v>
      </c>
      <c r="F45" s="33">
        <v>547259</v>
      </c>
      <c r="G45" s="32" t="s">
        <v>90</v>
      </c>
      <c r="H45" s="34">
        <v>12855</v>
      </c>
      <c r="I45" s="35" t="s">
        <v>112</v>
      </c>
      <c r="J45" s="36">
        <v>14070028.890000001</v>
      </c>
      <c r="K45" s="36">
        <v>1559573.2339340833</v>
      </c>
      <c r="L45" s="36">
        <v>170.55689020457999</v>
      </c>
      <c r="M45" s="37">
        <v>24.815028552715201</v>
      </c>
      <c r="N45" s="10"/>
      <c r="O45" s="10"/>
      <c r="P45" s="10"/>
      <c r="Q45" s="10"/>
      <c r="R45" s="10"/>
      <c r="S45" s="10"/>
      <c r="T45" s="10"/>
      <c r="U45" s="10"/>
      <c r="V45" s="10"/>
      <c r="W45" s="10"/>
      <c r="X45" s="10"/>
      <c r="Y45" s="10"/>
      <c r="Z45" s="10"/>
    </row>
    <row r="46" spans="1:26" ht="12.75" customHeight="1" x14ac:dyDescent="0.2">
      <c r="A46" s="10"/>
      <c r="B46" s="21"/>
      <c r="C46" s="22"/>
      <c r="D46" s="32"/>
      <c r="E46" s="22"/>
      <c r="F46" s="34"/>
      <c r="G46" s="32"/>
      <c r="H46" s="34"/>
      <c r="I46" s="35"/>
      <c r="J46" s="36"/>
      <c r="K46" s="36"/>
      <c r="L46" s="36"/>
      <c r="M46" s="37"/>
      <c r="N46" s="10"/>
      <c r="O46" s="10"/>
      <c r="P46" s="10"/>
      <c r="Q46" s="10"/>
      <c r="R46" s="10"/>
      <c r="S46" s="10"/>
      <c r="T46" s="10"/>
      <c r="U46" s="10"/>
      <c r="V46" s="10"/>
      <c r="W46" s="10"/>
      <c r="X46" s="10"/>
      <c r="Y46" s="10"/>
      <c r="Z46" s="10"/>
    </row>
    <row r="47" spans="1:26" ht="12.75" customHeight="1" x14ac:dyDescent="0.2">
      <c r="A47" s="10"/>
      <c r="B47" s="21"/>
      <c r="C47" s="22" t="s">
        <v>114</v>
      </c>
      <c r="D47" s="32" t="s">
        <v>115</v>
      </c>
      <c r="E47" s="22" t="s">
        <v>89</v>
      </c>
      <c r="F47" s="33">
        <v>2757</v>
      </c>
      <c r="G47" s="32" t="s">
        <v>90</v>
      </c>
      <c r="H47" s="34">
        <v>12865</v>
      </c>
      <c r="I47" s="35" t="s">
        <v>112</v>
      </c>
      <c r="J47" s="36">
        <v>70937.61</v>
      </c>
      <c r="K47" s="36">
        <v>3950.2586876140026</v>
      </c>
      <c r="L47" s="36">
        <v>0.86013980253300004</v>
      </c>
      <c r="M47" s="37">
        <v>0.12507719395200001</v>
      </c>
      <c r="N47" s="10"/>
      <c r="O47" s="10"/>
      <c r="P47" s="10"/>
      <c r="Q47" s="10"/>
      <c r="R47" s="10"/>
      <c r="S47" s="10"/>
      <c r="T47" s="10"/>
      <c r="U47" s="10"/>
      <c r="V47" s="10"/>
      <c r="W47" s="10"/>
      <c r="X47" s="10"/>
      <c r="Y47" s="10"/>
      <c r="Z47" s="10"/>
    </row>
    <row r="48" spans="1:26" ht="12.75" customHeight="1" x14ac:dyDescent="0.2">
      <c r="A48" s="10"/>
      <c r="B48" s="21"/>
      <c r="C48" s="22"/>
      <c r="D48" s="32"/>
      <c r="E48" s="22"/>
      <c r="F48" s="34"/>
      <c r="G48" s="32"/>
      <c r="H48" s="34"/>
      <c r="I48" s="35"/>
      <c r="J48" s="36"/>
      <c r="K48" s="36"/>
      <c r="L48" s="36"/>
      <c r="M48" s="37"/>
      <c r="N48" s="10"/>
      <c r="O48" s="10"/>
      <c r="P48" s="10"/>
      <c r="Q48" s="10"/>
      <c r="R48" s="10"/>
      <c r="S48" s="10"/>
      <c r="T48" s="10"/>
      <c r="U48" s="10"/>
      <c r="V48" s="10"/>
      <c r="W48" s="10"/>
      <c r="X48" s="10"/>
      <c r="Y48" s="10"/>
      <c r="Z48" s="10"/>
    </row>
    <row r="49" spans="1:26" ht="12.75" customHeight="1" x14ac:dyDescent="0.2">
      <c r="A49" s="10"/>
      <c r="B49" s="21"/>
      <c r="C49" s="22" t="s">
        <v>116</v>
      </c>
      <c r="D49" s="32" t="s">
        <v>117</v>
      </c>
      <c r="E49" s="22" t="s">
        <v>89</v>
      </c>
      <c r="F49" s="33">
        <v>2399</v>
      </c>
      <c r="G49" s="32" t="s">
        <v>90</v>
      </c>
      <c r="H49" s="34">
        <v>12865</v>
      </c>
      <c r="I49" s="35" t="s">
        <v>112</v>
      </c>
      <c r="J49" s="36">
        <v>61726.27</v>
      </c>
      <c r="K49" s="36">
        <v>3685.1145177804701</v>
      </c>
      <c r="L49" s="36">
        <v>0.74824584493999979</v>
      </c>
      <c r="M49" s="37">
        <v>0.10883575926399999</v>
      </c>
      <c r="N49" s="10"/>
      <c r="O49" s="10"/>
      <c r="P49" s="10"/>
      <c r="Q49" s="10"/>
      <c r="R49" s="10"/>
      <c r="S49" s="10"/>
      <c r="T49" s="10"/>
      <c r="U49" s="10"/>
      <c r="V49" s="10"/>
      <c r="W49" s="10"/>
      <c r="X49" s="10"/>
      <c r="Y49" s="10"/>
      <c r="Z49" s="10"/>
    </row>
    <row r="50" spans="1:26" ht="12.75" customHeight="1" x14ac:dyDescent="0.2">
      <c r="A50" s="10"/>
      <c r="B50" s="21"/>
      <c r="C50" s="22"/>
      <c r="D50" s="32"/>
      <c r="E50" s="22"/>
      <c r="F50" s="34"/>
      <c r="G50" s="32"/>
      <c r="H50" s="34"/>
      <c r="I50" s="35"/>
      <c r="J50" s="36"/>
      <c r="K50" s="36"/>
      <c r="L50" s="36"/>
      <c r="M50" s="37"/>
      <c r="N50" s="10"/>
      <c r="O50" s="10"/>
      <c r="P50" s="10"/>
      <c r="Q50" s="10"/>
      <c r="R50" s="10"/>
      <c r="S50" s="10"/>
      <c r="T50" s="10"/>
      <c r="U50" s="10"/>
      <c r="V50" s="10"/>
      <c r="W50" s="10"/>
      <c r="X50" s="10"/>
      <c r="Y50" s="10"/>
      <c r="Z50" s="10"/>
    </row>
    <row r="51" spans="1:26" ht="12.75" customHeight="1" x14ac:dyDescent="0.2">
      <c r="A51" s="10"/>
      <c r="B51" s="21"/>
      <c r="C51" s="22"/>
      <c r="D51" s="32"/>
      <c r="E51" s="22"/>
      <c r="F51" s="34"/>
      <c r="G51" s="32"/>
      <c r="H51" s="34"/>
      <c r="I51" s="35"/>
      <c r="J51" s="36"/>
      <c r="K51" s="36"/>
      <c r="L51" s="36"/>
      <c r="M51" s="37"/>
      <c r="N51" s="10"/>
      <c r="O51" s="10"/>
      <c r="P51" s="10"/>
      <c r="Q51" s="10"/>
      <c r="R51" s="10"/>
      <c r="S51" s="10"/>
      <c r="T51" s="10"/>
      <c r="U51" s="10"/>
      <c r="V51" s="10"/>
      <c r="W51" s="10"/>
      <c r="X51" s="10"/>
      <c r="Y51" s="10"/>
      <c r="Z51" s="10"/>
    </row>
    <row r="52" spans="1:26" ht="12.75" customHeight="1" x14ac:dyDescent="0.2">
      <c r="A52" s="10"/>
      <c r="B52" s="25"/>
      <c r="C52" s="27"/>
      <c r="D52" s="47"/>
      <c r="E52" s="27"/>
      <c r="F52" s="50"/>
      <c r="G52" s="47"/>
      <c r="H52" s="48"/>
      <c r="I52" s="49"/>
      <c r="J52" s="28"/>
      <c r="K52" s="28"/>
      <c r="L52" s="28"/>
      <c r="M52" s="44"/>
      <c r="N52" s="10"/>
      <c r="O52" s="10"/>
      <c r="P52" s="10"/>
      <c r="Q52" s="10"/>
      <c r="R52" s="10"/>
      <c r="S52" s="10"/>
      <c r="T52" s="10"/>
      <c r="U52" s="10"/>
      <c r="V52" s="10"/>
      <c r="W52" s="10"/>
      <c r="X52" s="10"/>
      <c r="Y52" s="10"/>
      <c r="Z52" s="10"/>
    </row>
    <row r="53" spans="1:26" ht="12.75" customHeight="1" x14ac:dyDescent="0.2">
      <c r="A53" s="10"/>
      <c r="B53" s="21" t="s">
        <v>118</v>
      </c>
      <c r="C53" s="45" t="s">
        <v>119</v>
      </c>
      <c r="D53" s="32"/>
      <c r="E53" s="22"/>
      <c r="F53" s="34"/>
      <c r="G53" s="32"/>
      <c r="H53" s="34"/>
      <c r="I53" s="35"/>
      <c r="J53" s="36"/>
      <c r="K53" s="36"/>
      <c r="L53" s="36"/>
      <c r="M53" s="37"/>
      <c r="N53" s="10"/>
      <c r="O53" s="10"/>
      <c r="P53" s="10"/>
      <c r="Q53" s="10"/>
      <c r="R53" s="10"/>
      <c r="S53" s="10"/>
      <c r="T53" s="10"/>
      <c r="U53" s="10"/>
      <c r="V53" s="10"/>
      <c r="W53" s="10"/>
      <c r="X53" s="10"/>
      <c r="Y53" s="10"/>
      <c r="Z53" s="10"/>
    </row>
    <row r="54" spans="1:26" ht="12.75" customHeight="1" x14ac:dyDescent="0.2">
      <c r="A54" s="10"/>
      <c r="B54" s="21"/>
      <c r="C54" s="22" t="s">
        <v>120</v>
      </c>
      <c r="D54" s="32" t="s">
        <v>99</v>
      </c>
      <c r="E54" s="22" t="s">
        <v>96</v>
      </c>
      <c r="F54" s="33">
        <v>105869</v>
      </c>
      <c r="G54" s="32" t="s">
        <v>90</v>
      </c>
      <c r="H54" s="32">
        <v>24</v>
      </c>
      <c r="I54" s="35" t="s">
        <v>121</v>
      </c>
      <c r="J54" s="36">
        <v>2540856</v>
      </c>
      <c r="K54" s="36">
        <v>285306.24512721144</v>
      </c>
      <c r="L54" s="36">
        <v>2.8</v>
      </c>
      <c r="M54" s="37">
        <v>4.47</v>
      </c>
      <c r="N54" s="10"/>
      <c r="O54" s="10"/>
      <c r="P54" s="10"/>
      <c r="Q54" s="10"/>
      <c r="R54" s="10"/>
      <c r="S54" s="10"/>
      <c r="T54" s="10"/>
      <c r="U54" s="10"/>
      <c r="V54" s="10"/>
      <c r="W54" s="10"/>
      <c r="X54" s="10"/>
      <c r="Y54" s="10"/>
      <c r="Z54" s="10"/>
    </row>
    <row r="55" spans="1:26" ht="12.75" customHeight="1" x14ac:dyDescent="0.2">
      <c r="A55" s="10"/>
      <c r="B55" s="21"/>
      <c r="C55" s="22"/>
      <c r="D55" s="32"/>
      <c r="E55" s="22"/>
      <c r="F55" s="34"/>
      <c r="G55" s="32"/>
      <c r="H55" s="34"/>
      <c r="I55" s="35"/>
      <c r="J55" s="36"/>
      <c r="K55" s="36"/>
      <c r="L55" s="36"/>
      <c r="M55" s="37"/>
      <c r="N55" s="10"/>
      <c r="O55" s="10"/>
      <c r="P55" s="10"/>
      <c r="Q55" s="10"/>
      <c r="R55" s="10"/>
      <c r="S55" s="10"/>
      <c r="T55" s="10"/>
      <c r="U55" s="10"/>
      <c r="V55" s="10"/>
      <c r="W55" s="10"/>
      <c r="X55" s="10"/>
      <c r="Y55" s="10"/>
      <c r="Z55" s="10"/>
    </row>
    <row r="56" spans="1:26" ht="12.75" customHeight="1" x14ac:dyDescent="0.2">
      <c r="A56" s="10"/>
      <c r="B56" s="21"/>
      <c r="C56" s="22" t="s">
        <v>122</v>
      </c>
      <c r="D56" s="32" t="s">
        <v>115</v>
      </c>
      <c r="E56" s="22" t="s">
        <v>96</v>
      </c>
      <c r="F56" s="33">
        <v>422531</v>
      </c>
      <c r="G56" s="32" t="s">
        <v>90</v>
      </c>
      <c r="H56" s="51">
        <v>23.8</v>
      </c>
      <c r="I56" s="35" t="s">
        <v>121</v>
      </c>
      <c r="J56" s="36">
        <v>10056237.800000001</v>
      </c>
      <c r="K56" s="36">
        <v>1054332.5248044224</v>
      </c>
      <c r="L56" s="36">
        <v>11.1</v>
      </c>
      <c r="M56" s="37">
        <v>17.7</v>
      </c>
      <c r="N56" s="10"/>
      <c r="O56" s="10"/>
      <c r="P56" s="10"/>
      <c r="Q56" s="10"/>
      <c r="R56" s="10"/>
      <c r="S56" s="10"/>
      <c r="T56" s="10"/>
      <c r="U56" s="10"/>
      <c r="V56" s="10"/>
      <c r="W56" s="10"/>
      <c r="X56" s="10"/>
      <c r="Y56" s="10"/>
      <c r="Z56" s="10"/>
    </row>
    <row r="57" spans="1:26" ht="12.75" customHeight="1" x14ac:dyDescent="0.2">
      <c r="A57" s="10"/>
      <c r="B57" s="21"/>
      <c r="C57" s="22"/>
      <c r="D57" s="32"/>
      <c r="E57" s="22"/>
      <c r="F57" s="33"/>
      <c r="G57" s="32"/>
      <c r="H57" s="52"/>
      <c r="I57" s="35"/>
      <c r="J57" s="36"/>
      <c r="K57" s="36"/>
      <c r="L57" s="36"/>
      <c r="M57" s="37"/>
      <c r="N57" s="10"/>
      <c r="O57" s="10"/>
      <c r="P57" s="10"/>
      <c r="Q57" s="10"/>
      <c r="R57" s="10"/>
      <c r="S57" s="10"/>
      <c r="T57" s="10"/>
      <c r="U57" s="10"/>
      <c r="V57" s="10"/>
      <c r="W57" s="10"/>
      <c r="X57" s="10"/>
      <c r="Y57" s="10"/>
      <c r="Z57" s="10"/>
    </row>
    <row r="58" spans="1:26" ht="12.75" customHeight="1" x14ac:dyDescent="0.2">
      <c r="A58" s="10"/>
      <c r="B58" s="25"/>
      <c r="C58" s="27"/>
      <c r="D58" s="47"/>
      <c r="E58" s="27"/>
      <c r="F58" s="47"/>
      <c r="G58" s="47"/>
      <c r="H58" s="47"/>
      <c r="I58" s="49"/>
      <c r="J58" s="28"/>
      <c r="K58" s="28"/>
      <c r="L58" s="28"/>
      <c r="M58" s="44"/>
      <c r="N58" s="10"/>
      <c r="O58" s="10"/>
      <c r="P58" s="10"/>
      <c r="Q58" s="10"/>
      <c r="R58" s="10"/>
      <c r="S58" s="10"/>
      <c r="T58" s="10"/>
      <c r="U58" s="10"/>
      <c r="V58" s="10"/>
      <c r="W58" s="10"/>
      <c r="X58" s="10"/>
      <c r="Y58" s="10"/>
      <c r="Z58" s="10"/>
    </row>
    <row r="59" spans="1:26" ht="12.75" customHeight="1" x14ac:dyDescent="0.2">
      <c r="A59" s="10"/>
      <c r="B59" s="21" t="s">
        <v>123</v>
      </c>
      <c r="C59" s="45" t="s">
        <v>124</v>
      </c>
      <c r="D59" s="32"/>
      <c r="E59" s="22"/>
      <c r="F59" s="32"/>
      <c r="G59" s="32"/>
      <c r="H59" s="32"/>
      <c r="I59" s="35"/>
      <c r="J59" s="36"/>
      <c r="K59" s="36"/>
      <c r="L59" s="36"/>
      <c r="M59" s="37"/>
      <c r="N59" s="10"/>
      <c r="O59" s="10"/>
      <c r="P59" s="10"/>
      <c r="Q59" s="10"/>
      <c r="R59" s="10"/>
      <c r="S59" s="10"/>
      <c r="T59" s="10"/>
      <c r="U59" s="10"/>
      <c r="V59" s="10"/>
      <c r="W59" s="10"/>
      <c r="X59" s="10"/>
      <c r="Y59" s="10"/>
      <c r="Z59" s="10"/>
    </row>
    <row r="60" spans="1:26" ht="12.75" customHeight="1" x14ac:dyDescent="0.2">
      <c r="A60" s="10"/>
      <c r="B60" s="21"/>
      <c r="C60" s="22" t="s">
        <v>125</v>
      </c>
      <c r="D60" s="32" t="s">
        <v>126</v>
      </c>
      <c r="E60" s="22" t="s">
        <v>89</v>
      </c>
      <c r="F60" s="53">
        <v>173361</v>
      </c>
      <c r="G60" s="32" t="s">
        <v>90</v>
      </c>
      <c r="H60" s="54">
        <v>12882.09</v>
      </c>
      <c r="I60" s="35" t="s">
        <v>91</v>
      </c>
      <c r="J60" s="36">
        <v>4466504.0089800013</v>
      </c>
      <c r="K60" s="36">
        <v>441072.1482277519</v>
      </c>
      <c r="L60" s="36">
        <v>54.158300960753287</v>
      </c>
      <c r="M60" s="37">
        <v>7.8775649703616057</v>
      </c>
      <c r="N60" s="10"/>
      <c r="O60" s="10"/>
      <c r="P60" s="10"/>
      <c r="Q60" s="10"/>
      <c r="R60" s="10"/>
      <c r="S60" s="10"/>
      <c r="T60" s="10"/>
      <c r="U60" s="10"/>
      <c r="V60" s="10"/>
      <c r="W60" s="10"/>
      <c r="X60" s="10"/>
      <c r="Y60" s="10"/>
      <c r="Z60" s="10"/>
    </row>
    <row r="61" spans="1:26" ht="12.75" customHeight="1" x14ac:dyDescent="0.2">
      <c r="A61" s="10"/>
      <c r="B61" s="21"/>
      <c r="C61" s="22"/>
      <c r="D61" s="32"/>
      <c r="E61" s="22"/>
      <c r="F61" s="33"/>
      <c r="G61" s="32"/>
      <c r="H61" s="34"/>
      <c r="I61" s="35"/>
      <c r="J61" s="36"/>
      <c r="K61" s="36"/>
      <c r="L61" s="36"/>
      <c r="M61" s="37"/>
      <c r="N61" s="10"/>
      <c r="O61" s="10"/>
      <c r="P61" s="10"/>
      <c r="Q61" s="10"/>
      <c r="R61" s="10"/>
      <c r="S61" s="10"/>
      <c r="T61" s="10"/>
      <c r="U61" s="10"/>
      <c r="V61" s="10"/>
      <c r="W61" s="10"/>
      <c r="X61" s="10"/>
      <c r="Y61" s="10"/>
      <c r="Z61" s="10"/>
    </row>
    <row r="62" spans="1:26" ht="12.75" customHeight="1" x14ac:dyDescent="0.2">
      <c r="A62" s="10"/>
      <c r="B62" s="21"/>
      <c r="C62" s="22" t="s">
        <v>127</v>
      </c>
      <c r="D62" s="32" t="s">
        <v>128</v>
      </c>
      <c r="E62" s="22" t="s">
        <v>89</v>
      </c>
      <c r="F62" s="53">
        <v>175090</v>
      </c>
      <c r="G62" s="32" t="s">
        <v>90</v>
      </c>
      <c r="H62" s="54">
        <v>12882.09</v>
      </c>
      <c r="I62" s="35" t="s">
        <v>91</v>
      </c>
      <c r="J62" s="36">
        <v>4511050.2762000002</v>
      </c>
      <c r="K62" s="36">
        <v>445470.91911752173</v>
      </c>
      <c r="L62" s="36">
        <v>54.698401591428954</v>
      </c>
      <c r="M62" s="37">
        <v>7.9561311405714852</v>
      </c>
      <c r="N62" s="10"/>
      <c r="O62" s="10"/>
      <c r="P62" s="10"/>
      <c r="Q62" s="10"/>
      <c r="R62" s="10"/>
      <c r="S62" s="10"/>
      <c r="T62" s="10"/>
      <c r="U62" s="10"/>
      <c r="V62" s="10"/>
      <c r="W62" s="10"/>
      <c r="X62" s="10"/>
      <c r="Y62" s="10"/>
      <c r="Z62" s="10"/>
    </row>
    <row r="63" spans="1:26" ht="12.75" customHeight="1" x14ac:dyDescent="0.2">
      <c r="A63" s="10"/>
      <c r="B63" s="21"/>
      <c r="C63" s="22"/>
      <c r="D63" s="32"/>
      <c r="E63" s="22"/>
      <c r="F63" s="33"/>
      <c r="G63" s="32"/>
      <c r="H63" s="34"/>
      <c r="I63" s="35"/>
      <c r="J63" s="36"/>
      <c r="K63" s="36"/>
      <c r="L63" s="36"/>
      <c r="M63" s="37"/>
      <c r="N63" s="10"/>
      <c r="O63" s="10"/>
      <c r="P63" s="10"/>
      <c r="Q63" s="10"/>
      <c r="R63" s="10"/>
      <c r="S63" s="10"/>
      <c r="T63" s="10"/>
      <c r="U63" s="10"/>
      <c r="V63" s="10"/>
      <c r="W63" s="10"/>
      <c r="X63" s="10"/>
      <c r="Y63" s="10"/>
      <c r="Z63" s="10"/>
    </row>
    <row r="64" spans="1:26" ht="12.75" customHeight="1" x14ac:dyDescent="0.2">
      <c r="A64" s="10"/>
      <c r="B64" s="21"/>
      <c r="C64" s="22" t="s">
        <v>129</v>
      </c>
      <c r="D64" s="32" t="s">
        <v>130</v>
      </c>
      <c r="E64" s="22" t="s">
        <v>89</v>
      </c>
      <c r="F64" s="53">
        <v>156270</v>
      </c>
      <c r="G64" s="32" t="s">
        <v>90</v>
      </c>
      <c r="H64" s="54">
        <v>12882.09</v>
      </c>
      <c r="I64" s="35" t="s">
        <v>91</v>
      </c>
      <c r="J64" s="36">
        <v>4026168.4086000002</v>
      </c>
      <c r="K64" s="36">
        <v>397588.45191653183</v>
      </c>
      <c r="L64" s="36">
        <v>48.819002893898009</v>
      </c>
      <c r="M64" s="37">
        <v>7.100945875476075</v>
      </c>
      <c r="N64" s="10"/>
      <c r="O64" s="10"/>
      <c r="P64" s="10"/>
      <c r="Q64" s="10"/>
      <c r="R64" s="10"/>
      <c r="S64" s="10"/>
      <c r="T64" s="10"/>
      <c r="U64" s="10"/>
      <c r="V64" s="10"/>
      <c r="W64" s="10"/>
      <c r="X64" s="10"/>
      <c r="Y64" s="10"/>
      <c r="Z64" s="10"/>
    </row>
    <row r="65" spans="1:26" ht="12.75" customHeight="1" x14ac:dyDescent="0.2">
      <c r="A65" s="10"/>
      <c r="B65" s="21"/>
      <c r="C65" s="22"/>
      <c r="D65" s="32"/>
      <c r="E65" s="22"/>
      <c r="F65" s="33"/>
      <c r="G65" s="32"/>
      <c r="H65" s="34"/>
      <c r="I65" s="35"/>
      <c r="J65" s="36"/>
      <c r="K65" s="36"/>
      <c r="L65" s="36"/>
      <c r="M65" s="37"/>
      <c r="N65" s="10"/>
      <c r="O65" s="10"/>
      <c r="P65" s="10"/>
      <c r="Q65" s="10"/>
      <c r="R65" s="10"/>
      <c r="S65" s="10"/>
      <c r="T65" s="10"/>
      <c r="U65" s="10"/>
      <c r="V65" s="10"/>
      <c r="W65" s="10"/>
      <c r="X65" s="10"/>
      <c r="Y65" s="10"/>
      <c r="Z65" s="10"/>
    </row>
    <row r="66" spans="1:26" ht="12.75" customHeight="1" x14ac:dyDescent="0.2">
      <c r="A66" s="10"/>
      <c r="B66" s="25"/>
      <c r="C66" s="27"/>
      <c r="D66" s="47"/>
      <c r="E66" s="27"/>
      <c r="F66" s="50"/>
      <c r="G66" s="47"/>
      <c r="H66" s="48"/>
      <c r="I66" s="47"/>
      <c r="J66" s="28"/>
      <c r="K66" s="28"/>
      <c r="L66" s="28"/>
      <c r="M66" s="44"/>
      <c r="N66" s="10"/>
      <c r="O66" s="10"/>
      <c r="P66" s="10"/>
      <c r="Q66" s="10"/>
      <c r="R66" s="10"/>
      <c r="S66" s="10"/>
      <c r="T66" s="10"/>
      <c r="U66" s="10"/>
      <c r="V66" s="10"/>
      <c r="W66" s="10"/>
      <c r="X66" s="10"/>
      <c r="Y66" s="10"/>
      <c r="Z66" s="10"/>
    </row>
    <row r="67" spans="1:26" ht="12.75" customHeight="1" x14ac:dyDescent="0.2">
      <c r="A67" s="10"/>
      <c r="B67" s="21" t="s">
        <v>131</v>
      </c>
      <c r="C67" s="45" t="s">
        <v>132</v>
      </c>
      <c r="D67" s="32"/>
      <c r="E67" s="22"/>
      <c r="F67" s="33"/>
      <c r="G67" s="32"/>
      <c r="H67" s="34"/>
      <c r="I67" s="32"/>
      <c r="J67" s="36"/>
      <c r="K67" s="36"/>
      <c r="L67" s="36"/>
      <c r="M67" s="37"/>
      <c r="N67" s="10"/>
      <c r="O67" s="10"/>
      <c r="P67" s="10"/>
      <c r="Q67" s="10"/>
      <c r="R67" s="10"/>
      <c r="S67" s="10"/>
      <c r="T67" s="10"/>
      <c r="U67" s="10"/>
      <c r="V67" s="10"/>
      <c r="W67" s="10"/>
      <c r="X67" s="10"/>
      <c r="Y67" s="10"/>
      <c r="Z67" s="10"/>
    </row>
    <row r="68" spans="1:26" ht="12.75" customHeight="1" x14ac:dyDescent="0.2">
      <c r="A68" s="10"/>
      <c r="B68" s="21"/>
      <c r="C68" s="22" t="s">
        <v>133</v>
      </c>
      <c r="D68" s="32" t="s">
        <v>95</v>
      </c>
      <c r="E68" s="22" t="s">
        <v>89</v>
      </c>
      <c r="F68" s="23">
        <v>1181982</v>
      </c>
      <c r="G68" s="32" t="s">
        <v>90</v>
      </c>
      <c r="H68" s="36">
        <v>12975.7</v>
      </c>
      <c r="I68" s="32" t="s">
        <v>91</v>
      </c>
      <c r="J68" s="36">
        <v>30674087.674800005</v>
      </c>
      <c r="K68" s="36">
        <v>3033463.0443535028</v>
      </c>
      <c r="L68" s="36">
        <v>357.83700104466419</v>
      </c>
      <c r="M68" s="37">
        <v>52.054650872476991</v>
      </c>
      <c r="N68" s="10"/>
      <c r="O68" s="10"/>
      <c r="P68" s="10"/>
      <c r="Q68" s="10"/>
      <c r="R68" s="10"/>
      <c r="S68" s="10"/>
      <c r="T68" s="10"/>
      <c r="U68" s="10"/>
      <c r="V68" s="10"/>
      <c r="W68" s="10"/>
      <c r="X68" s="10"/>
      <c r="Y68" s="10"/>
      <c r="Z68" s="10"/>
    </row>
    <row r="69" spans="1:26" ht="12.75" customHeight="1" x14ac:dyDescent="0.2">
      <c r="A69" s="10"/>
      <c r="B69" s="21"/>
      <c r="C69" s="22"/>
      <c r="D69" s="32"/>
      <c r="E69" s="22"/>
      <c r="F69" s="33"/>
      <c r="G69" s="32"/>
      <c r="H69" s="34"/>
      <c r="I69" s="32"/>
      <c r="J69" s="36"/>
      <c r="K69" s="36"/>
      <c r="L69" s="36"/>
      <c r="M69" s="37"/>
      <c r="N69" s="10"/>
      <c r="O69" s="10"/>
      <c r="P69" s="10"/>
      <c r="Q69" s="10"/>
      <c r="R69" s="10"/>
      <c r="S69" s="10"/>
      <c r="T69" s="10"/>
      <c r="U69" s="10"/>
      <c r="V69" s="10"/>
      <c r="W69" s="10"/>
      <c r="X69" s="10"/>
      <c r="Y69" s="10"/>
      <c r="Z69" s="10"/>
    </row>
    <row r="70" spans="1:26" ht="12.75" customHeight="1" x14ac:dyDescent="0.2">
      <c r="A70" s="10"/>
      <c r="B70" s="21"/>
      <c r="C70" s="22" t="s">
        <v>134</v>
      </c>
      <c r="D70" s="32" t="s">
        <v>99</v>
      </c>
      <c r="E70" s="22" t="s">
        <v>89</v>
      </c>
      <c r="F70" s="23">
        <v>1175132</v>
      </c>
      <c r="G70" s="32" t="s">
        <v>90</v>
      </c>
      <c r="H70" s="36">
        <v>12975.7</v>
      </c>
      <c r="I70" s="32" t="s">
        <v>91</v>
      </c>
      <c r="J70" s="36">
        <v>30496320.584800005</v>
      </c>
      <c r="K70" s="36">
        <v>3111761.2303939178</v>
      </c>
      <c r="L70" s="36">
        <v>367.43966619338244</v>
      </c>
      <c r="M70" s="37">
        <v>53.447768049068678</v>
      </c>
      <c r="N70" s="10"/>
      <c r="O70" s="10"/>
      <c r="P70" s="10"/>
      <c r="Q70" s="10"/>
      <c r="R70" s="10"/>
      <c r="S70" s="10"/>
      <c r="T70" s="10"/>
      <c r="U70" s="10"/>
      <c r="V70" s="10"/>
      <c r="W70" s="10"/>
      <c r="X70" s="10"/>
      <c r="Y70" s="10"/>
      <c r="Z70" s="10"/>
    </row>
    <row r="71" spans="1:26" ht="12.75" customHeight="1" x14ac:dyDescent="0.2">
      <c r="A71" s="10"/>
      <c r="B71" s="21"/>
      <c r="C71" s="22"/>
      <c r="D71" s="22"/>
      <c r="E71" s="22"/>
      <c r="F71" s="32"/>
      <c r="G71" s="32"/>
      <c r="H71" s="32"/>
      <c r="I71" s="32"/>
      <c r="J71" s="36"/>
      <c r="K71" s="36"/>
      <c r="L71" s="36"/>
      <c r="M71" s="37"/>
      <c r="N71" s="10"/>
      <c r="O71" s="10"/>
      <c r="P71" s="10"/>
      <c r="Q71" s="10"/>
      <c r="R71" s="10"/>
      <c r="S71" s="10"/>
      <c r="T71" s="10"/>
      <c r="U71" s="10"/>
      <c r="V71" s="10"/>
      <c r="W71" s="10"/>
      <c r="X71" s="10"/>
      <c r="Y71" s="10"/>
      <c r="Z71" s="10"/>
    </row>
    <row r="72" spans="1:26" ht="12.75" customHeight="1" x14ac:dyDescent="0.2">
      <c r="A72" s="10"/>
      <c r="B72" s="21"/>
      <c r="C72" s="22"/>
      <c r="D72" s="22"/>
      <c r="E72" s="22"/>
      <c r="F72" s="32"/>
      <c r="G72" s="32"/>
      <c r="H72" s="32"/>
      <c r="I72" s="32"/>
      <c r="J72" s="36"/>
      <c r="K72" s="36"/>
      <c r="L72" s="36"/>
      <c r="M72" s="37"/>
      <c r="N72" s="10"/>
      <c r="O72" s="10"/>
      <c r="P72" s="10"/>
      <c r="Q72" s="10"/>
      <c r="R72" s="10"/>
      <c r="S72" s="10"/>
      <c r="T72" s="10"/>
      <c r="U72" s="10"/>
      <c r="V72" s="10"/>
      <c r="W72" s="10"/>
      <c r="X72" s="10"/>
      <c r="Y72" s="10"/>
      <c r="Z72" s="10"/>
    </row>
    <row r="73" spans="1:26" ht="12.75" customHeight="1" x14ac:dyDescent="0.2">
      <c r="A73" s="10"/>
      <c r="B73" s="21"/>
      <c r="C73" s="22"/>
      <c r="D73" s="22"/>
      <c r="E73" s="22"/>
      <c r="F73" s="32"/>
      <c r="G73" s="32"/>
      <c r="H73" s="32"/>
      <c r="I73" s="32"/>
      <c r="J73" s="36"/>
      <c r="K73" s="36"/>
      <c r="L73" s="36"/>
      <c r="M73" s="37"/>
      <c r="N73" s="10"/>
      <c r="O73" s="10"/>
      <c r="P73" s="10"/>
      <c r="Q73" s="10"/>
      <c r="R73" s="10"/>
      <c r="S73" s="10"/>
      <c r="T73" s="10"/>
      <c r="U73" s="10"/>
      <c r="V73" s="10"/>
      <c r="W73" s="10"/>
      <c r="X73" s="10"/>
      <c r="Y73" s="10"/>
      <c r="Z73" s="10"/>
    </row>
    <row r="74" spans="1:26" ht="12.75" customHeight="1" x14ac:dyDescent="0.2">
      <c r="A74" s="10"/>
      <c r="B74" s="21"/>
      <c r="C74" s="22"/>
      <c r="D74" s="22"/>
      <c r="E74" s="55" t="s">
        <v>135</v>
      </c>
      <c r="F74" s="56">
        <f>SUM(F23:F73)</f>
        <v>7408198</v>
      </c>
      <c r="G74" s="55"/>
      <c r="H74" s="55"/>
      <c r="I74" s="55"/>
      <c r="J74" s="57">
        <f t="shared" ref="J74:M74" si="0">SUM(J23:J73)</f>
        <v>186207443.86538002</v>
      </c>
      <c r="K74" s="57">
        <f t="shared" si="0"/>
        <v>19400928.615855832</v>
      </c>
      <c r="L74" s="57">
        <f t="shared" si="0"/>
        <v>1464.7684001465441</v>
      </c>
      <c r="M74" s="58">
        <f t="shared" si="0"/>
        <v>325.72740258408061</v>
      </c>
      <c r="N74" s="10"/>
      <c r="O74" s="10"/>
      <c r="P74" s="10"/>
      <c r="Q74" s="10"/>
      <c r="R74" s="10"/>
      <c r="S74" s="10"/>
      <c r="T74" s="10"/>
      <c r="U74" s="10"/>
      <c r="V74" s="10"/>
      <c r="W74" s="10"/>
      <c r="X74" s="10"/>
      <c r="Y74" s="10"/>
      <c r="Z74" s="10"/>
    </row>
    <row r="75" spans="1:26" ht="12.75" customHeight="1" x14ac:dyDescent="0.2">
      <c r="A75" s="10"/>
      <c r="B75" s="21"/>
      <c r="C75" s="22"/>
      <c r="D75" s="22"/>
      <c r="E75" s="22"/>
      <c r="F75" s="32"/>
      <c r="G75" s="32"/>
      <c r="H75" s="32"/>
      <c r="I75" s="32"/>
      <c r="J75" s="36"/>
      <c r="K75" s="36"/>
      <c r="L75" s="36"/>
      <c r="M75" s="37"/>
      <c r="N75" s="10"/>
      <c r="O75" s="10"/>
      <c r="P75" s="10"/>
      <c r="Q75" s="10"/>
      <c r="R75" s="10"/>
      <c r="S75" s="10"/>
      <c r="T75" s="10"/>
      <c r="U75" s="10"/>
      <c r="V75" s="10"/>
      <c r="W75" s="10"/>
      <c r="X75" s="10"/>
      <c r="Y75" s="10"/>
      <c r="Z75" s="10"/>
    </row>
    <row r="76" spans="1:26" ht="12.75" customHeight="1" x14ac:dyDescent="0.25">
      <c r="A76" s="10"/>
      <c r="B76" s="21"/>
      <c r="C76" s="22"/>
      <c r="D76" s="22"/>
      <c r="E76" s="59" t="s">
        <v>136</v>
      </c>
      <c r="F76" s="59"/>
      <c r="G76" s="59"/>
      <c r="H76" s="59"/>
      <c r="I76" s="59"/>
      <c r="J76" s="60"/>
      <c r="K76" s="60">
        <f>(+K74*0.907184)/1000000</f>
        <v>17.600212025446556</v>
      </c>
      <c r="L76" s="61">
        <f>(+L74*$J$460*0.907184)/1000000</f>
        <v>3.7206804776919192E-2</v>
      </c>
      <c r="M76" s="62">
        <f>(+M74*$J$461*0.907184)/1000000</f>
        <v>7.8306092316246689E-2</v>
      </c>
      <c r="N76" s="10"/>
      <c r="O76" s="10"/>
      <c r="P76" s="10"/>
      <c r="Q76" s="10"/>
      <c r="R76" s="10"/>
      <c r="S76" s="10"/>
      <c r="T76" s="10"/>
      <c r="U76" s="10"/>
      <c r="V76" s="10"/>
      <c r="W76" s="10"/>
      <c r="X76" s="10"/>
      <c r="Y76" s="10"/>
      <c r="Z76" s="10"/>
    </row>
    <row r="77" spans="1:26" ht="12.75" customHeight="1" x14ac:dyDescent="0.2">
      <c r="A77" s="10"/>
      <c r="B77" s="63"/>
      <c r="C77" s="64"/>
      <c r="D77" s="64"/>
      <c r="E77" s="64"/>
      <c r="F77" s="64"/>
      <c r="G77" s="64"/>
      <c r="H77" s="64"/>
      <c r="I77" s="64"/>
      <c r="J77" s="64"/>
      <c r="K77" s="65"/>
      <c r="L77" s="65"/>
      <c r="M77" s="66"/>
      <c r="N77" s="10"/>
      <c r="O77" s="10"/>
      <c r="P77" s="10"/>
      <c r="Q77" s="10"/>
      <c r="R77" s="10"/>
      <c r="S77" s="10"/>
      <c r="T77" s="10"/>
      <c r="U77" s="10"/>
      <c r="V77" s="10"/>
      <c r="W77" s="10"/>
      <c r="X77" s="10"/>
      <c r="Y77" s="10"/>
      <c r="Z77" s="10"/>
    </row>
    <row r="78" spans="1:26" ht="12.7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2.75"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2.75"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2.75"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2.75" customHeight="1" x14ac:dyDescent="0.2">
      <c r="A82" s="10"/>
      <c r="B82" s="12" t="s">
        <v>137</v>
      </c>
      <c r="C82" s="13"/>
      <c r="D82" s="10"/>
      <c r="E82" s="10"/>
      <c r="F82" s="10"/>
      <c r="G82" s="10"/>
      <c r="H82" s="10"/>
      <c r="I82" s="10"/>
      <c r="J82" s="10"/>
      <c r="K82" s="10"/>
      <c r="L82" s="10"/>
      <c r="M82" s="10"/>
      <c r="N82" s="10"/>
      <c r="O82" s="10"/>
      <c r="P82" s="10"/>
      <c r="Q82" s="10"/>
      <c r="R82" s="10"/>
      <c r="S82" s="10"/>
      <c r="T82" s="10"/>
      <c r="U82" s="10"/>
      <c r="V82" s="10"/>
      <c r="W82" s="10"/>
      <c r="X82" s="10"/>
      <c r="Y82" s="10"/>
      <c r="Z82" s="10"/>
    </row>
    <row r="83" spans="1:26" ht="12.75"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2.75"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2.75" customHeight="1" x14ac:dyDescent="0.25">
      <c r="A85" s="10"/>
      <c r="B85" s="14" t="s">
        <v>69</v>
      </c>
      <c r="C85" s="15" t="s">
        <v>70</v>
      </c>
      <c r="D85" s="15" t="s">
        <v>71</v>
      </c>
      <c r="E85" s="15" t="s">
        <v>72</v>
      </c>
      <c r="F85" s="15" t="s">
        <v>73</v>
      </c>
      <c r="G85" s="15" t="s">
        <v>73</v>
      </c>
      <c r="H85" s="15" t="s">
        <v>74</v>
      </c>
      <c r="I85" s="15" t="s">
        <v>75</v>
      </c>
      <c r="J85" s="16" t="s">
        <v>76</v>
      </c>
      <c r="K85" s="15" t="s">
        <v>138</v>
      </c>
      <c r="L85" s="15" t="s">
        <v>139</v>
      </c>
      <c r="M85" s="17" t="s">
        <v>140</v>
      </c>
      <c r="N85" s="10"/>
      <c r="O85" s="10"/>
      <c r="P85" s="10"/>
      <c r="Q85" s="10"/>
      <c r="R85" s="10"/>
      <c r="S85" s="10"/>
      <c r="T85" s="10"/>
      <c r="U85" s="10"/>
      <c r="V85" s="10"/>
      <c r="W85" s="10"/>
      <c r="X85" s="10"/>
      <c r="Y85" s="10"/>
      <c r="Z85" s="10"/>
    </row>
    <row r="86" spans="1:26" ht="12.75" customHeight="1" x14ac:dyDescent="0.2">
      <c r="A86" s="10"/>
      <c r="B86" s="18"/>
      <c r="C86" s="19"/>
      <c r="D86" s="19"/>
      <c r="E86" s="19"/>
      <c r="F86" s="19"/>
      <c r="G86" s="19" t="s">
        <v>80</v>
      </c>
      <c r="H86" s="19" t="s">
        <v>81</v>
      </c>
      <c r="I86" s="19" t="s">
        <v>82</v>
      </c>
      <c r="J86" s="19" t="s">
        <v>83</v>
      </c>
      <c r="K86" s="19" t="s">
        <v>84</v>
      </c>
      <c r="L86" s="19" t="s">
        <v>84</v>
      </c>
      <c r="M86" s="20" t="s">
        <v>84</v>
      </c>
      <c r="N86" s="10"/>
      <c r="O86" s="10"/>
      <c r="P86" s="10"/>
      <c r="Q86" s="10"/>
      <c r="R86" s="10"/>
      <c r="S86" s="10"/>
      <c r="T86" s="10"/>
      <c r="U86" s="10"/>
      <c r="V86" s="10"/>
      <c r="W86" s="10"/>
      <c r="X86" s="10"/>
      <c r="Y86" s="10"/>
      <c r="Z86" s="10"/>
    </row>
    <row r="87" spans="1:26" ht="12.75" customHeight="1" x14ac:dyDescent="0.2">
      <c r="A87" s="10"/>
      <c r="B87" s="21"/>
      <c r="C87" s="22"/>
      <c r="D87" s="22"/>
      <c r="E87" s="22"/>
      <c r="F87" s="22"/>
      <c r="G87" s="22"/>
      <c r="H87" s="22"/>
      <c r="I87" s="22"/>
      <c r="J87" s="22"/>
      <c r="K87" s="23"/>
      <c r="L87" s="22"/>
      <c r="M87" s="24"/>
      <c r="N87" s="10"/>
      <c r="O87" s="10"/>
      <c r="P87" s="10"/>
      <c r="Q87" s="10"/>
      <c r="R87" s="10"/>
      <c r="S87" s="10"/>
      <c r="T87" s="10"/>
      <c r="U87" s="10"/>
      <c r="V87" s="10"/>
      <c r="W87" s="10"/>
      <c r="X87" s="10"/>
      <c r="Y87" s="10"/>
      <c r="Z87" s="10"/>
    </row>
    <row r="88" spans="1:26" ht="12.75" customHeight="1" x14ac:dyDescent="0.2">
      <c r="A88" s="10"/>
      <c r="B88" s="25" t="s">
        <v>85</v>
      </c>
      <c r="C88" s="26" t="s">
        <v>86</v>
      </c>
      <c r="D88" s="27"/>
      <c r="E88" s="27"/>
      <c r="F88" s="28"/>
      <c r="G88" s="27"/>
      <c r="H88" s="27"/>
      <c r="I88" s="27"/>
      <c r="J88" s="27"/>
      <c r="K88" s="30"/>
      <c r="L88" s="27"/>
      <c r="M88" s="31"/>
      <c r="N88" s="10"/>
      <c r="O88" s="10"/>
      <c r="P88" s="10"/>
      <c r="Q88" s="10"/>
      <c r="R88" s="10"/>
      <c r="S88" s="10"/>
      <c r="T88" s="10"/>
      <c r="U88" s="10"/>
      <c r="V88" s="10"/>
      <c r="W88" s="10"/>
      <c r="X88" s="10"/>
      <c r="Y88" s="10"/>
      <c r="Z88" s="10"/>
    </row>
    <row r="89" spans="1:26" ht="12.75" customHeight="1" x14ac:dyDescent="0.2">
      <c r="A89" s="10"/>
      <c r="B89" s="21"/>
      <c r="C89" s="22" t="s">
        <v>87</v>
      </c>
      <c r="D89" s="22" t="s">
        <v>88</v>
      </c>
      <c r="E89" s="22" t="s">
        <v>141</v>
      </c>
      <c r="F89" s="23">
        <v>201860</v>
      </c>
      <c r="G89" s="22" t="s">
        <v>142</v>
      </c>
      <c r="H89" s="36">
        <v>140000</v>
      </c>
      <c r="I89" s="22" t="s">
        <v>143</v>
      </c>
      <c r="J89" s="67">
        <v>28260.400000000001</v>
      </c>
      <c r="K89" s="68">
        <v>2892.9619240224147</v>
      </c>
      <c r="L89" s="69">
        <v>0.34218177411982142</v>
      </c>
      <c r="M89" s="69">
        <v>4.9790140275739629E-2</v>
      </c>
      <c r="N89" s="10"/>
      <c r="O89" s="10"/>
      <c r="P89" s="10"/>
      <c r="Q89" s="10"/>
      <c r="R89" s="10"/>
      <c r="S89" s="10"/>
      <c r="T89" s="10"/>
      <c r="U89" s="10"/>
      <c r="V89" s="10"/>
      <c r="W89" s="10"/>
      <c r="X89" s="10"/>
      <c r="Y89" s="10"/>
      <c r="Z89" s="10"/>
    </row>
    <row r="90" spans="1:26" ht="12.75" customHeight="1" x14ac:dyDescent="0.2">
      <c r="A90" s="10"/>
      <c r="B90" s="21"/>
      <c r="C90" s="22"/>
      <c r="D90" s="22"/>
      <c r="E90" s="22"/>
      <c r="F90" s="23"/>
      <c r="G90" s="22"/>
      <c r="H90" s="36"/>
      <c r="I90" s="22"/>
      <c r="J90" s="22"/>
      <c r="K90" s="68"/>
      <c r="L90" s="69"/>
      <c r="M90" s="70"/>
      <c r="N90" s="10"/>
      <c r="O90" s="10"/>
      <c r="P90" s="10"/>
      <c r="Q90" s="10"/>
      <c r="R90" s="10"/>
      <c r="S90" s="10"/>
      <c r="T90" s="10"/>
      <c r="U90" s="10"/>
      <c r="V90" s="10"/>
      <c r="W90" s="10"/>
      <c r="X90" s="10"/>
      <c r="Y90" s="10"/>
      <c r="Z90" s="10"/>
    </row>
    <row r="91" spans="1:26" ht="12.75" customHeight="1" x14ac:dyDescent="0.2">
      <c r="A91" s="10"/>
      <c r="B91" s="21"/>
      <c r="C91" s="22" t="s">
        <v>144</v>
      </c>
      <c r="D91" s="22" t="s">
        <v>145</v>
      </c>
      <c r="E91" s="22" t="s">
        <v>141</v>
      </c>
      <c r="F91" s="23">
        <v>620</v>
      </c>
      <c r="G91" s="22" t="s">
        <v>142</v>
      </c>
      <c r="H91" s="36">
        <v>140000</v>
      </c>
      <c r="I91" s="22" t="s">
        <v>143</v>
      </c>
      <c r="J91" s="71">
        <v>86.8</v>
      </c>
      <c r="K91" s="72">
        <v>6.98</v>
      </c>
      <c r="L91" s="73">
        <v>0</v>
      </c>
      <c r="M91" s="74">
        <v>0</v>
      </c>
      <c r="N91" s="10"/>
      <c r="O91" s="10"/>
      <c r="P91" s="10"/>
      <c r="Q91" s="10"/>
      <c r="R91" s="10"/>
      <c r="S91" s="10"/>
      <c r="T91" s="10"/>
      <c r="U91" s="10"/>
      <c r="V91" s="10"/>
      <c r="W91" s="10"/>
      <c r="X91" s="10"/>
      <c r="Y91" s="10"/>
      <c r="Z91" s="10"/>
    </row>
    <row r="92" spans="1:26" ht="12.75" customHeight="1" x14ac:dyDescent="0.2">
      <c r="A92" s="10"/>
      <c r="B92" s="38"/>
      <c r="C92" s="39"/>
      <c r="D92" s="39"/>
      <c r="E92" s="39"/>
      <c r="F92" s="75"/>
      <c r="G92" s="39"/>
      <c r="H92" s="76"/>
      <c r="I92" s="39"/>
      <c r="J92" s="77"/>
      <c r="K92" s="78"/>
      <c r="L92" s="79"/>
      <c r="M92" s="80"/>
      <c r="N92" s="10"/>
      <c r="O92" s="10"/>
      <c r="P92" s="10"/>
      <c r="Q92" s="10"/>
      <c r="R92" s="10"/>
      <c r="S92" s="10"/>
      <c r="T92" s="10"/>
      <c r="U92" s="10"/>
      <c r="V92" s="10"/>
      <c r="W92" s="10"/>
      <c r="X92" s="10"/>
      <c r="Y92" s="10"/>
      <c r="Z92" s="10"/>
    </row>
    <row r="93" spans="1:26" ht="12.75" customHeight="1" x14ac:dyDescent="0.2">
      <c r="A93" s="10"/>
      <c r="B93" s="21"/>
      <c r="C93" s="22"/>
      <c r="D93" s="22"/>
      <c r="E93" s="22"/>
      <c r="F93" s="36"/>
      <c r="G93" s="22"/>
      <c r="H93" s="36"/>
      <c r="I93" s="22"/>
      <c r="J93" s="36"/>
      <c r="K93" s="36"/>
      <c r="L93" s="81"/>
      <c r="M93" s="24"/>
      <c r="N93" s="10"/>
      <c r="O93" s="10"/>
      <c r="P93" s="10"/>
      <c r="Q93" s="10"/>
      <c r="R93" s="10"/>
      <c r="S93" s="10"/>
      <c r="T93" s="10"/>
      <c r="U93" s="10"/>
      <c r="V93" s="10"/>
      <c r="W93" s="10"/>
      <c r="X93" s="10"/>
      <c r="Y93" s="10"/>
      <c r="Z93" s="10"/>
    </row>
    <row r="94" spans="1:26" ht="12.75" customHeight="1" x14ac:dyDescent="0.2">
      <c r="A94" s="10"/>
      <c r="B94" s="21" t="s">
        <v>92</v>
      </c>
      <c r="C94" s="45" t="s">
        <v>93</v>
      </c>
      <c r="D94" s="22"/>
      <c r="E94" s="22"/>
      <c r="F94" s="36"/>
      <c r="G94" s="22"/>
      <c r="H94" s="36"/>
      <c r="I94" s="22"/>
      <c r="J94" s="22"/>
      <c r="K94" s="36"/>
      <c r="L94" s="81"/>
      <c r="M94" s="24"/>
      <c r="N94" s="10"/>
      <c r="O94" s="10"/>
      <c r="P94" s="10"/>
      <c r="Q94" s="10"/>
      <c r="R94" s="10"/>
      <c r="S94" s="10"/>
      <c r="T94" s="10"/>
      <c r="U94" s="10"/>
      <c r="V94" s="10"/>
      <c r="W94" s="10"/>
      <c r="X94" s="10"/>
      <c r="Y94" s="10"/>
      <c r="Z94" s="10"/>
    </row>
    <row r="95" spans="1:26" ht="12.75" customHeight="1" x14ac:dyDescent="0.2">
      <c r="A95" s="10"/>
      <c r="B95" s="21"/>
      <c r="C95" s="45"/>
      <c r="D95" s="22"/>
      <c r="E95" s="22"/>
      <c r="F95" s="36"/>
      <c r="G95" s="22"/>
      <c r="H95" s="36"/>
      <c r="I95" s="22"/>
      <c r="J95" s="22"/>
      <c r="K95" s="82"/>
      <c r="L95" s="81"/>
      <c r="M95" s="24"/>
      <c r="N95" s="10"/>
      <c r="O95" s="10"/>
      <c r="P95" s="10"/>
      <c r="Q95" s="10"/>
      <c r="R95" s="10"/>
      <c r="S95" s="10"/>
      <c r="T95" s="10"/>
      <c r="U95" s="10"/>
      <c r="V95" s="10"/>
      <c r="W95" s="10"/>
      <c r="X95" s="10"/>
      <c r="Y95" s="10"/>
      <c r="Z95" s="10"/>
    </row>
    <row r="96" spans="1:26" ht="12.75" customHeight="1" x14ac:dyDescent="0.2">
      <c r="A96" s="10"/>
      <c r="B96" s="21"/>
      <c r="C96" s="22" t="s">
        <v>94</v>
      </c>
      <c r="D96" s="32" t="s">
        <v>95</v>
      </c>
      <c r="E96" s="22" t="s">
        <v>146</v>
      </c>
      <c r="F96" s="23">
        <v>973350</v>
      </c>
      <c r="G96" s="22" t="s">
        <v>142</v>
      </c>
      <c r="H96" s="83">
        <v>0.13700000000000001</v>
      </c>
      <c r="I96" s="22" t="s">
        <v>147</v>
      </c>
      <c r="J96" s="84">
        <v>133348.95000000001</v>
      </c>
      <c r="K96" s="68">
        <v>14035.041117413279</v>
      </c>
      <c r="L96" s="85">
        <v>0.44</v>
      </c>
      <c r="M96" s="86">
        <v>8.7999999999999995E-2</v>
      </c>
      <c r="N96" s="10"/>
      <c r="O96" s="10"/>
      <c r="P96" s="10"/>
      <c r="Q96" s="10"/>
      <c r="R96" s="10"/>
      <c r="S96" s="10"/>
      <c r="T96" s="10"/>
      <c r="U96" s="10"/>
      <c r="V96" s="10"/>
      <c r="W96" s="10"/>
      <c r="X96" s="10"/>
      <c r="Y96" s="10"/>
      <c r="Z96" s="10"/>
    </row>
    <row r="97" spans="1:26" ht="12.75" customHeight="1" x14ac:dyDescent="0.2">
      <c r="A97" s="10"/>
      <c r="B97" s="21"/>
      <c r="C97" s="22"/>
      <c r="D97" s="32"/>
      <c r="E97" s="22"/>
      <c r="F97" s="36"/>
      <c r="G97" s="22"/>
      <c r="H97" s="36"/>
      <c r="I97" s="22"/>
      <c r="J97" s="68"/>
      <c r="K97" s="87"/>
      <c r="L97" s="72"/>
      <c r="M97" s="86"/>
      <c r="N97" s="10"/>
      <c r="O97" s="10"/>
      <c r="P97" s="10"/>
      <c r="Q97" s="10"/>
      <c r="R97" s="10"/>
      <c r="S97" s="10"/>
      <c r="T97" s="10"/>
      <c r="U97" s="10"/>
      <c r="V97" s="10"/>
      <c r="W97" s="10"/>
      <c r="X97" s="10"/>
      <c r="Y97" s="10"/>
      <c r="Z97" s="10"/>
    </row>
    <row r="98" spans="1:26" ht="12.75" customHeight="1" x14ac:dyDescent="0.2">
      <c r="A98" s="10"/>
      <c r="B98" s="21"/>
      <c r="C98" s="22" t="s">
        <v>98</v>
      </c>
      <c r="D98" s="32" t="s">
        <v>99</v>
      </c>
      <c r="E98" s="22" t="s">
        <v>146</v>
      </c>
      <c r="F98" s="23">
        <v>1295070</v>
      </c>
      <c r="G98" s="22" t="s">
        <v>142</v>
      </c>
      <c r="H98" s="82">
        <v>0.13700000000000001</v>
      </c>
      <c r="I98" s="22" t="s">
        <v>147</v>
      </c>
      <c r="J98" s="84">
        <v>177424.59000000003</v>
      </c>
      <c r="K98" s="68">
        <v>19199.366700235161</v>
      </c>
      <c r="L98" s="84">
        <v>0.58599999999999997</v>
      </c>
      <c r="M98" s="86">
        <v>0.11700000000000001</v>
      </c>
      <c r="N98" s="10"/>
      <c r="O98" s="10"/>
      <c r="P98" s="10"/>
      <c r="Q98" s="10"/>
      <c r="R98" s="10"/>
      <c r="S98" s="10"/>
      <c r="T98" s="10"/>
      <c r="U98" s="10"/>
      <c r="V98" s="10"/>
      <c r="W98" s="10"/>
      <c r="X98" s="10"/>
      <c r="Y98" s="10"/>
      <c r="Z98" s="10"/>
    </row>
    <row r="99" spans="1:26" ht="12.75" customHeight="1" x14ac:dyDescent="0.2">
      <c r="A99" s="10"/>
      <c r="B99" s="21"/>
      <c r="C99" s="22"/>
      <c r="D99" s="32"/>
      <c r="E99" s="22"/>
      <c r="F99" s="36"/>
      <c r="G99" s="22"/>
      <c r="H99" s="36"/>
      <c r="I99" s="22"/>
      <c r="J99" s="22"/>
      <c r="K99" s="36"/>
      <c r="L99" s="81"/>
      <c r="M99" s="24"/>
      <c r="N99" s="10"/>
      <c r="O99" s="10"/>
      <c r="P99" s="10"/>
      <c r="Q99" s="10"/>
      <c r="R99" s="10"/>
      <c r="S99" s="10"/>
      <c r="T99" s="10"/>
      <c r="U99" s="10"/>
      <c r="V99" s="10"/>
      <c r="W99" s="10"/>
      <c r="X99" s="10"/>
      <c r="Y99" s="10"/>
      <c r="Z99" s="10"/>
    </row>
    <row r="100" spans="1:26" ht="12.75" customHeight="1" x14ac:dyDescent="0.2">
      <c r="A100" s="10"/>
      <c r="B100" s="25"/>
      <c r="C100" s="27"/>
      <c r="D100" s="47"/>
      <c r="E100" s="27"/>
      <c r="F100" s="28"/>
      <c r="G100" s="27"/>
      <c r="H100" s="28"/>
      <c r="I100" s="27"/>
      <c r="J100" s="27"/>
      <c r="K100" s="28"/>
      <c r="L100" s="88"/>
      <c r="M100" s="31"/>
      <c r="N100" s="10"/>
      <c r="O100" s="10"/>
      <c r="P100" s="10"/>
      <c r="Q100" s="10"/>
      <c r="R100" s="10"/>
      <c r="S100" s="10"/>
      <c r="T100" s="10"/>
      <c r="U100" s="10"/>
      <c r="V100" s="10"/>
      <c r="W100" s="10"/>
      <c r="X100" s="10"/>
      <c r="Y100" s="10"/>
      <c r="Z100" s="10"/>
    </row>
    <row r="101" spans="1:26" ht="12.75" customHeight="1" x14ac:dyDescent="0.2">
      <c r="A101" s="10"/>
      <c r="B101" s="21" t="s">
        <v>100</v>
      </c>
      <c r="C101" s="45" t="s">
        <v>101</v>
      </c>
      <c r="D101" s="32"/>
      <c r="E101" s="22"/>
      <c r="F101" s="36"/>
      <c r="G101" s="22"/>
      <c r="H101" s="36"/>
      <c r="I101" s="22"/>
      <c r="J101" s="22"/>
      <c r="K101" s="36"/>
      <c r="L101" s="81"/>
      <c r="M101" s="24"/>
      <c r="N101" s="10"/>
      <c r="O101" s="10"/>
      <c r="P101" s="10"/>
      <c r="Q101" s="10"/>
      <c r="R101" s="10"/>
      <c r="S101" s="10"/>
      <c r="T101" s="10"/>
      <c r="U101" s="10"/>
      <c r="V101" s="10"/>
      <c r="W101" s="10"/>
      <c r="X101" s="10"/>
      <c r="Y101" s="10"/>
      <c r="Z101" s="10"/>
    </row>
    <row r="102" spans="1:26" ht="12.75" customHeight="1" x14ac:dyDescent="0.2">
      <c r="A102" s="10"/>
      <c r="B102" s="21"/>
      <c r="C102" s="22" t="s">
        <v>148</v>
      </c>
      <c r="D102" s="32" t="s">
        <v>149</v>
      </c>
      <c r="E102" s="22" t="s">
        <v>146</v>
      </c>
      <c r="F102" s="23">
        <v>137930</v>
      </c>
      <c r="G102" s="22" t="s">
        <v>142</v>
      </c>
      <c r="H102" s="36">
        <v>139</v>
      </c>
      <c r="I102" s="22" t="s">
        <v>150</v>
      </c>
      <c r="J102" s="68">
        <v>19172.27</v>
      </c>
      <c r="K102" s="87">
        <v>1403</v>
      </c>
      <c r="L102" s="89">
        <v>6.4000000000000001E-2</v>
      </c>
      <c r="M102" s="90">
        <v>1.2999999999999999E-2</v>
      </c>
      <c r="N102" s="10"/>
      <c r="O102" s="10"/>
      <c r="P102" s="10"/>
      <c r="Q102" s="10"/>
      <c r="R102" s="10"/>
      <c r="S102" s="10"/>
      <c r="T102" s="10"/>
      <c r="U102" s="10"/>
      <c r="V102" s="10"/>
      <c r="W102" s="10"/>
      <c r="X102" s="10"/>
      <c r="Y102" s="10"/>
      <c r="Z102" s="10"/>
    </row>
    <row r="103" spans="1:26" ht="12.75" customHeight="1" x14ac:dyDescent="0.2">
      <c r="A103" s="10"/>
      <c r="B103" s="21"/>
      <c r="C103" s="22"/>
      <c r="D103" s="32"/>
      <c r="E103" s="22"/>
      <c r="F103" s="36"/>
      <c r="G103" s="22"/>
      <c r="H103" s="36"/>
      <c r="I103" s="22"/>
      <c r="J103" s="36"/>
      <c r="K103" s="22"/>
      <c r="L103" s="82"/>
      <c r="M103" s="91"/>
      <c r="N103" s="10"/>
      <c r="O103" s="10"/>
      <c r="P103" s="10"/>
      <c r="Q103" s="10"/>
      <c r="R103" s="10"/>
      <c r="S103" s="10"/>
      <c r="T103" s="10"/>
      <c r="U103" s="10"/>
      <c r="V103" s="10"/>
      <c r="W103" s="10"/>
      <c r="X103" s="10"/>
      <c r="Y103" s="10"/>
      <c r="Z103" s="10"/>
    </row>
    <row r="104" spans="1:26" ht="12.75" customHeight="1" x14ac:dyDescent="0.2">
      <c r="A104" s="10"/>
      <c r="B104" s="21"/>
      <c r="C104" s="22" t="s">
        <v>151</v>
      </c>
      <c r="D104" s="32" t="s">
        <v>152</v>
      </c>
      <c r="E104" s="22" t="s">
        <v>146</v>
      </c>
      <c r="F104" s="23">
        <v>100730</v>
      </c>
      <c r="G104" s="22" t="s">
        <v>142</v>
      </c>
      <c r="H104" s="36">
        <v>139</v>
      </c>
      <c r="I104" s="22" t="s">
        <v>150</v>
      </c>
      <c r="J104" s="68">
        <v>14001.47</v>
      </c>
      <c r="K104" s="87">
        <v>1015</v>
      </c>
      <c r="L104" s="92">
        <v>4.5999999999999999E-2</v>
      </c>
      <c r="M104" s="93">
        <v>8.9999999999999993E-3</v>
      </c>
      <c r="N104" s="10"/>
      <c r="O104" s="10"/>
      <c r="P104" s="10"/>
      <c r="Q104" s="10"/>
      <c r="R104" s="10"/>
      <c r="S104" s="10"/>
      <c r="T104" s="10"/>
      <c r="U104" s="10"/>
      <c r="V104" s="10"/>
      <c r="W104" s="10"/>
      <c r="X104" s="10"/>
      <c r="Y104" s="10"/>
      <c r="Z104" s="10"/>
    </row>
    <row r="105" spans="1:26" ht="12.75" customHeight="1" x14ac:dyDescent="0.2">
      <c r="A105" s="10"/>
      <c r="B105" s="21"/>
      <c r="C105" s="22"/>
      <c r="D105" s="32"/>
      <c r="E105" s="22"/>
      <c r="F105" s="23"/>
      <c r="G105" s="22"/>
      <c r="H105" s="36"/>
      <c r="I105" s="22"/>
      <c r="J105" s="36"/>
      <c r="K105" s="22"/>
      <c r="L105" s="22"/>
      <c r="M105" s="91"/>
      <c r="N105" s="10"/>
      <c r="O105" s="10"/>
      <c r="P105" s="10"/>
      <c r="Q105" s="10"/>
      <c r="R105" s="10"/>
      <c r="S105" s="10"/>
      <c r="T105" s="10"/>
      <c r="U105" s="10"/>
      <c r="V105" s="10"/>
      <c r="W105" s="10"/>
      <c r="X105" s="10"/>
      <c r="Y105" s="10"/>
      <c r="Z105" s="10"/>
    </row>
    <row r="106" spans="1:26" ht="12.75" customHeight="1" x14ac:dyDescent="0.2">
      <c r="A106" s="10"/>
      <c r="B106" s="21"/>
      <c r="C106" s="22" t="s">
        <v>153</v>
      </c>
      <c r="D106" s="32" t="s">
        <v>154</v>
      </c>
      <c r="E106" s="22" t="s">
        <v>146</v>
      </c>
      <c r="F106" s="23">
        <v>349138</v>
      </c>
      <c r="G106" s="22" t="s">
        <v>142</v>
      </c>
      <c r="H106" s="36">
        <v>139</v>
      </c>
      <c r="I106" s="22" t="s">
        <v>150</v>
      </c>
      <c r="J106" s="68">
        <v>48530.182000000001</v>
      </c>
      <c r="K106" s="87">
        <v>3517</v>
      </c>
      <c r="L106" s="92">
        <v>0.154</v>
      </c>
      <c r="M106" s="93">
        <v>3.2000000000000001E-2</v>
      </c>
      <c r="N106" s="10"/>
      <c r="O106" s="10"/>
      <c r="P106" s="10"/>
      <c r="Q106" s="10"/>
      <c r="R106" s="10"/>
      <c r="S106" s="10"/>
      <c r="T106" s="10"/>
      <c r="U106" s="10"/>
      <c r="V106" s="10"/>
      <c r="W106" s="10"/>
      <c r="X106" s="10"/>
      <c r="Y106" s="10"/>
      <c r="Z106" s="10"/>
    </row>
    <row r="107" spans="1:26" ht="12.75" customHeight="1" x14ac:dyDescent="0.2">
      <c r="A107" s="10"/>
      <c r="B107" s="21"/>
      <c r="C107" s="22"/>
      <c r="D107" s="22"/>
      <c r="E107" s="22"/>
      <c r="F107" s="36"/>
      <c r="G107" s="22"/>
      <c r="H107" s="36"/>
      <c r="I107" s="22"/>
      <c r="J107" s="36"/>
      <c r="K107" s="36"/>
      <c r="L107" s="81"/>
      <c r="M107" s="24"/>
      <c r="N107" s="10"/>
      <c r="O107" s="10"/>
      <c r="P107" s="10"/>
      <c r="Q107" s="10"/>
      <c r="R107" s="10"/>
      <c r="S107" s="10"/>
      <c r="T107" s="10"/>
      <c r="U107" s="10"/>
      <c r="V107" s="10"/>
      <c r="W107" s="10"/>
      <c r="X107" s="10"/>
      <c r="Y107" s="10"/>
      <c r="Z107" s="10"/>
    </row>
    <row r="108" spans="1:26" ht="12.75" customHeight="1" x14ac:dyDescent="0.2">
      <c r="A108" s="10"/>
      <c r="B108" s="25"/>
      <c r="C108" s="26"/>
      <c r="D108" s="27"/>
      <c r="E108" s="27"/>
      <c r="F108" s="28"/>
      <c r="G108" s="27"/>
      <c r="H108" s="28"/>
      <c r="I108" s="27"/>
      <c r="J108" s="28"/>
      <c r="K108" s="28"/>
      <c r="L108" s="88"/>
      <c r="M108" s="31"/>
      <c r="N108" s="10"/>
      <c r="O108" s="10"/>
      <c r="P108" s="10"/>
      <c r="Q108" s="10"/>
      <c r="R108" s="10"/>
      <c r="S108" s="10"/>
      <c r="T108" s="10"/>
      <c r="U108" s="10"/>
      <c r="V108" s="10"/>
      <c r="W108" s="10"/>
      <c r="X108" s="10"/>
      <c r="Y108" s="10"/>
      <c r="Z108" s="10"/>
    </row>
    <row r="109" spans="1:26" ht="12.75" customHeight="1" x14ac:dyDescent="0.2">
      <c r="A109" s="10"/>
      <c r="B109" s="21" t="s">
        <v>109</v>
      </c>
      <c r="C109" s="45" t="s">
        <v>110</v>
      </c>
      <c r="D109" s="22"/>
      <c r="E109" s="22"/>
      <c r="F109" s="36"/>
      <c r="G109" s="22"/>
      <c r="H109" s="36"/>
      <c r="I109" s="22"/>
      <c r="J109" s="36"/>
      <c r="K109" s="36"/>
      <c r="L109" s="81"/>
      <c r="M109" s="94"/>
      <c r="N109" s="10"/>
      <c r="O109" s="10"/>
      <c r="P109" s="10"/>
      <c r="Q109" s="10"/>
      <c r="R109" s="10"/>
      <c r="S109" s="10"/>
      <c r="T109" s="10"/>
      <c r="U109" s="10"/>
      <c r="V109" s="10"/>
      <c r="W109" s="10"/>
      <c r="X109" s="10"/>
      <c r="Y109" s="10"/>
      <c r="Z109" s="10"/>
    </row>
    <row r="110" spans="1:26" ht="12.75" customHeight="1" x14ac:dyDescent="0.2">
      <c r="A110" s="10"/>
      <c r="B110" s="21"/>
      <c r="C110" s="22" t="s">
        <v>111</v>
      </c>
      <c r="D110" s="32" t="s">
        <v>95</v>
      </c>
      <c r="E110" s="22" t="s">
        <v>155</v>
      </c>
      <c r="F110" s="23">
        <v>308618</v>
      </c>
      <c r="G110" s="22" t="s">
        <v>142</v>
      </c>
      <c r="H110" s="36">
        <v>136269</v>
      </c>
      <c r="I110" s="22" t="s">
        <v>143</v>
      </c>
      <c r="J110" s="36">
        <v>42055.066242000001</v>
      </c>
      <c r="K110" s="36">
        <v>4469.154662128436</v>
      </c>
      <c r="L110" s="81">
        <v>0.13903404899605198</v>
      </c>
      <c r="M110" s="70">
        <v>2.7806809799210398E-2</v>
      </c>
      <c r="N110" s="10"/>
      <c r="O110" s="10"/>
      <c r="P110" s="10"/>
      <c r="Q110" s="10"/>
      <c r="R110" s="10"/>
      <c r="S110" s="10"/>
      <c r="T110" s="10"/>
      <c r="U110" s="10"/>
      <c r="V110" s="10"/>
      <c r="W110" s="10"/>
      <c r="X110" s="10"/>
      <c r="Y110" s="10"/>
      <c r="Z110" s="10"/>
    </row>
    <row r="111" spans="1:26" ht="12.75" customHeight="1" x14ac:dyDescent="0.2">
      <c r="A111" s="10"/>
      <c r="B111" s="21"/>
      <c r="C111" s="22"/>
      <c r="D111" s="22"/>
      <c r="E111" s="22"/>
      <c r="F111" s="36"/>
      <c r="G111" s="22"/>
      <c r="H111" s="36"/>
      <c r="I111" s="22"/>
      <c r="J111" s="68"/>
      <c r="K111" s="87"/>
      <c r="L111" s="92"/>
      <c r="M111" s="70"/>
      <c r="N111" s="10"/>
      <c r="O111" s="10"/>
      <c r="P111" s="10"/>
      <c r="Q111" s="10"/>
      <c r="R111" s="10"/>
      <c r="S111" s="10"/>
      <c r="T111" s="10"/>
      <c r="U111" s="10"/>
      <c r="V111" s="10"/>
      <c r="W111" s="10"/>
      <c r="X111" s="10"/>
      <c r="Y111" s="10"/>
      <c r="Z111" s="10"/>
    </row>
    <row r="112" spans="1:26" ht="12.75" customHeight="1" x14ac:dyDescent="0.2">
      <c r="A112" s="10"/>
      <c r="B112" s="21"/>
      <c r="C112" s="22" t="s">
        <v>113</v>
      </c>
      <c r="D112" s="32" t="s">
        <v>99</v>
      </c>
      <c r="E112" s="22" t="s">
        <v>155</v>
      </c>
      <c r="F112" s="23">
        <v>501774</v>
      </c>
      <c r="G112" s="22" t="s">
        <v>142</v>
      </c>
      <c r="H112" s="36">
        <v>136306</v>
      </c>
      <c r="I112" s="22" t="s">
        <v>143</v>
      </c>
      <c r="J112" s="36">
        <v>68394.806844000006</v>
      </c>
      <c r="K112" s="36">
        <v>7581.1294296492415</v>
      </c>
      <c r="L112" s="81">
        <v>0.22611323142626399</v>
      </c>
      <c r="M112" s="70">
        <v>4.5222646285252799E-2</v>
      </c>
      <c r="N112" s="10"/>
      <c r="O112" s="10"/>
      <c r="P112" s="10"/>
      <c r="Q112" s="10"/>
      <c r="R112" s="10"/>
      <c r="S112" s="10"/>
      <c r="T112" s="10"/>
      <c r="U112" s="10"/>
      <c r="V112" s="10"/>
      <c r="W112" s="10"/>
      <c r="X112" s="10"/>
      <c r="Y112" s="10"/>
      <c r="Z112" s="10"/>
    </row>
    <row r="113" spans="1:26" ht="12.75" customHeight="1" x14ac:dyDescent="0.2">
      <c r="A113" s="10"/>
      <c r="B113" s="21"/>
      <c r="C113" s="22"/>
      <c r="D113" s="32"/>
      <c r="E113" s="22"/>
      <c r="F113" s="36"/>
      <c r="G113" s="22"/>
      <c r="H113" s="36"/>
      <c r="I113" s="22"/>
      <c r="J113" s="36"/>
      <c r="K113" s="36"/>
      <c r="L113" s="81"/>
      <c r="M113" s="70"/>
      <c r="N113" s="10"/>
      <c r="O113" s="10"/>
      <c r="P113" s="10"/>
      <c r="Q113" s="10"/>
      <c r="R113" s="10"/>
      <c r="S113" s="10"/>
      <c r="T113" s="10"/>
      <c r="U113" s="10"/>
      <c r="V113" s="10"/>
      <c r="W113" s="10"/>
      <c r="X113" s="10"/>
      <c r="Y113" s="10"/>
      <c r="Z113" s="10"/>
    </row>
    <row r="114" spans="1:26" ht="12.75" customHeight="1" x14ac:dyDescent="0.2">
      <c r="A114" s="10"/>
      <c r="B114" s="21"/>
      <c r="C114" s="22" t="s">
        <v>114</v>
      </c>
      <c r="D114" s="32" t="s">
        <v>115</v>
      </c>
      <c r="E114" s="22" t="s">
        <v>155</v>
      </c>
      <c r="F114" s="23">
        <v>54180</v>
      </c>
      <c r="G114" s="22" t="s">
        <v>142</v>
      </c>
      <c r="H114" s="36">
        <v>135811</v>
      </c>
      <c r="I114" s="22" t="s">
        <v>143</v>
      </c>
      <c r="J114" s="36">
        <v>7358.2399800000003</v>
      </c>
      <c r="K114" s="36">
        <v>409.75374567234064</v>
      </c>
      <c r="L114" s="81">
        <v>2.4326341373879998E-2</v>
      </c>
      <c r="M114" s="70">
        <v>4.8652682747759995E-3</v>
      </c>
      <c r="N114" s="10"/>
      <c r="O114" s="10"/>
      <c r="P114" s="10"/>
      <c r="Q114" s="10"/>
      <c r="R114" s="10"/>
      <c r="S114" s="10"/>
      <c r="T114" s="10"/>
      <c r="U114" s="10"/>
      <c r="V114" s="10"/>
      <c r="W114" s="10"/>
      <c r="X114" s="10"/>
      <c r="Y114" s="10"/>
      <c r="Z114" s="10"/>
    </row>
    <row r="115" spans="1:26" ht="12.75" customHeight="1" x14ac:dyDescent="0.2">
      <c r="A115" s="10"/>
      <c r="B115" s="21"/>
      <c r="C115" s="22"/>
      <c r="D115" s="32"/>
      <c r="E115" s="22"/>
      <c r="F115" s="36"/>
      <c r="G115" s="22"/>
      <c r="H115" s="36"/>
      <c r="I115" s="22"/>
      <c r="J115" s="36"/>
      <c r="K115" s="36"/>
      <c r="L115" s="81"/>
      <c r="M115" s="70"/>
      <c r="N115" s="10"/>
      <c r="O115" s="10"/>
      <c r="P115" s="10"/>
      <c r="Q115" s="10"/>
      <c r="R115" s="10"/>
      <c r="S115" s="10"/>
      <c r="T115" s="10"/>
      <c r="U115" s="10"/>
      <c r="V115" s="10"/>
      <c r="W115" s="10"/>
      <c r="X115" s="10"/>
      <c r="Y115" s="10"/>
      <c r="Z115" s="10"/>
    </row>
    <row r="116" spans="1:26" ht="12.75" customHeight="1" x14ac:dyDescent="0.2">
      <c r="A116" s="10"/>
      <c r="B116" s="21"/>
      <c r="C116" s="22" t="s">
        <v>116</v>
      </c>
      <c r="D116" s="32" t="s">
        <v>117</v>
      </c>
      <c r="E116" s="22" t="s">
        <v>155</v>
      </c>
      <c r="F116" s="23">
        <v>70660</v>
      </c>
      <c r="G116" s="22" t="s">
        <v>142</v>
      </c>
      <c r="H116" s="36">
        <v>135444</v>
      </c>
      <c r="I116" s="22" t="s">
        <v>143</v>
      </c>
      <c r="J116" s="36">
        <v>9570.4730400000008</v>
      </c>
      <c r="K116" s="36">
        <v>571.3659539403659</v>
      </c>
      <c r="L116" s="81">
        <v>3.1639983870240002E-2</v>
      </c>
      <c r="M116" s="70">
        <v>6.327996774048E-3</v>
      </c>
      <c r="N116" s="10"/>
      <c r="O116" s="10"/>
      <c r="P116" s="10"/>
      <c r="Q116" s="10"/>
      <c r="R116" s="10"/>
      <c r="S116" s="10"/>
      <c r="T116" s="10"/>
      <c r="U116" s="10"/>
      <c r="V116" s="10"/>
      <c r="W116" s="10"/>
      <c r="X116" s="10"/>
      <c r="Y116" s="10"/>
      <c r="Z116" s="10"/>
    </row>
    <row r="117" spans="1:26" ht="12.75" customHeight="1" x14ac:dyDescent="0.2">
      <c r="A117" s="10"/>
      <c r="B117" s="21"/>
      <c r="C117" s="22"/>
      <c r="D117" s="32"/>
      <c r="E117" s="22"/>
      <c r="F117" s="36"/>
      <c r="G117" s="22"/>
      <c r="H117" s="36"/>
      <c r="I117" s="22"/>
      <c r="J117" s="68"/>
      <c r="K117" s="36"/>
      <c r="L117" s="81"/>
      <c r="M117" s="70"/>
      <c r="N117" s="10"/>
      <c r="O117" s="10"/>
      <c r="P117" s="10"/>
      <c r="Q117" s="10"/>
      <c r="R117" s="10"/>
      <c r="S117" s="10"/>
      <c r="T117" s="10"/>
      <c r="U117" s="10"/>
      <c r="V117" s="10"/>
      <c r="W117" s="10"/>
      <c r="X117" s="10"/>
      <c r="Y117" s="10"/>
      <c r="Z117" s="10"/>
    </row>
    <row r="118" spans="1:26" ht="12.75" customHeight="1" x14ac:dyDescent="0.2">
      <c r="A118" s="10"/>
      <c r="B118" s="21"/>
      <c r="C118" s="22" t="s">
        <v>156</v>
      </c>
      <c r="D118" s="95" t="s">
        <v>157</v>
      </c>
      <c r="E118" s="22" t="s">
        <v>155</v>
      </c>
      <c r="F118" s="23">
        <v>202020</v>
      </c>
      <c r="G118" s="22" t="s">
        <v>142</v>
      </c>
      <c r="H118" s="36">
        <v>136306</v>
      </c>
      <c r="I118" s="22" t="s">
        <v>143</v>
      </c>
      <c r="J118" s="68">
        <v>27536.538120000001</v>
      </c>
      <c r="K118" s="87">
        <v>2244.9699999999998</v>
      </c>
      <c r="L118" s="96">
        <v>9.1035795024720007E-2</v>
      </c>
      <c r="M118" s="74">
        <v>1.8207159004943997E-2</v>
      </c>
      <c r="N118" s="10"/>
      <c r="O118" s="10"/>
      <c r="P118" s="10"/>
      <c r="Q118" s="10"/>
      <c r="R118" s="10"/>
      <c r="S118" s="10"/>
      <c r="T118" s="10"/>
      <c r="U118" s="10"/>
      <c r="V118" s="10"/>
      <c r="W118" s="10"/>
      <c r="X118" s="10"/>
      <c r="Y118" s="10"/>
      <c r="Z118" s="10"/>
    </row>
    <row r="119" spans="1:26" ht="12.75" customHeight="1" x14ac:dyDescent="0.2">
      <c r="A119" s="10"/>
      <c r="B119" s="21"/>
      <c r="C119" s="22"/>
      <c r="D119" s="32"/>
      <c r="E119" s="22"/>
      <c r="F119" s="36"/>
      <c r="G119" s="22"/>
      <c r="H119" s="36"/>
      <c r="I119" s="22"/>
      <c r="J119" s="36"/>
      <c r="K119" s="36"/>
      <c r="L119" s="81"/>
      <c r="M119" s="70"/>
      <c r="N119" s="10"/>
      <c r="O119" s="10"/>
      <c r="P119" s="10"/>
      <c r="Q119" s="10"/>
      <c r="R119" s="10"/>
      <c r="S119" s="10"/>
      <c r="T119" s="10"/>
      <c r="U119" s="10"/>
      <c r="V119" s="10"/>
      <c r="W119" s="10"/>
      <c r="X119" s="10"/>
      <c r="Y119" s="10"/>
      <c r="Z119" s="10"/>
    </row>
    <row r="120" spans="1:26" ht="12.75" customHeight="1" x14ac:dyDescent="0.2">
      <c r="A120" s="10"/>
      <c r="B120" s="21"/>
      <c r="C120" s="22" t="s">
        <v>158</v>
      </c>
      <c r="D120" s="32" t="s">
        <v>159</v>
      </c>
      <c r="E120" s="22" t="s">
        <v>155</v>
      </c>
      <c r="F120" s="23">
        <v>227840</v>
      </c>
      <c r="G120" s="22" t="s">
        <v>142</v>
      </c>
      <c r="H120" s="36">
        <v>136306</v>
      </c>
      <c r="I120" s="22" t="s">
        <v>143</v>
      </c>
      <c r="J120" s="68">
        <v>10527</v>
      </c>
      <c r="K120" s="87">
        <v>2467.3000000000002</v>
      </c>
      <c r="L120" s="96">
        <v>3.4802261999999994E-2</v>
      </c>
      <c r="M120" s="74">
        <v>6.9604523999999991E-3</v>
      </c>
      <c r="N120" s="10"/>
      <c r="O120" s="10"/>
      <c r="P120" s="10"/>
      <c r="Q120" s="10"/>
      <c r="R120" s="10"/>
      <c r="S120" s="10"/>
      <c r="T120" s="10"/>
      <c r="U120" s="10"/>
      <c r="V120" s="10"/>
      <c r="W120" s="10"/>
      <c r="X120" s="10"/>
      <c r="Y120" s="10"/>
      <c r="Z120" s="10"/>
    </row>
    <row r="121" spans="1:26" ht="12.75" customHeight="1" x14ac:dyDescent="0.2">
      <c r="A121" s="10"/>
      <c r="B121" s="21"/>
      <c r="C121" s="22"/>
      <c r="D121" s="32"/>
      <c r="E121" s="22"/>
      <c r="F121" s="36"/>
      <c r="G121" s="22"/>
      <c r="H121" s="36"/>
      <c r="I121" s="22"/>
      <c r="J121" s="36"/>
      <c r="K121" s="36"/>
      <c r="L121" s="81"/>
      <c r="M121" s="70"/>
      <c r="N121" s="10"/>
      <c r="O121" s="10"/>
      <c r="P121" s="10"/>
      <c r="Q121" s="10"/>
      <c r="R121" s="10"/>
      <c r="S121" s="10"/>
      <c r="T121" s="10"/>
      <c r="U121" s="10"/>
      <c r="V121" s="10"/>
      <c r="W121" s="10"/>
      <c r="X121" s="10"/>
      <c r="Y121" s="10"/>
      <c r="Z121" s="10"/>
    </row>
    <row r="122" spans="1:26" ht="12.75" customHeight="1" x14ac:dyDescent="0.2">
      <c r="A122" s="10"/>
      <c r="B122" s="21"/>
      <c r="C122" s="22" t="s">
        <v>160</v>
      </c>
      <c r="D122" s="95" t="s">
        <v>161</v>
      </c>
      <c r="E122" s="22" t="s">
        <v>155</v>
      </c>
      <c r="F122" s="23">
        <v>901320</v>
      </c>
      <c r="G122" s="22" t="s">
        <v>142</v>
      </c>
      <c r="H122" s="36">
        <v>136306</v>
      </c>
      <c r="I122" s="22" t="s">
        <v>143</v>
      </c>
      <c r="J122" s="36">
        <v>122855.32392</v>
      </c>
      <c r="K122" s="68">
        <v>9966.4848386597823</v>
      </c>
      <c r="L122" s="81">
        <v>0.40615970087951991</v>
      </c>
      <c r="M122" s="70">
        <v>8.1231940175903974E-2</v>
      </c>
      <c r="N122" s="10"/>
      <c r="O122" s="10"/>
      <c r="P122" s="10"/>
      <c r="Q122" s="10"/>
      <c r="R122" s="10"/>
      <c r="S122" s="10"/>
      <c r="T122" s="10"/>
      <c r="U122" s="10"/>
      <c r="V122" s="10"/>
      <c r="W122" s="10"/>
      <c r="X122" s="10"/>
      <c r="Y122" s="10"/>
      <c r="Z122" s="10"/>
    </row>
    <row r="123" spans="1:26" ht="12.75" customHeight="1" x14ac:dyDescent="0.2">
      <c r="A123" s="10"/>
      <c r="B123" s="21"/>
      <c r="C123" s="22"/>
      <c r="D123" s="32"/>
      <c r="E123" s="22"/>
      <c r="F123" s="36"/>
      <c r="G123" s="22"/>
      <c r="H123" s="36"/>
      <c r="I123" s="22"/>
      <c r="J123" s="68"/>
      <c r="K123" s="68"/>
      <c r="L123" s="72"/>
      <c r="M123" s="70"/>
      <c r="N123" s="10"/>
      <c r="O123" s="10"/>
      <c r="P123" s="10"/>
      <c r="Q123" s="10"/>
      <c r="R123" s="10"/>
      <c r="S123" s="10"/>
      <c r="T123" s="10"/>
      <c r="U123" s="10"/>
      <c r="V123" s="10"/>
      <c r="W123" s="10"/>
      <c r="X123" s="10"/>
      <c r="Y123" s="10"/>
      <c r="Z123" s="10"/>
    </row>
    <row r="124" spans="1:26" ht="12.75" customHeight="1" x14ac:dyDescent="0.2">
      <c r="A124" s="10"/>
      <c r="B124" s="21"/>
      <c r="C124" s="22" t="s">
        <v>162</v>
      </c>
      <c r="D124" s="95" t="s">
        <v>163</v>
      </c>
      <c r="E124" s="22" t="s">
        <v>155</v>
      </c>
      <c r="F124" s="23">
        <v>204227</v>
      </c>
      <c r="G124" s="22" t="s">
        <v>142</v>
      </c>
      <c r="H124" s="36">
        <v>136306</v>
      </c>
      <c r="I124" s="22" t="s">
        <v>143</v>
      </c>
      <c r="J124" s="36">
        <v>27837.365462000002</v>
      </c>
      <c r="K124" s="68">
        <v>1933.0026849959586</v>
      </c>
      <c r="L124" s="81">
        <v>9.2030330217372003E-2</v>
      </c>
      <c r="M124" s="70">
        <v>1.84060660434744E-2</v>
      </c>
      <c r="N124" s="10"/>
      <c r="O124" s="10"/>
      <c r="P124" s="10"/>
      <c r="Q124" s="10"/>
      <c r="R124" s="10"/>
      <c r="S124" s="10"/>
      <c r="T124" s="10"/>
      <c r="U124" s="10"/>
      <c r="V124" s="10"/>
      <c r="W124" s="10"/>
      <c r="X124" s="10"/>
      <c r="Y124" s="10"/>
      <c r="Z124" s="10"/>
    </row>
    <row r="125" spans="1:26" ht="12.75" customHeight="1" x14ac:dyDescent="0.2">
      <c r="A125" s="10"/>
      <c r="B125" s="21"/>
      <c r="C125" s="22"/>
      <c r="D125" s="32"/>
      <c r="E125" s="22"/>
      <c r="F125" s="23"/>
      <c r="G125" s="22"/>
      <c r="H125" s="36"/>
      <c r="I125" s="22"/>
      <c r="J125" s="68"/>
      <c r="K125" s="68"/>
      <c r="L125" s="72"/>
      <c r="M125" s="70"/>
      <c r="N125" s="10"/>
      <c r="O125" s="10"/>
      <c r="P125" s="10"/>
      <c r="Q125" s="10"/>
      <c r="R125" s="10"/>
      <c r="S125" s="10"/>
      <c r="T125" s="10"/>
      <c r="U125" s="10"/>
      <c r="V125" s="10"/>
      <c r="W125" s="10"/>
      <c r="X125" s="10"/>
      <c r="Y125" s="10"/>
      <c r="Z125" s="10"/>
    </row>
    <row r="126" spans="1:26" ht="12.75" customHeight="1" x14ac:dyDescent="0.2">
      <c r="A126" s="10"/>
      <c r="B126" s="21"/>
      <c r="C126" s="22"/>
      <c r="D126" s="95" t="s">
        <v>164</v>
      </c>
      <c r="E126" s="22" t="s">
        <v>155</v>
      </c>
      <c r="F126" s="23">
        <v>1208420</v>
      </c>
      <c r="G126" s="22" t="s">
        <v>142</v>
      </c>
      <c r="H126" s="36">
        <v>136306</v>
      </c>
      <c r="I126" s="22" t="s">
        <v>143</v>
      </c>
      <c r="J126" s="36">
        <v>164714.89652000001</v>
      </c>
      <c r="K126" s="68">
        <v>11437.660566931972</v>
      </c>
      <c r="L126" s="81">
        <v>0.54454744789512</v>
      </c>
      <c r="M126" s="70">
        <v>0.10890948957902399</v>
      </c>
      <c r="N126" s="10"/>
      <c r="O126" s="10"/>
      <c r="P126" s="10"/>
      <c r="Q126" s="10"/>
      <c r="R126" s="10"/>
      <c r="S126" s="10"/>
      <c r="T126" s="10"/>
      <c r="U126" s="10"/>
      <c r="V126" s="10"/>
      <c r="W126" s="10"/>
      <c r="X126" s="10"/>
      <c r="Y126" s="10"/>
      <c r="Z126" s="10"/>
    </row>
    <row r="127" spans="1:26" ht="12.75" customHeight="1" x14ac:dyDescent="0.2">
      <c r="A127" s="10"/>
      <c r="B127" s="21"/>
      <c r="C127" s="22"/>
      <c r="D127" s="32"/>
      <c r="E127" s="22"/>
      <c r="F127" s="36"/>
      <c r="G127" s="22"/>
      <c r="H127" s="36"/>
      <c r="I127" s="22"/>
      <c r="J127" s="68"/>
      <c r="K127" s="68"/>
      <c r="L127" s="72"/>
      <c r="M127" s="70"/>
      <c r="N127" s="10"/>
      <c r="O127" s="10"/>
      <c r="P127" s="10"/>
      <c r="Q127" s="10"/>
      <c r="R127" s="10"/>
      <c r="S127" s="10"/>
      <c r="T127" s="10"/>
      <c r="U127" s="10"/>
      <c r="V127" s="10"/>
      <c r="W127" s="10"/>
      <c r="X127" s="10"/>
      <c r="Y127" s="10"/>
      <c r="Z127" s="10"/>
    </row>
    <row r="128" spans="1:26" ht="12.75" customHeight="1" x14ac:dyDescent="0.2">
      <c r="A128" s="10"/>
      <c r="B128" s="21"/>
      <c r="C128" s="22" t="s">
        <v>165</v>
      </c>
      <c r="D128" s="95" t="s">
        <v>166</v>
      </c>
      <c r="E128" s="22" t="s">
        <v>155</v>
      </c>
      <c r="F128" s="23">
        <v>916689</v>
      </c>
      <c r="G128" s="22" t="s">
        <v>142</v>
      </c>
      <c r="H128" s="36">
        <v>136306</v>
      </c>
      <c r="I128" s="22" t="s">
        <v>143</v>
      </c>
      <c r="J128" s="36">
        <v>124950.210834</v>
      </c>
      <c r="K128" s="68">
        <v>9242.4067769236335</v>
      </c>
      <c r="L128" s="81">
        <v>0.41308539701720398</v>
      </c>
      <c r="M128" s="70">
        <v>8.2617079403440777E-2</v>
      </c>
      <c r="N128" s="10"/>
      <c r="O128" s="10"/>
      <c r="P128" s="10"/>
      <c r="Q128" s="10"/>
      <c r="R128" s="10"/>
      <c r="S128" s="10"/>
      <c r="T128" s="10"/>
      <c r="U128" s="10"/>
      <c r="V128" s="10"/>
      <c r="W128" s="10"/>
      <c r="X128" s="10"/>
      <c r="Y128" s="10"/>
      <c r="Z128" s="10"/>
    </row>
    <row r="129" spans="1:26" ht="12.75" customHeight="1" x14ac:dyDescent="0.2">
      <c r="A129" s="10"/>
      <c r="B129" s="21"/>
      <c r="C129" s="22"/>
      <c r="D129" s="32"/>
      <c r="E129" s="22"/>
      <c r="F129" s="36"/>
      <c r="G129" s="22"/>
      <c r="H129" s="36"/>
      <c r="I129" s="22"/>
      <c r="J129" s="68"/>
      <c r="K129" s="36"/>
      <c r="L129" s="81"/>
      <c r="M129" s="70"/>
      <c r="N129" s="10"/>
      <c r="O129" s="10"/>
      <c r="P129" s="10"/>
      <c r="Q129" s="10"/>
      <c r="R129" s="10"/>
      <c r="S129" s="10"/>
      <c r="T129" s="10"/>
      <c r="U129" s="10"/>
      <c r="V129" s="10"/>
      <c r="W129" s="10"/>
      <c r="X129" s="10"/>
      <c r="Y129" s="10"/>
      <c r="Z129" s="10"/>
    </row>
    <row r="130" spans="1:26" ht="12.75" customHeight="1" x14ac:dyDescent="0.2">
      <c r="A130" s="10"/>
      <c r="B130" s="21"/>
      <c r="C130" s="22" t="s">
        <v>167</v>
      </c>
      <c r="D130" s="32" t="s">
        <v>168</v>
      </c>
      <c r="E130" s="22" t="s">
        <v>155</v>
      </c>
      <c r="F130" s="23">
        <v>183788</v>
      </c>
      <c r="G130" s="22" t="s">
        <v>142</v>
      </c>
      <c r="H130" s="36">
        <v>136306</v>
      </c>
      <c r="I130" s="22" t="s">
        <v>143</v>
      </c>
      <c r="J130" s="68">
        <v>25051.407127999999</v>
      </c>
      <c r="K130" s="87">
        <v>2042.37</v>
      </c>
      <c r="L130" s="92">
        <v>8.281995196516799E-2</v>
      </c>
      <c r="M130" s="74">
        <v>1.6563990393033596E-2</v>
      </c>
      <c r="N130" s="10"/>
      <c r="O130" s="10"/>
      <c r="P130" s="10"/>
      <c r="Q130" s="10"/>
      <c r="R130" s="10"/>
      <c r="S130" s="10"/>
      <c r="T130" s="10"/>
      <c r="U130" s="10"/>
      <c r="V130" s="10"/>
      <c r="W130" s="10"/>
      <c r="X130" s="10"/>
      <c r="Y130" s="10"/>
      <c r="Z130" s="10"/>
    </row>
    <row r="131" spans="1:26" ht="12.75" customHeight="1" x14ac:dyDescent="0.2">
      <c r="A131" s="10"/>
      <c r="B131" s="21"/>
      <c r="C131" s="22" t="s">
        <v>169</v>
      </c>
      <c r="D131" s="32" t="s">
        <v>170</v>
      </c>
      <c r="E131" s="22" t="s">
        <v>155</v>
      </c>
      <c r="F131" s="23">
        <v>181738</v>
      </c>
      <c r="G131" s="22" t="s">
        <v>142</v>
      </c>
      <c r="H131" s="36">
        <v>136306</v>
      </c>
      <c r="I131" s="22" t="s">
        <v>143</v>
      </c>
      <c r="J131" s="68">
        <v>24771.979828</v>
      </c>
      <c r="K131" s="87">
        <v>2019</v>
      </c>
      <c r="L131" s="92">
        <v>8.1896165311367994E-2</v>
      </c>
      <c r="M131" s="74">
        <v>1.6379233062273596E-2</v>
      </c>
      <c r="N131" s="10"/>
      <c r="O131" s="10"/>
      <c r="P131" s="10"/>
      <c r="Q131" s="10"/>
      <c r="R131" s="10"/>
      <c r="S131" s="10"/>
      <c r="T131" s="10"/>
      <c r="U131" s="10"/>
      <c r="V131" s="10"/>
      <c r="W131" s="10"/>
      <c r="X131" s="10"/>
      <c r="Y131" s="10"/>
      <c r="Z131" s="10"/>
    </row>
    <row r="132" spans="1:26" ht="12.75" customHeight="1" x14ac:dyDescent="0.2">
      <c r="A132" s="10"/>
      <c r="B132" s="21"/>
      <c r="C132" s="22" t="s">
        <v>171</v>
      </c>
      <c r="D132" s="32" t="s">
        <v>172</v>
      </c>
      <c r="E132" s="22" t="s">
        <v>155</v>
      </c>
      <c r="F132" s="23">
        <v>196838</v>
      </c>
      <c r="G132" s="22" t="s">
        <v>142</v>
      </c>
      <c r="H132" s="36">
        <v>136306</v>
      </c>
      <c r="I132" s="22" t="s">
        <v>143</v>
      </c>
      <c r="J132" s="68">
        <v>26830.200428</v>
      </c>
      <c r="K132" s="87">
        <v>2187.39</v>
      </c>
      <c r="L132" s="92">
        <v>8.8700642614968003E-2</v>
      </c>
      <c r="M132" s="74">
        <v>1.7740128522993597E-2</v>
      </c>
      <c r="N132" s="10"/>
      <c r="O132" s="10"/>
      <c r="P132" s="10"/>
      <c r="Q132" s="10"/>
      <c r="R132" s="10"/>
      <c r="S132" s="10"/>
      <c r="T132" s="10"/>
      <c r="U132" s="10"/>
      <c r="V132" s="10"/>
      <c r="W132" s="10"/>
      <c r="X132" s="10"/>
      <c r="Y132" s="10"/>
      <c r="Z132" s="10"/>
    </row>
    <row r="133" spans="1:26" ht="12.75" customHeight="1" x14ac:dyDescent="0.2">
      <c r="A133" s="10"/>
      <c r="B133" s="21"/>
      <c r="C133" s="22"/>
      <c r="D133" s="22"/>
      <c r="E133" s="22"/>
      <c r="F133" s="36"/>
      <c r="G133" s="22"/>
      <c r="H133" s="36"/>
      <c r="I133" s="22"/>
      <c r="J133" s="36"/>
      <c r="K133" s="36"/>
      <c r="L133" s="81"/>
      <c r="M133" s="24"/>
      <c r="N133" s="10"/>
      <c r="O133" s="10"/>
      <c r="P133" s="10"/>
      <c r="Q133" s="10"/>
      <c r="R133" s="10"/>
      <c r="S133" s="10"/>
      <c r="T133" s="10"/>
      <c r="U133" s="10"/>
      <c r="V133" s="10"/>
      <c r="W133" s="10"/>
      <c r="X133" s="10"/>
      <c r="Y133" s="10"/>
      <c r="Z133" s="10"/>
    </row>
    <row r="134" spans="1:26" ht="12.75" customHeight="1" x14ac:dyDescent="0.2">
      <c r="A134" s="10"/>
      <c r="B134" s="25"/>
      <c r="C134" s="27"/>
      <c r="D134" s="47"/>
      <c r="E134" s="27"/>
      <c r="F134" s="28"/>
      <c r="G134" s="27"/>
      <c r="H134" s="28"/>
      <c r="I134" s="27"/>
      <c r="J134" s="28"/>
      <c r="K134" s="28"/>
      <c r="L134" s="88"/>
      <c r="M134" s="31"/>
      <c r="N134" s="10"/>
      <c r="O134" s="10"/>
      <c r="P134" s="10"/>
      <c r="Q134" s="10"/>
      <c r="R134" s="10"/>
      <c r="S134" s="10"/>
      <c r="T134" s="10"/>
      <c r="U134" s="10"/>
      <c r="V134" s="10"/>
      <c r="W134" s="10"/>
      <c r="X134" s="10"/>
      <c r="Y134" s="10"/>
      <c r="Z134" s="10"/>
    </row>
    <row r="135" spans="1:26" ht="12.75" customHeight="1" x14ac:dyDescent="0.2">
      <c r="A135" s="10"/>
      <c r="B135" s="21" t="s">
        <v>173</v>
      </c>
      <c r="C135" s="45" t="s">
        <v>174</v>
      </c>
      <c r="D135" s="32"/>
      <c r="E135" s="22"/>
      <c r="F135" s="36"/>
      <c r="G135" s="22"/>
      <c r="H135" s="36"/>
      <c r="I135" s="22"/>
      <c r="J135" s="36"/>
      <c r="K135" s="36"/>
      <c r="L135" s="81"/>
      <c r="M135" s="24"/>
      <c r="N135" s="10"/>
      <c r="O135" s="10"/>
      <c r="P135" s="10"/>
      <c r="Q135" s="10"/>
      <c r="R135" s="10"/>
      <c r="S135" s="10"/>
      <c r="T135" s="10"/>
      <c r="U135" s="10"/>
      <c r="V135" s="10"/>
      <c r="W135" s="10"/>
      <c r="X135" s="10"/>
      <c r="Y135" s="10"/>
      <c r="Z135" s="10"/>
    </row>
    <row r="136" spans="1:26" ht="12.75" customHeight="1" x14ac:dyDescent="0.2">
      <c r="A136" s="10"/>
      <c r="B136" s="21"/>
      <c r="C136" s="22" t="s">
        <v>175</v>
      </c>
      <c r="D136" s="32" t="s">
        <v>176</v>
      </c>
      <c r="E136" s="22" t="s">
        <v>155</v>
      </c>
      <c r="F136" s="23">
        <v>876185</v>
      </c>
      <c r="G136" s="22" t="s">
        <v>142</v>
      </c>
      <c r="H136" s="36">
        <v>136821.28</v>
      </c>
      <c r="I136" s="22" t="s">
        <v>143</v>
      </c>
      <c r="J136" s="36">
        <v>119880.7532168</v>
      </c>
      <c r="K136" s="23">
        <v>9109.3429013205059</v>
      </c>
      <c r="L136" s="84">
        <v>0.3963257701347408</v>
      </c>
      <c r="M136" s="97">
        <v>7.9265154026948156E-2</v>
      </c>
      <c r="N136" s="10"/>
      <c r="O136" s="10"/>
      <c r="P136" s="10"/>
      <c r="Q136" s="10"/>
      <c r="R136" s="10"/>
      <c r="S136" s="10"/>
      <c r="T136" s="10"/>
      <c r="U136" s="10"/>
      <c r="V136" s="10"/>
      <c r="W136" s="10"/>
      <c r="X136" s="10"/>
      <c r="Y136" s="10"/>
      <c r="Z136" s="10"/>
    </row>
    <row r="137" spans="1:26" ht="12.75" customHeight="1" x14ac:dyDescent="0.2">
      <c r="A137" s="10"/>
      <c r="B137" s="21"/>
      <c r="C137" s="22"/>
      <c r="D137" s="32"/>
      <c r="E137" s="22"/>
      <c r="F137" s="23"/>
      <c r="G137" s="22"/>
      <c r="H137" s="36"/>
      <c r="I137" s="22"/>
      <c r="J137" s="22"/>
      <c r="K137" s="22"/>
      <c r="L137" s="22"/>
      <c r="M137" s="24"/>
      <c r="N137" s="10"/>
      <c r="O137" s="10"/>
      <c r="P137" s="10"/>
      <c r="Q137" s="10"/>
      <c r="R137" s="10"/>
      <c r="S137" s="10"/>
      <c r="T137" s="10"/>
      <c r="U137" s="10"/>
      <c r="V137" s="10"/>
      <c r="W137" s="10"/>
      <c r="X137" s="10"/>
      <c r="Y137" s="10"/>
      <c r="Z137" s="10"/>
    </row>
    <row r="138" spans="1:26" ht="12.75" customHeight="1" x14ac:dyDescent="0.2">
      <c r="A138" s="10"/>
      <c r="B138" s="25"/>
      <c r="C138" s="27"/>
      <c r="D138" s="47"/>
      <c r="E138" s="27"/>
      <c r="F138" s="30"/>
      <c r="G138" s="27"/>
      <c r="H138" s="28"/>
      <c r="I138" s="27"/>
      <c r="J138" s="27"/>
      <c r="K138" s="27"/>
      <c r="L138" s="27"/>
      <c r="M138" s="31"/>
      <c r="N138" s="10"/>
      <c r="O138" s="10"/>
      <c r="P138" s="10"/>
      <c r="Q138" s="10"/>
      <c r="R138" s="10"/>
      <c r="S138" s="10"/>
      <c r="T138" s="10"/>
      <c r="U138" s="10"/>
      <c r="V138" s="10"/>
      <c r="W138" s="10"/>
      <c r="X138" s="10"/>
      <c r="Y138" s="10"/>
      <c r="Z138" s="10"/>
    </row>
    <row r="139" spans="1:26" ht="12.75" customHeight="1" x14ac:dyDescent="0.2">
      <c r="A139" s="10"/>
      <c r="B139" s="21" t="s">
        <v>118</v>
      </c>
      <c r="C139" s="45" t="s">
        <v>119</v>
      </c>
      <c r="D139" s="32"/>
      <c r="E139" s="22"/>
      <c r="F139" s="36"/>
      <c r="G139" s="22"/>
      <c r="H139" s="36"/>
      <c r="I139" s="22"/>
      <c r="J139" s="36"/>
      <c r="K139" s="36"/>
      <c r="L139" s="81"/>
      <c r="M139" s="24"/>
      <c r="N139" s="10"/>
      <c r="O139" s="10"/>
      <c r="P139" s="10"/>
      <c r="Q139" s="10"/>
      <c r="R139" s="10"/>
      <c r="S139" s="10"/>
      <c r="T139" s="10"/>
      <c r="U139" s="10"/>
      <c r="V139" s="10"/>
      <c r="W139" s="10"/>
      <c r="X139" s="10"/>
      <c r="Y139" s="10"/>
      <c r="Z139" s="10"/>
    </row>
    <row r="140" spans="1:26" ht="12.75" customHeight="1" x14ac:dyDescent="0.2">
      <c r="A140" s="10"/>
      <c r="B140" s="21"/>
      <c r="C140" s="22"/>
      <c r="D140" s="32"/>
      <c r="E140" s="22"/>
      <c r="F140" s="36"/>
      <c r="G140" s="22"/>
      <c r="H140" s="36"/>
      <c r="I140" s="22"/>
      <c r="J140" s="36"/>
      <c r="K140" s="36"/>
      <c r="L140" s="81"/>
      <c r="M140" s="94"/>
      <c r="N140" s="10"/>
      <c r="O140" s="10"/>
      <c r="P140" s="10"/>
      <c r="Q140" s="10"/>
      <c r="R140" s="10"/>
      <c r="S140" s="10"/>
      <c r="T140" s="10"/>
      <c r="U140" s="10"/>
      <c r="V140" s="10"/>
      <c r="W140" s="10"/>
      <c r="X140" s="10"/>
      <c r="Y140" s="10"/>
      <c r="Z140" s="10"/>
    </row>
    <row r="141" spans="1:26" ht="12.75" customHeight="1" x14ac:dyDescent="0.2">
      <c r="A141" s="10"/>
      <c r="B141" s="21"/>
      <c r="C141" s="22" t="s">
        <v>177</v>
      </c>
      <c r="D141" s="32" t="s">
        <v>178</v>
      </c>
      <c r="E141" s="22" t="s">
        <v>179</v>
      </c>
      <c r="F141" s="23">
        <v>277368</v>
      </c>
      <c r="G141" s="22" t="s">
        <v>142</v>
      </c>
      <c r="H141" s="98">
        <v>0.13700000000000001</v>
      </c>
      <c r="I141" s="22" t="s">
        <v>180</v>
      </c>
      <c r="J141" s="68">
        <v>37999.416000000005</v>
      </c>
      <c r="K141" s="87">
        <v>3098</v>
      </c>
      <c r="L141" s="99">
        <v>0.121</v>
      </c>
      <c r="M141" s="90">
        <v>2.5000000000000001E-2</v>
      </c>
      <c r="N141" s="10"/>
      <c r="O141" s="10"/>
      <c r="P141" s="10"/>
      <c r="Q141" s="10"/>
      <c r="R141" s="10"/>
      <c r="S141" s="10"/>
      <c r="T141" s="10"/>
      <c r="U141" s="10"/>
      <c r="V141" s="10"/>
      <c r="W141" s="10"/>
      <c r="X141" s="10"/>
      <c r="Y141" s="10"/>
      <c r="Z141" s="10"/>
    </row>
    <row r="142" spans="1:26" ht="12.75" customHeight="1" x14ac:dyDescent="0.2">
      <c r="A142" s="10"/>
      <c r="B142" s="21"/>
      <c r="C142" s="22"/>
      <c r="D142" s="32"/>
      <c r="E142" s="22"/>
      <c r="F142" s="23"/>
      <c r="G142" s="22"/>
      <c r="H142" s="98"/>
      <c r="I142" s="22"/>
      <c r="J142" s="68"/>
      <c r="K142" s="87"/>
      <c r="L142" s="99"/>
      <c r="M142" s="24"/>
      <c r="N142" s="10"/>
      <c r="O142" s="10"/>
      <c r="P142" s="10"/>
      <c r="Q142" s="10"/>
      <c r="R142" s="10"/>
      <c r="S142" s="10"/>
      <c r="T142" s="10"/>
      <c r="U142" s="10"/>
      <c r="V142" s="10"/>
      <c r="W142" s="10"/>
      <c r="X142" s="10"/>
      <c r="Y142" s="10"/>
      <c r="Z142" s="10"/>
    </row>
    <row r="143" spans="1:26" ht="12.75" customHeight="1" x14ac:dyDescent="0.2">
      <c r="A143" s="10"/>
      <c r="B143" s="25"/>
      <c r="C143" s="27"/>
      <c r="D143" s="47"/>
      <c r="E143" s="27"/>
      <c r="F143" s="30"/>
      <c r="G143" s="27"/>
      <c r="H143" s="100"/>
      <c r="I143" s="27"/>
      <c r="J143" s="101"/>
      <c r="K143" s="102"/>
      <c r="L143" s="103"/>
      <c r="M143" s="31"/>
      <c r="N143" s="10"/>
      <c r="O143" s="10"/>
      <c r="P143" s="10"/>
      <c r="Q143" s="10"/>
      <c r="R143" s="10"/>
      <c r="S143" s="10"/>
      <c r="T143" s="10"/>
      <c r="U143" s="10"/>
      <c r="V143" s="10"/>
      <c r="W143" s="10"/>
      <c r="X143" s="10"/>
      <c r="Y143" s="10"/>
      <c r="Z143" s="10"/>
    </row>
    <row r="144" spans="1:26" ht="12.75" customHeight="1" x14ac:dyDescent="0.2">
      <c r="A144" s="10"/>
      <c r="B144" s="21" t="s">
        <v>181</v>
      </c>
      <c r="C144" s="45" t="s">
        <v>182</v>
      </c>
      <c r="D144" s="32"/>
      <c r="E144" s="22"/>
      <c r="F144" s="36"/>
      <c r="G144" s="22"/>
      <c r="H144" s="36"/>
      <c r="I144" s="22"/>
      <c r="J144" s="36"/>
      <c r="K144" s="36"/>
      <c r="L144" s="81"/>
      <c r="M144" s="24"/>
      <c r="N144" s="10"/>
      <c r="O144" s="10"/>
      <c r="P144" s="10"/>
      <c r="Q144" s="10"/>
      <c r="R144" s="10"/>
      <c r="S144" s="10"/>
      <c r="T144" s="10"/>
      <c r="U144" s="10"/>
      <c r="V144" s="10"/>
      <c r="W144" s="10"/>
      <c r="X144" s="10"/>
      <c r="Y144" s="10"/>
      <c r="Z144" s="10"/>
    </row>
    <row r="145" spans="1:26" ht="12.75" customHeight="1" x14ac:dyDescent="0.2">
      <c r="A145" s="10"/>
      <c r="B145" s="21"/>
      <c r="C145" s="22" t="s">
        <v>183</v>
      </c>
      <c r="D145" s="32" t="s">
        <v>184</v>
      </c>
      <c r="E145" s="22" t="s">
        <v>179</v>
      </c>
      <c r="F145" s="23">
        <v>4170000</v>
      </c>
      <c r="G145" s="22" t="s">
        <v>142</v>
      </c>
      <c r="H145" s="36">
        <v>138</v>
      </c>
      <c r="I145" s="22" t="s">
        <v>185</v>
      </c>
      <c r="J145" s="36">
        <v>575460</v>
      </c>
      <c r="K145" s="68">
        <v>36179.925868807069</v>
      </c>
      <c r="L145" s="72">
        <v>0.32271989625138015</v>
      </c>
      <c r="M145" s="104">
        <v>3.5297488652494706E-2</v>
      </c>
      <c r="N145" s="10"/>
      <c r="O145" s="10"/>
      <c r="P145" s="10"/>
      <c r="Q145" s="10"/>
      <c r="R145" s="10"/>
      <c r="S145" s="10"/>
      <c r="T145" s="10"/>
      <c r="U145" s="10"/>
      <c r="V145" s="10"/>
      <c r="W145" s="10"/>
      <c r="X145" s="10"/>
      <c r="Y145" s="10"/>
      <c r="Z145" s="10"/>
    </row>
    <row r="146" spans="1:26" ht="12.75" customHeight="1" x14ac:dyDescent="0.2">
      <c r="A146" s="10"/>
      <c r="B146" s="21"/>
      <c r="C146" s="22"/>
      <c r="D146" s="32"/>
      <c r="E146" s="22"/>
      <c r="F146" s="23"/>
      <c r="G146" s="22"/>
      <c r="H146" s="36"/>
      <c r="I146" s="22"/>
      <c r="J146" s="36"/>
      <c r="K146" s="36"/>
      <c r="L146" s="81"/>
      <c r="M146" s="94"/>
      <c r="N146" s="10"/>
      <c r="O146" s="10"/>
      <c r="P146" s="10"/>
      <c r="Q146" s="10"/>
      <c r="R146" s="10"/>
      <c r="S146" s="10"/>
      <c r="T146" s="10"/>
      <c r="U146" s="10"/>
      <c r="V146" s="10"/>
      <c r="W146" s="10"/>
      <c r="X146" s="10"/>
      <c r="Y146" s="10"/>
      <c r="Z146" s="10"/>
    </row>
    <row r="147" spans="1:26" ht="12.75" customHeight="1" x14ac:dyDescent="0.2">
      <c r="A147" s="10"/>
      <c r="B147" s="21"/>
      <c r="C147" s="22" t="s">
        <v>186</v>
      </c>
      <c r="D147" s="32" t="s">
        <v>187</v>
      </c>
      <c r="E147" s="22" t="s">
        <v>179</v>
      </c>
      <c r="F147" s="23">
        <v>568000</v>
      </c>
      <c r="G147" s="22" t="s">
        <v>142</v>
      </c>
      <c r="H147" s="36">
        <v>138.07300000000001</v>
      </c>
      <c r="I147" s="22" t="s">
        <v>185</v>
      </c>
      <c r="J147" s="68">
        <v>78425.464000000007</v>
      </c>
      <c r="K147" s="87">
        <v>7031</v>
      </c>
      <c r="L147" s="105">
        <v>0</v>
      </c>
      <c r="M147" s="106">
        <v>0</v>
      </c>
      <c r="N147" s="10"/>
      <c r="O147" s="10"/>
      <c r="P147" s="10"/>
      <c r="Q147" s="10"/>
      <c r="R147" s="10"/>
      <c r="S147" s="10"/>
      <c r="T147" s="10"/>
      <c r="U147" s="10"/>
      <c r="V147" s="10"/>
      <c r="W147" s="10"/>
      <c r="X147" s="10"/>
      <c r="Y147" s="10"/>
      <c r="Z147" s="10"/>
    </row>
    <row r="148" spans="1:26" ht="12.75" customHeight="1" x14ac:dyDescent="0.2">
      <c r="A148" s="10"/>
      <c r="B148" s="21"/>
      <c r="C148" s="22"/>
      <c r="D148" s="32"/>
      <c r="E148" s="22"/>
      <c r="F148" s="23"/>
      <c r="G148" s="22"/>
      <c r="H148" s="36"/>
      <c r="I148" s="22"/>
      <c r="J148" s="36"/>
      <c r="K148" s="87"/>
      <c r="L148" s="105"/>
      <c r="M148" s="106"/>
      <c r="N148" s="10"/>
      <c r="O148" s="10"/>
      <c r="P148" s="10"/>
      <c r="Q148" s="10"/>
      <c r="R148" s="10"/>
      <c r="S148" s="10"/>
      <c r="T148" s="10"/>
      <c r="U148" s="10"/>
      <c r="V148" s="10"/>
      <c r="W148" s="10"/>
      <c r="X148" s="10"/>
      <c r="Y148" s="10"/>
      <c r="Z148" s="10"/>
    </row>
    <row r="149" spans="1:26" ht="12.75" customHeight="1" x14ac:dyDescent="0.2">
      <c r="A149" s="10"/>
      <c r="B149" s="21"/>
      <c r="C149" s="22" t="s">
        <v>188</v>
      </c>
      <c r="D149" s="32" t="s">
        <v>189</v>
      </c>
      <c r="E149" s="22" t="s">
        <v>179</v>
      </c>
      <c r="F149" s="23">
        <v>999000</v>
      </c>
      <c r="G149" s="22" t="s">
        <v>142</v>
      </c>
      <c r="H149" s="36">
        <v>138.07300000000001</v>
      </c>
      <c r="I149" s="22" t="s">
        <v>185</v>
      </c>
      <c r="J149" s="68">
        <v>137934.927</v>
      </c>
      <c r="K149" s="87">
        <v>12430</v>
      </c>
      <c r="L149" s="105">
        <v>0</v>
      </c>
      <c r="M149" s="106">
        <v>0</v>
      </c>
      <c r="N149" s="10"/>
      <c r="O149" s="10"/>
      <c r="P149" s="10"/>
      <c r="Q149" s="10"/>
      <c r="R149" s="10"/>
      <c r="S149" s="10"/>
      <c r="T149" s="10"/>
      <c r="U149" s="10"/>
      <c r="V149" s="10"/>
      <c r="W149" s="10"/>
      <c r="X149" s="10"/>
      <c r="Y149" s="10"/>
      <c r="Z149" s="10"/>
    </row>
    <row r="150" spans="1:26" ht="12.75" customHeight="1" x14ac:dyDescent="0.2">
      <c r="A150" s="10"/>
      <c r="B150" s="21"/>
      <c r="C150" s="22"/>
      <c r="D150" s="32"/>
      <c r="E150" s="22"/>
      <c r="F150" s="23"/>
      <c r="G150" s="22"/>
      <c r="H150" s="36"/>
      <c r="I150" s="22"/>
      <c r="J150" s="36"/>
      <c r="K150" s="87"/>
      <c r="L150" s="105"/>
      <c r="M150" s="106"/>
      <c r="N150" s="10"/>
      <c r="O150" s="10"/>
      <c r="P150" s="10"/>
      <c r="Q150" s="10"/>
      <c r="R150" s="10"/>
      <c r="S150" s="10"/>
      <c r="T150" s="10"/>
      <c r="U150" s="10"/>
      <c r="V150" s="10"/>
      <c r="W150" s="10"/>
      <c r="X150" s="10"/>
      <c r="Y150" s="10"/>
      <c r="Z150" s="10"/>
    </row>
    <row r="151" spans="1:26" ht="12.75" customHeight="1" x14ac:dyDescent="0.2">
      <c r="A151" s="10"/>
      <c r="B151" s="21"/>
      <c r="C151" s="22" t="s">
        <v>190</v>
      </c>
      <c r="D151" s="32" t="s">
        <v>191</v>
      </c>
      <c r="E151" s="22" t="s">
        <v>179</v>
      </c>
      <c r="F151" s="23">
        <v>29000</v>
      </c>
      <c r="G151" s="22" t="s">
        <v>142</v>
      </c>
      <c r="H151" s="36">
        <v>138.07300000000001</v>
      </c>
      <c r="I151" s="22" t="s">
        <v>185</v>
      </c>
      <c r="J151" s="68">
        <v>4004.1170000000002</v>
      </c>
      <c r="K151" s="87">
        <v>641</v>
      </c>
      <c r="L151" s="105">
        <v>0</v>
      </c>
      <c r="M151" s="106">
        <v>0</v>
      </c>
      <c r="N151" s="10"/>
      <c r="O151" s="10"/>
      <c r="P151" s="10"/>
      <c r="Q151" s="10"/>
      <c r="R151" s="10"/>
      <c r="S151" s="10"/>
      <c r="T151" s="10"/>
      <c r="U151" s="10"/>
      <c r="V151" s="10"/>
      <c r="W151" s="10"/>
      <c r="X151" s="10"/>
      <c r="Y151" s="10"/>
      <c r="Z151" s="10"/>
    </row>
    <row r="152" spans="1:26" ht="12.75" customHeight="1" x14ac:dyDescent="0.2">
      <c r="A152" s="10"/>
      <c r="B152" s="21"/>
      <c r="C152" s="22"/>
      <c r="D152" s="32"/>
      <c r="E152" s="22"/>
      <c r="F152" s="23"/>
      <c r="G152" s="22"/>
      <c r="H152" s="36"/>
      <c r="I152" s="22"/>
      <c r="J152" s="36"/>
      <c r="K152" s="87"/>
      <c r="L152" s="105"/>
      <c r="M152" s="106"/>
      <c r="N152" s="10"/>
      <c r="O152" s="10"/>
      <c r="P152" s="10"/>
      <c r="Q152" s="10"/>
      <c r="R152" s="10"/>
      <c r="S152" s="10"/>
      <c r="T152" s="10"/>
      <c r="U152" s="10"/>
      <c r="V152" s="10"/>
      <c r="W152" s="10"/>
      <c r="X152" s="10"/>
      <c r="Y152" s="10"/>
      <c r="Z152" s="10"/>
    </row>
    <row r="153" spans="1:26" ht="12.75" customHeight="1" x14ac:dyDescent="0.2">
      <c r="A153" s="10"/>
      <c r="B153" s="21"/>
      <c r="C153" s="22" t="s">
        <v>192</v>
      </c>
      <c r="D153" s="32" t="s">
        <v>193</v>
      </c>
      <c r="E153" s="22" t="s">
        <v>179</v>
      </c>
      <c r="F153" s="23">
        <v>680000</v>
      </c>
      <c r="G153" s="22" t="s">
        <v>142</v>
      </c>
      <c r="H153" s="36">
        <v>138.07300000000001</v>
      </c>
      <c r="I153" s="22" t="s">
        <v>185</v>
      </c>
      <c r="J153" s="68">
        <v>93889.64</v>
      </c>
      <c r="K153" s="87">
        <v>8489</v>
      </c>
      <c r="L153" s="105">
        <v>0</v>
      </c>
      <c r="M153" s="106">
        <v>0</v>
      </c>
      <c r="N153" s="10"/>
      <c r="O153" s="10"/>
      <c r="P153" s="10"/>
      <c r="Q153" s="10"/>
      <c r="R153" s="10"/>
      <c r="S153" s="10"/>
      <c r="T153" s="10"/>
      <c r="U153" s="10"/>
      <c r="V153" s="10"/>
      <c r="W153" s="10"/>
      <c r="X153" s="10"/>
      <c r="Y153" s="10"/>
      <c r="Z153" s="10"/>
    </row>
    <row r="154" spans="1:26" ht="12.75" customHeight="1" x14ac:dyDescent="0.2">
      <c r="A154" s="10"/>
      <c r="B154" s="21"/>
      <c r="C154" s="22"/>
      <c r="D154" s="32"/>
      <c r="E154" s="22"/>
      <c r="F154" s="36"/>
      <c r="G154" s="22"/>
      <c r="H154" s="36"/>
      <c r="I154" s="22"/>
      <c r="J154" s="36"/>
      <c r="K154" s="36"/>
      <c r="L154" s="81"/>
      <c r="M154" s="24"/>
      <c r="N154" s="10"/>
      <c r="O154" s="10"/>
      <c r="P154" s="10"/>
      <c r="Q154" s="10"/>
      <c r="R154" s="10"/>
      <c r="S154" s="10"/>
      <c r="T154" s="10"/>
      <c r="U154" s="10"/>
      <c r="V154" s="10"/>
      <c r="W154" s="10"/>
      <c r="X154" s="10"/>
      <c r="Y154" s="10"/>
      <c r="Z154" s="10"/>
    </row>
    <row r="155" spans="1:26" ht="12.75" customHeight="1" x14ac:dyDescent="0.2">
      <c r="A155" s="10"/>
      <c r="B155" s="21"/>
      <c r="C155" s="22"/>
      <c r="D155" s="32"/>
      <c r="E155" s="22"/>
      <c r="F155" s="23"/>
      <c r="G155" s="22"/>
      <c r="H155" s="36"/>
      <c r="I155" s="22"/>
      <c r="J155" s="36"/>
      <c r="K155" s="68"/>
      <c r="L155" s="72"/>
      <c r="M155" s="24"/>
      <c r="N155" s="10"/>
      <c r="O155" s="10"/>
      <c r="P155" s="10"/>
      <c r="Q155" s="10"/>
      <c r="R155" s="10"/>
      <c r="S155" s="10"/>
      <c r="T155" s="10"/>
      <c r="U155" s="10"/>
      <c r="V155" s="10"/>
      <c r="W155" s="10"/>
      <c r="X155" s="10"/>
      <c r="Y155" s="10"/>
      <c r="Z155" s="10"/>
    </row>
    <row r="156" spans="1:26" ht="12.75" customHeight="1" x14ac:dyDescent="0.2">
      <c r="A156" s="10"/>
      <c r="B156" s="25"/>
      <c r="C156" s="27"/>
      <c r="D156" s="47"/>
      <c r="E156" s="27"/>
      <c r="F156" s="30"/>
      <c r="G156" s="27"/>
      <c r="H156" s="28"/>
      <c r="I156" s="27"/>
      <c r="J156" s="28"/>
      <c r="K156" s="101"/>
      <c r="L156" s="107"/>
      <c r="M156" s="31"/>
      <c r="N156" s="10"/>
      <c r="O156" s="10"/>
      <c r="P156" s="10"/>
      <c r="Q156" s="10"/>
      <c r="R156" s="10"/>
      <c r="S156" s="10"/>
      <c r="T156" s="10"/>
      <c r="U156" s="10"/>
      <c r="V156" s="10"/>
      <c r="W156" s="10"/>
      <c r="X156" s="10"/>
      <c r="Y156" s="10"/>
      <c r="Z156" s="10"/>
    </row>
    <row r="157" spans="1:26" ht="12.75" customHeight="1" x14ac:dyDescent="0.2">
      <c r="A157" s="10"/>
      <c r="B157" s="21" t="s">
        <v>194</v>
      </c>
      <c r="C157" s="45" t="s">
        <v>195</v>
      </c>
      <c r="D157" s="32"/>
      <c r="E157" s="22"/>
      <c r="F157" s="36"/>
      <c r="G157" s="22"/>
      <c r="H157" s="36"/>
      <c r="I157" s="22"/>
      <c r="J157" s="22"/>
      <c r="K157" s="36"/>
      <c r="L157" s="81"/>
      <c r="M157" s="24"/>
      <c r="N157" s="10"/>
      <c r="O157" s="10"/>
      <c r="P157" s="10"/>
      <c r="Q157" s="10"/>
      <c r="R157" s="10"/>
      <c r="S157" s="10"/>
      <c r="T157" s="10"/>
      <c r="U157" s="10"/>
      <c r="V157" s="10"/>
      <c r="W157" s="10"/>
      <c r="X157" s="10"/>
      <c r="Y157" s="10"/>
      <c r="Z157" s="10"/>
    </row>
    <row r="158" spans="1:26" ht="12.75" customHeight="1" x14ac:dyDescent="0.2">
      <c r="A158" s="10"/>
      <c r="B158" s="21"/>
      <c r="C158" s="22" t="s">
        <v>196</v>
      </c>
      <c r="D158" s="32" t="s">
        <v>197</v>
      </c>
      <c r="E158" s="22" t="s">
        <v>198</v>
      </c>
      <c r="F158" s="23">
        <v>183000</v>
      </c>
      <c r="G158" s="22" t="s">
        <v>142</v>
      </c>
      <c r="H158" s="36">
        <v>138.774</v>
      </c>
      <c r="I158" s="22" t="s">
        <v>199</v>
      </c>
      <c r="J158" s="68">
        <v>25395.642</v>
      </c>
      <c r="K158" s="87">
        <v>4368</v>
      </c>
      <c r="L158" s="89">
        <v>0.2</v>
      </c>
      <c r="M158" s="108">
        <v>0</v>
      </c>
      <c r="N158" s="10"/>
      <c r="O158" s="10"/>
      <c r="P158" s="10"/>
      <c r="Q158" s="10"/>
      <c r="R158" s="10"/>
      <c r="S158" s="10"/>
      <c r="T158" s="10"/>
      <c r="U158" s="10"/>
      <c r="V158" s="10"/>
      <c r="W158" s="10"/>
      <c r="X158" s="10"/>
      <c r="Y158" s="10"/>
      <c r="Z158" s="10"/>
    </row>
    <row r="159" spans="1:26" ht="12.75" customHeight="1" x14ac:dyDescent="0.2">
      <c r="A159" s="10"/>
      <c r="B159" s="21"/>
      <c r="C159" s="22"/>
      <c r="D159" s="32"/>
      <c r="E159" s="109"/>
      <c r="F159" s="23"/>
      <c r="G159" s="109"/>
      <c r="H159" s="36"/>
      <c r="I159" s="109"/>
      <c r="J159" s="36"/>
      <c r="K159" s="87"/>
      <c r="L159" s="89"/>
      <c r="M159" s="108"/>
      <c r="N159" s="10"/>
      <c r="O159" s="10"/>
      <c r="P159" s="10"/>
      <c r="Q159" s="10"/>
      <c r="R159" s="10"/>
      <c r="S159" s="10"/>
      <c r="T159" s="10"/>
      <c r="U159" s="10"/>
      <c r="V159" s="10"/>
      <c r="W159" s="10"/>
      <c r="X159" s="10"/>
      <c r="Y159" s="10"/>
      <c r="Z159" s="10"/>
    </row>
    <row r="160" spans="1:26" ht="12.75" customHeight="1" x14ac:dyDescent="0.2">
      <c r="A160" s="10"/>
      <c r="B160" s="21"/>
      <c r="C160" s="22" t="s">
        <v>200</v>
      </c>
      <c r="D160" s="32" t="s">
        <v>201</v>
      </c>
      <c r="E160" s="22" t="s">
        <v>198</v>
      </c>
      <c r="F160" s="23">
        <v>172000</v>
      </c>
      <c r="G160" s="22" t="s">
        <v>142</v>
      </c>
      <c r="H160" s="36">
        <v>138.774</v>
      </c>
      <c r="I160" s="109" t="s">
        <v>185</v>
      </c>
      <c r="J160" s="68">
        <v>23869.128000000001</v>
      </c>
      <c r="K160" s="87">
        <v>1947</v>
      </c>
      <c r="L160" s="89">
        <v>0.1</v>
      </c>
      <c r="M160" s="108">
        <v>0</v>
      </c>
      <c r="N160" s="10"/>
      <c r="O160" s="10"/>
      <c r="P160" s="10"/>
      <c r="Q160" s="10"/>
      <c r="R160" s="10"/>
      <c r="S160" s="10"/>
      <c r="T160" s="10"/>
      <c r="U160" s="10"/>
      <c r="V160" s="10"/>
      <c r="W160" s="10"/>
      <c r="X160" s="10"/>
      <c r="Y160" s="10"/>
      <c r="Z160" s="10"/>
    </row>
    <row r="161" spans="1:26" ht="12.75" customHeight="1" x14ac:dyDescent="0.2">
      <c r="A161" s="10"/>
      <c r="B161" s="21"/>
      <c r="C161" s="22"/>
      <c r="D161" s="32"/>
      <c r="E161" s="109"/>
      <c r="F161" s="23"/>
      <c r="G161" s="109"/>
      <c r="H161" s="36"/>
      <c r="I161" s="109"/>
      <c r="J161" s="36"/>
      <c r="K161" s="87"/>
      <c r="L161" s="89"/>
      <c r="M161" s="108"/>
      <c r="N161" s="10"/>
      <c r="O161" s="10"/>
      <c r="P161" s="10"/>
      <c r="Q161" s="10"/>
      <c r="R161" s="10"/>
      <c r="S161" s="10"/>
      <c r="T161" s="10"/>
      <c r="U161" s="10"/>
      <c r="V161" s="10"/>
      <c r="W161" s="10"/>
      <c r="X161" s="10"/>
      <c r="Y161" s="10"/>
      <c r="Z161" s="10"/>
    </row>
    <row r="162" spans="1:26" ht="12.75" customHeight="1" x14ac:dyDescent="0.2">
      <c r="A162" s="10"/>
      <c r="B162" s="21"/>
      <c r="C162" s="22" t="s">
        <v>202</v>
      </c>
      <c r="D162" s="32" t="s">
        <v>203</v>
      </c>
      <c r="E162" s="22" t="s">
        <v>198</v>
      </c>
      <c r="F162" s="23">
        <v>197000</v>
      </c>
      <c r="G162" s="22" t="s">
        <v>142</v>
      </c>
      <c r="H162" s="36">
        <v>138.774</v>
      </c>
      <c r="I162" s="109" t="s">
        <v>185</v>
      </c>
      <c r="J162" s="68">
        <v>27338.477999999999</v>
      </c>
      <c r="K162" s="87">
        <v>2230</v>
      </c>
      <c r="L162" s="89">
        <v>0.1</v>
      </c>
      <c r="M162" s="108">
        <v>0</v>
      </c>
      <c r="N162" s="10"/>
      <c r="O162" s="10"/>
      <c r="P162" s="10"/>
      <c r="Q162" s="10"/>
      <c r="R162" s="10"/>
      <c r="S162" s="10"/>
      <c r="T162" s="10"/>
      <c r="U162" s="10"/>
      <c r="V162" s="10"/>
      <c r="W162" s="10"/>
      <c r="X162" s="10"/>
      <c r="Y162" s="10"/>
      <c r="Z162" s="10"/>
    </row>
    <row r="163" spans="1:26" ht="12.75" customHeight="1" x14ac:dyDescent="0.2">
      <c r="A163" s="10"/>
      <c r="B163" s="21"/>
      <c r="C163" s="22"/>
      <c r="D163" s="32"/>
      <c r="E163" s="22"/>
      <c r="F163" s="23"/>
      <c r="G163" s="22"/>
      <c r="H163" s="36"/>
      <c r="I163" s="109"/>
      <c r="J163" s="68"/>
      <c r="K163" s="22"/>
      <c r="L163" s="22"/>
      <c r="M163" s="24"/>
      <c r="N163" s="10"/>
      <c r="O163" s="10"/>
      <c r="P163" s="10"/>
      <c r="Q163" s="10"/>
      <c r="R163" s="10"/>
      <c r="S163" s="10"/>
      <c r="T163" s="10"/>
      <c r="U163" s="10"/>
      <c r="V163" s="10"/>
      <c r="W163" s="10"/>
      <c r="X163" s="10"/>
      <c r="Y163" s="10"/>
      <c r="Z163" s="10"/>
    </row>
    <row r="164" spans="1:26" ht="12.75" customHeight="1" x14ac:dyDescent="0.2">
      <c r="A164" s="10"/>
      <c r="B164" s="25"/>
      <c r="C164" s="27"/>
      <c r="D164" s="47"/>
      <c r="E164" s="27"/>
      <c r="F164" s="30"/>
      <c r="G164" s="27"/>
      <c r="H164" s="28"/>
      <c r="I164" s="110"/>
      <c r="J164" s="101"/>
      <c r="K164" s="27"/>
      <c r="L164" s="27"/>
      <c r="M164" s="31"/>
      <c r="N164" s="10"/>
      <c r="O164" s="10"/>
      <c r="P164" s="10"/>
      <c r="Q164" s="10"/>
      <c r="R164" s="10"/>
      <c r="S164" s="10"/>
      <c r="T164" s="10"/>
      <c r="U164" s="10"/>
      <c r="V164" s="10"/>
      <c r="W164" s="10"/>
      <c r="X164" s="10"/>
      <c r="Y164" s="10"/>
      <c r="Z164" s="10"/>
    </row>
    <row r="165" spans="1:26" ht="12.75" customHeight="1" x14ac:dyDescent="0.2">
      <c r="A165" s="10"/>
      <c r="B165" s="21" t="s">
        <v>204</v>
      </c>
      <c r="C165" s="45" t="s">
        <v>205</v>
      </c>
      <c r="D165" s="32"/>
      <c r="E165" s="22"/>
      <c r="F165" s="22"/>
      <c r="G165" s="22"/>
      <c r="H165" s="22"/>
      <c r="I165" s="22"/>
      <c r="J165" s="22"/>
      <c r="K165" s="22"/>
      <c r="L165" s="22"/>
      <c r="M165" s="24"/>
      <c r="N165" s="10"/>
      <c r="O165" s="10"/>
      <c r="P165" s="10"/>
      <c r="Q165" s="10"/>
      <c r="R165" s="10"/>
      <c r="S165" s="10"/>
      <c r="T165" s="10"/>
      <c r="U165" s="10"/>
      <c r="V165" s="10"/>
      <c r="W165" s="10"/>
      <c r="X165" s="10"/>
      <c r="Y165" s="10"/>
      <c r="Z165" s="10"/>
    </row>
    <row r="166" spans="1:26" ht="12.75" customHeight="1" x14ac:dyDescent="0.2">
      <c r="A166" s="10"/>
      <c r="B166" s="21"/>
      <c r="C166" s="22" t="s">
        <v>206</v>
      </c>
      <c r="D166" s="32" t="s">
        <v>207</v>
      </c>
      <c r="E166" s="22" t="s">
        <v>198</v>
      </c>
      <c r="F166" s="67">
        <v>53219</v>
      </c>
      <c r="G166" s="22" t="s">
        <v>142</v>
      </c>
      <c r="H166" s="67">
        <v>138465</v>
      </c>
      <c r="I166" s="22" t="s">
        <v>208</v>
      </c>
      <c r="J166" s="111">
        <v>7368.9688349999997</v>
      </c>
      <c r="K166" s="112">
        <v>623.17072477230727</v>
      </c>
      <c r="L166" s="113">
        <v>0.03</v>
      </c>
      <c r="M166" s="114">
        <v>0.01</v>
      </c>
      <c r="N166" s="10"/>
      <c r="O166" s="10"/>
      <c r="P166" s="10"/>
      <c r="Q166" s="10"/>
      <c r="R166" s="10"/>
      <c r="S166" s="10"/>
      <c r="T166" s="10"/>
      <c r="U166" s="10"/>
      <c r="V166" s="10"/>
      <c r="W166" s="10"/>
      <c r="X166" s="10"/>
      <c r="Y166" s="10"/>
      <c r="Z166" s="10"/>
    </row>
    <row r="167" spans="1:26" ht="12.75" customHeight="1" x14ac:dyDescent="0.2">
      <c r="A167" s="10"/>
      <c r="B167" s="21"/>
      <c r="C167" s="22"/>
      <c r="D167" s="32"/>
      <c r="E167" s="22"/>
      <c r="F167" s="22"/>
      <c r="G167" s="22"/>
      <c r="H167" s="22"/>
      <c r="I167" s="22"/>
      <c r="J167" s="22"/>
      <c r="K167" s="22"/>
      <c r="L167" s="22"/>
      <c r="M167" s="114"/>
      <c r="N167" s="10"/>
      <c r="O167" s="10"/>
      <c r="P167" s="10"/>
      <c r="Q167" s="10"/>
      <c r="R167" s="10"/>
      <c r="S167" s="10"/>
      <c r="T167" s="10"/>
      <c r="U167" s="10"/>
      <c r="V167" s="10"/>
      <c r="W167" s="10"/>
      <c r="X167" s="10"/>
      <c r="Y167" s="10"/>
      <c r="Z167" s="10"/>
    </row>
    <row r="168" spans="1:26" ht="12.75" customHeight="1" x14ac:dyDescent="0.2">
      <c r="A168" s="10"/>
      <c r="B168" s="21"/>
      <c r="C168" s="22" t="s">
        <v>209</v>
      </c>
      <c r="D168" s="32" t="s">
        <v>210</v>
      </c>
      <c r="E168" s="22" t="s">
        <v>198</v>
      </c>
      <c r="F168" s="67">
        <v>34860</v>
      </c>
      <c r="G168" s="22" t="s">
        <v>142</v>
      </c>
      <c r="H168" s="67">
        <v>138451</v>
      </c>
      <c r="I168" s="22" t="s">
        <v>208</v>
      </c>
      <c r="J168" s="68">
        <v>4826.4018599999999</v>
      </c>
      <c r="K168" s="71">
        <v>393.48</v>
      </c>
      <c r="L168" s="71">
        <v>0.02</v>
      </c>
      <c r="M168" s="90">
        <v>0</v>
      </c>
      <c r="N168" s="10"/>
      <c r="O168" s="10"/>
      <c r="P168" s="10"/>
      <c r="Q168" s="10"/>
      <c r="R168" s="10"/>
      <c r="S168" s="10"/>
      <c r="T168" s="10"/>
      <c r="U168" s="10"/>
      <c r="V168" s="10"/>
      <c r="W168" s="10"/>
      <c r="X168" s="10"/>
      <c r="Y168" s="10"/>
      <c r="Z168" s="10"/>
    </row>
    <row r="169" spans="1:26" ht="12.75" customHeight="1" x14ac:dyDescent="0.2">
      <c r="A169" s="10"/>
      <c r="B169" s="21"/>
      <c r="C169" s="22"/>
      <c r="D169" s="32"/>
      <c r="E169" s="22"/>
      <c r="F169" s="22"/>
      <c r="G169" s="22"/>
      <c r="H169" s="22"/>
      <c r="I169" s="22"/>
      <c r="J169" s="81"/>
      <c r="K169" s="22"/>
      <c r="L169" s="71"/>
      <c r="M169" s="114"/>
      <c r="N169" s="10"/>
      <c r="O169" s="10"/>
      <c r="P169" s="10"/>
      <c r="Q169" s="10"/>
      <c r="R169" s="10"/>
      <c r="S169" s="10"/>
      <c r="T169" s="10"/>
      <c r="U169" s="10"/>
      <c r="V169" s="10"/>
      <c r="W169" s="10"/>
      <c r="X169" s="10"/>
      <c r="Y169" s="10"/>
      <c r="Z169" s="10"/>
    </row>
    <row r="170" spans="1:26" ht="12.75" customHeight="1" x14ac:dyDescent="0.2">
      <c r="A170" s="10"/>
      <c r="B170" s="21"/>
      <c r="C170" s="22" t="s">
        <v>211</v>
      </c>
      <c r="D170" s="32" t="s">
        <v>212</v>
      </c>
      <c r="E170" s="22" t="s">
        <v>198</v>
      </c>
      <c r="F170" s="67">
        <v>130151</v>
      </c>
      <c r="G170" s="22" t="s">
        <v>142</v>
      </c>
      <c r="H170" s="67">
        <v>138411</v>
      </c>
      <c r="I170" s="22" t="s">
        <v>208</v>
      </c>
      <c r="J170" s="68">
        <v>18014.330061000001</v>
      </c>
      <c r="K170" s="87">
        <v>1468.64</v>
      </c>
      <c r="L170" s="71">
        <v>0.06</v>
      </c>
      <c r="M170" s="90">
        <v>0.01</v>
      </c>
      <c r="N170" s="10"/>
      <c r="O170" s="10"/>
      <c r="P170" s="10"/>
      <c r="Q170" s="10"/>
      <c r="R170" s="10"/>
      <c r="S170" s="10"/>
      <c r="T170" s="10"/>
      <c r="U170" s="10"/>
      <c r="V170" s="10"/>
      <c r="W170" s="10"/>
      <c r="X170" s="10"/>
      <c r="Y170" s="10"/>
      <c r="Z170" s="10"/>
    </row>
    <row r="171" spans="1:26" ht="12.75" customHeight="1" x14ac:dyDescent="0.2">
      <c r="A171" s="10"/>
      <c r="B171" s="21"/>
      <c r="C171" s="22"/>
      <c r="D171" s="32"/>
      <c r="E171" s="22"/>
      <c r="F171" s="111"/>
      <c r="G171" s="22"/>
      <c r="H171" s="111"/>
      <c r="I171" s="22"/>
      <c r="J171" s="36"/>
      <c r="K171" s="71"/>
      <c r="L171" s="22"/>
      <c r="M171" s="24"/>
      <c r="N171" s="10"/>
      <c r="O171" s="10"/>
      <c r="P171" s="10"/>
      <c r="Q171" s="10"/>
      <c r="R171" s="10"/>
      <c r="S171" s="10"/>
      <c r="T171" s="10"/>
      <c r="U171" s="10"/>
      <c r="V171" s="10"/>
      <c r="W171" s="10"/>
      <c r="X171" s="10"/>
      <c r="Y171" s="10"/>
      <c r="Z171" s="10"/>
    </row>
    <row r="172" spans="1:26" ht="12.75" customHeight="1" x14ac:dyDescent="0.2">
      <c r="A172" s="10"/>
      <c r="B172" s="25"/>
      <c r="C172" s="27"/>
      <c r="D172" s="47"/>
      <c r="E172" s="27"/>
      <c r="F172" s="27"/>
      <c r="G172" s="27"/>
      <c r="H172" s="27"/>
      <c r="I172" s="27"/>
      <c r="J172" s="27"/>
      <c r="K172" s="27"/>
      <c r="L172" s="27"/>
      <c r="M172" s="31"/>
      <c r="N172" s="10"/>
      <c r="O172" s="10"/>
      <c r="P172" s="10"/>
      <c r="Q172" s="10"/>
      <c r="R172" s="10"/>
      <c r="S172" s="10"/>
      <c r="T172" s="10"/>
      <c r="U172" s="10"/>
      <c r="V172" s="10"/>
      <c r="W172" s="10"/>
      <c r="X172" s="10"/>
      <c r="Y172" s="10"/>
      <c r="Z172" s="10"/>
    </row>
    <row r="173" spans="1:26" ht="12.75" customHeight="1" x14ac:dyDescent="0.2">
      <c r="A173" s="10"/>
      <c r="B173" s="21" t="s">
        <v>123</v>
      </c>
      <c r="C173" s="45" t="s">
        <v>124</v>
      </c>
      <c r="D173" s="32"/>
      <c r="E173" s="22"/>
      <c r="F173" s="22"/>
      <c r="G173" s="22"/>
      <c r="H173" s="22"/>
      <c r="I173" s="22"/>
      <c r="J173" s="22"/>
      <c r="K173" s="22"/>
      <c r="L173" s="22"/>
      <c r="M173" s="24"/>
      <c r="N173" s="10"/>
      <c r="O173" s="10"/>
      <c r="P173" s="10"/>
      <c r="Q173" s="10"/>
      <c r="R173" s="10"/>
      <c r="S173" s="10"/>
      <c r="T173" s="10"/>
      <c r="U173" s="10"/>
      <c r="V173" s="10"/>
      <c r="W173" s="10"/>
      <c r="X173" s="10"/>
      <c r="Y173" s="10"/>
      <c r="Z173" s="10"/>
    </row>
    <row r="174" spans="1:26" ht="12.75" customHeight="1" x14ac:dyDescent="0.2">
      <c r="A174" s="10"/>
      <c r="B174" s="21"/>
      <c r="C174" s="22" t="s">
        <v>125</v>
      </c>
      <c r="D174" s="32" t="s">
        <v>126</v>
      </c>
      <c r="E174" s="22" t="s">
        <v>198</v>
      </c>
      <c r="F174" s="67">
        <v>183120</v>
      </c>
      <c r="G174" s="22" t="s">
        <v>142</v>
      </c>
      <c r="H174" s="111">
        <v>139181</v>
      </c>
      <c r="I174" s="22" t="s">
        <v>208</v>
      </c>
      <c r="J174" s="23">
        <v>25486.824720000001</v>
      </c>
      <c r="K174" s="36">
        <v>2516.8517722481024</v>
      </c>
      <c r="L174" s="115">
        <v>8.4283249221465045E-2</v>
      </c>
      <c r="M174" s="104">
        <v>1.6856649844293008E-2</v>
      </c>
      <c r="N174" s="10"/>
      <c r="O174" s="10"/>
      <c r="P174" s="10"/>
      <c r="Q174" s="10"/>
      <c r="R174" s="10"/>
      <c r="S174" s="10"/>
      <c r="T174" s="10"/>
      <c r="U174" s="10"/>
      <c r="V174" s="10"/>
      <c r="W174" s="10"/>
      <c r="X174" s="10"/>
      <c r="Y174" s="10"/>
      <c r="Z174" s="10"/>
    </row>
    <row r="175" spans="1:26" ht="12.75" customHeight="1" x14ac:dyDescent="0.2">
      <c r="A175" s="10"/>
      <c r="B175" s="21"/>
      <c r="C175" s="22"/>
      <c r="D175" s="32"/>
      <c r="E175" s="22"/>
      <c r="F175" s="22"/>
      <c r="G175" s="22"/>
      <c r="H175" s="22"/>
      <c r="I175" s="22"/>
      <c r="J175" s="22"/>
      <c r="K175" s="22"/>
      <c r="L175" s="22"/>
      <c r="M175" s="24"/>
      <c r="N175" s="10"/>
      <c r="O175" s="10"/>
      <c r="P175" s="10"/>
      <c r="Q175" s="10"/>
      <c r="R175" s="10"/>
      <c r="S175" s="10"/>
      <c r="T175" s="10"/>
      <c r="U175" s="10"/>
      <c r="V175" s="10"/>
      <c r="W175" s="10"/>
      <c r="X175" s="10"/>
      <c r="Y175" s="10"/>
      <c r="Z175" s="10"/>
    </row>
    <row r="176" spans="1:26" ht="12.75" customHeight="1" x14ac:dyDescent="0.2">
      <c r="A176" s="10"/>
      <c r="B176" s="21"/>
      <c r="C176" s="22" t="s">
        <v>127</v>
      </c>
      <c r="D176" s="32" t="s">
        <v>128</v>
      </c>
      <c r="E176" s="22" t="s">
        <v>198</v>
      </c>
      <c r="F176" s="67">
        <v>173460</v>
      </c>
      <c r="G176" s="22" t="s">
        <v>142</v>
      </c>
      <c r="H176" s="111">
        <v>139181</v>
      </c>
      <c r="I176" s="22" t="s">
        <v>208</v>
      </c>
      <c r="J176" s="23">
        <v>24142.33626</v>
      </c>
      <c r="K176" s="36">
        <v>2384.0808824782107</v>
      </c>
      <c r="L176" s="115">
        <v>7.9837114514828139E-2</v>
      </c>
      <c r="M176" s="104">
        <v>1.5967422902965624E-2</v>
      </c>
      <c r="N176" s="10"/>
      <c r="O176" s="10"/>
      <c r="P176" s="10"/>
      <c r="Q176" s="10"/>
      <c r="R176" s="10"/>
      <c r="S176" s="10"/>
      <c r="T176" s="10"/>
      <c r="U176" s="10"/>
      <c r="V176" s="10"/>
      <c r="W176" s="10"/>
      <c r="X176" s="10"/>
      <c r="Y176" s="10"/>
      <c r="Z176" s="10"/>
    </row>
    <row r="177" spans="1:26" ht="12.75" customHeight="1" x14ac:dyDescent="0.2">
      <c r="A177" s="10"/>
      <c r="B177" s="21"/>
      <c r="C177" s="22"/>
      <c r="D177" s="32"/>
      <c r="E177" s="22"/>
      <c r="F177" s="22"/>
      <c r="G177" s="22"/>
      <c r="H177" s="22"/>
      <c r="I177" s="22"/>
      <c r="J177" s="22"/>
      <c r="K177" s="22"/>
      <c r="L177" s="22"/>
      <c r="M177" s="24"/>
      <c r="N177" s="10"/>
      <c r="O177" s="10"/>
      <c r="P177" s="10"/>
      <c r="Q177" s="10"/>
      <c r="R177" s="10"/>
      <c r="S177" s="10"/>
      <c r="T177" s="10"/>
      <c r="U177" s="10"/>
      <c r="V177" s="10"/>
      <c r="W177" s="10"/>
      <c r="X177" s="10"/>
      <c r="Y177" s="10"/>
      <c r="Z177" s="10"/>
    </row>
    <row r="178" spans="1:26" ht="12.75" customHeight="1" x14ac:dyDescent="0.2">
      <c r="A178" s="10"/>
      <c r="B178" s="21"/>
      <c r="C178" s="22" t="s">
        <v>129</v>
      </c>
      <c r="D178" s="32" t="s">
        <v>130</v>
      </c>
      <c r="E178" s="22" t="s">
        <v>198</v>
      </c>
      <c r="F178" s="67">
        <v>279720</v>
      </c>
      <c r="G178" s="22" t="s">
        <v>142</v>
      </c>
      <c r="H178" s="111">
        <v>139181</v>
      </c>
      <c r="I178" s="22" t="s">
        <v>208</v>
      </c>
      <c r="J178" s="23">
        <v>38931.709320000002</v>
      </c>
      <c r="K178" s="36">
        <v>3844.548083468168</v>
      </c>
      <c r="L178" s="115">
        <v>0.12874459628783422</v>
      </c>
      <c r="M178" s="104">
        <v>2.5748919257566841E-2</v>
      </c>
      <c r="N178" s="10"/>
      <c r="O178" s="10"/>
      <c r="P178" s="10"/>
      <c r="Q178" s="10"/>
      <c r="R178" s="10"/>
      <c r="S178" s="10"/>
      <c r="T178" s="10"/>
      <c r="U178" s="10"/>
      <c r="V178" s="10"/>
      <c r="W178" s="10"/>
      <c r="X178" s="10"/>
      <c r="Y178" s="10"/>
      <c r="Z178" s="10"/>
    </row>
    <row r="179" spans="1:26" ht="12.75" customHeight="1" x14ac:dyDescent="0.2">
      <c r="A179" s="10"/>
      <c r="B179" s="21"/>
      <c r="C179" s="22"/>
      <c r="D179" s="32"/>
      <c r="E179" s="22"/>
      <c r="F179" s="22"/>
      <c r="G179" s="22"/>
      <c r="H179" s="22"/>
      <c r="I179" s="22"/>
      <c r="J179" s="22"/>
      <c r="K179" s="22"/>
      <c r="L179" s="22"/>
      <c r="M179" s="24"/>
      <c r="N179" s="10"/>
      <c r="O179" s="10"/>
      <c r="P179" s="10"/>
      <c r="Q179" s="10"/>
      <c r="R179" s="10"/>
      <c r="S179" s="10"/>
      <c r="T179" s="10"/>
      <c r="U179" s="10"/>
      <c r="V179" s="10"/>
      <c r="W179" s="10"/>
      <c r="X179" s="10"/>
      <c r="Y179" s="10"/>
      <c r="Z179" s="10"/>
    </row>
    <row r="180" spans="1:26" ht="12.75" customHeight="1" x14ac:dyDescent="0.2">
      <c r="A180" s="10"/>
      <c r="B180" s="21"/>
      <c r="C180" s="22" t="s">
        <v>213</v>
      </c>
      <c r="D180" s="32" t="s">
        <v>212</v>
      </c>
      <c r="E180" s="22" t="s">
        <v>198</v>
      </c>
      <c r="F180" s="67">
        <v>55212</v>
      </c>
      <c r="G180" s="22" t="s">
        <v>142</v>
      </c>
      <c r="H180" s="111">
        <v>139181</v>
      </c>
      <c r="I180" s="22" t="s">
        <v>208</v>
      </c>
      <c r="J180" s="72">
        <v>7684.4613719999998</v>
      </c>
      <c r="K180" s="71">
        <v>626</v>
      </c>
      <c r="L180" s="89">
        <v>2.0701407331935825E-3</v>
      </c>
      <c r="M180" s="114">
        <v>4.1402814663871646E-4</v>
      </c>
      <c r="N180" s="10"/>
      <c r="O180" s="10"/>
      <c r="P180" s="10"/>
      <c r="Q180" s="10"/>
      <c r="R180" s="10"/>
      <c r="S180" s="10"/>
      <c r="T180" s="10"/>
      <c r="U180" s="10"/>
      <c r="V180" s="10"/>
      <c r="W180" s="10"/>
      <c r="X180" s="10"/>
      <c r="Y180" s="10"/>
      <c r="Z180" s="10"/>
    </row>
    <row r="181" spans="1:26" ht="12.75" customHeight="1" x14ac:dyDescent="0.2">
      <c r="A181" s="10"/>
      <c r="B181" s="21"/>
      <c r="C181" s="22"/>
      <c r="D181" s="32"/>
      <c r="E181" s="22"/>
      <c r="F181" s="22"/>
      <c r="G181" s="22"/>
      <c r="H181" s="22"/>
      <c r="I181" s="22"/>
      <c r="J181" s="22"/>
      <c r="K181" s="22"/>
      <c r="L181" s="22"/>
      <c r="M181" s="24"/>
      <c r="N181" s="10"/>
      <c r="O181" s="10"/>
      <c r="P181" s="10"/>
      <c r="Q181" s="10"/>
      <c r="R181" s="10"/>
      <c r="S181" s="10"/>
      <c r="T181" s="10"/>
      <c r="U181" s="10"/>
      <c r="V181" s="10"/>
      <c r="W181" s="10"/>
      <c r="X181" s="10"/>
      <c r="Y181" s="10"/>
      <c r="Z181" s="10"/>
    </row>
    <row r="182" spans="1:26" ht="12.75" customHeight="1" x14ac:dyDescent="0.2">
      <c r="A182" s="10"/>
      <c r="B182" s="25"/>
      <c r="C182" s="27"/>
      <c r="D182" s="47"/>
      <c r="E182" s="27"/>
      <c r="F182" s="27"/>
      <c r="G182" s="27"/>
      <c r="H182" s="27"/>
      <c r="I182" s="27"/>
      <c r="J182" s="27"/>
      <c r="K182" s="27"/>
      <c r="L182" s="27"/>
      <c r="M182" s="31"/>
      <c r="N182" s="10"/>
      <c r="O182" s="10"/>
      <c r="P182" s="10"/>
      <c r="Q182" s="10"/>
      <c r="R182" s="10"/>
      <c r="S182" s="10"/>
      <c r="T182" s="10"/>
      <c r="U182" s="10"/>
      <c r="V182" s="10"/>
      <c r="W182" s="10"/>
      <c r="X182" s="10"/>
      <c r="Y182" s="10"/>
      <c r="Z182" s="10"/>
    </row>
    <row r="183" spans="1:26" ht="12.75" customHeight="1" x14ac:dyDescent="0.2">
      <c r="A183" s="10"/>
      <c r="B183" s="21" t="s">
        <v>214</v>
      </c>
      <c r="C183" s="45" t="s">
        <v>215</v>
      </c>
      <c r="D183" s="32"/>
      <c r="E183" s="22"/>
      <c r="F183" s="22"/>
      <c r="G183" s="22"/>
      <c r="H183" s="22"/>
      <c r="I183" s="22"/>
      <c r="J183" s="22"/>
      <c r="K183" s="22"/>
      <c r="L183" s="22"/>
      <c r="M183" s="24"/>
      <c r="N183" s="10"/>
      <c r="O183" s="10"/>
      <c r="P183" s="10"/>
      <c r="Q183" s="10"/>
      <c r="R183" s="10"/>
      <c r="S183" s="10"/>
      <c r="T183" s="10"/>
      <c r="U183" s="10"/>
      <c r="V183" s="10"/>
      <c r="W183" s="10"/>
      <c r="X183" s="10"/>
      <c r="Y183" s="10"/>
      <c r="Z183" s="10"/>
    </row>
    <row r="184" spans="1:26" ht="12.75" customHeight="1" x14ac:dyDescent="0.2">
      <c r="A184" s="10"/>
      <c r="B184" s="21"/>
      <c r="C184" s="22" t="s">
        <v>216</v>
      </c>
      <c r="D184" s="32" t="s">
        <v>217</v>
      </c>
      <c r="E184" s="22" t="s">
        <v>198</v>
      </c>
      <c r="F184" s="67">
        <v>1638420</v>
      </c>
      <c r="G184" s="22" t="s">
        <v>142</v>
      </c>
      <c r="H184" s="111">
        <v>139181</v>
      </c>
      <c r="I184" s="22" t="s">
        <v>208</v>
      </c>
      <c r="J184" s="23">
        <v>228036.93401999999</v>
      </c>
      <c r="K184" s="36">
        <v>17136.712688158765</v>
      </c>
      <c r="L184" s="115">
        <v>0.75410310828654847</v>
      </c>
      <c r="M184" s="94">
        <v>0.15082062165730967</v>
      </c>
      <c r="N184" s="10"/>
      <c r="O184" s="10"/>
      <c r="P184" s="10"/>
      <c r="Q184" s="10"/>
      <c r="R184" s="10"/>
      <c r="S184" s="10"/>
      <c r="T184" s="10"/>
      <c r="U184" s="10"/>
      <c r="V184" s="10"/>
      <c r="W184" s="10"/>
      <c r="X184" s="10"/>
      <c r="Y184" s="10"/>
      <c r="Z184" s="10"/>
    </row>
    <row r="185" spans="1:26" ht="12.75" customHeight="1" x14ac:dyDescent="0.2">
      <c r="A185" s="10"/>
      <c r="B185" s="21"/>
      <c r="C185" s="22"/>
      <c r="D185" s="32"/>
      <c r="E185" s="22"/>
      <c r="F185" s="22"/>
      <c r="G185" s="22"/>
      <c r="H185" s="22"/>
      <c r="I185" s="22"/>
      <c r="J185" s="22"/>
      <c r="K185" s="22"/>
      <c r="L185" s="22"/>
      <c r="M185" s="24"/>
      <c r="N185" s="10"/>
      <c r="O185" s="10"/>
      <c r="P185" s="10"/>
      <c r="Q185" s="10"/>
      <c r="R185" s="10"/>
      <c r="S185" s="10"/>
      <c r="T185" s="10"/>
      <c r="U185" s="10"/>
      <c r="V185" s="10"/>
      <c r="W185" s="10"/>
      <c r="X185" s="10"/>
      <c r="Y185" s="10"/>
      <c r="Z185" s="10"/>
    </row>
    <row r="186" spans="1:26" ht="12.75" customHeight="1" x14ac:dyDescent="0.2">
      <c r="A186" s="10"/>
      <c r="B186" s="21"/>
      <c r="C186" s="22"/>
      <c r="D186" s="32" t="s">
        <v>159</v>
      </c>
      <c r="E186" s="22" t="s">
        <v>198</v>
      </c>
      <c r="F186" s="67">
        <v>1167180</v>
      </c>
      <c r="G186" s="22" t="s">
        <v>142</v>
      </c>
      <c r="H186" s="111">
        <v>139181</v>
      </c>
      <c r="I186" s="22" t="s">
        <v>208</v>
      </c>
      <c r="J186" s="23">
        <v>162449.27958</v>
      </c>
      <c r="K186" s="36">
        <v>10478.670150563274</v>
      </c>
      <c r="L186" s="115">
        <v>0.53720905868452151</v>
      </c>
      <c r="M186" s="94">
        <v>0.10744181173690427</v>
      </c>
      <c r="N186" s="10"/>
      <c r="O186" s="10"/>
      <c r="P186" s="10"/>
      <c r="Q186" s="10"/>
      <c r="R186" s="10"/>
      <c r="S186" s="10"/>
      <c r="T186" s="10"/>
      <c r="U186" s="10"/>
      <c r="V186" s="10"/>
      <c r="W186" s="10"/>
      <c r="X186" s="10"/>
      <c r="Y186" s="10"/>
      <c r="Z186" s="10"/>
    </row>
    <row r="187" spans="1:26" ht="12.75" customHeight="1" x14ac:dyDescent="0.2">
      <c r="A187" s="10"/>
      <c r="B187" s="21"/>
      <c r="C187" s="22"/>
      <c r="D187" s="32"/>
      <c r="E187" s="22"/>
      <c r="F187" s="22"/>
      <c r="G187" s="22"/>
      <c r="H187" s="22"/>
      <c r="I187" s="22"/>
      <c r="J187" s="22"/>
      <c r="K187" s="22"/>
      <c r="L187" s="22"/>
      <c r="M187" s="24"/>
      <c r="N187" s="10"/>
      <c r="O187" s="10"/>
      <c r="P187" s="10"/>
      <c r="Q187" s="10"/>
      <c r="R187" s="10"/>
      <c r="S187" s="10"/>
      <c r="T187" s="10"/>
      <c r="U187" s="10"/>
      <c r="V187" s="10"/>
      <c r="W187" s="10"/>
      <c r="X187" s="10"/>
      <c r="Y187" s="10"/>
      <c r="Z187" s="10"/>
    </row>
    <row r="188" spans="1:26" ht="12.75" customHeight="1" x14ac:dyDescent="0.2">
      <c r="A188" s="10"/>
      <c r="B188" s="25"/>
      <c r="C188" s="27"/>
      <c r="D188" s="47"/>
      <c r="E188" s="27"/>
      <c r="F188" s="27"/>
      <c r="G188" s="27"/>
      <c r="H188" s="27"/>
      <c r="I188" s="27"/>
      <c r="J188" s="27"/>
      <c r="K188" s="27"/>
      <c r="L188" s="27"/>
      <c r="M188" s="31"/>
      <c r="N188" s="10"/>
      <c r="O188" s="10"/>
      <c r="P188" s="10"/>
      <c r="Q188" s="10"/>
      <c r="R188" s="10"/>
      <c r="S188" s="10"/>
      <c r="T188" s="10"/>
      <c r="U188" s="10"/>
      <c r="V188" s="10"/>
      <c r="W188" s="10"/>
      <c r="X188" s="10"/>
      <c r="Y188" s="10"/>
      <c r="Z188" s="10"/>
    </row>
    <row r="189" spans="1:26" ht="12.75" customHeight="1" x14ac:dyDescent="0.2">
      <c r="A189" s="10"/>
      <c r="B189" s="21" t="s">
        <v>131</v>
      </c>
      <c r="C189" s="45" t="s">
        <v>132</v>
      </c>
      <c r="D189" s="32"/>
      <c r="E189" s="22"/>
      <c r="F189" s="22"/>
      <c r="G189" s="22"/>
      <c r="H189" s="22"/>
      <c r="I189" s="22"/>
      <c r="J189" s="22"/>
      <c r="K189" s="22"/>
      <c r="L189" s="22"/>
      <c r="M189" s="24"/>
      <c r="N189" s="10"/>
      <c r="O189" s="10"/>
      <c r="P189" s="10"/>
      <c r="Q189" s="10"/>
      <c r="R189" s="10"/>
      <c r="S189" s="10"/>
      <c r="T189" s="10"/>
      <c r="U189" s="10"/>
      <c r="V189" s="10"/>
      <c r="W189" s="10"/>
      <c r="X189" s="10"/>
      <c r="Y189" s="10"/>
      <c r="Z189" s="10"/>
    </row>
    <row r="190" spans="1:26" ht="12.75" customHeight="1" x14ac:dyDescent="0.2">
      <c r="A190" s="10"/>
      <c r="B190" s="21"/>
      <c r="C190" s="22" t="s">
        <v>133</v>
      </c>
      <c r="D190" s="32" t="s">
        <v>95</v>
      </c>
      <c r="E190" s="22" t="s">
        <v>198</v>
      </c>
      <c r="F190" s="67">
        <v>150606</v>
      </c>
      <c r="G190" s="22" t="s">
        <v>142</v>
      </c>
      <c r="H190" s="111">
        <v>138308.39499999999</v>
      </c>
      <c r="I190" s="22" t="s">
        <v>208</v>
      </c>
      <c r="J190" s="23">
        <v>20830.07413737</v>
      </c>
      <c r="K190" s="36">
        <v>2059.9556464972366</v>
      </c>
      <c r="L190" s="115">
        <v>0.24299895533577917</v>
      </c>
      <c r="M190" s="104">
        <v>3.5349127523013682E-2</v>
      </c>
      <c r="N190" s="10"/>
      <c r="O190" s="10"/>
      <c r="P190" s="10"/>
      <c r="Q190" s="10"/>
      <c r="R190" s="10"/>
      <c r="S190" s="10"/>
      <c r="T190" s="10"/>
      <c r="U190" s="10"/>
      <c r="V190" s="10"/>
      <c r="W190" s="10"/>
      <c r="X190" s="10"/>
      <c r="Y190" s="10"/>
      <c r="Z190" s="10"/>
    </row>
    <row r="191" spans="1:26" ht="12.75" customHeight="1" x14ac:dyDescent="0.2">
      <c r="A191" s="10"/>
      <c r="B191" s="21"/>
      <c r="C191" s="22"/>
      <c r="D191" s="32"/>
      <c r="E191" s="22"/>
      <c r="F191" s="22"/>
      <c r="G191" s="22"/>
      <c r="H191" s="22"/>
      <c r="I191" s="22"/>
      <c r="J191" s="36"/>
      <c r="K191" s="111"/>
      <c r="L191" s="22"/>
      <c r="M191" s="24"/>
      <c r="N191" s="10"/>
      <c r="O191" s="10"/>
      <c r="P191" s="10"/>
      <c r="Q191" s="10"/>
      <c r="R191" s="10"/>
      <c r="S191" s="10"/>
      <c r="T191" s="10"/>
      <c r="U191" s="10"/>
      <c r="V191" s="10"/>
      <c r="W191" s="10"/>
      <c r="X191" s="10"/>
      <c r="Y191" s="10"/>
      <c r="Z191" s="10"/>
    </row>
    <row r="192" spans="1:26" ht="12.75" customHeight="1" x14ac:dyDescent="0.2">
      <c r="A192" s="10"/>
      <c r="B192" s="21"/>
      <c r="C192" s="22" t="s">
        <v>134</v>
      </c>
      <c r="D192" s="32" t="s">
        <v>99</v>
      </c>
      <c r="E192" s="22" t="s">
        <v>198</v>
      </c>
      <c r="F192" s="67">
        <v>174225</v>
      </c>
      <c r="G192" s="22" t="s">
        <v>142</v>
      </c>
      <c r="H192" s="111">
        <v>138308.39499999999</v>
      </c>
      <c r="I192" s="22" t="s">
        <v>208</v>
      </c>
      <c r="J192" s="23">
        <v>24096.780118875002</v>
      </c>
      <c r="K192" s="36">
        <v>2458.7696060821008</v>
      </c>
      <c r="L192" s="115">
        <v>0.29033380661757069</v>
      </c>
      <c r="M192" s="104">
        <v>4.2231950931318783E-2</v>
      </c>
      <c r="N192" s="10"/>
      <c r="O192" s="10"/>
      <c r="P192" s="10"/>
      <c r="Q192" s="10"/>
      <c r="R192" s="10"/>
      <c r="S192" s="10"/>
      <c r="T192" s="10"/>
      <c r="U192" s="10"/>
      <c r="V192" s="10"/>
      <c r="W192" s="10"/>
      <c r="X192" s="10"/>
      <c r="Y192" s="10"/>
      <c r="Z192" s="10"/>
    </row>
    <row r="193" spans="1:26" ht="12.75" customHeight="1" x14ac:dyDescent="0.2">
      <c r="A193" s="10"/>
      <c r="B193" s="21"/>
      <c r="C193" s="22"/>
      <c r="D193" s="32"/>
      <c r="E193" s="22"/>
      <c r="F193" s="22"/>
      <c r="G193" s="22"/>
      <c r="H193" s="22"/>
      <c r="I193" s="22"/>
      <c r="J193" s="22"/>
      <c r="K193" s="22"/>
      <c r="L193" s="22"/>
      <c r="M193" s="24"/>
      <c r="N193" s="10"/>
      <c r="O193" s="10"/>
      <c r="P193" s="10"/>
      <c r="Q193" s="10"/>
      <c r="R193" s="10"/>
      <c r="S193" s="10"/>
      <c r="T193" s="10"/>
      <c r="U193" s="10"/>
      <c r="V193" s="10"/>
      <c r="W193" s="10"/>
      <c r="X193" s="10"/>
      <c r="Y193" s="10"/>
      <c r="Z193" s="10"/>
    </row>
    <row r="194" spans="1:26" ht="12.75" customHeight="1" x14ac:dyDescent="0.2">
      <c r="A194" s="10"/>
      <c r="B194" s="21"/>
      <c r="C194" s="22" t="s">
        <v>218</v>
      </c>
      <c r="D194" s="32" t="s">
        <v>219</v>
      </c>
      <c r="E194" s="22" t="s">
        <v>198</v>
      </c>
      <c r="F194" s="67">
        <v>197104</v>
      </c>
      <c r="G194" s="22" t="s">
        <v>142</v>
      </c>
      <c r="H194" s="111">
        <v>138308.39499999999</v>
      </c>
      <c r="I194" s="22" t="s">
        <v>208</v>
      </c>
      <c r="J194" s="87">
        <v>27261.137888079997</v>
      </c>
      <c r="K194" s="87">
        <v>2223</v>
      </c>
      <c r="L194" s="71">
        <v>0.09</v>
      </c>
      <c r="M194" s="116">
        <v>0.02</v>
      </c>
      <c r="N194" s="10"/>
      <c r="O194" s="10"/>
      <c r="P194" s="10"/>
      <c r="Q194" s="10"/>
      <c r="R194" s="10"/>
      <c r="S194" s="10"/>
      <c r="T194" s="10"/>
      <c r="U194" s="10"/>
      <c r="V194" s="10"/>
      <c r="W194" s="10"/>
      <c r="X194" s="10"/>
      <c r="Y194" s="10"/>
      <c r="Z194" s="10"/>
    </row>
    <row r="195" spans="1:26" ht="12.75" customHeight="1" x14ac:dyDescent="0.2">
      <c r="A195" s="10"/>
      <c r="B195" s="21"/>
      <c r="C195" s="22" t="s">
        <v>220</v>
      </c>
      <c r="D195" s="32" t="s">
        <v>217</v>
      </c>
      <c r="E195" s="22" t="s">
        <v>198</v>
      </c>
      <c r="F195" s="67">
        <v>349049</v>
      </c>
      <c r="G195" s="22" t="s">
        <v>142</v>
      </c>
      <c r="H195" s="111">
        <v>138308.39499999999</v>
      </c>
      <c r="I195" s="22" t="s">
        <v>208</v>
      </c>
      <c r="J195" s="23">
        <v>48276.406966354996</v>
      </c>
      <c r="K195" s="87">
        <v>3936</v>
      </c>
      <c r="L195" s="71">
        <v>0.16</v>
      </c>
      <c r="M195" s="116">
        <v>0.03</v>
      </c>
      <c r="N195" s="10"/>
      <c r="O195" s="10"/>
      <c r="P195" s="10"/>
      <c r="Q195" s="10"/>
      <c r="R195" s="10"/>
      <c r="S195" s="10"/>
      <c r="T195" s="10"/>
      <c r="U195" s="10"/>
      <c r="V195" s="10"/>
      <c r="W195" s="10"/>
      <c r="X195" s="10"/>
      <c r="Y195" s="10"/>
      <c r="Z195" s="10"/>
    </row>
    <row r="196" spans="1:26" ht="12.75" customHeight="1" x14ac:dyDescent="0.2">
      <c r="A196" s="10"/>
      <c r="B196" s="21"/>
      <c r="C196" s="22" t="s">
        <v>221</v>
      </c>
      <c r="D196" s="32" t="s">
        <v>159</v>
      </c>
      <c r="E196" s="22" t="s">
        <v>198</v>
      </c>
      <c r="F196" s="67">
        <v>348120</v>
      </c>
      <c r="G196" s="22" t="s">
        <v>142</v>
      </c>
      <c r="H196" s="111">
        <v>138308.39499999999</v>
      </c>
      <c r="I196" s="22" t="s">
        <v>208</v>
      </c>
      <c r="J196" s="23">
        <v>48147.918467399992</v>
      </c>
      <c r="K196" s="87">
        <v>3925</v>
      </c>
      <c r="L196" s="71">
        <v>0.16</v>
      </c>
      <c r="M196" s="116">
        <v>0.03</v>
      </c>
      <c r="N196" s="10"/>
      <c r="O196" s="10"/>
      <c r="P196" s="10"/>
      <c r="Q196" s="10"/>
      <c r="R196" s="10"/>
      <c r="S196" s="10"/>
      <c r="T196" s="10"/>
      <c r="U196" s="10"/>
      <c r="V196" s="10"/>
      <c r="W196" s="10"/>
      <c r="X196" s="10"/>
      <c r="Y196" s="10"/>
      <c r="Z196" s="10"/>
    </row>
    <row r="197" spans="1:26" ht="12.75" customHeight="1" x14ac:dyDescent="0.2">
      <c r="A197" s="10"/>
      <c r="B197" s="21"/>
      <c r="C197" s="22" t="s">
        <v>222</v>
      </c>
      <c r="D197" s="32" t="s">
        <v>223</v>
      </c>
      <c r="E197" s="22" t="s">
        <v>198</v>
      </c>
      <c r="F197" s="67">
        <v>971924</v>
      </c>
      <c r="G197" s="22" t="s">
        <v>142</v>
      </c>
      <c r="H197" s="111">
        <v>138308.39499999999</v>
      </c>
      <c r="I197" s="22" t="s">
        <v>208</v>
      </c>
      <c r="J197" s="23">
        <v>134425.24850198001</v>
      </c>
      <c r="K197" s="87">
        <v>10345</v>
      </c>
      <c r="L197" s="71">
        <v>0.43</v>
      </c>
      <c r="M197" s="116">
        <v>0.09</v>
      </c>
      <c r="N197" s="10"/>
      <c r="O197" s="10"/>
      <c r="P197" s="10"/>
      <c r="Q197" s="10"/>
      <c r="R197" s="10"/>
      <c r="S197" s="10"/>
      <c r="T197" s="10"/>
      <c r="U197" s="10"/>
      <c r="V197" s="10"/>
      <c r="W197" s="10"/>
      <c r="X197" s="10"/>
      <c r="Y197" s="10"/>
      <c r="Z197" s="10"/>
    </row>
    <row r="198" spans="1:26" ht="12.75" customHeight="1" x14ac:dyDescent="0.2">
      <c r="A198" s="10"/>
      <c r="B198" s="21"/>
      <c r="C198" s="22" t="s">
        <v>224</v>
      </c>
      <c r="D198" s="32" t="s">
        <v>225</v>
      </c>
      <c r="E198" s="22" t="s">
        <v>198</v>
      </c>
      <c r="F198" s="67">
        <v>991621</v>
      </c>
      <c r="G198" s="22" t="s">
        <v>142</v>
      </c>
      <c r="H198" s="111">
        <v>138308.39499999999</v>
      </c>
      <c r="I198" s="22" t="s">
        <v>208</v>
      </c>
      <c r="J198" s="23">
        <v>137149.50895829499</v>
      </c>
      <c r="K198" s="87">
        <v>10835</v>
      </c>
      <c r="L198" s="71">
        <v>0.44</v>
      </c>
      <c r="M198" s="116">
        <v>0.09</v>
      </c>
      <c r="N198" s="10"/>
      <c r="O198" s="10"/>
      <c r="P198" s="10"/>
      <c r="Q198" s="10"/>
      <c r="R198" s="10"/>
      <c r="S198" s="10"/>
      <c r="T198" s="10"/>
      <c r="U198" s="10"/>
      <c r="V198" s="10"/>
      <c r="W198" s="10"/>
      <c r="X198" s="10"/>
      <c r="Y198" s="10"/>
      <c r="Z198" s="10"/>
    </row>
    <row r="199" spans="1:26" ht="12.75" customHeight="1" x14ac:dyDescent="0.2">
      <c r="A199" s="10"/>
      <c r="B199" s="21"/>
      <c r="C199" s="22" t="s">
        <v>226</v>
      </c>
      <c r="D199" s="32" t="s">
        <v>164</v>
      </c>
      <c r="E199" s="22" t="s">
        <v>198</v>
      </c>
      <c r="F199" s="67">
        <v>1126646</v>
      </c>
      <c r="G199" s="22" t="s">
        <v>142</v>
      </c>
      <c r="H199" s="111">
        <v>138308.39499999999</v>
      </c>
      <c r="I199" s="22" t="s">
        <v>208</v>
      </c>
      <c r="J199" s="23">
        <v>155824.59999316998</v>
      </c>
      <c r="K199" s="87">
        <v>12551</v>
      </c>
      <c r="L199" s="71">
        <v>0.51</v>
      </c>
      <c r="M199" s="116">
        <v>0.1</v>
      </c>
      <c r="N199" s="10"/>
      <c r="O199" s="10"/>
      <c r="P199" s="10"/>
      <c r="Q199" s="10"/>
      <c r="R199" s="10"/>
      <c r="S199" s="10"/>
      <c r="T199" s="10"/>
      <c r="U199" s="10"/>
      <c r="V199" s="10"/>
      <c r="W199" s="10"/>
      <c r="X199" s="10"/>
      <c r="Y199" s="10"/>
      <c r="Z199" s="10"/>
    </row>
    <row r="200" spans="1:26" ht="12.75" customHeight="1" x14ac:dyDescent="0.2">
      <c r="A200" s="10"/>
      <c r="B200" s="21"/>
      <c r="C200" s="22" t="s">
        <v>227</v>
      </c>
      <c r="D200" s="32" t="s">
        <v>228</v>
      </c>
      <c r="E200" s="22" t="s">
        <v>198</v>
      </c>
      <c r="F200" s="67">
        <v>891165</v>
      </c>
      <c r="G200" s="22" t="s">
        <v>142</v>
      </c>
      <c r="H200" s="111">
        <v>138308.39499999999</v>
      </c>
      <c r="I200" s="22" t="s">
        <v>208</v>
      </c>
      <c r="J200" s="23">
        <v>123255.60083017498</v>
      </c>
      <c r="K200" s="87">
        <v>9425.2999999999993</v>
      </c>
      <c r="L200" s="71">
        <v>0.38</v>
      </c>
      <c r="M200" s="116">
        <v>0.08</v>
      </c>
      <c r="N200" s="10"/>
      <c r="O200" s="10"/>
      <c r="P200" s="10"/>
      <c r="Q200" s="10"/>
      <c r="R200" s="10"/>
      <c r="S200" s="10"/>
      <c r="T200" s="10"/>
      <c r="U200" s="10"/>
      <c r="V200" s="10"/>
      <c r="W200" s="10"/>
      <c r="X200" s="10"/>
      <c r="Y200" s="10"/>
      <c r="Z200" s="10"/>
    </row>
    <row r="201" spans="1:26" ht="12.75" customHeight="1" x14ac:dyDescent="0.2">
      <c r="A201" s="10"/>
      <c r="B201" s="21"/>
      <c r="C201" s="22"/>
      <c r="D201" s="32"/>
      <c r="E201" s="22"/>
      <c r="F201" s="22"/>
      <c r="G201" s="22"/>
      <c r="H201" s="22"/>
      <c r="I201" s="22"/>
      <c r="J201" s="22"/>
      <c r="K201" s="22"/>
      <c r="L201" s="22"/>
      <c r="M201" s="24"/>
      <c r="N201" s="10"/>
      <c r="O201" s="10"/>
      <c r="P201" s="10"/>
      <c r="Q201" s="10"/>
      <c r="R201" s="10"/>
      <c r="S201" s="10"/>
      <c r="T201" s="10"/>
      <c r="U201" s="10"/>
      <c r="V201" s="10"/>
      <c r="W201" s="10"/>
      <c r="X201" s="10"/>
      <c r="Y201" s="10"/>
      <c r="Z201" s="10"/>
    </row>
    <row r="202" spans="1:26" ht="12.75" customHeight="1" x14ac:dyDescent="0.2">
      <c r="A202" s="10"/>
      <c r="B202" s="25"/>
      <c r="C202" s="27"/>
      <c r="D202" s="47"/>
      <c r="E202" s="27"/>
      <c r="F202" s="27"/>
      <c r="G202" s="27"/>
      <c r="H202" s="27"/>
      <c r="I202" s="27"/>
      <c r="J202" s="27"/>
      <c r="K202" s="27"/>
      <c r="L202" s="27"/>
      <c r="M202" s="31"/>
      <c r="N202" s="10"/>
      <c r="O202" s="10"/>
      <c r="P202" s="10"/>
      <c r="Q202" s="10"/>
      <c r="R202" s="10"/>
      <c r="S202" s="10"/>
      <c r="T202" s="10"/>
      <c r="U202" s="10"/>
      <c r="V202" s="10"/>
      <c r="W202" s="10"/>
      <c r="X202" s="10"/>
      <c r="Y202" s="10"/>
      <c r="Z202" s="10"/>
    </row>
    <row r="203" spans="1:26" ht="12.75" customHeight="1" x14ac:dyDescent="0.2">
      <c r="A203" s="10"/>
      <c r="B203" s="21"/>
      <c r="C203" s="22"/>
      <c r="D203" s="32"/>
      <c r="E203" s="22"/>
      <c r="F203" s="22"/>
      <c r="G203" s="22"/>
      <c r="H203" s="22"/>
      <c r="I203" s="22"/>
      <c r="J203" s="22"/>
      <c r="K203" s="22"/>
      <c r="L203" s="22"/>
      <c r="M203" s="24"/>
      <c r="N203" s="10"/>
      <c r="O203" s="10"/>
      <c r="P203" s="10"/>
      <c r="Q203" s="10"/>
      <c r="R203" s="10"/>
      <c r="S203" s="10"/>
      <c r="T203" s="10"/>
      <c r="U203" s="10"/>
      <c r="V203" s="10"/>
      <c r="W203" s="10"/>
      <c r="X203" s="10"/>
      <c r="Y203" s="10"/>
      <c r="Z203" s="10"/>
    </row>
    <row r="204" spans="1:26" ht="12.75" customHeight="1" x14ac:dyDescent="0.2">
      <c r="A204" s="10"/>
      <c r="B204" s="21" t="s">
        <v>229</v>
      </c>
      <c r="C204" s="45" t="s">
        <v>230</v>
      </c>
      <c r="D204" s="32"/>
      <c r="E204" s="22"/>
      <c r="F204" s="22"/>
      <c r="G204" s="22"/>
      <c r="H204" s="22"/>
      <c r="I204" s="22"/>
      <c r="J204" s="22"/>
      <c r="K204" s="22"/>
      <c r="L204" s="22"/>
      <c r="M204" s="24"/>
      <c r="N204" s="10"/>
      <c r="O204" s="10"/>
      <c r="P204" s="10"/>
      <c r="Q204" s="10"/>
      <c r="R204" s="10"/>
      <c r="S204" s="10"/>
      <c r="T204" s="10"/>
      <c r="U204" s="10"/>
      <c r="V204" s="10"/>
      <c r="W204" s="10"/>
      <c r="X204" s="10"/>
      <c r="Y204" s="10"/>
      <c r="Z204" s="10"/>
    </row>
    <row r="205" spans="1:26" ht="12.75" customHeight="1" x14ac:dyDescent="0.2">
      <c r="A205" s="10"/>
      <c r="B205" s="21"/>
      <c r="C205" s="22" t="s">
        <v>231</v>
      </c>
      <c r="D205" s="32" t="s">
        <v>95</v>
      </c>
      <c r="E205" s="22" t="s">
        <v>232</v>
      </c>
      <c r="F205" s="23">
        <v>44550</v>
      </c>
      <c r="G205" s="22" t="s">
        <v>142</v>
      </c>
      <c r="H205" s="111">
        <v>140000</v>
      </c>
      <c r="I205" s="22" t="s">
        <v>233</v>
      </c>
      <c r="J205" s="23">
        <v>6237</v>
      </c>
      <c r="K205" s="36">
        <v>370.86616796212962</v>
      </c>
      <c r="L205" s="115">
        <v>2.6824849512009814E-2</v>
      </c>
      <c r="M205" s="104">
        <v>9.3098007129916414E-3</v>
      </c>
      <c r="N205" s="10"/>
      <c r="O205" s="10"/>
      <c r="P205" s="10"/>
      <c r="Q205" s="10"/>
      <c r="R205" s="10"/>
      <c r="S205" s="10"/>
      <c r="T205" s="10"/>
      <c r="U205" s="10"/>
      <c r="V205" s="10"/>
      <c r="W205" s="10"/>
      <c r="X205" s="10"/>
      <c r="Y205" s="10"/>
      <c r="Z205" s="10"/>
    </row>
    <row r="206" spans="1:26" ht="12.75" customHeight="1" x14ac:dyDescent="0.2">
      <c r="A206" s="10"/>
      <c r="B206" s="21"/>
      <c r="C206" s="22"/>
      <c r="D206" s="32"/>
      <c r="E206" s="22"/>
      <c r="F206" s="22"/>
      <c r="G206" s="22"/>
      <c r="H206" s="22"/>
      <c r="I206" s="22"/>
      <c r="J206" s="36"/>
      <c r="K206" s="22"/>
      <c r="L206" s="22"/>
      <c r="M206" s="24"/>
      <c r="N206" s="10"/>
      <c r="O206" s="10"/>
      <c r="P206" s="10"/>
      <c r="Q206" s="10"/>
      <c r="R206" s="10"/>
      <c r="S206" s="10"/>
      <c r="T206" s="10"/>
      <c r="U206" s="10"/>
      <c r="V206" s="10"/>
      <c r="W206" s="10"/>
      <c r="X206" s="10"/>
      <c r="Y206" s="10"/>
      <c r="Z206" s="10"/>
    </row>
    <row r="207" spans="1:26" ht="12.75" customHeight="1" x14ac:dyDescent="0.2">
      <c r="A207" s="10"/>
      <c r="B207" s="21"/>
      <c r="C207" s="22" t="s">
        <v>234</v>
      </c>
      <c r="D207" s="32" t="s">
        <v>99</v>
      </c>
      <c r="E207" s="22" t="s">
        <v>232</v>
      </c>
      <c r="F207" s="23">
        <v>63771.42857142858</v>
      </c>
      <c r="G207" s="22" t="s">
        <v>142</v>
      </c>
      <c r="H207" s="111">
        <v>140000</v>
      </c>
      <c r="I207" s="22" t="s">
        <v>233</v>
      </c>
      <c r="J207" s="23">
        <v>8928</v>
      </c>
      <c r="K207" s="36">
        <v>531.04316377752173</v>
      </c>
      <c r="L207" s="115">
        <v>3.8285978204761456E-2</v>
      </c>
      <c r="M207" s="104">
        <v>1.3316861984264853E-2</v>
      </c>
      <c r="N207" s="10"/>
      <c r="O207" s="10"/>
      <c r="P207" s="10"/>
      <c r="Q207" s="10"/>
      <c r="R207" s="10"/>
      <c r="S207" s="10"/>
      <c r="T207" s="10"/>
      <c r="U207" s="10"/>
      <c r="V207" s="10"/>
      <c r="W207" s="10"/>
      <c r="X207" s="10"/>
      <c r="Y207" s="10"/>
      <c r="Z207" s="10"/>
    </row>
    <row r="208" spans="1:26" ht="12.75" customHeight="1" x14ac:dyDescent="0.2">
      <c r="A208" s="10"/>
      <c r="B208" s="21"/>
      <c r="C208" s="22"/>
      <c r="D208" s="32"/>
      <c r="E208" s="22"/>
      <c r="F208" s="22"/>
      <c r="G208" s="22"/>
      <c r="H208" s="22"/>
      <c r="I208" s="22"/>
      <c r="J208" s="22"/>
      <c r="K208" s="22"/>
      <c r="L208" s="22"/>
      <c r="M208" s="80"/>
      <c r="N208" s="10"/>
      <c r="O208" s="10"/>
      <c r="P208" s="10"/>
      <c r="Q208" s="10"/>
      <c r="R208" s="10"/>
      <c r="S208" s="10"/>
      <c r="T208" s="10"/>
      <c r="U208" s="10"/>
      <c r="V208" s="10"/>
      <c r="W208" s="10"/>
      <c r="X208" s="10"/>
      <c r="Y208" s="10"/>
      <c r="Z208" s="10"/>
    </row>
    <row r="209" spans="1:26" ht="12.75" customHeight="1" x14ac:dyDescent="0.2">
      <c r="A209" s="10"/>
      <c r="B209" s="25"/>
      <c r="C209" s="27"/>
      <c r="D209" s="47"/>
      <c r="E209" s="27"/>
      <c r="F209" s="27"/>
      <c r="G209" s="27"/>
      <c r="H209" s="27"/>
      <c r="I209" s="27"/>
      <c r="J209" s="27"/>
      <c r="K209" s="27"/>
      <c r="L209" s="27"/>
      <c r="M209" s="31"/>
      <c r="N209" s="10"/>
      <c r="O209" s="10"/>
      <c r="P209" s="10"/>
      <c r="Q209" s="10"/>
      <c r="R209" s="10"/>
      <c r="S209" s="10"/>
      <c r="T209" s="10"/>
      <c r="U209" s="10"/>
      <c r="V209" s="10"/>
      <c r="W209" s="10"/>
      <c r="X209" s="10"/>
      <c r="Y209" s="10"/>
      <c r="Z209" s="10"/>
    </row>
    <row r="210" spans="1:26" ht="12.75" customHeight="1" x14ac:dyDescent="0.2">
      <c r="A210" s="10"/>
      <c r="B210" s="21" t="s">
        <v>235</v>
      </c>
      <c r="C210" s="45" t="s">
        <v>236</v>
      </c>
      <c r="D210" s="32"/>
      <c r="E210" s="22"/>
      <c r="F210" s="22"/>
      <c r="G210" s="22"/>
      <c r="H210" s="22"/>
      <c r="I210" s="22"/>
      <c r="J210" s="22"/>
      <c r="K210" s="22"/>
      <c r="L210" s="22"/>
      <c r="M210" s="24"/>
      <c r="N210" s="10"/>
      <c r="O210" s="10"/>
      <c r="P210" s="10"/>
      <c r="Q210" s="10"/>
      <c r="R210" s="10"/>
      <c r="S210" s="10"/>
      <c r="T210" s="10"/>
      <c r="U210" s="10"/>
      <c r="V210" s="10"/>
      <c r="W210" s="10"/>
      <c r="X210" s="10"/>
      <c r="Y210" s="10"/>
      <c r="Z210" s="10"/>
    </row>
    <row r="211" spans="1:26" ht="12.75" customHeight="1" x14ac:dyDescent="0.2">
      <c r="A211" s="10"/>
      <c r="B211" s="21"/>
      <c r="C211" s="22" t="s">
        <v>237</v>
      </c>
      <c r="D211" s="32" t="s">
        <v>187</v>
      </c>
      <c r="E211" s="22" t="s">
        <v>198</v>
      </c>
      <c r="F211" s="23">
        <v>370000</v>
      </c>
      <c r="G211" s="22" t="s">
        <v>142</v>
      </c>
      <c r="H211" s="22">
        <v>138</v>
      </c>
      <c r="I211" s="22" t="s">
        <v>238</v>
      </c>
      <c r="J211" s="22">
        <v>51060</v>
      </c>
      <c r="K211" s="23">
        <v>4159</v>
      </c>
      <c r="L211" s="117">
        <v>0.01</v>
      </c>
      <c r="M211" s="118">
        <v>0</v>
      </c>
      <c r="N211" s="10"/>
      <c r="O211" s="10"/>
      <c r="P211" s="10"/>
      <c r="Q211" s="10"/>
      <c r="R211" s="10"/>
      <c r="S211" s="10"/>
      <c r="T211" s="10"/>
      <c r="U211" s="10"/>
      <c r="V211" s="10"/>
      <c r="W211" s="10"/>
      <c r="X211" s="10"/>
      <c r="Y211" s="10"/>
      <c r="Z211" s="10"/>
    </row>
    <row r="212" spans="1:26" ht="12.75" customHeight="1" x14ac:dyDescent="0.2">
      <c r="A212" s="10"/>
      <c r="B212" s="21"/>
      <c r="C212" s="22" t="s">
        <v>239</v>
      </c>
      <c r="D212" s="32" t="s">
        <v>189</v>
      </c>
      <c r="E212" s="22" t="s">
        <v>198</v>
      </c>
      <c r="F212" s="23">
        <v>460000</v>
      </c>
      <c r="G212" s="22" t="s">
        <v>142</v>
      </c>
      <c r="H212" s="22">
        <v>138</v>
      </c>
      <c r="I212" s="22" t="s">
        <v>238</v>
      </c>
      <c r="J212" s="22">
        <v>63480</v>
      </c>
      <c r="K212" s="23">
        <v>5171</v>
      </c>
      <c r="L212" s="117">
        <v>0.02</v>
      </c>
      <c r="M212" s="118">
        <v>0</v>
      </c>
      <c r="N212" s="10"/>
      <c r="O212" s="10"/>
      <c r="P212" s="10"/>
      <c r="Q212" s="10"/>
      <c r="R212" s="10"/>
      <c r="S212" s="10"/>
      <c r="T212" s="10"/>
      <c r="U212" s="10"/>
      <c r="V212" s="10"/>
      <c r="W212" s="10"/>
      <c r="X212" s="10"/>
      <c r="Y212" s="10"/>
      <c r="Z212" s="10"/>
    </row>
    <row r="213" spans="1:26" ht="12.75" customHeight="1" x14ac:dyDescent="0.2">
      <c r="A213" s="10"/>
      <c r="B213" s="21"/>
      <c r="C213" s="22" t="s">
        <v>240</v>
      </c>
      <c r="D213" s="32" t="s">
        <v>191</v>
      </c>
      <c r="E213" s="22" t="s">
        <v>198</v>
      </c>
      <c r="F213" s="23">
        <v>458000</v>
      </c>
      <c r="G213" s="22" t="s">
        <v>142</v>
      </c>
      <c r="H213" s="22">
        <v>138</v>
      </c>
      <c r="I213" s="22" t="s">
        <v>238</v>
      </c>
      <c r="J213" s="22">
        <v>63204</v>
      </c>
      <c r="K213" s="23">
        <v>5148</v>
      </c>
      <c r="L213" s="117">
        <v>0.02</v>
      </c>
      <c r="M213" s="118">
        <v>0</v>
      </c>
      <c r="N213" s="10"/>
      <c r="O213" s="10"/>
      <c r="P213" s="10"/>
      <c r="Q213" s="10"/>
      <c r="R213" s="10"/>
      <c r="S213" s="10"/>
      <c r="T213" s="10"/>
      <c r="U213" s="10"/>
      <c r="V213" s="10"/>
      <c r="W213" s="10"/>
      <c r="X213" s="10"/>
      <c r="Y213" s="10"/>
      <c r="Z213" s="10"/>
    </row>
    <row r="214" spans="1:26" ht="12.75" customHeight="1" x14ac:dyDescent="0.2">
      <c r="A214" s="10"/>
      <c r="B214" s="21"/>
      <c r="C214" s="22" t="s">
        <v>241</v>
      </c>
      <c r="D214" s="32" t="s">
        <v>193</v>
      </c>
      <c r="E214" s="22" t="s">
        <v>198</v>
      </c>
      <c r="F214" s="23">
        <v>457000</v>
      </c>
      <c r="G214" s="22" t="s">
        <v>142</v>
      </c>
      <c r="H214" s="22">
        <v>138</v>
      </c>
      <c r="I214" s="22" t="s">
        <v>238</v>
      </c>
      <c r="J214" s="22">
        <v>63066</v>
      </c>
      <c r="K214" s="23">
        <v>5137</v>
      </c>
      <c r="L214" s="117">
        <v>0.02</v>
      </c>
      <c r="M214" s="118">
        <v>0</v>
      </c>
      <c r="N214" s="10"/>
      <c r="O214" s="10"/>
      <c r="P214" s="10"/>
      <c r="Q214" s="10"/>
      <c r="R214" s="10"/>
      <c r="S214" s="10"/>
      <c r="T214" s="10"/>
      <c r="U214" s="10"/>
      <c r="V214" s="10"/>
      <c r="W214" s="10"/>
      <c r="X214" s="10"/>
      <c r="Y214" s="10"/>
      <c r="Z214" s="10"/>
    </row>
    <row r="215" spans="1:26" ht="12.75" customHeight="1" x14ac:dyDescent="0.2">
      <c r="A215" s="10"/>
      <c r="B215" s="21"/>
      <c r="C215" s="22"/>
      <c r="D215" s="32"/>
      <c r="E215" s="22"/>
      <c r="F215" s="22"/>
      <c r="G215" s="22"/>
      <c r="H215" s="22"/>
      <c r="I215" s="22"/>
      <c r="J215" s="22"/>
      <c r="K215" s="36"/>
      <c r="L215" s="22"/>
      <c r="M215" s="24"/>
      <c r="N215" s="10"/>
      <c r="O215" s="10"/>
      <c r="P215" s="10"/>
      <c r="Q215" s="10"/>
      <c r="R215" s="10"/>
      <c r="S215" s="10"/>
      <c r="T215" s="10"/>
      <c r="U215" s="10"/>
      <c r="V215" s="10"/>
      <c r="W215" s="10"/>
      <c r="X215" s="10"/>
      <c r="Y215" s="10"/>
      <c r="Z215" s="10"/>
    </row>
    <row r="216" spans="1:26" ht="12.75" customHeight="1" x14ac:dyDescent="0.2">
      <c r="A216" s="10"/>
      <c r="B216" s="25"/>
      <c r="C216" s="27"/>
      <c r="D216" s="47"/>
      <c r="E216" s="27"/>
      <c r="F216" s="27"/>
      <c r="G216" s="27"/>
      <c r="H216" s="27"/>
      <c r="I216" s="27"/>
      <c r="J216" s="27"/>
      <c r="K216" s="27"/>
      <c r="L216" s="27"/>
      <c r="M216" s="31"/>
      <c r="N216" s="10"/>
      <c r="O216" s="10"/>
      <c r="P216" s="10"/>
      <c r="Q216" s="10"/>
      <c r="R216" s="10"/>
      <c r="S216" s="10"/>
      <c r="T216" s="10"/>
      <c r="U216" s="10"/>
      <c r="V216" s="10"/>
      <c r="W216" s="10"/>
      <c r="X216" s="10"/>
      <c r="Y216" s="10"/>
      <c r="Z216" s="10"/>
    </row>
    <row r="217" spans="1:26" ht="12.75" customHeight="1" x14ac:dyDescent="0.2">
      <c r="A217" s="10"/>
      <c r="B217" s="21" t="s">
        <v>242</v>
      </c>
      <c r="C217" s="45" t="s">
        <v>243</v>
      </c>
      <c r="D217" s="32"/>
      <c r="E217" s="22"/>
      <c r="F217" s="22"/>
      <c r="G217" s="22"/>
      <c r="H217" s="22"/>
      <c r="I217" s="22"/>
      <c r="J217" s="22"/>
      <c r="K217" s="22"/>
      <c r="L217" s="22"/>
      <c r="M217" s="24"/>
      <c r="N217" s="10"/>
      <c r="O217" s="10"/>
      <c r="P217" s="10"/>
      <c r="Q217" s="10"/>
      <c r="R217" s="10"/>
      <c r="S217" s="10"/>
      <c r="T217" s="10"/>
      <c r="U217" s="10"/>
      <c r="V217" s="10"/>
      <c r="W217" s="10"/>
      <c r="X217" s="10"/>
      <c r="Y217" s="10"/>
      <c r="Z217" s="10"/>
    </row>
    <row r="218" spans="1:26" ht="12.75" customHeight="1" x14ac:dyDescent="0.2">
      <c r="A218" s="10"/>
      <c r="B218" s="21"/>
      <c r="C218" s="22" t="s">
        <v>244</v>
      </c>
      <c r="D218" s="32" t="s">
        <v>245</v>
      </c>
      <c r="E218" s="22" t="s">
        <v>198</v>
      </c>
      <c r="F218" s="23">
        <v>2301</v>
      </c>
      <c r="G218" s="22" t="s">
        <v>142</v>
      </c>
      <c r="H218" s="22">
        <v>137</v>
      </c>
      <c r="I218" s="22" t="s">
        <v>238</v>
      </c>
      <c r="J218" s="22">
        <v>315.23700000000002</v>
      </c>
      <c r="K218" s="119">
        <v>26</v>
      </c>
      <c r="L218" s="119">
        <v>1E-3</v>
      </c>
      <c r="M218" s="120">
        <v>0</v>
      </c>
      <c r="N218" s="10"/>
      <c r="O218" s="10"/>
      <c r="P218" s="10"/>
      <c r="Q218" s="10"/>
      <c r="R218" s="10"/>
      <c r="S218" s="10"/>
      <c r="T218" s="10"/>
      <c r="U218" s="10"/>
      <c r="V218" s="10"/>
      <c r="W218" s="10"/>
      <c r="X218" s="10"/>
      <c r="Y218" s="10"/>
      <c r="Z218" s="10"/>
    </row>
    <row r="219" spans="1:26" ht="12.75" customHeight="1" x14ac:dyDescent="0.2">
      <c r="A219" s="10"/>
      <c r="B219" s="21"/>
      <c r="C219" s="22" t="s">
        <v>246</v>
      </c>
      <c r="D219" s="32" t="s">
        <v>247</v>
      </c>
      <c r="E219" s="22" t="s">
        <v>198</v>
      </c>
      <c r="F219" s="23">
        <v>4148</v>
      </c>
      <c r="G219" s="22" t="s">
        <v>142</v>
      </c>
      <c r="H219" s="22">
        <v>137</v>
      </c>
      <c r="I219" s="22" t="s">
        <v>238</v>
      </c>
      <c r="J219" s="22">
        <v>568.27599999999995</v>
      </c>
      <c r="K219" s="119">
        <v>46.9</v>
      </c>
      <c r="L219" s="119">
        <v>2E-3</v>
      </c>
      <c r="M219" s="120">
        <v>0</v>
      </c>
      <c r="N219" s="10"/>
      <c r="O219" s="10"/>
      <c r="P219" s="10"/>
      <c r="Q219" s="10"/>
      <c r="R219" s="10"/>
      <c r="S219" s="10"/>
      <c r="T219" s="10"/>
      <c r="U219" s="10"/>
      <c r="V219" s="10"/>
      <c r="W219" s="10"/>
      <c r="X219" s="10"/>
      <c r="Y219" s="10"/>
      <c r="Z219" s="10"/>
    </row>
    <row r="220" spans="1:26" ht="12.75" customHeight="1" x14ac:dyDescent="0.2">
      <c r="A220" s="10"/>
      <c r="B220" s="21"/>
      <c r="C220" s="22" t="s">
        <v>248</v>
      </c>
      <c r="D220" s="32" t="s">
        <v>249</v>
      </c>
      <c r="E220" s="22" t="s">
        <v>198</v>
      </c>
      <c r="F220" s="23">
        <v>32299</v>
      </c>
      <c r="G220" s="22" t="s">
        <v>142</v>
      </c>
      <c r="H220" s="22">
        <v>137</v>
      </c>
      <c r="I220" s="22" t="s">
        <v>238</v>
      </c>
      <c r="J220" s="22">
        <v>4424.9629999999997</v>
      </c>
      <c r="K220" s="119">
        <v>365</v>
      </c>
      <c r="L220" s="119">
        <v>0.18</v>
      </c>
      <c r="M220" s="120">
        <v>2E-3</v>
      </c>
      <c r="N220" s="10"/>
      <c r="O220" s="10"/>
      <c r="P220" s="10"/>
      <c r="Q220" s="10"/>
      <c r="R220" s="10"/>
      <c r="S220" s="10"/>
      <c r="T220" s="10"/>
      <c r="U220" s="10"/>
      <c r="V220" s="10"/>
      <c r="W220" s="10"/>
      <c r="X220" s="10"/>
      <c r="Y220" s="10"/>
      <c r="Z220" s="10"/>
    </row>
    <row r="221" spans="1:26" ht="12.75" customHeight="1" x14ac:dyDescent="0.2">
      <c r="A221" s="10"/>
      <c r="B221" s="21"/>
      <c r="C221" s="22" t="s">
        <v>250</v>
      </c>
      <c r="D221" s="32" t="s">
        <v>207</v>
      </c>
      <c r="E221" s="22" t="s">
        <v>198</v>
      </c>
      <c r="F221" s="23">
        <v>37193</v>
      </c>
      <c r="G221" s="22" t="s">
        <v>142</v>
      </c>
      <c r="H221" s="22">
        <v>137</v>
      </c>
      <c r="I221" s="22" t="s">
        <v>238</v>
      </c>
      <c r="J221" s="22">
        <v>5095.4409999999998</v>
      </c>
      <c r="K221" s="119">
        <v>420.3</v>
      </c>
      <c r="L221" s="119">
        <v>2.1000000000000001E-2</v>
      </c>
      <c r="M221" s="120">
        <v>2E-3</v>
      </c>
      <c r="N221" s="10"/>
      <c r="O221" s="10"/>
      <c r="P221" s="10"/>
      <c r="Q221" s="10"/>
      <c r="R221" s="10"/>
      <c r="S221" s="10"/>
      <c r="T221" s="10"/>
      <c r="U221" s="10"/>
      <c r="V221" s="10"/>
      <c r="W221" s="10"/>
      <c r="X221" s="10"/>
      <c r="Y221" s="10"/>
      <c r="Z221" s="10"/>
    </row>
    <row r="222" spans="1:26" ht="12.75" customHeight="1" x14ac:dyDescent="0.2">
      <c r="A222" s="10"/>
      <c r="B222" s="21"/>
      <c r="C222" s="22" t="s">
        <v>251</v>
      </c>
      <c r="D222" s="32" t="s">
        <v>252</v>
      </c>
      <c r="E222" s="22" t="s">
        <v>198</v>
      </c>
      <c r="F222" s="23">
        <v>12022</v>
      </c>
      <c r="G222" s="22" t="s">
        <v>142</v>
      </c>
      <c r="H222" s="22">
        <v>137</v>
      </c>
      <c r="I222" s="22" t="s">
        <v>238</v>
      </c>
      <c r="J222" s="22">
        <v>1647.0139999999999</v>
      </c>
      <c r="K222" s="119">
        <v>135.80000000000001</v>
      </c>
      <c r="L222" s="119">
        <v>7.0000000000000001E-3</v>
      </c>
      <c r="M222" s="120">
        <v>1E-3</v>
      </c>
      <c r="N222" s="10"/>
      <c r="O222" s="10"/>
      <c r="P222" s="10"/>
      <c r="Q222" s="10"/>
      <c r="R222" s="10"/>
      <c r="S222" s="10"/>
      <c r="T222" s="10"/>
      <c r="U222" s="10"/>
      <c r="V222" s="10"/>
      <c r="W222" s="10"/>
      <c r="X222" s="10"/>
      <c r="Y222" s="10"/>
      <c r="Z222" s="10"/>
    </row>
    <row r="223" spans="1:26" ht="12.75" customHeight="1" x14ac:dyDescent="0.2">
      <c r="A223" s="10"/>
      <c r="B223" s="21"/>
      <c r="C223" s="22" t="s">
        <v>253</v>
      </c>
      <c r="D223" s="32" t="s">
        <v>254</v>
      </c>
      <c r="E223" s="22" t="s">
        <v>198</v>
      </c>
      <c r="F223" s="23">
        <v>56276</v>
      </c>
      <c r="G223" s="22" t="s">
        <v>142</v>
      </c>
      <c r="H223" s="22">
        <v>137</v>
      </c>
      <c r="I223" s="22" t="s">
        <v>238</v>
      </c>
      <c r="J223" s="22">
        <v>7709.8119999999999</v>
      </c>
      <c r="K223" s="119">
        <v>635.9</v>
      </c>
      <c r="L223" s="119">
        <v>0.31</v>
      </c>
      <c r="M223" s="120">
        <v>3.0000000000000001E-3</v>
      </c>
      <c r="N223" s="10"/>
      <c r="O223" s="10"/>
      <c r="P223" s="10"/>
      <c r="Q223" s="10"/>
      <c r="R223" s="10"/>
      <c r="S223" s="10"/>
      <c r="T223" s="10"/>
      <c r="U223" s="10"/>
      <c r="V223" s="10"/>
      <c r="W223" s="10"/>
      <c r="X223" s="10"/>
      <c r="Y223" s="10"/>
      <c r="Z223" s="10"/>
    </row>
    <row r="224" spans="1:26" ht="12.75" customHeight="1" x14ac:dyDescent="0.2">
      <c r="A224" s="10"/>
      <c r="B224" s="21"/>
      <c r="C224" s="22" t="s">
        <v>255</v>
      </c>
      <c r="D224" s="32" t="s">
        <v>256</v>
      </c>
      <c r="E224" s="22" t="s">
        <v>198</v>
      </c>
      <c r="F224" s="23">
        <v>55333</v>
      </c>
      <c r="G224" s="22" t="s">
        <v>142</v>
      </c>
      <c r="H224" s="22">
        <v>137</v>
      </c>
      <c r="I224" s="22" t="s">
        <v>238</v>
      </c>
      <c r="J224" s="22">
        <v>7580.6210000000001</v>
      </c>
      <c r="K224" s="119">
        <v>625.29999999999995</v>
      </c>
      <c r="L224" s="119">
        <v>3.1E-2</v>
      </c>
      <c r="M224" s="120">
        <v>3.0000000000000001E-3</v>
      </c>
      <c r="N224" s="10"/>
      <c r="O224" s="10"/>
      <c r="P224" s="10"/>
      <c r="Q224" s="10"/>
      <c r="R224" s="10"/>
      <c r="S224" s="10"/>
      <c r="T224" s="10"/>
      <c r="U224" s="10"/>
      <c r="V224" s="10"/>
      <c r="W224" s="10"/>
      <c r="X224" s="10"/>
      <c r="Y224" s="10"/>
      <c r="Z224" s="10"/>
    </row>
    <row r="225" spans="1:26" ht="12.75" customHeight="1" x14ac:dyDescent="0.2">
      <c r="A225" s="10"/>
      <c r="B225" s="21"/>
      <c r="C225" s="22" t="s">
        <v>257</v>
      </c>
      <c r="D225" s="32" t="s">
        <v>258</v>
      </c>
      <c r="E225" s="22" t="s">
        <v>198</v>
      </c>
      <c r="F225" s="23">
        <v>67936</v>
      </c>
      <c r="G225" s="22" t="s">
        <v>142</v>
      </c>
      <c r="H225" s="22">
        <v>137</v>
      </c>
      <c r="I225" s="22" t="s">
        <v>238</v>
      </c>
      <c r="J225" s="22">
        <v>9307.232</v>
      </c>
      <c r="K225" s="119">
        <v>767.7</v>
      </c>
      <c r="L225" s="119">
        <v>3.7999999999999999E-2</v>
      </c>
      <c r="M225" s="120">
        <v>4.0000000000000001E-3</v>
      </c>
      <c r="N225" s="10"/>
      <c r="O225" s="10"/>
      <c r="P225" s="10"/>
      <c r="Q225" s="10"/>
      <c r="R225" s="10"/>
      <c r="S225" s="10"/>
      <c r="T225" s="10"/>
      <c r="U225" s="10"/>
      <c r="V225" s="10"/>
      <c r="W225" s="10"/>
      <c r="X225" s="10"/>
      <c r="Y225" s="10"/>
      <c r="Z225" s="10"/>
    </row>
    <row r="226" spans="1:26" ht="12.75" customHeight="1" x14ac:dyDescent="0.2">
      <c r="A226" s="10"/>
      <c r="B226" s="21"/>
      <c r="C226" s="22" t="s">
        <v>259</v>
      </c>
      <c r="D226" s="32" t="s">
        <v>260</v>
      </c>
      <c r="E226" s="22" t="s">
        <v>198</v>
      </c>
      <c r="F226" s="23">
        <v>82457</v>
      </c>
      <c r="G226" s="22" t="s">
        <v>142</v>
      </c>
      <c r="H226" s="22">
        <v>137</v>
      </c>
      <c r="I226" s="22" t="s">
        <v>238</v>
      </c>
      <c r="J226" s="22">
        <v>11296.609</v>
      </c>
      <c r="K226" s="119">
        <v>931.8</v>
      </c>
      <c r="L226" s="119">
        <v>4.5999999999999999E-2</v>
      </c>
      <c r="M226" s="120">
        <v>5.0000000000000001E-3</v>
      </c>
      <c r="N226" s="10"/>
      <c r="O226" s="10"/>
      <c r="P226" s="10"/>
      <c r="Q226" s="10"/>
      <c r="R226" s="10"/>
      <c r="S226" s="10"/>
      <c r="T226" s="10"/>
      <c r="U226" s="10"/>
      <c r="V226" s="10"/>
      <c r="W226" s="10"/>
      <c r="X226" s="10"/>
      <c r="Y226" s="10"/>
      <c r="Z226" s="10"/>
    </row>
    <row r="227" spans="1:26" ht="12.75" customHeight="1" x14ac:dyDescent="0.2">
      <c r="A227" s="10"/>
      <c r="B227" s="21"/>
      <c r="C227" s="22" t="s">
        <v>261</v>
      </c>
      <c r="D227" s="32" t="s">
        <v>262</v>
      </c>
      <c r="E227" s="22" t="s">
        <v>198</v>
      </c>
      <c r="F227" s="23">
        <v>88270</v>
      </c>
      <c r="G227" s="22" t="s">
        <v>142</v>
      </c>
      <c r="H227" s="22">
        <v>137</v>
      </c>
      <c r="I227" s="22" t="s">
        <v>238</v>
      </c>
      <c r="J227" s="22">
        <v>12092.99</v>
      </c>
      <c r="K227" s="119">
        <v>997.5</v>
      </c>
      <c r="L227" s="119">
        <v>4.9000000000000002E-2</v>
      </c>
      <c r="M227" s="120">
        <v>5.0000000000000001E-3</v>
      </c>
      <c r="N227" s="10"/>
      <c r="O227" s="10"/>
      <c r="P227" s="10"/>
      <c r="Q227" s="10"/>
      <c r="R227" s="10"/>
      <c r="S227" s="10"/>
      <c r="T227" s="10"/>
      <c r="U227" s="10"/>
      <c r="V227" s="10"/>
      <c r="W227" s="10"/>
      <c r="X227" s="10"/>
      <c r="Y227" s="10"/>
      <c r="Z227" s="10"/>
    </row>
    <row r="228" spans="1:26" ht="12.75" customHeight="1" x14ac:dyDescent="0.2">
      <c r="A228" s="10"/>
      <c r="B228" s="21"/>
      <c r="C228" s="22"/>
      <c r="D228" s="32"/>
      <c r="E228" s="22"/>
      <c r="F228" s="22"/>
      <c r="G228" s="22"/>
      <c r="H228" s="22"/>
      <c r="I228" s="22"/>
      <c r="J228" s="22"/>
      <c r="K228" s="22"/>
      <c r="L228" s="22"/>
      <c r="M228" s="24"/>
      <c r="N228" s="10"/>
      <c r="O228" s="10"/>
      <c r="P228" s="10"/>
      <c r="Q228" s="10"/>
      <c r="R228" s="10"/>
      <c r="S228" s="10"/>
      <c r="T228" s="10"/>
      <c r="U228" s="10"/>
      <c r="V228" s="10"/>
      <c r="W228" s="10"/>
      <c r="X228" s="10"/>
      <c r="Y228" s="10"/>
      <c r="Z228" s="10"/>
    </row>
    <row r="229" spans="1:26" ht="12.75" customHeight="1" x14ac:dyDescent="0.2">
      <c r="A229" s="10"/>
      <c r="B229" s="25"/>
      <c r="C229" s="27"/>
      <c r="D229" s="47"/>
      <c r="E229" s="27"/>
      <c r="F229" s="27"/>
      <c r="G229" s="27"/>
      <c r="H229" s="27"/>
      <c r="I229" s="27"/>
      <c r="J229" s="27"/>
      <c r="K229" s="27"/>
      <c r="L229" s="27"/>
      <c r="M229" s="31"/>
      <c r="N229" s="10"/>
      <c r="O229" s="10"/>
      <c r="P229" s="10"/>
      <c r="Q229" s="10"/>
      <c r="R229" s="10"/>
      <c r="S229" s="10"/>
      <c r="T229" s="10"/>
      <c r="U229" s="10"/>
      <c r="V229" s="10"/>
      <c r="W229" s="10"/>
      <c r="X229" s="10"/>
      <c r="Y229" s="10"/>
      <c r="Z229" s="10"/>
    </row>
    <row r="230" spans="1:26" ht="12.75" customHeight="1" x14ac:dyDescent="0.2">
      <c r="A230" s="10"/>
      <c r="B230" s="21" t="s">
        <v>263</v>
      </c>
      <c r="C230" s="45" t="s">
        <v>264</v>
      </c>
      <c r="D230" s="32"/>
      <c r="E230" s="22"/>
      <c r="F230" s="22"/>
      <c r="G230" s="22"/>
      <c r="H230" s="22"/>
      <c r="I230" s="22"/>
      <c r="J230" s="22"/>
      <c r="K230" s="22"/>
      <c r="L230" s="22"/>
      <c r="M230" s="24"/>
      <c r="N230" s="10"/>
      <c r="O230" s="10"/>
      <c r="P230" s="10"/>
      <c r="Q230" s="10"/>
      <c r="R230" s="10"/>
      <c r="S230" s="10"/>
      <c r="T230" s="10"/>
      <c r="U230" s="10"/>
      <c r="V230" s="10"/>
      <c r="W230" s="10"/>
      <c r="X230" s="10"/>
      <c r="Y230" s="10"/>
      <c r="Z230" s="10"/>
    </row>
    <row r="231" spans="1:26" ht="12.75" customHeight="1" x14ac:dyDescent="0.2">
      <c r="A231" s="10"/>
      <c r="B231" s="21"/>
      <c r="C231" s="22" t="s">
        <v>265</v>
      </c>
      <c r="D231" s="32" t="s">
        <v>266</v>
      </c>
      <c r="E231" s="22" t="s">
        <v>198</v>
      </c>
      <c r="F231" s="23">
        <v>6597</v>
      </c>
      <c r="G231" s="22" t="s">
        <v>142</v>
      </c>
      <c r="H231" s="22">
        <v>137</v>
      </c>
      <c r="I231" s="22" t="s">
        <v>238</v>
      </c>
      <c r="J231" s="22">
        <v>903.78899999999999</v>
      </c>
      <c r="K231" s="117">
        <v>74.5</v>
      </c>
      <c r="L231" s="121">
        <v>4.0000000000000001E-3</v>
      </c>
      <c r="M231" s="122">
        <v>0</v>
      </c>
      <c r="N231" s="10"/>
      <c r="O231" s="10"/>
      <c r="P231" s="10"/>
      <c r="Q231" s="10"/>
      <c r="R231" s="10"/>
      <c r="S231" s="10"/>
      <c r="T231" s="10"/>
      <c r="U231" s="10"/>
      <c r="V231" s="10"/>
      <c r="W231" s="10"/>
      <c r="X231" s="10"/>
      <c r="Y231" s="10"/>
      <c r="Z231" s="10"/>
    </row>
    <row r="232" spans="1:26" ht="12.75" customHeight="1" x14ac:dyDescent="0.2">
      <c r="A232" s="10"/>
      <c r="B232" s="21"/>
      <c r="C232" s="22" t="s">
        <v>267</v>
      </c>
      <c r="D232" s="32" t="s">
        <v>268</v>
      </c>
      <c r="E232" s="22" t="s">
        <v>198</v>
      </c>
      <c r="F232" s="23">
        <v>6985</v>
      </c>
      <c r="G232" s="22" t="s">
        <v>142</v>
      </c>
      <c r="H232" s="22">
        <v>137</v>
      </c>
      <c r="I232" s="22" t="s">
        <v>238</v>
      </c>
      <c r="J232" s="22">
        <v>956.94500000000005</v>
      </c>
      <c r="K232" s="117">
        <v>78.900000000000006</v>
      </c>
      <c r="L232" s="121">
        <v>4.0000000000000001E-3</v>
      </c>
      <c r="M232" s="122">
        <v>0</v>
      </c>
      <c r="N232" s="10"/>
      <c r="O232" s="10"/>
      <c r="P232" s="10"/>
      <c r="Q232" s="10"/>
      <c r="R232" s="10"/>
      <c r="S232" s="10"/>
      <c r="T232" s="10"/>
      <c r="U232" s="10"/>
      <c r="V232" s="10"/>
      <c r="W232" s="10"/>
      <c r="X232" s="10"/>
      <c r="Y232" s="10"/>
      <c r="Z232" s="10"/>
    </row>
    <row r="233" spans="1:26" ht="12.75" customHeight="1" x14ac:dyDescent="0.2">
      <c r="A233" s="10"/>
      <c r="B233" s="21"/>
      <c r="C233" s="22" t="s">
        <v>269</v>
      </c>
      <c r="D233" s="32" t="s">
        <v>270</v>
      </c>
      <c r="E233" s="22" t="s">
        <v>198</v>
      </c>
      <c r="F233" s="23">
        <v>89887</v>
      </c>
      <c r="G233" s="22" t="s">
        <v>142</v>
      </c>
      <c r="H233" s="22">
        <v>137</v>
      </c>
      <c r="I233" s="22" t="s">
        <v>238</v>
      </c>
      <c r="J233" s="22">
        <v>12314.519</v>
      </c>
      <c r="K233" s="117">
        <v>1015.7</v>
      </c>
      <c r="L233" s="121">
        <v>0</v>
      </c>
      <c r="M233" s="122">
        <v>0</v>
      </c>
      <c r="N233" s="10"/>
      <c r="O233" s="10"/>
      <c r="P233" s="10"/>
      <c r="Q233" s="10"/>
      <c r="R233" s="10"/>
      <c r="S233" s="10"/>
      <c r="T233" s="10"/>
      <c r="U233" s="10"/>
      <c r="V233" s="10"/>
      <c r="W233" s="10"/>
      <c r="X233" s="10"/>
      <c r="Y233" s="10"/>
      <c r="Z233" s="10"/>
    </row>
    <row r="234" spans="1:26" ht="12.75" customHeight="1" x14ac:dyDescent="0.2">
      <c r="A234" s="10"/>
      <c r="B234" s="21"/>
      <c r="C234" s="22" t="s">
        <v>271</v>
      </c>
      <c r="D234" s="32" t="s">
        <v>272</v>
      </c>
      <c r="E234" s="22" t="s">
        <v>198</v>
      </c>
      <c r="F234" s="23">
        <v>72114</v>
      </c>
      <c r="G234" s="22" t="s">
        <v>142</v>
      </c>
      <c r="H234" s="22">
        <v>137</v>
      </c>
      <c r="I234" s="22" t="s">
        <v>238</v>
      </c>
      <c r="J234" s="22">
        <v>9879.6180000000004</v>
      </c>
      <c r="K234" s="117">
        <v>814.9</v>
      </c>
      <c r="L234" s="121">
        <v>0</v>
      </c>
      <c r="M234" s="122">
        <v>0</v>
      </c>
      <c r="N234" s="10"/>
      <c r="O234" s="10"/>
      <c r="P234" s="10"/>
      <c r="Q234" s="10"/>
      <c r="R234" s="10"/>
      <c r="S234" s="10"/>
      <c r="T234" s="10"/>
      <c r="U234" s="10"/>
      <c r="V234" s="10"/>
      <c r="W234" s="10"/>
      <c r="X234" s="10"/>
      <c r="Y234" s="10"/>
      <c r="Z234" s="10"/>
    </row>
    <row r="235" spans="1:26" ht="12.75" customHeight="1" x14ac:dyDescent="0.2">
      <c r="A235" s="10"/>
      <c r="B235" s="21"/>
      <c r="C235" s="22" t="s">
        <v>273</v>
      </c>
      <c r="D235" s="32" t="s">
        <v>274</v>
      </c>
      <c r="E235" s="22" t="s">
        <v>198</v>
      </c>
      <c r="F235" s="23">
        <v>99514</v>
      </c>
      <c r="G235" s="22" t="s">
        <v>142</v>
      </c>
      <c r="H235" s="22">
        <v>137</v>
      </c>
      <c r="I235" s="22" t="s">
        <v>238</v>
      </c>
      <c r="J235" s="22">
        <v>13633.418</v>
      </c>
      <c r="K235" s="117">
        <v>1124.5</v>
      </c>
      <c r="L235" s="121">
        <v>5.5E-2</v>
      </c>
      <c r="M235" s="86">
        <v>5.0000000000000001E-3</v>
      </c>
      <c r="N235" s="10"/>
      <c r="O235" s="10"/>
      <c r="P235" s="10"/>
      <c r="Q235" s="10"/>
      <c r="R235" s="10"/>
      <c r="S235" s="10"/>
      <c r="T235" s="10"/>
      <c r="U235" s="10"/>
      <c r="V235" s="10"/>
      <c r="W235" s="10"/>
      <c r="X235" s="10"/>
      <c r="Y235" s="10"/>
      <c r="Z235" s="10"/>
    </row>
    <row r="236" spans="1:26" ht="12.75" customHeight="1" x14ac:dyDescent="0.2">
      <c r="A236" s="10"/>
      <c r="B236" s="21"/>
      <c r="C236" s="22" t="s">
        <v>275</v>
      </c>
      <c r="D236" s="32" t="s">
        <v>276</v>
      </c>
      <c r="E236" s="22" t="s">
        <v>198</v>
      </c>
      <c r="F236" s="23">
        <v>97480</v>
      </c>
      <c r="G236" s="22" t="s">
        <v>142</v>
      </c>
      <c r="H236" s="22">
        <v>137</v>
      </c>
      <c r="I236" s="22" t="s">
        <v>238</v>
      </c>
      <c r="J236" s="22">
        <v>13354.76</v>
      </c>
      <c r="K236" s="117">
        <v>1101.5</v>
      </c>
      <c r="L236" s="121">
        <v>5.3999999999999999E-2</v>
      </c>
      <c r="M236" s="86">
        <v>5.0000000000000001E-3</v>
      </c>
      <c r="N236" s="10"/>
      <c r="O236" s="10"/>
      <c r="P236" s="10"/>
      <c r="Q236" s="10"/>
      <c r="R236" s="10"/>
      <c r="S236" s="10"/>
      <c r="T236" s="10"/>
      <c r="U236" s="10"/>
      <c r="V236" s="10"/>
      <c r="W236" s="10"/>
      <c r="X236" s="10"/>
      <c r="Y236" s="10"/>
      <c r="Z236" s="10"/>
    </row>
    <row r="237" spans="1:26" ht="12.75" customHeight="1" x14ac:dyDescent="0.2">
      <c r="A237" s="10"/>
      <c r="B237" s="21"/>
      <c r="C237" s="22" t="s">
        <v>277</v>
      </c>
      <c r="D237" s="32" t="s">
        <v>278</v>
      </c>
      <c r="E237" s="22" t="s">
        <v>198</v>
      </c>
      <c r="F237" s="23">
        <v>93640</v>
      </c>
      <c r="G237" s="22" t="s">
        <v>142</v>
      </c>
      <c r="H237" s="22">
        <v>137</v>
      </c>
      <c r="I237" s="22" t="s">
        <v>238</v>
      </c>
      <c r="J237" s="22">
        <v>12828.68</v>
      </c>
      <c r="K237" s="117">
        <v>1058.0999999999999</v>
      </c>
      <c r="L237" s="121">
        <v>5.1999999999999998E-2</v>
      </c>
      <c r="M237" s="86">
        <v>5.0000000000000001E-3</v>
      </c>
      <c r="N237" s="10"/>
      <c r="O237" s="10"/>
      <c r="P237" s="10"/>
      <c r="Q237" s="10"/>
      <c r="R237" s="10"/>
      <c r="S237" s="10"/>
      <c r="T237" s="10"/>
      <c r="U237" s="10"/>
      <c r="V237" s="10"/>
      <c r="W237" s="10"/>
      <c r="X237" s="10"/>
      <c r="Y237" s="10"/>
      <c r="Z237" s="10"/>
    </row>
    <row r="238" spans="1:26" ht="12.75" customHeight="1" x14ac:dyDescent="0.2">
      <c r="A238" s="10"/>
      <c r="B238" s="21"/>
      <c r="C238" s="22" t="s">
        <v>279</v>
      </c>
      <c r="D238" s="32" t="s">
        <v>280</v>
      </c>
      <c r="E238" s="22" t="s">
        <v>198</v>
      </c>
      <c r="F238" s="23">
        <v>129235</v>
      </c>
      <c r="G238" s="22" t="s">
        <v>142</v>
      </c>
      <c r="H238" s="22">
        <v>137</v>
      </c>
      <c r="I238" s="22" t="s">
        <v>238</v>
      </c>
      <c r="J238" s="22">
        <v>17705.195</v>
      </c>
      <c r="K238" s="117">
        <v>1460.4</v>
      </c>
      <c r="L238" s="121">
        <v>7.1999999999999995E-2</v>
      </c>
      <c r="M238" s="86">
        <v>7.0000000000000001E-3</v>
      </c>
      <c r="N238" s="10"/>
      <c r="O238" s="10"/>
      <c r="P238" s="10"/>
      <c r="Q238" s="10"/>
      <c r="R238" s="10"/>
      <c r="S238" s="10"/>
      <c r="T238" s="10"/>
      <c r="U238" s="10"/>
      <c r="V238" s="10"/>
      <c r="W238" s="10"/>
      <c r="X238" s="10"/>
      <c r="Y238" s="10"/>
      <c r="Z238" s="10"/>
    </row>
    <row r="239" spans="1:26" ht="12.75" customHeight="1" x14ac:dyDescent="0.2">
      <c r="A239" s="10"/>
      <c r="B239" s="21"/>
      <c r="C239" s="22"/>
      <c r="D239" s="32"/>
      <c r="E239" s="22"/>
      <c r="F239" s="22"/>
      <c r="G239" s="22"/>
      <c r="H239" s="22"/>
      <c r="I239" s="22"/>
      <c r="J239" s="22"/>
      <c r="K239" s="22"/>
      <c r="L239" s="22"/>
      <c r="M239" s="24"/>
      <c r="N239" s="10"/>
      <c r="O239" s="10"/>
      <c r="P239" s="10"/>
      <c r="Q239" s="10"/>
      <c r="R239" s="10"/>
      <c r="S239" s="10"/>
      <c r="T239" s="10"/>
      <c r="U239" s="10"/>
      <c r="V239" s="10"/>
      <c r="W239" s="10"/>
      <c r="X239" s="10"/>
      <c r="Y239" s="10"/>
      <c r="Z239" s="10"/>
    </row>
    <row r="240" spans="1:26" ht="12.75" customHeight="1" x14ac:dyDescent="0.2">
      <c r="A240" s="10"/>
      <c r="B240" s="25"/>
      <c r="C240" s="27"/>
      <c r="D240" s="47"/>
      <c r="E240" s="27"/>
      <c r="F240" s="27"/>
      <c r="G240" s="27"/>
      <c r="H240" s="27"/>
      <c r="I240" s="27"/>
      <c r="J240" s="27"/>
      <c r="K240" s="27"/>
      <c r="L240" s="27"/>
      <c r="M240" s="31"/>
      <c r="N240" s="10"/>
      <c r="O240" s="10"/>
      <c r="P240" s="10"/>
      <c r="Q240" s="10"/>
      <c r="R240" s="10"/>
      <c r="S240" s="10"/>
      <c r="T240" s="10"/>
      <c r="U240" s="10"/>
      <c r="V240" s="10"/>
      <c r="W240" s="10"/>
      <c r="X240" s="10"/>
      <c r="Y240" s="10"/>
      <c r="Z240" s="10"/>
    </row>
    <row r="241" spans="1:26" ht="12.75" customHeight="1" x14ac:dyDescent="0.2">
      <c r="A241" s="10"/>
      <c r="B241" s="21" t="s">
        <v>281</v>
      </c>
      <c r="C241" s="45" t="s">
        <v>282</v>
      </c>
      <c r="D241" s="32"/>
      <c r="E241" s="22"/>
      <c r="F241" s="22"/>
      <c r="G241" s="22"/>
      <c r="H241" s="22"/>
      <c r="I241" s="22"/>
      <c r="J241" s="22"/>
      <c r="K241" s="22"/>
      <c r="L241" s="22"/>
      <c r="M241" s="24"/>
      <c r="N241" s="10"/>
      <c r="O241" s="10"/>
      <c r="P241" s="10"/>
      <c r="Q241" s="10"/>
      <c r="R241" s="10"/>
      <c r="S241" s="10"/>
      <c r="T241" s="10"/>
      <c r="U241" s="10"/>
      <c r="V241" s="10"/>
      <c r="W241" s="10"/>
      <c r="X241" s="10"/>
      <c r="Y241" s="10"/>
      <c r="Z241" s="10"/>
    </row>
    <row r="242" spans="1:26" ht="12.75" customHeight="1" x14ac:dyDescent="0.2">
      <c r="A242" s="10"/>
      <c r="B242" s="21"/>
      <c r="C242" s="22" t="s">
        <v>259</v>
      </c>
      <c r="D242" s="32" t="s">
        <v>283</v>
      </c>
      <c r="E242" s="22" t="s">
        <v>198</v>
      </c>
      <c r="F242" s="23">
        <v>1600</v>
      </c>
      <c r="G242" s="22" t="s">
        <v>142</v>
      </c>
      <c r="H242" s="36">
        <v>140984</v>
      </c>
      <c r="I242" s="22" t="s">
        <v>233</v>
      </c>
      <c r="J242" s="81">
        <v>225.5744</v>
      </c>
      <c r="K242" s="119">
        <v>18.309999999999999</v>
      </c>
      <c r="L242" s="113">
        <v>0</v>
      </c>
      <c r="M242" s="114">
        <v>0</v>
      </c>
      <c r="N242" s="10"/>
      <c r="O242" s="10"/>
      <c r="P242" s="10"/>
      <c r="Q242" s="10"/>
      <c r="R242" s="10"/>
      <c r="S242" s="10"/>
      <c r="T242" s="10"/>
      <c r="U242" s="10"/>
      <c r="V242" s="10"/>
      <c r="W242" s="10"/>
      <c r="X242" s="10"/>
      <c r="Y242" s="10"/>
      <c r="Z242" s="10"/>
    </row>
    <row r="243" spans="1:26" ht="12.75" customHeight="1" x14ac:dyDescent="0.2">
      <c r="A243" s="10"/>
      <c r="B243" s="21"/>
      <c r="C243" s="22" t="s">
        <v>257</v>
      </c>
      <c r="D243" s="32" t="s">
        <v>284</v>
      </c>
      <c r="E243" s="22" t="s">
        <v>198</v>
      </c>
      <c r="F243" s="23">
        <v>2829</v>
      </c>
      <c r="G243" s="22" t="s">
        <v>142</v>
      </c>
      <c r="H243" s="36">
        <v>140983</v>
      </c>
      <c r="I243" s="22" t="s">
        <v>233</v>
      </c>
      <c r="J243" s="81">
        <v>398.84090700000002</v>
      </c>
      <c r="K243" s="119">
        <v>42.85</v>
      </c>
      <c r="L243" s="113">
        <v>0</v>
      </c>
      <c r="M243" s="114">
        <v>0</v>
      </c>
      <c r="N243" s="10"/>
      <c r="O243" s="10"/>
      <c r="P243" s="10"/>
      <c r="Q243" s="10"/>
      <c r="R243" s="10"/>
      <c r="S243" s="10"/>
      <c r="T243" s="10"/>
      <c r="U243" s="10"/>
      <c r="V243" s="10"/>
      <c r="W243" s="10"/>
      <c r="X243" s="10"/>
      <c r="Y243" s="10"/>
      <c r="Z243" s="10"/>
    </row>
    <row r="244" spans="1:26" ht="12.75" customHeight="1" x14ac:dyDescent="0.2">
      <c r="A244" s="10"/>
      <c r="B244" s="21"/>
      <c r="C244" s="22" t="s">
        <v>246</v>
      </c>
      <c r="D244" s="32" t="s">
        <v>285</v>
      </c>
      <c r="E244" s="22" t="s">
        <v>198</v>
      </c>
      <c r="F244" s="23">
        <v>2829</v>
      </c>
      <c r="G244" s="22" t="s">
        <v>142</v>
      </c>
      <c r="H244" s="36">
        <v>140987</v>
      </c>
      <c r="I244" s="22" t="s">
        <v>233</v>
      </c>
      <c r="J244" s="81">
        <v>398.85222299999998</v>
      </c>
      <c r="K244" s="119">
        <v>24.59</v>
      </c>
      <c r="L244" s="113">
        <v>0</v>
      </c>
      <c r="M244" s="114">
        <v>0</v>
      </c>
      <c r="N244" s="10"/>
      <c r="O244" s="10"/>
      <c r="P244" s="10"/>
      <c r="Q244" s="10"/>
      <c r="R244" s="10"/>
      <c r="S244" s="10"/>
      <c r="T244" s="10"/>
      <c r="U244" s="10"/>
      <c r="V244" s="10"/>
      <c r="W244" s="10"/>
      <c r="X244" s="10"/>
      <c r="Y244" s="10"/>
      <c r="Z244" s="10"/>
    </row>
    <row r="245" spans="1:26" ht="12.75" customHeight="1" x14ac:dyDescent="0.2">
      <c r="A245" s="10"/>
      <c r="B245" s="21"/>
      <c r="C245" s="22" t="s">
        <v>286</v>
      </c>
      <c r="D245" s="32" t="s">
        <v>285</v>
      </c>
      <c r="E245" s="22" t="s">
        <v>198</v>
      </c>
      <c r="F245" s="23">
        <v>3600</v>
      </c>
      <c r="G245" s="22" t="s">
        <v>142</v>
      </c>
      <c r="H245" s="36">
        <v>140987</v>
      </c>
      <c r="I245" s="22" t="s">
        <v>233</v>
      </c>
      <c r="J245" s="81">
        <v>507.5532</v>
      </c>
      <c r="K245" s="119">
        <v>24.91</v>
      </c>
      <c r="L245" s="113">
        <v>0</v>
      </c>
      <c r="M245" s="114">
        <v>0</v>
      </c>
      <c r="N245" s="10"/>
      <c r="O245" s="10"/>
      <c r="P245" s="10"/>
      <c r="Q245" s="10"/>
      <c r="R245" s="10"/>
      <c r="S245" s="10"/>
      <c r="T245" s="10"/>
      <c r="U245" s="10"/>
      <c r="V245" s="10"/>
      <c r="W245" s="10"/>
      <c r="X245" s="10"/>
      <c r="Y245" s="10"/>
      <c r="Z245" s="10"/>
    </row>
    <row r="246" spans="1:26" ht="12.75" customHeight="1" x14ac:dyDescent="0.2">
      <c r="A246" s="10"/>
      <c r="B246" s="21"/>
      <c r="C246" s="22"/>
      <c r="D246" s="32"/>
      <c r="E246" s="22"/>
      <c r="F246" s="36"/>
      <c r="G246" s="22"/>
      <c r="H246" s="22"/>
      <c r="I246" s="22"/>
      <c r="J246" s="36"/>
      <c r="K246" s="22"/>
      <c r="L246" s="22"/>
      <c r="M246" s="24"/>
      <c r="N246" s="10"/>
      <c r="O246" s="10"/>
      <c r="P246" s="10"/>
      <c r="Q246" s="10"/>
      <c r="R246" s="10"/>
      <c r="S246" s="10"/>
      <c r="T246" s="10"/>
      <c r="U246" s="10"/>
      <c r="V246" s="10"/>
      <c r="W246" s="10"/>
      <c r="X246" s="10"/>
      <c r="Y246" s="10"/>
      <c r="Z246" s="10"/>
    </row>
    <row r="247" spans="1:26" ht="12.75" customHeight="1" x14ac:dyDescent="0.2">
      <c r="A247" s="10"/>
      <c r="B247" s="25"/>
      <c r="C247" s="27"/>
      <c r="D247" s="47"/>
      <c r="E247" s="27"/>
      <c r="F247" s="27"/>
      <c r="G247" s="27"/>
      <c r="H247" s="27"/>
      <c r="I247" s="27"/>
      <c r="J247" s="27"/>
      <c r="K247" s="27"/>
      <c r="L247" s="27"/>
      <c r="M247" s="31"/>
      <c r="N247" s="10"/>
      <c r="O247" s="10"/>
      <c r="P247" s="10"/>
      <c r="Q247" s="10"/>
      <c r="R247" s="10"/>
      <c r="S247" s="10"/>
      <c r="T247" s="10"/>
      <c r="U247" s="10"/>
      <c r="V247" s="10"/>
      <c r="W247" s="10"/>
      <c r="X247" s="10"/>
      <c r="Y247" s="10"/>
      <c r="Z247" s="10"/>
    </row>
    <row r="248" spans="1:26" ht="12.75" customHeight="1" x14ac:dyDescent="0.2">
      <c r="A248" s="10"/>
      <c r="B248" s="21" t="s">
        <v>287</v>
      </c>
      <c r="C248" s="45" t="s">
        <v>288</v>
      </c>
      <c r="D248" s="32"/>
      <c r="E248" s="22"/>
      <c r="F248" s="22"/>
      <c r="G248" s="22"/>
      <c r="H248" s="22"/>
      <c r="I248" s="22"/>
      <c r="J248" s="22"/>
      <c r="K248" s="22"/>
      <c r="L248" s="22"/>
      <c r="M248" s="24"/>
      <c r="N248" s="10"/>
      <c r="O248" s="10"/>
      <c r="P248" s="10"/>
      <c r="Q248" s="10"/>
      <c r="R248" s="10"/>
      <c r="S248" s="10"/>
      <c r="T248" s="10"/>
      <c r="U248" s="10"/>
      <c r="V248" s="10"/>
      <c r="W248" s="10"/>
      <c r="X248" s="10"/>
      <c r="Y248" s="10"/>
      <c r="Z248" s="10"/>
    </row>
    <row r="249" spans="1:26" ht="12.75" customHeight="1" x14ac:dyDescent="0.2">
      <c r="A249" s="10"/>
      <c r="B249" s="21"/>
      <c r="C249" s="22" t="s">
        <v>289</v>
      </c>
      <c r="D249" s="32" t="s">
        <v>290</v>
      </c>
      <c r="E249" s="22" t="s">
        <v>198</v>
      </c>
      <c r="F249" s="23">
        <v>44465</v>
      </c>
      <c r="G249" s="22" t="s">
        <v>142</v>
      </c>
      <c r="H249" s="36">
        <v>141494</v>
      </c>
      <c r="I249" s="22" t="s">
        <v>233</v>
      </c>
      <c r="J249" s="81">
        <v>6291.53071</v>
      </c>
      <c r="K249" s="119">
        <v>502</v>
      </c>
      <c r="L249" s="121">
        <v>2.5000000000000001E-2</v>
      </c>
      <c r="M249" s="114">
        <v>0</v>
      </c>
      <c r="N249" s="10"/>
      <c r="O249" s="10"/>
      <c r="P249" s="10"/>
      <c r="Q249" s="10"/>
      <c r="R249" s="10"/>
      <c r="S249" s="10"/>
      <c r="T249" s="10"/>
      <c r="U249" s="10"/>
      <c r="V249" s="10"/>
      <c r="W249" s="10"/>
      <c r="X249" s="10"/>
      <c r="Y249" s="10"/>
      <c r="Z249" s="10"/>
    </row>
    <row r="250" spans="1:26" ht="12.75" customHeight="1" x14ac:dyDescent="0.2">
      <c r="A250" s="10"/>
      <c r="B250" s="21"/>
      <c r="C250" s="22" t="s">
        <v>291</v>
      </c>
      <c r="D250" s="32" t="s">
        <v>99</v>
      </c>
      <c r="E250" s="22" t="s">
        <v>198</v>
      </c>
      <c r="F250" s="23">
        <v>36200</v>
      </c>
      <c r="G250" s="22" t="s">
        <v>142</v>
      </c>
      <c r="H250" s="36">
        <v>141494</v>
      </c>
      <c r="I250" s="22" t="s">
        <v>233</v>
      </c>
      <c r="J250" s="81">
        <v>5122.0828000000001</v>
      </c>
      <c r="K250" s="119">
        <v>409</v>
      </c>
      <c r="L250" s="121">
        <v>0.02</v>
      </c>
      <c r="M250" s="114">
        <v>0</v>
      </c>
      <c r="N250" s="10"/>
      <c r="O250" s="10"/>
      <c r="P250" s="10"/>
      <c r="Q250" s="10"/>
      <c r="R250" s="10"/>
      <c r="S250" s="10"/>
      <c r="T250" s="10"/>
      <c r="U250" s="10"/>
      <c r="V250" s="10"/>
      <c r="W250" s="10"/>
      <c r="X250" s="10"/>
      <c r="Y250" s="10"/>
      <c r="Z250" s="10"/>
    </row>
    <row r="251" spans="1:26" ht="12.75" customHeight="1" x14ac:dyDescent="0.2">
      <c r="A251" s="10"/>
      <c r="B251" s="21"/>
      <c r="C251" s="22" t="s">
        <v>292</v>
      </c>
      <c r="D251" s="32" t="s">
        <v>115</v>
      </c>
      <c r="E251" s="22" t="s">
        <v>198</v>
      </c>
      <c r="F251" s="23">
        <v>43527</v>
      </c>
      <c r="G251" s="22" t="s">
        <v>142</v>
      </c>
      <c r="H251" s="36">
        <v>141494</v>
      </c>
      <c r="I251" s="22" t="s">
        <v>233</v>
      </c>
      <c r="J251" s="81">
        <v>6158.809338</v>
      </c>
      <c r="K251" s="119">
        <v>492</v>
      </c>
      <c r="L251" s="121">
        <v>2.4E-2</v>
      </c>
      <c r="M251" s="114">
        <v>0</v>
      </c>
      <c r="N251" s="10"/>
      <c r="O251" s="10"/>
      <c r="P251" s="10"/>
      <c r="Q251" s="10"/>
      <c r="R251" s="10"/>
      <c r="S251" s="10"/>
      <c r="T251" s="10"/>
      <c r="U251" s="10"/>
      <c r="V251" s="10"/>
      <c r="W251" s="10"/>
      <c r="X251" s="10"/>
      <c r="Y251" s="10"/>
      <c r="Z251" s="10"/>
    </row>
    <row r="252" spans="1:26" ht="12.75" customHeight="1" x14ac:dyDescent="0.2">
      <c r="A252" s="10"/>
      <c r="B252" s="21"/>
      <c r="C252" s="22" t="s">
        <v>293</v>
      </c>
      <c r="D252" s="32" t="s">
        <v>117</v>
      </c>
      <c r="E252" s="22" t="s">
        <v>198</v>
      </c>
      <c r="F252" s="23">
        <v>44904</v>
      </c>
      <c r="G252" s="22" t="s">
        <v>142</v>
      </c>
      <c r="H252" s="36">
        <v>141494</v>
      </c>
      <c r="I252" s="22" t="s">
        <v>233</v>
      </c>
      <c r="J252" s="81">
        <v>6353.6465760000001</v>
      </c>
      <c r="K252" s="119">
        <v>507</v>
      </c>
      <c r="L252" s="121">
        <v>2.5000000000000001E-2</v>
      </c>
      <c r="M252" s="114">
        <v>0</v>
      </c>
      <c r="N252" s="10"/>
      <c r="O252" s="10"/>
      <c r="P252" s="10"/>
      <c r="Q252" s="10"/>
      <c r="R252" s="10"/>
      <c r="S252" s="10"/>
      <c r="T252" s="10"/>
      <c r="U252" s="10"/>
      <c r="V252" s="10"/>
      <c r="W252" s="10"/>
      <c r="X252" s="10"/>
      <c r="Y252" s="10"/>
      <c r="Z252" s="10"/>
    </row>
    <row r="253" spans="1:26" ht="12.75" customHeight="1" x14ac:dyDescent="0.2">
      <c r="A253" s="10"/>
      <c r="B253" s="21"/>
      <c r="C253" s="22"/>
      <c r="D253" s="32"/>
      <c r="E253" s="22"/>
      <c r="F253" s="22"/>
      <c r="G253" s="22"/>
      <c r="H253" s="22"/>
      <c r="I253" s="22"/>
      <c r="J253" s="22"/>
      <c r="K253" s="22"/>
      <c r="L253" s="22"/>
      <c r="M253" s="24"/>
      <c r="N253" s="10"/>
      <c r="O253" s="10"/>
      <c r="P253" s="10"/>
      <c r="Q253" s="10"/>
      <c r="R253" s="10"/>
      <c r="S253" s="10"/>
      <c r="T253" s="10"/>
      <c r="U253" s="10"/>
      <c r="V253" s="10"/>
      <c r="W253" s="10"/>
      <c r="X253" s="10"/>
      <c r="Y253" s="10"/>
      <c r="Z253" s="10"/>
    </row>
    <row r="254" spans="1:26" ht="12.75" customHeight="1" x14ac:dyDescent="0.2">
      <c r="A254" s="10"/>
      <c r="B254" s="25"/>
      <c r="C254" s="27"/>
      <c r="D254" s="49"/>
      <c r="E254" s="27"/>
      <c r="F254" s="27"/>
      <c r="G254" s="27"/>
      <c r="H254" s="27"/>
      <c r="I254" s="27"/>
      <c r="J254" s="27"/>
      <c r="K254" s="27"/>
      <c r="L254" s="27"/>
      <c r="M254" s="123"/>
      <c r="N254" s="10"/>
      <c r="O254" s="10"/>
      <c r="P254" s="10"/>
      <c r="Q254" s="10"/>
      <c r="R254" s="10"/>
      <c r="S254" s="10"/>
      <c r="T254" s="10"/>
      <c r="U254" s="10"/>
      <c r="V254" s="10"/>
      <c r="W254" s="10"/>
      <c r="X254" s="10"/>
      <c r="Y254" s="10"/>
      <c r="Z254" s="10"/>
    </row>
    <row r="255" spans="1:26" ht="12.75" customHeight="1" x14ac:dyDescent="0.2">
      <c r="A255" s="10"/>
      <c r="B255" s="21" t="s">
        <v>294</v>
      </c>
      <c r="C255" s="45" t="s">
        <v>295</v>
      </c>
      <c r="D255" s="35"/>
      <c r="E255" s="22"/>
      <c r="F255" s="22"/>
      <c r="G255" s="22"/>
      <c r="H255" s="22"/>
      <c r="I255" s="22"/>
      <c r="J255" s="22"/>
      <c r="K255" s="22"/>
      <c r="L255" s="22"/>
      <c r="M255" s="124"/>
      <c r="N255" s="10"/>
      <c r="O255" s="10"/>
      <c r="P255" s="10"/>
      <c r="Q255" s="10"/>
      <c r="R255" s="10"/>
      <c r="S255" s="10"/>
      <c r="T255" s="10"/>
      <c r="U255" s="10"/>
      <c r="V255" s="10"/>
      <c r="W255" s="10"/>
      <c r="X255" s="10"/>
      <c r="Y255" s="10"/>
      <c r="Z255" s="10"/>
    </row>
    <row r="256" spans="1:26" ht="12.75" customHeight="1" x14ac:dyDescent="0.2">
      <c r="A256" s="10"/>
      <c r="B256" s="21"/>
      <c r="C256" s="22" t="s">
        <v>296</v>
      </c>
      <c r="D256" s="35" t="s">
        <v>297</v>
      </c>
      <c r="E256" s="22" t="s">
        <v>198</v>
      </c>
      <c r="F256" s="23">
        <v>23372</v>
      </c>
      <c r="G256" s="22" t="s">
        <v>142</v>
      </c>
      <c r="H256" s="36">
        <v>137030</v>
      </c>
      <c r="I256" s="22" t="s">
        <v>233</v>
      </c>
      <c r="J256" s="81">
        <v>3202.66516</v>
      </c>
      <c r="K256" s="84">
        <v>260.59780000000001</v>
      </c>
      <c r="L256" s="113">
        <v>0</v>
      </c>
      <c r="M256" s="125">
        <v>0</v>
      </c>
      <c r="N256" s="10"/>
      <c r="O256" s="10"/>
      <c r="P256" s="10"/>
      <c r="Q256" s="10"/>
      <c r="R256" s="10"/>
      <c r="S256" s="10"/>
      <c r="T256" s="10"/>
      <c r="U256" s="10"/>
      <c r="V256" s="10"/>
      <c r="W256" s="10"/>
      <c r="X256" s="10"/>
      <c r="Y256" s="10"/>
      <c r="Z256" s="10"/>
    </row>
    <row r="257" spans="1:26" ht="12.75" customHeight="1" x14ac:dyDescent="0.2">
      <c r="A257" s="10"/>
      <c r="B257" s="21"/>
      <c r="C257" s="22" t="s">
        <v>298</v>
      </c>
      <c r="D257" s="35" t="s">
        <v>299</v>
      </c>
      <c r="E257" s="22" t="s">
        <v>198</v>
      </c>
      <c r="F257" s="23">
        <v>11690</v>
      </c>
      <c r="G257" s="22" t="s">
        <v>142</v>
      </c>
      <c r="H257" s="36">
        <v>137030</v>
      </c>
      <c r="I257" s="22" t="s">
        <v>233</v>
      </c>
      <c r="J257" s="81">
        <v>1601.8806999999999</v>
      </c>
      <c r="K257" s="84">
        <v>130.34350000000001</v>
      </c>
      <c r="L257" s="113">
        <v>0</v>
      </c>
      <c r="M257" s="125">
        <v>0</v>
      </c>
      <c r="N257" s="10"/>
      <c r="O257" s="10"/>
      <c r="P257" s="10"/>
      <c r="Q257" s="10"/>
      <c r="R257" s="10"/>
      <c r="S257" s="10"/>
      <c r="T257" s="10"/>
      <c r="U257" s="10"/>
      <c r="V257" s="10"/>
      <c r="W257" s="10"/>
      <c r="X257" s="10"/>
      <c r="Y257" s="10"/>
      <c r="Z257" s="10"/>
    </row>
    <row r="258" spans="1:26" ht="12.75" customHeight="1" x14ac:dyDescent="0.2">
      <c r="A258" s="10"/>
      <c r="B258" s="21"/>
      <c r="C258" s="22" t="s">
        <v>300</v>
      </c>
      <c r="D258" s="35" t="s">
        <v>301</v>
      </c>
      <c r="E258" s="22" t="s">
        <v>198</v>
      </c>
      <c r="F258" s="23">
        <v>9816</v>
      </c>
      <c r="G258" s="22" t="s">
        <v>142</v>
      </c>
      <c r="H258" s="36">
        <v>137030</v>
      </c>
      <c r="I258" s="22" t="s">
        <v>233</v>
      </c>
      <c r="J258" s="81">
        <v>1345.0864799999999</v>
      </c>
      <c r="K258" s="84">
        <v>110.96963459999999</v>
      </c>
      <c r="L258" s="113">
        <v>0.01</v>
      </c>
      <c r="M258" s="125">
        <v>0</v>
      </c>
      <c r="N258" s="10"/>
      <c r="O258" s="10"/>
      <c r="P258" s="10"/>
      <c r="Q258" s="10"/>
      <c r="R258" s="10"/>
      <c r="S258" s="10"/>
      <c r="T258" s="10"/>
      <c r="U258" s="10"/>
      <c r="V258" s="10"/>
      <c r="W258" s="10"/>
      <c r="X258" s="10"/>
      <c r="Y258" s="10"/>
      <c r="Z258" s="10"/>
    </row>
    <row r="259" spans="1:26" ht="12.75" customHeight="1" x14ac:dyDescent="0.2">
      <c r="A259" s="10"/>
      <c r="B259" s="21"/>
      <c r="C259" s="22" t="s">
        <v>302</v>
      </c>
      <c r="D259" s="35" t="s">
        <v>303</v>
      </c>
      <c r="E259" s="22" t="s">
        <v>198</v>
      </c>
      <c r="F259" s="23">
        <v>9840</v>
      </c>
      <c r="G259" s="22" t="s">
        <v>142</v>
      </c>
      <c r="H259" s="36">
        <v>137030</v>
      </c>
      <c r="I259" s="22" t="s">
        <v>233</v>
      </c>
      <c r="J259" s="81">
        <v>1348.3751999999999</v>
      </c>
      <c r="K259" s="84">
        <v>111.240954</v>
      </c>
      <c r="L259" s="113">
        <v>0.01</v>
      </c>
      <c r="M259" s="125">
        <v>0</v>
      </c>
      <c r="N259" s="10"/>
      <c r="O259" s="10"/>
      <c r="P259" s="10"/>
      <c r="Q259" s="10"/>
      <c r="R259" s="10"/>
      <c r="S259" s="10"/>
      <c r="T259" s="10"/>
      <c r="U259" s="10"/>
      <c r="V259" s="10"/>
      <c r="W259" s="10"/>
      <c r="X259" s="10"/>
      <c r="Y259" s="10"/>
      <c r="Z259" s="10"/>
    </row>
    <row r="260" spans="1:26" ht="12.75" customHeight="1" x14ac:dyDescent="0.2">
      <c r="A260" s="10"/>
      <c r="B260" s="21"/>
      <c r="C260" s="22" t="s">
        <v>304</v>
      </c>
      <c r="D260" s="35" t="s">
        <v>305</v>
      </c>
      <c r="E260" s="22" t="s">
        <v>198</v>
      </c>
      <c r="F260" s="23">
        <v>16267</v>
      </c>
      <c r="G260" s="22" t="s">
        <v>142</v>
      </c>
      <c r="H260" s="36">
        <v>137030</v>
      </c>
      <c r="I260" s="22" t="s">
        <v>233</v>
      </c>
      <c r="J260" s="81">
        <v>2229.0670100000002</v>
      </c>
      <c r="K260" s="84">
        <v>183.89802832500001</v>
      </c>
      <c r="L260" s="113">
        <v>0.01</v>
      </c>
      <c r="M260" s="125">
        <v>0</v>
      </c>
      <c r="N260" s="10"/>
      <c r="O260" s="10"/>
      <c r="P260" s="10"/>
      <c r="Q260" s="10"/>
      <c r="R260" s="10"/>
      <c r="S260" s="10"/>
      <c r="T260" s="10"/>
      <c r="U260" s="10"/>
      <c r="V260" s="10"/>
      <c r="W260" s="10"/>
      <c r="X260" s="10"/>
      <c r="Y260" s="10"/>
      <c r="Z260" s="10"/>
    </row>
    <row r="261" spans="1:26" ht="12.75" customHeight="1" x14ac:dyDescent="0.2">
      <c r="A261" s="10"/>
      <c r="B261" s="21"/>
      <c r="C261" s="22" t="s">
        <v>306</v>
      </c>
      <c r="D261" s="35" t="s">
        <v>307</v>
      </c>
      <c r="E261" s="22" t="s">
        <v>198</v>
      </c>
      <c r="F261" s="23">
        <v>13669</v>
      </c>
      <c r="G261" s="22" t="s">
        <v>142</v>
      </c>
      <c r="H261" s="36">
        <v>137030</v>
      </c>
      <c r="I261" s="22" t="s">
        <v>233</v>
      </c>
      <c r="J261" s="81">
        <v>1873.0630699999999</v>
      </c>
      <c r="K261" s="84">
        <v>154.52770327499999</v>
      </c>
      <c r="L261" s="113">
        <v>0.01</v>
      </c>
      <c r="M261" s="125">
        <v>0</v>
      </c>
      <c r="N261" s="10"/>
      <c r="O261" s="10"/>
      <c r="P261" s="10"/>
      <c r="Q261" s="10"/>
      <c r="R261" s="10"/>
      <c r="S261" s="10"/>
      <c r="T261" s="10"/>
      <c r="U261" s="10"/>
      <c r="V261" s="10"/>
      <c r="W261" s="10"/>
      <c r="X261" s="10"/>
      <c r="Y261" s="10"/>
      <c r="Z261" s="10"/>
    </row>
    <row r="262" spans="1:26" ht="12.75" customHeight="1" x14ac:dyDescent="0.2">
      <c r="A262" s="10"/>
      <c r="B262" s="21"/>
      <c r="C262" s="22" t="s">
        <v>308</v>
      </c>
      <c r="D262" s="35" t="s">
        <v>309</v>
      </c>
      <c r="E262" s="22" t="s">
        <v>198</v>
      </c>
      <c r="F262" s="23">
        <v>436</v>
      </c>
      <c r="G262" s="22" t="s">
        <v>142</v>
      </c>
      <c r="H262" s="36">
        <v>137030</v>
      </c>
      <c r="I262" s="22" t="s">
        <v>233</v>
      </c>
      <c r="J262" s="81">
        <v>59.745080000000002</v>
      </c>
      <c r="K262" s="84">
        <v>4.9289691000000007</v>
      </c>
      <c r="L262" s="113">
        <v>0.01</v>
      </c>
      <c r="M262" s="125">
        <v>0</v>
      </c>
      <c r="N262" s="10"/>
      <c r="O262" s="10"/>
      <c r="P262" s="10"/>
      <c r="Q262" s="10"/>
      <c r="R262" s="10"/>
      <c r="S262" s="10"/>
      <c r="T262" s="10"/>
      <c r="U262" s="10"/>
      <c r="V262" s="10"/>
      <c r="W262" s="10"/>
      <c r="X262" s="10"/>
      <c r="Y262" s="10"/>
      <c r="Z262" s="10"/>
    </row>
    <row r="263" spans="1:26" ht="12.75" customHeight="1" x14ac:dyDescent="0.2">
      <c r="A263" s="10"/>
      <c r="B263" s="21"/>
      <c r="C263" s="22" t="s">
        <v>310</v>
      </c>
      <c r="D263" s="35" t="s">
        <v>311</v>
      </c>
      <c r="E263" s="22" t="s">
        <v>198</v>
      </c>
      <c r="F263" s="23">
        <v>19260</v>
      </c>
      <c r="G263" s="22" t="s">
        <v>142</v>
      </c>
      <c r="H263" s="36">
        <v>137030</v>
      </c>
      <c r="I263" s="22" t="s">
        <v>233</v>
      </c>
      <c r="J263" s="81">
        <v>2639.1977999999999</v>
      </c>
      <c r="K263" s="84">
        <v>217.73381849999998</v>
      </c>
      <c r="L263" s="113">
        <v>0</v>
      </c>
      <c r="M263" s="125">
        <v>0</v>
      </c>
      <c r="N263" s="10"/>
      <c r="O263" s="10"/>
      <c r="P263" s="10"/>
      <c r="Q263" s="10"/>
      <c r="R263" s="10"/>
      <c r="S263" s="10"/>
      <c r="T263" s="10"/>
      <c r="U263" s="10"/>
      <c r="V263" s="10"/>
      <c r="W263" s="10"/>
      <c r="X263" s="10"/>
      <c r="Y263" s="10"/>
      <c r="Z263" s="10"/>
    </row>
    <row r="264" spans="1:26" ht="12.75" customHeight="1" x14ac:dyDescent="0.2">
      <c r="A264" s="10"/>
      <c r="B264" s="21"/>
      <c r="C264" s="22"/>
      <c r="D264" s="126"/>
      <c r="E264" s="22"/>
      <c r="F264" s="23"/>
      <c r="G264" s="22"/>
      <c r="H264" s="36"/>
      <c r="I264" s="22"/>
      <c r="J264" s="81"/>
      <c r="K264" s="84"/>
      <c r="L264" s="113"/>
      <c r="M264" s="124"/>
      <c r="N264" s="10"/>
      <c r="O264" s="10"/>
      <c r="P264" s="10"/>
      <c r="Q264" s="10"/>
      <c r="R264" s="10"/>
      <c r="S264" s="10"/>
      <c r="T264" s="10"/>
      <c r="U264" s="10"/>
      <c r="V264" s="10"/>
      <c r="W264" s="10"/>
      <c r="X264" s="10"/>
      <c r="Y264" s="10"/>
      <c r="Z264" s="10"/>
    </row>
    <row r="265" spans="1:26" ht="12.75" customHeight="1" x14ac:dyDescent="0.2">
      <c r="A265" s="10"/>
      <c r="B265" s="21"/>
      <c r="C265" s="22"/>
      <c r="D265" s="126"/>
      <c r="E265" s="22"/>
      <c r="F265" s="23"/>
      <c r="G265" s="22"/>
      <c r="H265" s="36"/>
      <c r="I265" s="22"/>
      <c r="J265" s="81"/>
      <c r="K265" s="84"/>
      <c r="L265" s="113"/>
      <c r="M265" s="124"/>
      <c r="N265" s="10"/>
      <c r="O265" s="10"/>
      <c r="P265" s="10"/>
      <c r="Q265" s="10"/>
      <c r="R265" s="10"/>
      <c r="S265" s="10"/>
      <c r="T265" s="10"/>
      <c r="U265" s="10"/>
      <c r="V265" s="10"/>
      <c r="W265" s="10"/>
      <c r="X265" s="10"/>
      <c r="Y265" s="10"/>
      <c r="Z265" s="10"/>
    </row>
    <row r="266" spans="1:26" ht="12.75" customHeight="1" x14ac:dyDescent="0.2">
      <c r="A266" s="10"/>
      <c r="B266" s="21"/>
      <c r="C266" s="22"/>
      <c r="D266" s="127" t="s">
        <v>312</v>
      </c>
      <c r="E266" s="59"/>
      <c r="F266" s="128">
        <f>SUM(F89:F265)</f>
        <v>28455477.428571429</v>
      </c>
      <c r="G266" s="128"/>
      <c r="H266" s="128"/>
      <c r="I266" s="128"/>
      <c r="J266" s="128">
        <f t="shared" ref="J266:M266" si="1">SUM(J89:J265)</f>
        <v>3901030.3471064996</v>
      </c>
      <c r="K266" s="128">
        <f t="shared" si="1"/>
        <v>316788.29646450793</v>
      </c>
      <c r="L266" s="128">
        <f t="shared" si="1"/>
        <v>10.733109596496325</v>
      </c>
      <c r="M266" s="129">
        <f t="shared" si="1"/>
        <v>1.8240482373708244</v>
      </c>
      <c r="N266" s="10"/>
      <c r="O266" s="10"/>
      <c r="P266" s="10"/>
      <c r="Q266" s="10"/>
      <c r="R266" s="10"/>
      <c r="S266" s="10"/>
      <c r="T266" s="10"/>
      <c r="U266" s="10"/>
      <c r="V266" s="10"/>
      <c r="W266" s="10"/>
      <c r="X266" s="10"/>
      <c r="Y266" s="10"/>
      <c r="Z266" s="10"/>
    </row>
    <row r="267" spans="1:26" ht="12.75" customHeight="1" x14ac:dyDescent="0.2">
      <c r="A267" s="10"/>
      <c r="B267" s="21"/>
      <c r="C267" s="22"/>
      <c r="D267" s="126"/>
      <c r="E267" s="22"/>
      <c r="F267" s="23"/>
      <c r="G267" s="22"/>
      <c r="H267" s="36"/>
      <c r="I267" s="22"/>
      <c r="J267" s="81"/>
      <c r="K267" s="84"/>
      <c r="L267" s="113"/>
      <c r="M267" s="124"/>
      <c r="N267" s="10"/>
      <c r="O267" s="10"/>
      <c r="P267" s="10"/>
      <c r="Q267" s="10"/>
      <c r="R267" s="10"/>
      <c r="S267" s="10"/>
      <c r="T267" s="10"/>
      <c r="U267" s="10"/>
      <c r="V267" s="10"/>
      <c r="W267" s="10"/>
      <c r="X267" s="10"/>
      <c r="Y267" s="10"/>
      <c r="Z267" s="10"/>
    </row>
    <row r="268" spans="1:26" ht="12.75" customHeight="1" x14ac:dyDescent="0.25">
      <c r="A268" s="10"/>
      <c r="B268" s="21"/>
      <c r="C268" s="22"/>
      <c r="D268" s="130" t="s">
        <v>313</v>
      </c>
      <c r="E268" s="128"/>
      <c r="F268" s="128"/>
      <c r="G268" s="128"/>
      <c r="H268" s="128"/>
      <c r="I268" s="128"/>
      <c r="J268" s="128"/>
      <c r="K268" s="128">
        <f>(+K266*0.907184)/1000000</f>
        <v>0.28738527393985819</v>
      </c>
      <c r="L268" s="128">
        <f>(+L266*$J$460*0.907184)/1000000</f>
        <v>2.7263334829326184E-4</v>
      </c>
      <c r="M268" s="129">
        <f>(+M266*$J$461*0.907184)/1000000</f>
        <v>4.3850805468531872E-4</v>
      </c>
      <c r="N268" s="10"/>
      <c r="O268" s="10"/>
      <c r="P268" s="10"/>
      <c r="Q268" s="10"/>
      <c r="R268" s="10"/>
      <c r="S268" s="10"/>
      <c r="T268" s="10"/>
      <c r="U268" s="10"/>
      <c r="V268" s="10"/>
      <c r="W268" s="10"/>
      <c r="X268" s="10"/>
      <c r="Y268" s="10"/>
      <c r="Z268" s="10"/>
    </row>
    <row r="269" spans="1:26" ht="12.75" customHeight="1" x14ac:dyDescent="0.2">
      <c r="A269" s="10"/>
      <c r="B269" s="63"/>
      <c r="C269" s="64"/>
      <c r="D269" s="131"/>
      <c r="E269" s="64"/>
      <c r="F269" s="64"/>
      <c r="G269" s="64"/>
      <c r="H269" s="64"/>
      <c r="I269" s="64"/>
      <c r="J269" s="64"/>
      <c r="K269" s="64"/>
      <c r="L269" s="64"/>
      <c r="M269" s="132"/>
      <c r="N269" s="10"/>
      <c r="O269" s="10"/>
      <c r="P269" s="10"/>
      <c r="Q269" s="10"/>
      <c r="R269" s="10"/>
      <c r="S269" s="10"/>
      <c r="T269" s="10"/>
      <c r="U269" s="10"/>
      <c r="V269" s="10"/>
      <c r="W269" s="10"/>
      <c r="X269" s="10"/>
      <c r="Y269" s="10"/>
      <c r="Z269" s="10"/>
    </row>
    <row r="270" spans="1:26"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5">
      <c r="A276" s="10"/>
      <c r="B276" s="14" t="s">
        <v>69</v>
      </c>
      <c r="C276" s="15" t="s">
        <v>70</v>
      </c>
      <c r="D276" s="15" t="s">
        <v>71</v>
      </c>
      <c r="E276" s="15" t="s">
        <v>72</v>
      </c>
      <c r="F276" s="15" t="s">
        <v>73</v>
      </c>
      <c r="G276" s="15" t="s">
        <v>73</v>
      </c>
      <c r="H276" s="15" t="s">
        <v>74</v>
      </c>
      <c r="I276" s="15" t="s">
        <v>75</v>
      </c>
      <c r="J276" s="16" t="s">
        <v>76</v>
      </c>
      <c r="K276" s="15" t="s">
        <v>314</v>
      </c>
      <c r="L276" s="15" t="s">
        <v>315</v>
      </c>
      <c r="M276" s="17" t="s">
        <v>316</v>
      </c>
      <c r="N276" s="10"/>
      <c r="O276" s="10"/>
      <c r="P276" s="10"/>
      <c r="Q276" s="10"/>
      <c r="R276" s="10"/>
      <c r="S276" s="10"/>
      <c r="T276" s="10"/>
      <c r="U276" s="10"/>
      <c r="V276" s="10"/>
      <c r="W276" s="10"/>
      <c r="X276" s="10"/>
      <c r="Y276" s="10"/>
      <c r="Z276" s="10"/>
    </row>
    <row r="277" spans="1:26" ht="12.75" customHeight="1" x14ac:dyDescent="0.2">
      <c r="A277" s="10"/>
      <c r="B277" s="18"/>
      <c r="C277" s="19"/>
      <c r="D277" s="19"/>
      <c r="E277" s="19"/>
      <c r="F277" s="19"/>
      <c r="G277" s="19" t="s">
        <v>80</v>
      </c>
      <c r="H277" s="19" t="s">
        <v>81</v>
      </c>
      <c r="I277" s="19" t="s">
        <v>82</v>
      </c>
      <c r="J277" s="19" t="s">
        <v>83</v>
      </c>
      <c r="K277" s="19" t="s">
        <v>84</v>
      </c>
      <c r="L277" s="19" t="s">
        <v>84</v>
      </c>
      <c r="M277" s="20" t="s">
        <v>84</v>
      </c>
      <c r="N277" s="10"/>
      <c r="O277" s="10"/>
      <c r="P277" s="10"/>
      <c r="Q277" s="10"/>
      <c r="R277" s="10"/>
      <c r="S277" s="10"/>
      <c r="T277" s="10"/>
      <c r="U277" s="10"/>
      <c r="V277" s="10"/>
      <c r="W277" s="10"/>
      <c r="X277" s="10"/>
      <c r="Y277" s="10"/>
      <c r="Z277" s="10"/>
    </row>
    <row r="278" spans="1:26" ht="12.75" customHeight="1" x14ac:dyDescent="0.2">
      <c r="A278" s="10"/>
      <c r="B278" s="21"/>
      <c r="C278" s="22"/>
      <c r="D278" s="22"/>
      <c r="E278" s="22"/>
      <c r="F278" s="22"/>
      <c r="G278" s="22"/>
      <c r="H278" s="22"/>
      <c r="I278" s="22"/>
      <c r="J278" s="22"/>
      <c r="K278" s="23"/>
      <c r="L278" s="22"/>
      <c r="M278" s="24"/>
      <c r="N278" s="10"/>
      <c r="O278" s="10"/>
      <c r="P278" s="10"/>
      <c r="Q278" s="10"/>
      <c r="R278" s="10"/>
      <c r="S278" s="10"/>
      <c r="T278" s="10"/>
      <c r="U278" s="10"/>
      <c r="V278" s="10"/>
      <c r="W278" s="10"/>
      <c r="X278" s="10"/>
      <c r="Y278" s="10"/>
      <c r="Z278" s="10"/>
    </row>
    <row r="279" spans="1:26" ht="12.75" customHeight="1" x14ac:dyDescent="0.2">
      <c r="A279" s="10"/>
      <c r="B279" s="25"/>
      <c r="C279" s="26"/>
      <c r="D279" s="27"/>
      <c r="E279" s="27"/>
      <c r="F279" s="28"/>
      <c r="G279" s="27"/>
      <c r="H279" s="28"/>
      <c r="I279" s="27"/>
      <c r="J279" s="28"/>
      <c r="K279" s="28"/>
      <c r="L279" s="88"/>
      <c r="M279" s="31"/>
      <c r="N279" s="10"/>
      <c r="O279" s="10"/>
      <c r="P279" s="10"/>
      <c r="Q279" s="10"/>
      <c r="R279" s="10"/>
      <c r="S279" s="10"/>
      <c r="T279" s="10"/>
      <c r="U279" s="10"/>
      <c r="V279" s="10"/>
      <c r="W279" s="10"/>
      <c r="X279" s="10"/>
      <c r="Y279" s="10"/>
      <c r="Z279" s="10"/>
    </row>
    <row r="280" spans="1:26" ht="12.75" customHeight="1" x14ac:dyDescent="0.2">
      <c r="A280" s="10"/>
      <c r="B280" s="21" t="s">
        <v>109</v>
      </c>
      <c r="C280" s="45" t="s">
        <v>110</v>
      </c>
      <c r="D280" s="22"/>
      <c r="E280" s="22"/>
      <c r="F280" s="36"/>
      <c r="G280" s="22"/>
      <c r="H280" s="36"/>
      <c r="I280" s="22"/>
      <c r="J280" s="36"/>
      <c r="K280" s="36"/>
      <c r="L280" s="81"/>
      <c r="M280" s="94"/>
      <c r="N280" s="10"/>
      <c r="O280" s="10"/>
      <c r="P280" s="10"/>
      <c r="Q280" s="10"/>
      <c r="R280" s="10"/>
      <c r="S280" s="10"/>
      <c r="T280" s="10"/>
      <c r="U280" s="10"/>
      <c r="V280" s="10"/>
      <c r="W280" s="10"/>
      <c r="X280" s="10"/>
      <c r="Y280" s="10"/>
      <c r="Z280" s="10"/>
    </row>
    <row r="281" spans="1:26" ht="12.75" customHeight="1" x14ac:dyDescent="0.2">
      <c r="A281" s="10"/>
      <c r="B281" s="21"/>
      <c r="C281" s="22" t="s">
        <v>111</v>
      </c>
      <c r="D281" s="32" t="s">
        <v>95</v>
      </c>
      <c r="E281" s="22" t="s">
        <v>317</v>
      </c>
      <c r="F281" s="23">
        <v>8068</v>
      </c>
      <c r="G281" s="22" t="s">
        <v>142</v>
      </c>
      <c r="H281" s="36">
        <v>152312</v>
      </c>
      <c r="I281" s="22" t="s">
        <v>143</v>
      </c>
      <c r="J281" s="36">
        <v>1228.853216</v>
      </c>
      <c r="K281" s="46">
        <v>130.5891434757313</v>
      </c>
      <c r="L281" s="133">
        <v>4.0625887320959991E-3</v>
      </c>
      <c r="M281" s="134">
        <v>8.1251774641919979E-4</v>
      </c>
      <c r="N281" s="10"/>
      <c r="O281" s="10"/>
      <c r="P281" s="10"/>
      <c r="Q281" s="10"/>
      <c r="R281" s="10"/>
      <c r="S281" s="10"/>
      <c r="T281" s="10"/>
      <c r="U281" s="10"/>
      <c r="V281" s="10"/>
      <c r="W281" s="10"/>
      <c r="X281" s="10"/>
      <c r="Y281" s="10"/>
      <c r="Z281" s="10"/>
    </row>
    <row r="282" spans="1:26" ht="12.75" customHeight="1" x14ac:dyDescent="0.2">
      <c r="A282" s="10"/>
      <c r="B282" s="21"/>
      <c r="C282" s="22"/>
      <c r="D282" s="32"/>
      <c r="E282" s="22"/>
      <c r="F282" s="36"/>
      <c r="G282" s="22"/>
      <c r="H282" s="36"/>
      <c r="I282" s="22"/>
      <c r="J282" s="68"/>
      <c r="K282" s="46"/>
      <c r="L282" s="133"/>
      <c r="M282" s="134"/>
      <c r="N282" s="10"/>
      <c r="O282" s="10"/>
      <c r="P282" s="10"/>
      <c r="Q282" s="10"/>
      <c r="R282" s="10"/>
      <c r="S282" s="10"/>
      <c r="T282" s="10"/>
      <c r="U282" s="10"/>
      <c r="V282" s="10"/>
      <c r="W282" s="10"/>
      <c r="X282" s="10"/>
      <c r="Y282" s="10"/>
      <c r="Z282" s="10"/>
    </row>
    <row r="283" spans="1:26" ht="12.75" customHeight="1" x14ac:dyDescent="0.2">
      <c r="A283" s="10"/>
      <c r="B283" s="21"/>
      <c r="C283" s="22" t="s">
        <v>113</v>
      </c>
      <c r="D283" s="32" t="s">
        <v>99</v>
      </c>
      <c r="E283" s="22" t="s">
        <v>317</v>
      </c>
      <c r="F283" s="23">
        <v>8068</v>
      </c>
      <c r="G283" s="22" t="s">
        <v>142</v>
      </c>
      <c r="H283" s="36">
        <v>140366</v>
      </c>
      <c r="I283" s="22" t="s">
        <v>143</v>
      </c>
      <c r="J283" s="36">
        <v>1132.472888</v>
      </c>
      <c r="K283" s="46">
        <v>126.11460133466296</v>
      </c>
      <c r="L283" s="133">
        <v>3.7439553677279997E-3</v>
      </c>
      <c r="M283" s="134">
        <v>7.487910735455999E-4</v>
      </c>
      <c r="N283" s="10"/>
      <c r="O283" s="10"/>
      <c r="P283" s="10"/>
      <c r="Q283" s="10"/>
      <c r="R283" s="10"/>
      <c r="S283" s="10"/>
      <c r="T283" s="10"/>
      <c r="U283" s="10"/>
      <c r="V283" s="10"/>
      <c r="W283" s="10"/>
      <c r="X283" s="10"/>
      <c r="Y283" s="10"/>
      <c r="Z283" s="10"/>
    </row>
    <row r="284" spans="1:26" ht="12.75" customHeight="1" x14ac:dyDescent="0.2">
      <c r="A284" s="10"/>
      <c r="B284" s="21"/>
      <c r="C284" s="22"/>
      <c r="D284" s="32"/>
      <c r="E284" s="22"/>
      <c r="F284" s="36"/>
      <c r="G284" s="22"/>
      <c r="H284" s="36"/>
      <c r="I284" s="22"/>
      <c r="J284" s="36"/>
      <c r="K284" s="46"/>
      <c r="L284" s="133"/>
      <c r="M284" s="24"/>
      <c r="N284" s="10"/>
      <c r="O284" s="10"/>
      <c r="P284" s="10"/>
      <c r="Q284" s="10"/>
      <c r="R284" s="10"/>
      <c r="S284" s="10"/>
      <c r="T284" s="10"/>
      <c r="U284" s="10"/>
      <c r="V284" s="10"/>
      <c r="W284" s="10"/>
      <c r="X284" s="10"/>
      <c r="Y284" s="10"/>
      <c r="Z284" s="10"/>
    </row>
    <row r="285" spans="1:26" ht="12.75" customHeight="1" x14ac:dyDescent="0.2">
      <c r="A285" s="10"/>
      <c r="B285" s="21"/>
      <c r="C285" s="22"/>
      <c r="D285" s="32"/>
      <c r="E285" s="22"/>
      <c r="F285" s="36"/>
      <c r="G285" s="22"/>
      <c r="H285" s="36"/>
      <c r="I285" s="22"/>
      <c r="J285" s="36"/>
      <c r="K285" s="46"/>
      <c r="L285" s="133"/>
      <c r="M285" s="24"/>
      <c r="N285" s="10"/>
      <c r="O285" s="10"/>
      <c r="P285" s="10"/>
      <c r="Q285" s="10"/>
      <c r="R285" s="10"/>
      <c r="S285" s="10"/>
      <c r="T285" s="10"/>
      <c r="U285" s="10"/>
      <c r="V285" s="10"/>
      <c r="W285" s="10"/>
      <c r="X285" s="10"/>
      <c r="Y285" s="10"/>
      <c r="Z285" s="10"/>
    </row>
    <row r="286" spans="1:26" ht="12.75" customHeight="1" x14ac:dyDescent="0.2">
      <c r="A286" s="10"/>
      <c r="B286" s="25"/>
      <c r="C286" s="27"/>
      <c r="D286" s="47"/>
      <c r="E286" s="27"/>
      <c r="F286" s="30"/>
      <c r="G286" s="27"/>
      <c r="H286" s="28"/>
      <c r="I286" s="27"/>
      <c r="J286" s="27"/>
      <c r="K286" s="135"/>
      <c r="L286" s="136"/>
      <c r="M286" s="31"/>
      <c r="N286" s="10"/>
      <c r="O286" s="10"/>
      <c r="P286" s="10"/>
      <c r="Q286" s="10"/>
      <c r="R286" s="10"/>
      <c r="S286" s="10"/>
      <c r="T286" s="10"/>
      <c r="U286" s="10"/>
      <c r="V286" s="10"/>
      <c r="W286" s="10"/>
      <c r="X286" s="10"/>
      <c r="Y286" s="10"/>
      <c r="Z286" s="10"/>
    </row>
    <row r="287" spans="1:26" ht="12.75" customHeight="1" x14ac:dyDescent="0.2">
      <c r="A287" s="10"/>
      <c r="B287" s="21" t="s">
        <v>118</v>
      </c>
      <c r="C287" s="45" t="s">
        <v>119</v>
      </c>
      <c r="D287" s="32"/>
      <c r="E287" s="22"/>
      <c r="F287" s="36"/>
      <c r="G287" s="22"/>
      <c r="H287" s="36"/>
      <c r="I287" s="22"/>
      <c r="J287" s="36"/>
      <c r="K287" s="46"/>
      <c r="L287" s="133"/>
      <c r="M287" s="24"/>
      <c r="N287" s="10"/>
      <c r="O287" s="10"/>
      <c r="P287" s="10"/>
      <c r="Q287" s="10"/>
      <c r="R287" s="10"/>
      <c r="S287" s="10"/>
      <c r="T287" s="10"/>
      <c r="U287" s="10"/>
      <c r="V287" s="10"/>
      <c r="W287" s="10"/>
      <c r="X287" s="10"/>
      <c r="Y287" s="10"/>
      <c r="Z287" s="10"/>
    </row>
    <row r="288" spans="1:26" ht="12.75" customHeight="1" x14ac:dyDescent="0.2">
      <c r="A288" s="10"/>
      <c r="B288" s="21"/>
      <c r="C288" s="22" t="s">
        <v>318</v>
      </c>
      <c r="D288" s="32" t="s">
        <v>95</v>
      </c>
      <c r="E288" s="22" t="s">
        <v>319</v>
      </c>
      <c r="F288" s="23">
        <v>2016252</v>
      </c>
      <c r="G288" s="22" t="s">
        <v>142</v>
      </c>
      <c r="H288" s="98">
        <v>0.152</v>
      </c>
      <c r="I288" s="22" t="s">
        <v>180</v>
      </c>
      <c r="J288" s="84">
        <v>306470.304</v>
      </c>
      <c r="K288" s="46">
        <v>12509.358786335381</v>
      </c>
      <c r="L288" s="133">
        <v>1.0109999999999999</v>
      </c>
      <c r="M288" s="24">
        <v>0.2</v>
      </c>
      <c r="N288" s="10"/>
      <c r="O288" s="10"/>
      <c r="P288" s="10"/>
      <c r="Q288" s="10"/>
      <c r="R288" s="10"/>
      <c r="S288" s="10"/>
      <c r="T288" s="10"/>
      <c r="U288" s="10"/>
      <c r="V288" s="10"/>
      <c r="W288" s="10"/>
      <c r="X288" s="10"/>
      <c r="Y288" s="10"/>
      <c r="Z288" s="10"/>
    </row>
    <row r="289" spans="1:26" ht="12.75" customHeight="1" x14ac:dyDescent="0.2">
      <c r="A289" s="10"/>
      <c r="B289" s="21"/>
      <c r="C289" s="22"/>
      <c r="D289" s="32"/>
      <c r="E289" s="22"/>
      <c r="F289" s="36"/>
      <c r="G289" s="22"/>
      <c r="H289" s="36"/>
      <c r="I289" s="22"/>
      <c r="J289" s="68"/>
      <c r="K289" s="46"/>
      <c r="L289" s="137"/>
      <c r="M289" s="24"/>
      <c r="N289" s="10"/>
      <c r="O289" s="10"/>
      <c r="P289" s="10"/>
      <c r="Q289" s="10"/>
      <c r="R289" s="10"/>
      <c r="S289" s="10"/>
      <c r="T289" s="10"/>
      <c r="U289" s="10"/>
      <c r="V289" s="10"/>
      <c r="W289" s="10"/>
      <c r="X289" s="10"/>
      <c r="Y289" s="10"/>
      <c r="Z289" s="10"/>
    </row>
    <row r="290" spans="1:26" ht="12.75" customHeight="1" x14ac:dyDescent="0.2">
      <c r="A290" s="10"/>
      <c r="B290" s="21"/>
      <c r="C290" s="22"/>
      <c r="D290" s="32"/>
      <c r="E290" s="22"/>
      <c r="F290" s="36"/>
      <c r="G290" s="22"/>
      <c r="H290" s="36"/>
      <c r="I290" s="22"/>
      <c r="J290" s="68"/>
      <c r="K290" s="46"/>
      <c r="L290" s="137"/>
      <c r="M290" s="24"/>
      <c r="N290" s="10"/>
      <c r="O290" s="10"/>
      <c r="P290" s="10"/>
      <c r="Q290" s="10"/>
      <c r="R290" s="10"/>
      <c r="S290" s="10"/>
      <c r="T290" s="10"/>
      <c r="U290" s="10"/>
      <c r="V290" s="10"/>
      <c r="W290" s="10"/>
      <c r="X290" s="10"/>
      <c r="Y290" s="10"/>
      <c r="Z290" s="10"/>
    </row>
    <row r="291" spans="1:26" ht="12.75" customHeight="1" x14ac:dyDescent="0.2">
      <c r="A291" s="10"/>
      <c r="B291" s="21"/>
      <c r="C291" s="22" t="s">
        <v>302</v>
      </c>
      <c r="D291" s="32" t="s">
        <v>320</v>
      </c>
      <c r="E291" s="22" t="s">
        <v>319</v>
      </c>
      <c r="F291" s="23">
        <v>6804042</v>
      </c>
      <c r="G291" s="22" t="s">
        <v>142</v>
      </c>
      <c r="H291" s="98">
        <v>0.152</v>
      </c>
      <c r="I291" s="22" t="s">
        <v>321</v>
      </c>
      <c r="J291" s="23">
        <v>1034214.384</v>
      </c>
      <c r="K291" s="46">
        <v>88113.610930699593</v>
      </c>
      <c r="L291" s="133">
        <v>3.4129999999999998</v>
      </c>
      <c r="M291" s="24">
        <v>0.68</v>
      </c>
      <c r="N291" s="10"/>
      <c r="O291" s="10"/>
      <c r="P291" s="10"/>
      <c r="Q291" s="10"/>
      <c r="R291" s="10"/>
      <c r="S291" s="10"/>
      <c r="T291" s="10"/>
      <c r="U291" s="10"/>
      <c r="V291" s="10"/>
      <c r="W291" s="10"/>
      <c r="X291" s="10"/>
      <c r="Y291" s="10"/>
      <c r="Z291" s="10"/>
    </row>
    <row r="292" spans="1:26" ht="12.75" customHeight="1" x14ac:dyDescent="0.2">
      <c r="A292" s="10"/>
      <c r="B292" s="21"/>
      <c r="C292" s="22"/>
      <c r="D292" s="32"/>
      <c r="E292" s="22"/>
      <c r="F292" s="23"/>
      <c r="G292" s="22"/>
      <c r="H292" s="98"/>
      <c r="I292" s="22"/>
      <c r="J292" s="68"/>
      <c r="K292" s="46"/>
      <c r="L292" s="133"/>
      <c r="M292" s="24"/>
      <c r="N292" s="10"/>
      <c r="O292" s="10"/>
      <c r="P292" s="10"/>
      <c r="Q292" s="10"/>
      <c r="R292" s="10"/>
      <c r="S292" s="10"/>
      <c r="T292" s="10"/>
      <c r="U292" s="10"/>
      <c r="V292" s="10"/>
      <c r="W292" s="10"/>
      <c r="X292" s="10"/>
      <c r="Y292" s="10"/>
      <c r="Z292" s="10"/>
    </row>
    <row r="293" spans="1:26" ht="12.75" customHeight="1" x14ac:dyDescent="0.2">
      <c r="A293" s="10"/>
      <c r="B293" s="25"/>
      <c r="C293" s="27"/>
      <c r="D293" s="47"/>
      <c r="E293" s="27"/>
      <c r="F293" s="30"/>
      <c r="G293" s="27"/>
      <c r="H293" s="28"/>
      <c r="I293" s="110"/>
      <c r="J293" s="101"/>
      <c r="K293" s="135"/>
      <c r="L293" s="136"/>
      <c r="M293" s="31"/>
      <c r="N293" s="10"/>
      <c r="O293" s="10"/>
      <c r="P293" s="10"/>
      <c r="Q293" s="10"/>
      <c r="R293" s="10"/>
      <c r="S293" s="10"/>
      <c r="T293" s="10"/>
      <c r="U293" s="10"/>
      <c r="V293" s="10"/>
      <c r="W293" s="10"/>
      <c r="X293" s="10"/>
      <c r="Y293" s="10"/>
      <c r="Z293" s="10"/>
    </row>
    <row r="294" spans="1:26" ht="12.75" customHeight="1" x14ac:dyDescent="0.2">
      <c r="A294" s="10"/>
      <c r="B294" s="21" t="s">
        <v>204</v>
      </c>
      <c r="C294" s="45" t="s">
        <v>205</v>
      </c>
      <c r="D294" s="32"/>
      <c r="E294" s="22"/>
      <c r="F294" s="22"/>
      <c r="G294" s="22"/>
      <c r="H294" s="22"/>
      <c r="I294" s="22"/>
      <c r="J294" s="22"/>
      <c r="K294" s="46"/>
      <c r="L294" s="138"/>
      <c r="M294" s="24"/>
      <c r="N294" s="10"/>
      <c r="O294" s="10"/>
      <c r="P294" s="10"/>
      <c r="Q294" s="10"/>
      <c r="R294" s="10"/>
      <c r="S294" s="10"/>
      <c r="T294" s="10"/>
      <c r="U294" s="10"/>
      <c r="V294" s="10"/>
      <c r="W294" s="10"/>
      <c r="X294" s="10"/>
      <c r="Y294" s="10"/>
      <c r="Z294" s="10"/>
    </row>
    <row r="295" spans="1:26" ht="12.75" customHeight="1" x14ac:dyDescent="0.2">
      <c r="A295" s="10"/>
      <c r="B295" s="21"/>
      <c r="C295" s="22" t="s">
        <v>206</v>
      </c>
      <c r="D295" s="32" t="s">
        <v>207</v>
      </c>
      <c r="E295" s="22" t="s">
        <v>322</v>
      </c>
      <c r="F295" s="67">
        <v>1595518</v>
      </c>
      <c r="G295" s="22" t="s">
        <v>142</v>
      </c>
      <c r="H295" s="67">
        <v>151504</v>
      </c>
      <c r="I295" s="22" t="s">
        <v>208</v>
      </c>
      <c r="J295" s="111">
        <v>241727.35907199999</v>
      </c>
      <c r="K295" s="46">
        <v>20442.12927522769</v>
      </c>
      <c r="L295" s="133">
        <v>0.83</v>
      </c>
      <c r="M295" s="24">
        <v>0.17</v>
      </c>
      <c r="N295" s="10"/>
      <c r="O295" s="10"/>
      <c r="P295" s="10"/>
      <c r="Q295" s="10"/>
      <c r="R295" s="10"/>
      <c r="S295" s="10"/>
      <c r="T295" s="10"/>
      <c r="U295" s="10"/>
      <c r="V295" s="10"/>
      <c r="W295" s="10"/>
      <c r="X295" s="10"/>
      <c r="Y295" s="10"/>
      <c r="Z295" s="10"/>
    </row>
    <row r="296" spans="1:26" ht="12.75" customHeight="1" x14ac:dyDescent="0.2">
      <c r="A296" s="10"/>
      <c r="B296" s="21"/>
      <c r="C296" s="22"/>
      <c r="D296" s="22"/>
      <c r="E296" s="22"/>
      <c r="F296" s="67"/>
      <c r="G296" s="22"/>
      <c r="H296" s="67"/>
      <c r="I296" s="22"/>
      <c r="J296" s="111"/>
      <c r="K296" s="22"/>
      <c r="L296" s="22"/>
      <c r="M296" s="24"/>
      <c r="N296" s="10"/>
      <c r="O296" s="10"/>
      <c r="P296" s="10"/>
      <c r="Q296" s="10"/>
      <c r="R296" s="10"/>
      <c r="S296" s="10"/>
      <c r="T296" s="10"/>
      <c r="U296" s="10"/>
      <c r="V296" s="10"/>
      <c r="W296" s="10"/>
      <c r="X296" s="10"/>
      <c r="Y296" s="10"/>
      <c r="Z296" s="10"/>
    </row>
    <row r="297" spans="1:26" ht="12.75" customHeight="1" x14ac:dyDescent="0.2">
      <c r="A297" s="10"/>
      <c r="B297" s="25"/>
      <c r="C297" s="27"/>
      <c r="D297" s="29"/>
      <c r="E297" s="27"/>
      <c r="F297" s="27"/>
      <c r="G297" s="27"/>
      <c r="H297" s="27"/>
      <c r="I297" s="27"/>
      <c r="J297" s="27"/>
      <c r="K297" s="27"/>
      <c r="L297" s="27"/>
      <c r="M297" s="31"/>
      <c r="N297" s="10"/>
      <c r="O297" s="10"/>
      <c r="P297" s="10"/>
      <c r="Q297" s="10"/>
      <c r="R297" s="10"/>
      <c r="S297" s="10"/>
      <c r="T297" s="10"/>
      <c r="U297" s="10"/>
      <c r="V297" s="10"/>
      <c r="W297" s="10"/>
      <c r="X297" s="10"/>
      <c r="Y297" s="10"/>
      <c r="Z297" s="10"/>
    </row>
    <row r="298" spans="1:26" ht="12.75" customHeight="1" x14ac:dyDescent="0.2">
      <c r="A298" s="10"/>
      <c r="B298" s="21"/>
      <c r="C298" s="22"/>
      <c r="D298" s="126"/>
      <c r="E298" s="22"/>
      <c r="F298" s="67"/>
      <c r="G298" s="22"/>
      <c r="H298" s="67"/>
      <c r="I298" s="22"/>
      <c r="J298" s="111"/>
      <c r="K298" s="22"/>
      <c r="L298" s="22"/>
      <c r="M298" s="24"/>
      <c r="N298" s="10"/>
      <c r="O298" s="10"/>
      <c r="P298" s="10"/>
      <c r="Q298" s="10"/>
      <c r="R298" s="10"/>
      <c r="S298" s="10"/>
      <c r="T298" s="10"/>
      <c r="U298" s="10"/>
      <c r="V298" s="10"/>
      <c r="W298" s="10"/>
      <c r="X298" s="10"/>
      <c r="Y298" s="10"/>
      <c r="Z298" s="10"/>
    </row>
    <row r="299" spans="1:26" ht="12.75" customHeight="1" x14ac:dyDescent="0.2">
      <c r="A299" s="10"/>
      <c r="B299" s="21"/>
      <c r="C299" s="22"/>
      <c r="D299" s="130" t="s">
        <v>323</v>
      </c>
      <c r="E299" s="128"/>
      <c r="F299" s="128">
        <f>SUM(F281:F298)</f>
        <v>10431948</v>
      </c>
      <c r="G299" s="128"/>
      <c r="H299" s="128"/>
      <c r="I299" s="128"/>
      <c r="J299" s="128">
        <f t="shared" ref="J299:M299" si="2">SUM(J281:J298)</f>
        <v>1584773.3731759998</v>
      </c>
      <c r="K299" s="128">
        <f t="shared" si="2"/>
        <v>121321.80273707306</v>
      </c>
      <c r="L299" s="128">
        <f t="shared" si="2"/>
        <v>5.2618065440998238</v>
      </c>
      <c r="M299" s="139">
        <f t="shared" si="2"/>
        <v>1.0515613088199649</v>
      </c>
      <c r="N299" s="10"/>
      <c r="O299" s="10"/>
      <c r="P299" s="10"/>
      <c r="Q299" s="10"/>
      <c r="R299" s="10"/>
      <c r="S299" s="10"/>
      <c r="T299" s="10"/>
      <c r="U299" s="10"/>
      <c r="V299" s="10"/>
      <c r="W299" s="10"/>
      <c r="X299" s="10"/>
      <c r="Y299" s="10"/>
      <c r="Z299" s="10"/>
    </row>
    <row r="300" spans="1:26" ht="12.75" customHeight="1" x14ac:dyDescent="0.2">
      <c r="A300" s="10"/>
      <c r="B300" s="21"/>
      <c r="C300" s="22"/>
      <c r="D300" s="126"/>
      <c r="E300" s="22"/>
      <c r="F300" s="67"/>
      <c r="G300" s="22"/>
      <c r="H300" s="67"/>
      <c r="I300" s="22"/>
      <c r="J300" s="111"/>
      <c r="K300" s="111"/>
      <c r="L300" s="113"/>
      <c r="M300" s="114"/>
      <c r="N300" s="10"/>
      <c r="O300" s="10"/>
      <c r="P300" s="10"/>
      <c r="Q300" s="10"/>
      <c r="R300" s="10"/>
      <c r="S300" s="10"/>
      <c r="T300" s="10"/>
      <c r="U300" s="10"/>
      <c r="V300" s="10"/>
      <c r="W300" s="10"/>
      <c r="X300" s="10"/>
      <c r="Y300" s="10"/>
      <c r="Z300" s="10"/>
    </row>
    <row r="301" spans="1:26" ht="12.75" customHeight="1" x14ac:dyDescent="0.25">
      <c r="A301" s="10"/>
      <c r="B301" s="21"/>
      <c r="C301" s="22"/>
      <c r="D301" s="130" t="s">
        <v>324</v>
      </c>
      <c r="E301" s="128"/>
      <c r="F301" s="128"/>
      <c r="G301" s="128"/>
      <c r="H301" s="128"/>
      <c r="I301" s="128"/>
      <c r="J301" s="128"/>
      <c r="K301" s="128">
        <f>(+K299*0.907184)/1000000</f>
        <v>0.11006119829422889</v>
      </c>
      <c r="L301" s="128">
        <f>(+L299*$J$460*0.907184)/1000000</f>
        <v>1.3365594782127431E-4</v>
      </c>
      <c r="M301" s="139">
        <f>(+M299*$J$461*0.907184)/1000000</f>
        <v>2.5279929251084075E-4</v>
      </c>
      <c r="N301" s="10"/>
      <c r="O301" s="10"/>
      <c r="P301" s="10"/>
      <c r="Q301" s="10"/>
      <c r="R301" s="10"/>
      <c r="S301" s="10"/>
      <c r="T301" s="10"/>
      <c r="U301" s="10"/>
      <c r="V301" s="10"/>
      <c r="W301" s="10"/>
      <c r="X301" s="10"/>
      <c r="Y301" s="10"/>
      <c r="Z301" s="10"/>
    </row>
    <row r="302" spans="1:26" ht="12.75" customHeight="1" x14ac:dyDescent="0.2">
      <c r="A302" s="10"/>
      <c r="B302" s="21"/>
      <c r="C302" s="22"/>
      <c r="D302" s="126"/>
      <c r="E302" s="22"/>
      <c r="F302" s="67"/>
      <c r="G302" s="22"/>
      <c r="H302" s="67"/>
      <c r="I302" s="22"/>
      <c r="J302" s="111"/>
      <c r="K302" s="111"/>
      <c r="L302" s="113"/>
      <c r="M302" s="114"/>
      <c r="N302" s="10"/>
      <c r="O302" s="10"/>
      <c r="P302" s="10"/>
      <c r="Q302" s="10"/>
      <c r="R302" s="10"/>
      <c r="S302" s="10"/>
      <c r="T302" s="10"/>
      <c r="U302" s="10"/>
      <c r="V302" s="10"/>
      <c r="W302" s="10"/>
      <c r="X302" s="10"/>
      <c r="Y302" s="10"/>
      <c r="Z302" s="10"/>
    </row>
    <row r="303" spans="1:26" ht="12.75" customHeight="1" x14ac:dyDescent="0.2">
      <c r="A303" s="10"/>
      <c r="B303" s="21"/>
      <c r="C303" s="22"/>
      <c r="D303" s="126"/>
      <c r="E303" s="22"/>
      <c r="F303" s="67"/>
      <c r="G303" s="22"/>
      <c r="H303" s="67"/>
      <c r="I303" s="22"/>
      <c r="J303" s="111"/>
      <c r="K303" s="111"/>
      <c r="L303" s="113"/>
      <c r="M303" s="114"/>
      <c r="N303" s="10"/>
      <c r="O303" s="10"/>
      <c r="P303" s="10"/>
      <c r="Q303" s="10"/>
      <c r="R303" s="10"/>
      <c r="S303" s="10"/>
      <c r="T303" s="10"/>
      <c r="U303" s="10"/>
      <c r="V303" s="10"/>
      <c r="W303" s="10"/>
      <c r="X303" s="10"/>
      <c r="Y303" s="10"/>
      <c r="Z303" s="10"/>
    </row>
    <row r="304" spans="1:26" ht="12.75" customHeight="1" x14ac:dyDescent="0.2">
      <c r="A304" s="10"/>
      <c r="B304" s="21"/>
      <c r="C304" s="22"/>
      <c r="D304" s="126"/>
      <c r="E304" s="22"/>
      <c r="F304" s="67"/>
      <c r="G304" s="22"/>
      <c r="H304" s="67"/>
      <c r="I304" s="22"/>
      <c r="J304" s="111"/>
      <c r="K304" s="111"/>
      <c r="L304" s="113"/>
      <c r="M304" s="114"/>
      <c r="N304" s="10"/>
      <c r="O304" s="10"/>
      <c r="P304" s="10"/>
      <c r="Q304" s="10"/>
      <c r="R304" s="10"/>
      <c r="S304" s="10"/>
      <c r="T304" s="10"/>
      <c r="U304" s="10"/>
      <c r="V304" s="10"/>
      <c r="W304" s="10"/>
      <c r="X304" s="10"/>
      <c r="Y304" s="10"/>
      <c r="Z304" s="10"/>
    </row>
    <row r="305" spans="1:26" ht="12.75" customHeight="1" x14ac:dyDescent="0.2">
      <c r="A305" s="10"/>
      <c r="B305" s="21"/>
      <c r="C305" s="22"/>
      <c r="D305" s="126"/>
      <c r="E305" s="22"/>
      <c r="F305" s="111"/>
      <c r="G305" s="22"/>
      <c r="H305" s="111"/>
      <c r="I305" s="22"/>
      <c r="J305" s="36"/>
      <c r="K305" s="71"/>
      <c r="L305" s="22"/>
      <c r="M305" s="24"/>
      <c r="N305" s="10"/>
      <c r="O305" s="10"/>
      <c r="P305" s="10"/>
      <c r="Q305" s="10"/>
      <c r="R305" s="10"/>
      <c r="S305" s="10"/>
      <c r="T305" s="10"/>
      <c r="U305" s="10"/>
      <c r="V305" s="10"/>
      <c r="W305" s="10"/>
      <c r="X305" s="10"/>
      <c r="Y305" s="10"/>
      <c r="Z305" s="10"/>
    </row>
    <row r="306" spans="1:26" ht="12.75" customHeight="1" x14ac:dyDescent="0.2">
      <c r="A306" s="10"/>
      <c r="B306" s="63"/>
      <c r="C306" s="64"/>
      <c r="D306" s="131"/>
      <c r="E306" s="64"/>
      <c r="F306" s="64"/>
      <c r="G306" s="64"/>
      <c r="H306" s="64"/>
      <c r="I306" s="64"/>
      <c r="J306" s="64"/>
      <c r="K306" s="64"/>
      <c r="L306" s="64"/>
      <c r="M306" s="140"/>
      <c r="N306" s="10"/>
      <c r="O306" s="10"/>
      <c r="P306" s="10"/>
      <c r="Q306" s="10"/>
      <c r="R306" s="10"/>
      <c r="S306" s="10"/>
      <c r="T306" s="10"/>
      <c r="U306" s="10"/>
      <c r="V306" s="10"/>
      <c r="W306" s="10"/>
      <c r="X306" s="10"/>
      <c r="Y306" s="10"/>
      <c r="Z306" s="10"/>
    </row>
    <row r="307" spans="1:26" ht="12.7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2.7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2.7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2.7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2.7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2.75" customHeight="1" x14ac:dyDescent="0.2">
      <c r="A312" s="10"/>
      <c r="B312" s="12" t="s">
        <v>325</v>
      </c>
      <c r="C312" s="13"/>
      <c r="D312" s="13"/>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2.7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2.7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2.7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2.75" customHeight="1" x14ac:dyDescent="0.2">
      <c r="A316" s="10"/>
      <c r="B316" s="14" t="s">
        <v>69</v>
      </c>
      <c r="C316" s="15" t="s">
        <v>70</v>
      </c>
      <c r="D316" s="15" t="s">
        <v>71</v>
      </c>
      <c r="E316" s="15" t="s">
        <v>72</v>
      </c>
      <c r="F316" s="15" t="s">
        <v>73</v>
      </c>
      <c r="G316" s="15" t="s">
        <v>73</v>
      </c>
      <c r="H316" s="15" t="s">
        <v>74</v>
      </c>
      <c r="I316" s="15" t="s">
        <v>75</v>
      </c>
      <c r="J316" s="16" t="s">
        <v>76</v>
      </c>
      <c r="K316" s="15" t="s">
        <v>326</v>
      </c>
      <c r="L316" s="15" t="s">
        <v>327</v>
      </c>
      <c r="M316" s="17" t="s">
        <v>328</v>
      </c>
      <c r="N316" s="10"/>
      <c r="O316" s="10"/>
      <c r="P316" s="10"/>
      <c r="Q316" s="10"/>
      <c r="R316" s="10"/>
      <c r="S316" s="10"/>
      <c r="T316" s="10"/>
      <c r="U316" s="10"/>
      <c r="V316" s="10"/>
      <c r="W316" s="10"/>
      <c r="X316" s="10"/>
      <c r="Y316" s="10"/>
      <c r="Z316" s="10"/>
    </row>
    <row r="317" spans="1:26" ht="12.75" customHeight="1" x14ac:dyDescent="0.2">
      <c r="A317" s="10"/>
      <c r="B317" s="18"/>
      <c r="C317" s="19"/>
      <c r="D317" s="19"/>
      <c r="E317" s="19"/>
      <c r="F317" s="19"/>
      <c r="G317" s="19" t="s">
        <v>80</v>
      </c>
      <c r="H317" s="19" t="s">
        <v>81</v>
      </c>
      <c r="I317" s="19" t="s">
        <v>82</v>
      </c>
      <c r="J317" s="19" t="s">
        <v>83</v>
      </c>
      <c r="K317" s="19" t="s">
        <v>84</v>
      </c>
      <c r="L317" s="19" t="s">
        <v>84</v>
      </c>
      <c r="M317" s="20" t="s">
        <v>84</v>
      </c>
      <c r="N317" s="10"/>
      <c r="O317" s="10"/>
      <c r="P317" s="10"/>
      <c r="Q317" s="10"/>
      <c r="R317" s="10"/>
      <c r="S317" s="10"/>
      <c r="T317" s="10"/>
      <c r="U317" s="10"/>
      <c r="V317" s="10"/>
      <c r="W317" s="10"/>
      <c r="X317" s="10"/>
      <c r="Y317" s="10"/>
      <c r="Z317" s="10"/>
    </row>
    <row r="318" spans="1:26" ht="12.75" customHeight="1" x14ac:dyDescent="0.2">
      <c r="A318" s="10"/>
      <c r="B318" s="21"/>
      <c r="C318" s="22"/>
      <c r="D318" s="22"/>
      <c r="E318" s="22"/>
      <c r="F318" s="22"/>
      <c r="G318" s="22"/>
      <c r="H318" s="22"/>
      <c r="I318" s="22"/>
      <c r="J318" s="22"/>
      <c r="K318" s="23"/>
      <c r="L318" s="22"/>
      <c r="M318" s="24"/>
      <c r="N318" s="10"/>
      <c r="O318" s="10"/>
      <c r="P318" s="10"/>
      <c r="Q318" s="10"/>
      <c r="R318" s="10"/>
      <c r="S318" s="10"/>
      <c r="T318" s="10"/>
      <c r="U318" s="10"/>
      <c r="V318" s="10"/>
      <c r="W318" s="10"/>
      <c r="X318" s="10"/>
      <c r="Y318" s="10"/>
      <c r="Z318" s="10"/>
    </row>
    <row r="319" spans="1:26" ht="12.75" customHeight="1" x14ac:dyDescent="0.2">
      <c r="A319" s="10"/>
      <c r="B319" s="25" t="s">
        <v>85</v>
      </c>
      <c r="C319" s="26" t="s">
        <v>86</v>
      </c>
      <c r="D319" s="27"/>
      <c r="E319" s="27"/>
      <c r="F319" s="28"/>
      <c r="G319" s="27"/>
      <c r="H319" s="27"/>
      <c r="I319" s="27"/>
      <c r="J319" s="27"/>
      <c r="K319" s="30"/>
      <c r="L319" s="27"/>
      <c r="M319" s="31"/>
      <c r="N319" s="10"/>
      <c r="O319" s="10"/>
      <c r="P319" s="10"/>
      <c r="Q319" s="10"/>
      <c r="R319" s="10"/>
      <c r="S319" s="10"/>
      <c r="T319" s="10"/>
      <c r="U319" s="10"/>
      <c r="V319" s="10"/>
      <c r="W319" s="10"/>
      <c r="X319" s="10"/>
      <c r="Y319" s="10"/>
      <c r="Z319" s="10"/>
    </row>
    <row r="320" spans="1:26" ht="12.75" customHeight="1" x14ac:dyDescent="0.2">
      <c r="A320" s="10"/>
      <c r="B320" s="21"/>
      <c r="C320" s="22"/>
      <c r="D320" s="22"/>
      <c r="E320" s="22"/>
      <c r="F320" s="22"/>
      <c r="G320" s="22"/>
      <c r="H320" s="22"/>
      <c r="I320" s="22"/>
      <c r="J320" s="22"/>
      <c r="K320" s="22"/>
      <c r="L320" s="141"/>
      <c r="M320" s="74"/>
      <c r="N320" s="10"/>
      <c r="O320" s="10"/>
      <c r="P320" s="10"/>
      <c r="Q320" s="10"/>
      <c r="R320" s="10"/>
      <c r="S320" s="10"/>
      <c r="T320" s="10"/>
      <c r="U320" s="10"/>
      <c r="V320" s="10"/>
      <c r="W320" s="10"/>
      <c r="X320" s="10"/>
      <c r="Y320" s="10"/>
      <c r="Z320" s="10"/>
    </row>
    <row r="321" spans="1:26" ht="12.75" customHeight="1" x14ac:dyDescent="0.2">
      <c r="A321" s="10"/>
      <c r="B321" s="21"/>
      <c r="C321" s="22" t="s">
        <v>329</v>
      </c>
      <c r="D321" s="32" t="s">
        <v>330</v>
      </c>
      <c r="E321" s="22" t="s">
        <v>331</v>
      </c>
      <c r="F321" s="23">
        <v>2627700</v>
      </c>
      <c r="G321" s="22" t="s">
        <v>332</v>
      </c>
      <c r="H321" s="36">
        <v>1020</v>
      </c>
      <c r="I321" s="22" t="s">
        <v>333</v>
      </c>
      <c r="J321" s="142">
        <v>2680.2539999999999</v>
      </c>
      <c r="K321" s="69">
        <v>157.87</v>
      </c>
      <c r="L321" s="73">
        <v>0</v>
      </c>
      <c r="M321" s="74">
        <v>0</v>
      </c>
      <c r="N321" s="10"/>
      <c r="O321" s="10"/>
      <c r="P321" s="10"/>
      <c r="Q321" s="10"/>
      <c r="R321" s="10"/>
      <c r="S321" s="10"/>
      <c r="T321" s="10"/>
      <c r="U321" s="10"/>
      <c r="V321" s="10"/>
      <c r="W321" s="10"/>
      <c r="X321" s="10"/>
      <c r="Y321" s="10"/>
      <c r="Z321" s="10"/>
    </row>
    <row r="322" spans="1:26" ht="12.75" customHeight="1" x14ac:dyDescent="0.2">
      <c r="A322" s="10"/>
      <c r="B322" s="38"/>
      <c r="C322" s="39"/>
      <c r="D322" s="39"/>
      <c r="E322" s="39"/>
      <c r="F322" s="75"/>
      <c r="G322" s="39"/>
      <c r="H322" s="76"/>
      <c r="I322" s="39"/>
      <c r="J322" s="77"/>
      <c r="K322" s="143"/>
      <c r="L322" s="144"/>
      <c r="M322" s="145"/>
      <c r="N322" s="10"/>
      <c r="O322" s="10"/>
      <c r="P322" s="10"/>
      <c r="Q322" s="10"/>
      <c r="R322" s="10"/>
      <c r="S322" s="10"/>
      <c r="T322" s="10"/>
      <c r="U322" s="10"/>
      <c r="V322" s="10"/>
      <c r="W322" s="10"/>
      <c r="X322" s="10"/>
      <c r="Y322" s="10"/>
      <c r="Z322" s="10"/>
    </row>
    <row r="323" spans="1:26" ht="12.75" customHeight="1" x14ac:dyDescent="0.2">
      <c r="A323" s="10"/>
      <c r="B323" s="21"/>
      <c r="C323" s="22"/>
      <c r="D323" s="22"/>
      <c r="E323" s="22"/>
      <c r="F323" s="23"/>
      <c r="G323" s="22"/>
      <c r="H323" s="36"/>
      <c r="I323" s="22"/>
      <c r="J323" s="146"/>
      <c r="K323" s="46"/>
      <c r="L323" s="147"/>
      <c r="M323" s="148"/>
      <c r="N323" s="10"/>
      <c r="O323" s="10"/>
      <c r="P323" s="10"/>
      <c r="Q323" s="10"/>
      <c r="R323" s="10"/>
      <c r="S323" s="10"/>
      <c r="T323" s="10"/>
      <c r="U323" s="10"/>
      <c r="V323" s="10"/>
      <c r="W323" s="10"/>
      <c r="X323" s="10"/>
      <c r="Y323" s="10"/>
      <c r="Z323" s="10"/>
    </row>
    <row r="324" spans="1:26" ht="12.75" customHeight="1" x14ac:dyDescent="0.2">
      <c r="A324" s="10"/>
      <c r="B324" s="21" t="s">
        <v>100</v>
      </c>
      <c r="C324" s="45" t="s">
        <v>101</v>
      </c>
      <c r="D324" s="22"/>
      <c r="E324" s="22"/>
      <c r="F324" s="23"/>
      <c r="G324" s="22"/>
      <c r="H324" s="36"/>
      <c r="I324" s="22"/>
      <c r="J324" s="146"/>
      <c r="K324" s="46"/>
      <c r="L324" s="147"/>
      <c r="M324" s="148"/>
      <c r="N324" s="10"/>
      <c r="O324" s="10"/>
      <c r="P324" s="10"/>
      <c r="Q324" s="10"/>
      <c r="R324" s="10"/>
      <c r="S324" s="10"/>
      <c r="T324" s="10"/>
      <c r="U324" s="10"/>
      <c r="V324" s="10"/>
      <c r="W324" s="10"/>
      <c r="X324" s="10"/>
      <c r="Y324" s="10"/>
      <c r="Z324" s="10"/>
    </row>
    <row r="325" spans="1:26" ht="12.75" customHeight="1" x14ac:dyDescent="0.2">
      <c r="A325" s="10"/>
      <c r="B325" s="21"/>
      <c r="C325" s="22" t="s">
        <v>102</v>
      </c>
      <c r="D325" s="32" t="s">
        <v>103</v>
      </c>
      <c r="E325" s="22" t="s">
        <v>334</v>
      </c>
      <c r="F325" s="23">
        <v>25595000</v>
      </c>
      <c r="G325" s="22" t="s">
        <v>332</v>
      </c>
      <c r="H325" s="36">
        <v>1082</v>
      </c>
      <c r="I325" s="22" t="s">
        <v>335</v>
      </c>
      <c r="J325" s="146">
        <v>27693.79</v>
      </c>
      <c r="K325" s="46">
        <v>2890.3648630452653</v>
      </c>
      <c r="L325" s="147">
        <v>0.03</v>
      </c>
      <c r="M325" s="148">
        <v>3.0000000000000001E-3</v>
      </c>
      <c r="N325" s="10"/>
      <c r="O325" s="10"/>
      <c r="P325" s="10"/>
      <c r="Q325" s="10"/>
      <c r="R325" s="10"/>
      <c r="S325" s="10"/>
      <c r="T325" s="10"/>
      <c r="U325" s="10"/>
      <c r="V325" s="10"/>
      <c r="W325" s="10"/>
      <c r="X325" s="10"/>
      <c r="Y325" s="10"/>
      <c r="Z325" s="10"/>
    </row>
    <row r="326" spans="1:26" ht="12.75" customHeight="1" x14ac:dyDescent="0.2">
      <c r="A326" s="10"/>
      <c r="B326" s="21"/>
      <c r="C326" s="22"/>
      <c r="D326" s="22"/>
      <c r="E326" s="22"/>
      <c r="F326" s="23"/>
      <c r="G326" s="22"/>
      <c r="H326" s="36"/>
      <c r="I326" s="22"/>
      <c r="J326" s="146"/>
      <c r="K326" s="46"/>
      <c r="L326" s="147"/>
      <c r="M326" s="148"/>
      <c r="N326" s="10"/>
      <c r="O326" s="10"/>
      <c r="P326" s="10"/>
      <c r="Q326" s="10"/>
      <c r="R326" s="10"/>
      <c r="S326" s="10"/>
      <c r="T326" s="10"/>
      <c r="U326" s="10"/>
      <c r="V326" s="10"/>
      <c r="W326" s="10"/>
      <c r="X326" s="10"/>
      <c r="Y326" s="10"/>
      <c r="Z326" s="10"/>
    </row>
    <row r="327" spans="1:26" ht="12.75" customHeight="1" x14ac:dyDescent="0.2">
      <c r="A327" s="10"/>
      <c r="B327" s="21"/>
      <c r="C327" s="22" t="s">
        <v>107</v>
      </c>
      <c r="D327" s="32" t="s">
        <v>108</v>
      </c>
      <c r="E327" s="22" t="s">
        <v>334</v>
      </c>
      <c r="F327" s="23">
        <v>39774000</v>
      </c>
      <c r="G327" s="22" t="s">
        <v>332</v>
      </c>
      <c r="H327" s="36">
        <v>1079</v>
      </c>
      <c r="I327" s="22" t="s">
        <v>335</v>
      </c>
      <c r="J327" s="23">
        <v>42916.146000000001</v>
      </c>
      <c r="K327" s="34">
        <v>5156.1121205803584</v>
      </c>
      <c r="L327" s="46">
        <v>4.7E-2</v>
      </c>
      <c r="M327" s="148">
        <v>5.0000000000000001E-3</v>
      </c>
      <c r="N327" s="10"/>
      <c r="O327" s="10"/>
      <c r="P327" s="10"/>
      <c r="Q327" s="10"/>
      <c r="R327" s="10"/>
      <c r="S327" s="10"/>
      <c r="T327" s="10"/>
      <c r="U327" s="10"/>
      <c r="V327" s="10"/>
      <c r="W327" s="10"/>
      <c r="X327" s="10"/>
      <c r="Y327" s="10"/>
      <c r="Z327" s="10"/>
    </row>
    <row r="328" spans="1:26" ht="12.75" customHeight="1" x14ac:dyDescent="0.2">
      <c r="A328" s="10"/>
      <c r="B328" s="21"/>
      <c r="C328" s="22"/>
      <c r="D328" s="22"/>
      <c r="E328" s="22"/>
      <c r="F328" s="23"/>
      <c r="G328" s="22"/>
      <c r="H328" s="36"/>
      <c r="I328" s="22"/>
      <c r="J328" s="146"/>
      <c r="K328" s="46"/>
      <c r="L328" s="147"/>
      <c r="M328" s="148"/>
      <c r="N328" s="10"/>
      <c r="O328" s="10"/>
      <c r="P328" s="10"/>
      <c r="Q328" s="10"/>
      <c r="R328" s="10"/>
      <c r="S328" s="10"/>
      <c r="T328" s="10"/>
      <c r="U328" s="10"/>
      <c r="V328" s="10"/>
      <c r="W328" s="10"/>
      <c r="X328" s="10"/>
      <c r="Y328" s="10"/>
      <c r="Z328" s="10"/>
    </row>
    <row r="329" spans="1:26" ht="12.75" customHeight="1" x14ac:dyDescent="0.2">
      <c r="A329" s="10"/>
      <c r="B329" s="25"/>
      <c r="C329" s="26"/>
      <c r="D329" s="27"/>
      <c r="E329" s="27"/>
      <c r="F329" s="28"/>
      <c r="G329" s="27"/>
      <c r="H329" s="28"/>
      <c r="I329" s="27"/>
      <c r="J329" s="28"/>
      <c r="K329" s="48"/>
      <c r="L329" s="135"/>
      <c r="M329" s="149"/>
      <c r="N329" s="10"/>
      <c r="O329" s="10"/>
      <c r="P329" s="10"/>
      <c r="Q329" s="10"/>
      <c r="R329" s="10"/>
      <c r="S329" s="10"/>
      <c r="T329" s="10"/>
      <c r="U329" s="10"/>
      <c r="V329" s="10"/>
      <c r="W329" s="10"/>
      <c r="X329" s="10"/>
      <c r="Y329" s="10"/>
      <c r="Z329" s="10"/>
    </row>
    <row r="330" spans="1:26" ht="12.75" customHeight="1" x14ac:dyDescent="0.2">
      <c r="A330" s="10"/>
      <c r="B330" s="21" t="s">
        <v>109</v>
      </c>
      <c r="C330" s="45" t="s">
        <v>110</v>
      </c>
      <c r="D330" s="22"/>
      <c r="E330" s="22"/>
      <c r="F330" s="36"/>
      <c r="G330" s="22"/>
      <c r="H330" s="36"/>
      <c r="I330" s="22"/>
      <c r="J330" s="36"/>
      <c r="K330" s="34"/>
      <c r="L330" s="46"/>
      <c r="M330" s="150"/>
      <c r="N330" s="10"/>
      <c r="O330" s="10"/>
      <c r="P330" s="10"/>
      <c r="Q330" s="10"/>
      <c r="R330" s="10"/>
      <c r="S330" s="10"/>
      <c r="T330" s="10"/>
      <c r="U330" s="10"/>
      <c r="V330" s="10"/>
      <c r="W330" s="10"/>
      <c r="X330" s="10"/>
      <c r="Y330" s="10"/>
      <c r="Z330" s="10"/>
    </row>
    <row r="331" spans="1:26" ht="12.75" customHeight="1" x14ac:dyDescent="0.2">
      <c r="A331" s="10"/>
      <c r="B331" s="21"/>
      <c r="C331" s="22" t="s">
        <v>111</v>
      </c>
      <c r="D331" s="32" t="s">
        <v>95</v>
      </c>
      <c r="E331" s="22" t="s">
        <v>336</v>
      </c>
      <c r="F331" s="23">
        <v>43540</v>
      </c>
      <c r="G331" s="22" t="s">
        <v>332</v>
      </c>
      <c r="H331" s="36">
        <v>1060</v>
      </c>
      <c r="I331" s="22" t="s">
        <v>335</v>
      </c>
      <c r="J331" s="36">
        <v>46152.4</v>
      </c>
      <c r="K331" s="34">
        <v>4904.5746936055066</v>
      </c>
      <c r="L331" s="46">
        <v>5.0859944799999994E-2</v>
      </c>
      <c r="M331" s="70">
        <v>5.0859944799999997E-3</v>
      </c>
      <c r="N331" s="10"/>
      <c r="O331" s="10"/>
      <c r="P331" s="10"/>
      <c r="Q331" s="10"/>
      <c r="R331" s="10"/>
      <c r="S331" s="10"/>
      <c r="T331" s="10"/>
      <c r="U331" s="10"/>
      <c r="V331" s="10"/>
      <c r="W331" s="10"/>
      <c r="X331" s="10"/>
      <c r="Y331" s="10"/>
      <c r="Z331" s="10"/>
    </row>
    <row r="332" spans="1:26" ht="12.75" customHeight="1" x14ac:dyDescent="0.2">
      <c r="A332" s="10"/>
      <c r="B332" s="21"/>
      <c r="C332" s="22"/>
      <c r="D332" s="22"/>
      <c r="E332" s="22"/>
      <c r="F332" s="36"/>
      <c r="G332" s="22"/>
      <c r="H332" s="36"/>
      <c r="I332" s="22"/>
      <c r="J332" s="68"/>
      <c r="K332" s="151"/>
      <c r="L332" s="152"/>
      <c r="M332" s="70"/>
      <c r="N332" s="10"/>
      <c r="O332" s="10"/>
      <c r="P332" s="10"/>
      <c r="Q332" s="10"/>
      <c r="R332" s="10"/>
      <c r="S332" s="10"/>
      <c r="T332" s="10"/>
      <c r="U332" s="10"/>
      <c r="V332" s="10"/>
      <c r="W332" s="10"/>
      <c r="X332" s="10"/>
      <c r="Y332" s="10"/>
      <c r="Z332" s="10"/>
    </row>
    <row r="333" spans="1:26" ht="12.75" customHeight="1" x14ac:dyDescent="0.2">
      <c r="A333" s="10"/>
      <c r="B333" s="21"/>
      <c r="C333" s="22" t="s">
        <v>113</v>
      </c>
      <c r="D333" s="32" t="s">
        <v>99</v>
      </c>
      <c r="E333" s="22" t="s">
        <v>336</v>
      </c>
      <c r="F333" s="23">
        <v>287710</v>
      </c>
      <c r="G333" s="22" t="s">
        <v>332</v>
      </c>
      <c r="H333" s="36">
        <v>1067</v>
      </c>
      <c r="I333" s="22" t="s">
        <v>335</v>
      </c>
      <c r="J333" s="36">
        <v>306986.57</v>
      </c>
      <c r="K333" s="34">
        <v>34030.176863160646</v>
      </c>
      <c r="L333" s="46">
        <v>0.33829920013999998</v>
      </c>
      <c r="M333" s="70">
        <v>3.38391296111E-2</v>
      </c>
      <c r="N333" s="10"/>
      <c r="O333" s="10"/>
      <c r="P333" s="10"/>
      <c r="Q333" s="10"/>
      <c r="R333" s="10"/>
      <c r="S333" s="10"/>
      <c r="T333" s="10"/>
      <c r="U333" s="10"/>
      <c r="V333" s="10"/>
      <c r="W333" s="10"/>
      <c r="X333" s="10"/>
      <c r="Y333" s="10"/>
      <c r="Z333" s="10"/>
    </row>
    <row r="334" spans="1:26" ht="12.75" customHeight="1" x14ac:dyDescent="0.2">
      <c r="A334" s="10"/>
      <c r="B334" s="21"/>
      <c r="C334" s="22"/>
      <c r="D334" s="32"/>
      <c r="E334" s="22"/>
      <c r="F334" s="36"/>
      <c r="G334" s="22"/>
      <c r="H334" s="36"/>
      <c r="I334" s="22"/>
      <c r="J334" s="36"/>
      <c r="K334" s="34"/>
      <c r="L334" s="46"/>
      <c r="M334" s="70"/>
      <c r="N334" s="10"/>
      <c r="O334" s="10"/>
      <c r="P334" s="10"/>
      <c r="Q334" s="10"/>
      <c r="R334" s="10"/>
      <c r="S334" s="10"/>
      <c r="T334" s="10"/>
      <c r="U334" s="10"/>
      <c r="V334" s="10"/>
      <c r="W334" s="10"/>
      <c r="X334" s="10"/>
      <c r="Y334" s="10"/>
      <c r="Z334" s="10"/>
    </row>
    <row r="335" spans="1:26" ht="12.75" customHeight="1" x14ac:dyDescent="0.2">
      <c r="A335" s="10"/>
      <c r="B335" s="21"/>
      <c r="C335" s="22" t="s">
        <v>114</v>
      </c>
      <c r="D335" s="32" t="s">
        <v>115</v>
      </c>
      <c r="E335" s="22" t="s">
        <v>336</v>
      </c>
      <c r="F335" s="23">
        <v>2610880</v>
      </c>
      <c r="G335" s="22" t="s">
        <v>332</v>
      </c>
      <c r="H335" s="36">
        <v>1064.175</v>
      </c>
      <c r="I335" s="22" t="s">
        <v>335</v>
      </c>
      <c r="J335" s="36">
        <v>2778433.2239999999</v>
      </c>
      <c r="K335" s="34">
        <v>154720.88756671365</v>
      </c>
      <c r="L335" s="46">
        <v>3.0618334128479994</v>
      </c>
      <c r="M335" s="70">
        <v>0.30618334128480001</v>
      </c>
      <c r="N335" s="10"/>
      <c r="O335" s="10"/>
      <c r="P335" s="10"/>
      <c r="Q335" s="10"/>
      <c r="R335" s="10"/>
      <c r="S335" s="10"/>
      <c r="T335" s="10"/>
      <c r="U335" s="10"/>
      <c r="V335" s="10"/>
      <c r="W335" s="10"/>
      <c r="X335" s="10"/>
      <c r="Y335" s="10"/>
      <c r="Z335" s="10"/>
    </row>
    <row r="336" spans="1:26" ht="12.75" customHeight="1" x14ac:dyDescent="0.2">
      <c r="A336" s="10"/>
      <c r="B336" s="21"/>
      <c r="C336" s="22"/>
      <c r="D336" s="32"/>
      <c r="E336" s="22"/>
      <c r="F336" s="36"/>
      <c r="G336" s="22"/>
      <c r="H336" s="36"/>
      <c r="I336" s="22"/>
      <c r="J336" s="36"/>
      <c r="K336" s="34"/>
      <c r="L336" s="46"/>
      <c r="M336" s="70"/>
      <c r="N336" s="10"/>
      <c r="O336" s="10"/>
      <c r="P336" s="10"/>
      <c r="Q336" s="10"/>
      <c r="R336" s="10"/>
      <c r="S336" s="10"/>
      <c r="T336" s="10"/>
      <c r="U336" s="10"/>
      <c r="V336" s="10"/>
      <c r="W336" s="10"/>
      <c r="X336" s="10"/>
      <c r="Y336" s="10"/>
      <c r="Z336" s="10"/>
    </row>
    <row r="337" spans="1:26" ht="12.75" customHeight="1" x14ac:dyDescent="0.2">
      <c r="A337" s="10"/>
      <c r="B337" s="21"/>
      <c r="C337" s="22" t="s">
        <v>116</v>
      </c>
      <c r="D337" s="32" t="s">
        <v>117</v>
      </c>
      <c r="E337" s="22" t="s">
        <v>336</v>
      </c>
      <c r="F337" s="23">
        <v>2095750</v>
      </c>
      <c r="G337" s="22" t="s">
        <v>332</v>
      </c>
      <c r="H337" s="36">
        <v>1068</v>
      </c>
      <c r="I337" s="22" t="s">
        <v>335</v>
      </c>
      <c r="J337" s="36">
        <v>2238261</v>
      </c>
      <c r="K337" s="34">
        <v>133626.21952827918</v>
      </c>
      <c r="L337" s="46">
        <v>2.4665636219999998</v>
      </c>
      <c r="M337" s="70">
        <v>0.24665636219999998</v>
      </c>
      <c r="N337" s="10"/>
      <c r="O337" s="10"/>
      <c r="P337" s="10"/>
      <c r="Q337" s="10"/>
      <c r="R337" s="10"/>
      <c r="S337" s="10"/>
      <c r="T337" s="10"/>
      <c r="U337" s="10"/>
      <c r="V337" s="10"/>
      <c r="W337" s="10"/>
      <c r="X337" s="10"/>
      <c r="Y337" s="10"/>
      <c r="Z337" s="10"/>
    </row>
    <row r="338" spans="1:26" ht="12.75" customHeight="1" x14ac:dyDescent="0.2">
      <c r="A338" s="10"/>
      <c r="B338" s="21"/>
      <c r="C338" s="22"/>
      <c r="D338" s="32"/>
      <c r="E338" s="22"/>
      <c r="F338" s="36"/>
      <c r="G338" s="22"/>
      <c r="H338" s="36"/>
      <c r="I338" s="22"/>
      <c r="J338" s="68"/>
      <c r="K338" s="34"/>
      <c r="L338" s="46"/>
      <c r="M338" s="70"/>
      <c r="N338" s="10"/>
      <c r="O338" s="10"/>
      <c r="P338" s="10"/>
      <c r="Q338" s="10"/>
      <c r="R338" s="10"/>
      <c r="S338" s="10"/>
      <c r="T338" s="10"/>
      <c r="U338" s="10"/>
      <c r="V338" s="10"/>
      <c r="W338" s="10"/>
      <c r="X338" s="10"/>
      <c r="Y338" s="10"/>
      <c r="Z338" s="10"/>
    </row>
    <row r="339" spans="1:26" ht="12.75" customHeight="1" x14ac:dyDescent="0.2">
      <c r="A339" s="10"/>
      <c r="B339" s="21"/>
      <c r="C339" s="22" t="s">
        <v>160</v>
      </c>
      <c r="D339" s="95" t="s">
        <v>161</v>
      </c>
      <c r="E339" s="22" t="s">
        <v>336</v>
      </c>
      <c r="F339" s="23">
        <v>28104</v>
      </c>
      <c r="G339" s="22" t="s">
        <v>332</v>
      </c>
      <c r="H339" s="36">
        <v>1069</v>
      </c>
      <c r="I339" s="22" t="s">
        <v>335</v>
      </c>
      <c r="J339" s="36">
        <v>30043.175999999999</v>
      </c>
      <c r="K339" s="153">
        <v>2437.2151613402175</v>
      </c>
      <c r="L339" s="46">
        <v>3.3107579951999998E-2</v>
      </c>
      <c r="M339" s="70">
        <v>3.3107579951999998E-3</v>
      </c>
      <c r="N339" s="10"/>
      <c r="O339" s="10"/>
      <c r="P339" s="10"/>
      <c r="Q339" s="10"/>
      <c r="R339" s="10"/>
      <c r="S339" s="10"/>
      <c r="T339" s="10"/>
      <c r="U339" s="10"/>
      <c r="V339" s="10"/>
      <c r="W339" s="10"/>
      <c r="X339" s="10"/>
      <c r="Y339" s="10"/>
      <c r="Z339" s="10"/>
    </row>
    <row r="340" spans="1:26" ht="12.75" customHeight="1" x14ac:dyDescent="0.2">
      <c r="A340" s="10"/>
      <c r="B340" s="21"/>
      <c r="C340" s="22"/>
      <c r="D340" s="32"/>
      <c r="E340" s="22"/>
      <c r="F340" s="36"/>
      <c r="G340" s="22"/>
      <c r="H340" s="36"/>
      <c r="I340" s="22"/>
      <c r="J340" s="68"/>
      <c r="K340" s="153"/>
      <c r="L340" s="69"/>
      <c r="M340" s="70"/>
      <c r="N340" s="10"/>
      <c r="O340" s="10"/>
      <c r="P340" s="10"/>
      <c r="Q340" s="10"/>
      <c r="R340" s="10"/>
      <c r="S340" s="10"/>
      <c r="T340" s="10"/>
      <c r="U340" s="10"/>
      <c r="V340" s="10"/>
      <c r="W340" s="10"/>
      <c r="X340" s="10"/>
      <c r="Y340" s="10"/>
      <c r="Z340" s="10"/>
    </row>
    <row r="341" spans="1:26" ht="12.75" customHeight="1" x14ac:dyDescent="0.2">
      <c r="A341" s="10"/>
      <c r="B341" s="21"/>
      <c r="C341" s="22" t="s">
        <v>162</v>
      </c>
      <c r="D341" s="95" t="s">
        <v>163</v>
      </c>
      <c r="E341" s="22" t="s">
        <v>336</v>
      </c>
      <c r="F341" s="23">
        <v>36128</v>
      </c>
      <c r="G341" s="22" t="s">
        <v>332</v>
      </c>
      <c r="H341" s="36">
        <v>1069</v>
      </c>
      <c r="I341" s="22" t="s">
        <v>335</v>
      </c>
      <c r="J341" s="36">
        <v>38620.832000000002</v>
      </c>
      <c r="K341" s="153">
        <v>2681.7973150040411</v>
      </c>
      <c r="L341" s="46">
        <v>4.2560156863999998E-2</v>
      </c>
      <c r="M341" s="70">
        <v>4.2560156863999995E-3</v>
      </c>
      <c r="N341" s="10"/>
      <c r="O341" s="10"/>
      <c r="P341" s="10"/>
      <c r="Q341" s="10"/>
      <c r="R341" s="10"/>
      <c r="S341" s="10"/>
      <c r="T341" s="10"/>
      <c r="U341" s="10"/>
      <c r="V341" s="10"/>
      <c r="W341" s="10"/>
      <c r="X341" s="10"/>
      <c r="Y341" s="10"/>
      <c r="Z341" s="10"/>
    </row>
    <row r="342" spans="1:26" ht="12.75" customHeight="1" x14ac:dyDescent="0.2">
      <c r="A342" s="10"/>
      <c r="B342" s="21"/>
      <c r="C342" s="22"/>
      <c r="D342" s="32"/>
      <c r="E342" s="22"/>
      <c r="F342" s="23"/>
      <c r="G342" s="22"/>
      <c r="H342" s="36"/>
      <c r="I342" s="22"/>
      <c r="J342" s="68"/>
      <c r="K342" s="153"/>
      <c r="L342" s="69"/>
      <c r="M342" s="70"/>
      <c r="N342" s="10"/>
      <c r="O342" s="10"/>
      <c r="P342" s="10"/>
      <c r="Q342" s="10"/>
      <c r="R342" s="10"/>
      <c r="S342" s="10"/>
      <c r="T342" s="10"/>
      <c r="U342" s="10"/>
      <c r="V342" s="10"/>
      <c r="W342" s="10"/>
      <c r="X342" s="10"/>
      <c r="Y342" s="10"/>
      <c r="Z342" s="10"/>
    </row>
    <row r="343" spans="1:26" ht="12.75" customHeight="1" x14ac:dyDescent="0.2">
      <c r="A343" s="10"/>
      <c r="B343" s="21"/>
      <c r="C343" s="22"/>
      <c r="D343" s="95" t="s">
        <v>164</v>
      </c>
      <c r="E343" s="22" t="s">
        <v>336</v>
      </c>
      <c r="F343" s="23">
        <v>45011</v>
      </c>
      <c r="G343" s="22" t="s">
        <v>332</v>
      </c>
      <c r="H343" s="36">
        <v>1069</v>
      </c>
      <c r="I343" s="22" t="s">
        <v>335</v>
      </c>
      <c r="J343" s="36">
        <v>48116.758999999998</v>
      </c>
      <c r="K343" s="153">
        <v>3341.1863082829627</v>
      </c>
      <c r="L343" s="46">
        <v>5.3024668418E-2</v>
      </c>
      <c r="M343" s="70">
        <v>5.3024668417999991E-3</v>
      </c>
      <c r="N343" s="10"/>
      <c r="O343" s="10"/>
      <c r="P343" s="10"/>
      <c r="Q343" s="10"/>
      <c r="R343" s="10"/>
      <c r="S343" s="10"/>
      <c r="T343" s="10"/>
      <c r="U343" s="10"/>
      <c r="V343" s="10"/>
      <c r="W343" s="10"/>
      <c r="X343" s="10"/>
      <c r="Y343" s="10"/>
      <c r="Z343" s="10"/>
    </row>
    <row r="344" spans="1:26" ht="12.75" customHeight="1" x14ac:dyDescent="0.2">
      <c r="A344" s="10"/>
      <c r="B344" s="21"/>
      <c r="C344" s="22"/>
      <c r="D344" s="32"/>
      <c r="E344" s="22"/>
      <c r="F344" s="36"/>
      <c r="G344" s="22"/>
      <c r="H344" s="36"/>
      <c r="I344" s="22"/>
      <c r="J344" s="68"/>
      <c r="K344" s="153"/>
      <c r="L344" s="69"/>
      <c r="M344" s="70"/>
      <c r="N344" s="10"/>
      <c r="O344" s="10"/>
      <c r="P344" s="10"/>
      <c r="Q344" s="10"/>
      <c r="R344" s="10"/>
      <c r="S344" s="10"/>
      <c r="T344" s="10"/>
      <c r="U344" s="10"/>
      <c r="V344" s="10"/>
      <c r="W344" s="10"/>
      <c r="X344" s="10"/>
      <c r="Y344" s="10"/>
      <c r="Z344" s="10"/>
    </row>
    <row r="345" spans="1:26" ht="12.75" customHeight="1" x14ac:dyDescent="0.2">
      <c r="A345" s="10"/>
      <c r="B345" s="21"/>
      <c r="C345" s="22" t="s">
        <v>165</v>
      </c>
      <c r="D345" s="95" t="s">
        <v>166</v>
      </c>
      <c r="E345" s="22" t="s">
        <v>336</v>
      </c>
      <c r="F345" s="23">
        <v>50900</v>
      </c>
      <c r="G345" s="22" t="s">
        <v>332</v>
      </c>
      <c r="H345" s="36">
        <v>1069</v>
      </c>
      <c r="I345" s="22" t="s">
        <v>335</v>
      </c>
      <c r="J345" s="36">
        <v>54412.1</v>
      </c>
      <c r="K345" s="153">
        <v>4024.7932230763668</v>
      </c>
      <c r="L345" s="46">
        <v>5.9962134199999996E-2</v>
      </c>
      <c r="M345" s="70">
        <v>4.4353221318301563E-4</v>
      </c>
      <c r="N345" s="10"/>
      <c r="O345" s="10"/>
      <c r="P345" s="10"/>
      <c r="Q345" s="10"/>
      <c r="R345" s="10"/>
      <c r="S345" s="10"/>
      <c r="T345" s="10"/>
      <c r="U345" s="10"/>
      <c r="V345" s="10"/>
      <c r="W345" s="10"/>
      <c r="X345" s="10"/>
      <c r="Y345" s="10"/>
      <c r="Z345" s="10"/>
    </row>
    <row r="346" spans="1:26" ht="12.75" customHeight="1" x14ac:dyDescent="0.2">
      <c r="A346" s="10"/>
      <c r="B346" s="21"/>
      <c r="C346" s="22"/>
      <c r="D346" s="32"/>
      <c r="E346" s="22"/>
      <c r="F346" s="36"/>
      <c r="G346" s="22"/>
      <c r="H346" s="36"/>
      <c r="I346" s="22"/>
      <c r="J346" s="68"/>
      <c r="K346" s="34"/>
      <c r="L346" s="46"/>
      <c r="M346" s="70"/>
      <c r="N346" s="10"/>
      <c r="O346" s="10"/>
      <c r="P346" s="10"/>
      <c r="Q346" s="10"/>
      <c r="R346" s="10"/>
      <c r="S346" s="10"/>
      <c r="T346" s="10"/>
      <c r="U346" s="10"/>
      <c r="V346" s="10"/>
      <c r="W346" s="10"/>
      <c r="X346" s="10"/>
      <c r="Y346" s="10"/>
      <c r="Z346" s="10"/>
    </row>
    <row r="347" spans="1:26" ht="12.75" customHeight="1" x14ac:dyDescent="0.2">
      <c r="A347" s="10"/>
      <c r="B347" s="21"/>
      <c r="C347" s="22"/>
      <c r="D347" s="22"/>
      <c r="E347" s="22"/>
      <c r="F347" s="36"/>
      <c r="G347" s="22"/>
      <c r="H347" s="36"/>
      <c r="I347" s="22"/>
      <c r="J347" s="36"/>
      <c r="K347" s="34"/>
      <c r="L347" s="46"/>
      <c r="M347" s="148"/>
      <c r="N347" s="10"/>
      <c r="O347" s="10"/>
      <c r="P347" s="10"/>
      <c r="Q347" s="10"/>
      <c r="R347" s="10"/>
      <c r="S347" s="10"/>
      <c r="T347" s="10"/>
      <c r="U347" s="10"/>
      <c r="V347" s="10"/>
      <c r="W347" s="10"/>
      <c r="X347" s="10"/>
      <c r="Y347" s="10"/>
      <c r="Z347" s="10"/>
    </row>
    <row r="348" spans="1:26" ht="12.75" customHeight="1" x14ac:dyDescent="0.2">
      <c r="A348" s="10"/>
      <c r="B348" s="25"/>
      <c r="C348" s="27"/>
      <c r="D348" s="47"/>
      <c r="E348" s="27"/>
      <c r="F348" s="28"/>
      <c r="G348" s="27"/>
      <c r="H348" s="28"/>
      <c r="I348" s="27"/>
      <c r="J348" s="28"/>
      <c r="K348" s="48"/>
      <c r="L348" s="135"/>
      <c r="M348" s="149"/>
      <c r="N348" s="10"/>
      <c r="O348" s="10"/>
      <c r="P348" s="10"/>
      <c r="Q348" s="10"/>
      <c r="R348" s="10"/>
      <c r="S348" s="10"/>
      <c r="T348" s="10"/>
      <c r="U348" s="10"/>
      <c r="V348" s="10"/>
      <c r="W348" s="10"/>
      <c r="X348" s="10"/>
      <c r="Y348" s="10"/>
      <c r="Z348" s="10"/>
    </row>
    <row r="349" spans="1:26" ht="12.75" customHeight="1" x14ac:dyDescent="0.2">
      <c r="A349" s="10"/>
      <c r="B349" s="21" t="s">
        <v>173</v>
      </c>
      <c r="C349" s="45" t="s">
        <v>174</v>
      </c>
      <c r="D349" s="32"/>
      <c r="E349" s="22"/>
      <c r="F349" s="36"/>
      <c r="G349" s="22"/>
      <c r="H349" s="36"/>
      <c r="I349" s="22"/>
      <c r="J349" s="36"/>
      <c r="K349" s="34"/>
      <c r="L349" s="46"/>
      <c r="M349" s="148"/>
      <c r="N349" s="10"/>
      <c r="O349" s="10"/>
      <c r="P349" s="10"/>
      <c r="Q349" s="10"/>
      <c r="R349" s="10"/>
      <c r="S349" s="10"/>
      <c r="T349" s="10"/>
      <c r="U349" s="10"/>
      <c r="V349" s="10"/>
      <c r="W349" s="10"/>
      <c r="X349" s="10"/>
      <c r="Y349" s="10"/>
      <c r="Z349" s="10"/>
    </row>
    <row r="350" spans="1:26" ht="12.75" customHeight="1" x14ac:dyDescent="0.2">
      <c r="A350" s="10"/>
      <c r="B350" s="21"/>
      <c r="C350" s="22" t="s">
        <v>175</v>
      </c>
      <c r="D350" s="32" t="s">
        <v>176</v>
      </c>
      <c r="E350" s="22" t="s">
        <v>336</v>
      </c>
      <c r="F350" s="23">
        <v>31680</v>
      </c>
      <c r="G350" s="22" t="s">
        <v>332</v>
      </c>
      <c r="H350" s="36">
        <v>1060.4000000000001</v>
      </c>
      <c r="I350" s="22" t="s">
        <v>333</v>
      </c>
      <c r="J350" s="36">
        <v>33593.472000000002</v>
      </c>
      <c r="K350" s="33">
        <v>2552.6570986794945</v>
      </c>
      <c r="L350" s="51">
        <v>3.7020006144000001E-2</v>
      </c>
      <c r="M350" s="97">
        <v>3.7020006144000001E-3</v>
      </c>
      <c r="N350" s="10"/>
      <c r="O350" s="10"/>
      <c r="P350" s="10"/>
      <c r="Q350" s="10"/>
      <c r="R350" s="10"/>
      <c r="S350" s="10"/>
      <c r="T350" s="10"/>
      <c r="U350" s="10"/>
      <c r="V350" s="10"/>
      <c r="W350" s="10"/>
      <c r="X350" s="10"/>
      <c r="Y350" s="10"/>
      <c r="Z350" s="10"/>
    </row>
    <row r="351" spans="1:26" ht="12.75" customHeight="1" x14ac:dyDescent="0.2">
      <c r="A351" s="10"/>
      <c r="B351" s="21"/>
      <c r="C351" s="22"/>
      <c r="D351" s="32"/>
      <c r="E351" s="22"/>
      <c r="F351" s="23"/>
      <c r="G351" s="22"/>
      <c r="H351" s="36"/>
      <c r="I351" s="22"/>
      <c r="J351" s="22"/>
      <c r="K351" s="32"/>
      <c r="L351" s="32"/>
      <c r="M351" s="148"/>
      <c r="N351" s="10"/>
      <c r="O351" s="10"/>
      <c r="P351" s="10"/>
      <c r="Q351" s="10"/>
      <c r="R351" s="10"/>
      <c r="S351" s="10"/>
      <c r="T351" s="10"/>
      <c r="U351" s="10"/>
      <c r="V351" s="10"/>
      <c r="W351" s="10"/>
      <c r="X351" s="10"/>
      <c r="Y351" s="10"/>
      <c r="Z351" s="10"/>
    </row>
    <row r="352" spans="1:26" ht="12.75" customHeight="1" x14ac:dyDescent="0.2">
      <c r="A352" s="10"/>
      <c r="B352" s="25"/>
      <c r="C352" s="27"/>
      <c r="D352" s="47"/>
      <c r="E352" s="27"/>
      <c r="F352" s="30"/>
      <c r="G352" s="27"/>
      <c r="H352" s="28"/>
      <c r="I352" s="27"/>
      <c r="J352" s="27"/>
      <c r="K352" s="47"/>
      <c r="L352" s="47"/>
      <c r="M352" s="149"/>
      <c r="N352" s="10"/>
      <c r="O352" s="10"/>
      <c r="P352" s="10"/>
      <c r="Q352" s="10"/>
      <c r="R352" s="10"/>
      <c r="S352" s="10"/>
      <c r="T352" s="10"/>
      <c r="U352" s="10"/>
      <c r="V352" s="10"/>
      <c r="W352" s="10"/>
      <c r="X352" s="10"/>
      <c r="Y352" s="10"/>
      <c r="Z352" s="10"/>
    </row>
    <row r="353" spans="1:26" ht="12.75" customHeight="1" x14ac:dyDescent="0.2">
      <c r="A353" s="10"/>
      <c r="B353" s="21"/>
      <c r="C353" s="22"/>
      <c r="D353" s="32"/>
      <c r="E353" s="22"/>
      <c r="F353" s="36"/>
      <c r="G353" s="22"/>
      <c r="H353" s="36"/>
      <c r="I353" s="22"/>
      <c r="J353" s="22"/>
      <c r="K353" s="32"/>
      <c r="L353" s="32"/>
      <c r="M353" s="148"/>
      <c r="N353" s="10"/>
      <c r="O353" s="10"/>
      <c r="P353" s="10"/>
      <c r="Q353" s="10"/>
      <c r="R353" s="10"/>
      <c r="S353" s="10"/>
      <c r="T353" s="10"/>
      <c r="U353" s="10"/>
      <c r="V353" s="10"/>
      <c r="W353" s="10"/>
      <c r="X353" s="10"/>
      <c r="Y353" s="10"/>
      <c r="Z353" s="10"/>
    </row>
    <row r="354" spans="1:26" ht="12.75" customHeight="1" x14ac:dyDescent="0.2">
      <c r="A354" s="10"/>
      <c r="B354" s="21" t="s">
        <v>118</v>
      </c>
      <c r="C354" s="45" t="s">
        <v>119</v>
      </c>
      <c r="D354" s="32"/>
      <c r="E354" s="22"/>
      <c r="F354" s="36"/>
      <c r="G354" s="22"/>
      <c r="H354" s="36"/>
      <c r="I354" s="22"/>
      <c r="J354" s="36"/>
      <c r="K354" s="34"/>
      <c r="L354" s="46"/>
      <c r="M354" s="148"/>
      <c r="N354" s="10"/>
      <c r="O354" s="10"/>
      <c r="P354" s="10"/>
      <c r="Q354" s="10"/>
      <c r="R354" s="10"/>
      <c r="S354" s="10"/>
      <c r="T354" s="10"/>
      <c r="U354" s="10"/>
      <c r="V354" s="10"/>
      <c r="W354" s="10"/>
      <c r="X354" s="10"/>
      <c r="Y354" s="10"/>
      <c r="Z354" s="10"/>
    </row>
    <row r="355" spans="1:26" ht="12.75" customHeight="1" x14ac:dyDescent="0.2">
      <c r="A355" s="10"/>
      <c r="B355" s="21"/>
      <c r="C355" s="22" t="s">
        <v>318</v>
      </c>
      <c r="D355" s="32" t="s">
        <v>95</v>
      </c>
      <c r="E355" s="22" t="s">
        <v>336</v>
      </c>
      <c r="F355" s="23">
        <v>178220</v>
      </c>
      <c r="G355" s="22" t="s">
        <v>337</v>
      </c>
      <c r="H355" s="98">
        <v>1.083</v>
      </c>
      <c r="I355" s="22" t="s">
        <v>338</v>
      </c>
      <c r="J355" s="84">
        <v>193012.25999999998</v>
      </c>
      <c r="K355" s="154">
        <v>12712.204138561281</v>
      </c>
      <c r="L355" s="52">
        <v>0.21199999999999999</v>
      </c>
      <c r="M355" s="97">
        <v>2.1000000000000001E-2</v>
      </c>
      <c r="N355" s="10"/>
      <c r="O355" s="10"/>
      <c r="P355" s="10"/>
      <c r="Q355" s="10"/>
      <c r="R355" s="10"/>
      <c r="S355" s="10"/>
      <c r="T355" s="10"/>
      <c r="U355" s="10"/>
      <c r="V355" s="10"/>
      <c r="W355" s="10"/>
      <c r="X355" s="10"/>
      <c r="Y355" s="10"/>
      <c r="Z355" s="10"/>
    </row>
    <row r="356" spans="1:26" ht="12.75" customHeight="1" x14ac:dyDescent="0.2">
      <c r="A356" s="10"/>
      <c r="B356" s="21"/>
      <c r="C356" s="22"/>
      <c r="D356" s="32"/>
      <c r="E356" s="22"/>
      <c r="F356" s="36"/>
      <c r="G356" s="22"/>
      <c r="H356" s="36"/>
      <c r="I356" s="22"/>
      <c r="J356" s="68"/>
      <c r="K356" s="151"/>
      <c r="L356" s="69"/>
      <c r="M356" s="148"/>
      <c r="N356" s="10"/>
      <c r="O356" s="10"/>
      <c r="P356" s="10"/>
      <c r="Q356" s="10"/>
      <c r="R356" s="10"/>
      <c r="S356" s="10"/>
      <c r="T356" s="10"/>
      <c r="U356" s="10"/>
      <c r="V356" s="10"/>
      <c r="W356" s="10"/>
      <c r="X356" s="10"/>
      <c r="Y356" s="10"/>
      <c r="Z356" s="10"/>
    </row>
    <row r="357" spans="1:26" ht="12.75" customHeight="1" x14ac:dyDescent="0.2">
      <c r="A357" s="10"/>
      <c r="B357" s="21"/>
      <c r="C357" s="22" t="s">
        <v>120</v>
      </c>
      <c r="D357" s="32" t="s">
        <v>99</v>
      </c>
      <c r="E357" s="22" t="s">
        <v>334</v>
      </c>
      <c r="F357" s="23">
        <v>52838</v>
      </c>
      <c r="G357" s="22" t="s">
        <v>337</v>
      </c>
      <c r="H357" s="22">
        <v>1.079</v>
      </c>
      <c r="I357" s="22" t="s">
        <v>338</v>
      </c>
      <c r="J357" s="23">
        <v>57012.201999999997</v>
      </c>
      <c r="K357" s="153">
        <v>6401.7548727885769</v>
      </c>
      <c r="L357" s="51">
        <v>6.3E-2</v>
      </c>
      <c r="M357" s="97">
        <v>6.0000000000000001E-3</v>
      </c>
      <c r="N357" s="10"/>
      <c r="O357" s="10"/>
      <c r="P357" s="10"/>
      <c r="Q357" s="10"/>
      <c r="R357" s="10"/>
      <c r="S357" s="10"/>
      <c r="T357" s="10"/>
      <c r="U357" s="10"/>
      <c r="V357" s="10"/>
      <c r="W357" s="10"/>
      <c r="X357" s="10"/>
      <c r="Y357" s="10"/>
      <c r="Z357" s="10"/>
    </row>
    <row r="358" spans="1:26" ht="12.75" customHeight="1" x14ac:dyDescent="0.2">
      <c r="A358" s="10"/>
      <c r="B358" s="21"/>
      <c r="C358" s="22"/>
      <c r="D358" s="32"/>
      <c r="E358" s="22"/>
      <c r="F358" s="36"/>
      <c r="G358" s="22"/>
      <c r="H358" s="36"/>
      <c r="I358" s="22"/>
      <c r="J358" s="68"/>
      <c r="K358" s="151"/>
      <c r="L358" s="69"/>
      <c r="M358" s="148"/>
      <c r="N358" s="10"/>
      <c r="O358" s="10"/>
      <c r="P358" s="10"/>
      <c r="Q358" s="10"/>
      <c r="R358" s="10"/>
      <c r="S358" s="10"/>
      <c r="T358" s="10"/>
      <c r="U358" s="10"/>
      <c r="V358" s="10"/>
      <c r="W358" s="10"/>
      <c r="X358" s="10"/>
      <c r="Y358" s="10"/>
      <c r="Z358" s="10"/>
    </row>
    <row r="359" spans="1:26" ht="12.75" customHeight="1" x14ac:dyDescent="0.2">
      <c r="A359" s="10"/>
      <c r="B359" s="21"/>
      <c r="C359" s="22" t="s">
        <v>122</v>
      </c>
      <c r="D359" s="32" t="s">
        <v>115</v>
      </c>
      <c r="E359" s="22" t="s">
        <v>334</v>
      </c>
      <c r="F359" s="23">
        <v>31308</v>
      </c>
      <c r="G359" s="22" t="s">
        <v>337</v>
      </c>
      <c r="H359" s="98">
        <v>1.0780000000000001</v>
      </c>
      <c r="I359" s="22" t="s">
        <v>338</v>
      </c>
      <c r="J359" s="23">
        <v>33750.024000000005</v>
      </c>
      <c r="K359" s="153">
        <v>3538.4751955776001</v>
      </c>
      <c r="L359" s="52">
        <v>3.6999999999999998E-2</v>
      </c>
      <c r="M359" s="97">
        <v>3.7100000000000002E-3</v>
      </c>
      <c r="N359" s="10"/>
      <c r="O359" s="10"/>
      <c r="P359" s="10"/>
      <c r="Q359" s="10"/>
      <c r="R359" s="10"/>
      <c r="S359" s="10"/>
      <c r="T359" s="10"/>
      <c r="U359" s="10"/>
      <c r="V359" s="10"/>
      <c r="W359" s="10"/>
      <c r="X359" s="10"/>
      <c r="Y359" s="10"/>
      <c r="Z359" s="10"/>
    </row>
    <row r="360" spans="1:26" ht="12.75" customHeight="1" x14ac:dyDescent="0.2">
      <c r="A360" s="10"/>
      <c r="B360" s="21"/>
      <c r="C360" s="22"/>
      <c r="D360" s="32"/>
      <c r="E360" s="22"/>
      <c r="F360" s="36"/>
      <c r="G360" s="22"/>
      <c r="H360" s="36"/>
      <c r="I360" s="22"/>
      <c r="J360" s="68"/>
      <c r="K360" s="151"/>
      <c r="L360" s="69"/>
      <c r="M360" s="148"/>
      <c r="N360" s="10"/>
      <c r="O360" s="10"/>
      <c r="P360" s="10"/>
      <c r="Q360" s="10"/>
      <c r="R360" s="10"/>
      <c r="S360" s="10"/>
      <c r="T360" s="10"/>
      <c r="U360" s="10"/>
      <c r="V360" s="10"/>
      <c r="W360" s="10"/>
      <c r="X360" s="10"/>
      <c r="Y360" s="10"/>
      <c r="Z360" s="10"/>
    </row>
    <row r="361" spans="1:26" ht="12.75" customHeight="1" x14ac:dyDescent="0.2">
      <c r="A361" s="10"/>
      <c r="B361" s="21"/>
      <c r="C361" s="22" t="s">
        <v>302</v>
      </c>
      <c r="D361" s="32" t="s">
        <v>320</v>
      </c>
      <c r="E361" s="22" t="s">
        <v>334</v>
      </c>
      <c r="F361" s="23">
        <v>22551</v>
      </c>
      <c r="G361" s="22" t="s">
        <v>337</v>
      </c>
      <c r="H361" s="98">
        <v>1.0880000000000001</v>
      </c>
      <c r="I361" s="22" t="s">
        <v>338</v>
      </c>
      <c r="J361" s="23">
        <v>24535.488000000001</v>
      </c>
      <c r="K361" s="34">
        <v>2090.3890693004023</v>
      </c>
      <c r="L361" s="52">
        <v>2.7E-2</v>
      </c>
      <c r="M361" s="97">
        <v>2.7000000000000001E-3</v>
      </c>
      <c r="N361" s="10"/>
      <c r="O361" s="10"/>
      <c r="P361" s="10"/>
      <c r="Q361" s="10"/>
      <c r="R361" s="10"/>
      <c r="S361" s="10"/>
      <c r="T361" s="10"/>
      <c r="U361" s="10"/>
      <c r="V361" s="10"/>
      <c r="W361" s="10"/>
      <c r="X361" s="10"/>
      <c r="Y361" s="10"/>
      <c r="Z361" s="10"/>
    </row>
    <row r="362" spans="1:26" ht="12.75" customHeight="1" x14ac:dyDescent="0.2">
      <c r="A362" s="10"/>
      <c r="B362" s="21"/>
      <c r="C362" s="22"/>
      <c r="D362" s="32"/>
      <c r="E362" s="22"/>
      <c r="F362" s="23"/>
      <c r="G362" s="22"/>
      <c r="H362" s="98"/>
      <c r="I362" s="22"/>
      <c r="J362" s="68"/>
      <c r="K362" s="151"/>
      <c r="L362" s="155"/>
      <c r="M362" s="148"/>
      <c r="N362" s="10"/>
      <c r="O362" s="10"/>
      <c r="P362" s="10"/>
      <c r="Q362" s="10"/>
      <c r="R362" s="10"/>
      <c r="S362" s="10"/>
      <c r="T362" s="10"/>
      <c r="U362" s="10"/>
      <c r="V362" s="10"/>
      <c r="W362" s="10"/>
      <c r="X362" s="10"/>
      <c r="Y362" s="10"/>
      <c r="Z362" s="10"/>
    </row>
    <row r="363" spans="1:26" ht="12.75" customHeight="1" x14ac:dyDescent="0.2">
      <c r="A363" s="10"/>
      <c r="B363" s="25"/>
      <c r="C363" s="27"/>
      <c r="D363" s="47"/>
      <c r="E363" s="27"/>
      <c r="F363" s="30"/>
      <c r="G363" s="27"/>
      <c r="H363" s="100"/>
      <c r="I363" s="27"/>
      <c r="J363" s="101"/>
      <c r="K363" s="156"/>
      <c r="L363" s="157"/>
      <c r="M363" s="149"/>
      <c r="N363" s="10"/>
      <c r="O363" s="10"/>
      <c r="P363" s="10"/>
      <c r="Q363" s="10"/>
      <c r="R363" s="10"/>
      <c r="S363" s="10"/>
      <c r="T363" s="10"/>
      <c r="U363" s="10"/>
      <c r="V363" s="10"/>
      <c r="W363" s="10"/>
      <c r="X363" s="10"/>
      <c r="Y363" s="10"/>
      <c r="Z363" s="10"/>
    </row>
    <row r="364" spans="1:26" ht="12.75" customHeight="1" x14ac:dyDescent="0.2">
      <c r="A364" s="10"/>
      <c r="B364" s="21"/>
      <c r="C364" s="22"/>
      <c r="D364" s="32"/>
      <c r="E364" s="22"/>
      <c r="F364" s="36"/>
      <c r="G364" s="22"/>
      <c r="H364" s="36"/>
      <c r="I364" s="22"/>
      <c r="J364" s="22"/>
      <c r="K364" s="34"/>
      <c r="L364" s="46"/>
      <c r="M364" s="148"/>
      <c r="N364" s="10"/>
      <c r="O364" s="10"/>
      <c r="P364" s="10"/>
      <c r="Q364" s="10"/>
      <c r="R364" s="10"/>
      <c r="S364" s="10"/>
      <c r="T364" s="10"/>
      <c r="U364" s="10"/>
      <c r="V364" s="10"/>
      <c r="W364" s="10"/>
      <c r="X364" s="10"/>
      <c r="Y364" s="10"/>
      <c r="Z364" s="10"/>
    </row>
    <row r="365" spans="1:26" ht="12.75" customHeight="1" x14ac:dyDescent="0.2">
      <c r="A365" s="10"/>
      <c r="B365" s="21" t="s">
        <v>181</v>
      </c>
      <c r="C365" s="45" t="s">
        <v>182</v>
      </c>
      <c r="D365" s="32"/>
      <c r="E365" s="22"/>
      <c r="F365" s="36"/>
      <c r="G365" s="22"/>
      <c r="H365" s="36"/>
      <c r="I365" s="22"/>
      <c r="J365" s="36"/>
      <c r="K365" s="34"/>
      <c r="L365" s="46"/>
      <c r="M365" s="148"/>
      <c r="N365" s="10"/>
      <c r="O365" s="10"/>
      <c r="P365" s="10"/>
      <c r="Q365" s="10"/>
      <c r="R365" s="10"/>
      <c r="S365" s="10"/>
      <c r="T365" s="10"/>
      <c r="U365" s="10"/>
      <c r="V365" s="10"/>
      <c r="W365" s="10"/>
      <c r="X365" s="10"/>
      <c r="Y365" s="10"/>
      <c r="Z365" s="10"/>
    </row>
    <row r="366" spans="1:26" ht="12.75" customHeight="1" x14ac:dyDescent="0.2">
      <c r="A366" s="10"/>
      <c r="B366" s="21"/>
      <c r="C366" s="22" t="s">
        <v>183</v>
      </c>
      <c r="D366" s="32" t="s">
        <v>184</v>
      </c>
      <c r="E366" s="22" t="s">
        <v>336</v>
      </c>
      <c r="F366" s="23">
        <v>544000000</v>
      </c>
      <c r="G366" s="22" t="s">
        <v>332</v>
      </c>
      <c r="H366" s="36">
        <v>1040</v>
      </c>
      <c r="I366" s="22" t="s">
        <v>339</v>
      </c>
      <c r="J366" s="36">
        <v>565760</v>
      </c>
      <c r="K366" s="153">
        <v>35570.074131192938</v>
      </c>
      <c r="L366" s="69">
        <v>0.31728010374861992</v>
      </c>
      <c r="M366" s="70">
        <v>3.4702511347505308E-2</v>
      </c>
      <c r="N366" s="10"/>
      <c r="O366" s="10"/>
      <c r="P366" s="10"/>
      <c r="Q366" s="10"/>
      <c r="R366" s="10"/>
      <c r="S366" s="10"/>
      <c r="T366" s="10"/>
      <c r="U366" s="10"/>
      <c r="V366" s="10"/>
      <c r="W366" s="10"/>
      <c r="X366" s="10"/>
      <c r="Y366" s="10"/>
      <c r="Z366" s="10"/>
    </row>
    <row r="367" spans="1:26" ht="12.75" customHeight="1" x14ac:dyDescent="0.2">
      <c r="A367" s="10"/>
      <c r="B367" s="21"/>
      <c r="C367" s="22"/>
      <c r="D367" s="32"/>
      <c r="E367" s="22"/>
      <c r="F367" s="23"/>
      <c r="G367" s="22"/>
      <c r="H367" s="36"/>
      <c r="I367" s="22"/>
      <c r="J367" s="36"/>
      <c r="K367" s="34"/>
      <c r="L367" s="46"/>
      <c r="M367" s="150"/>
      <c r="N367" s="10"/>
      <c r="O367" s="10"/>
      <c r="P367" s="10"/>
      <c r="Q367" s="10"/>
      <c r="R367" s="10"/>
      <c r="S367" s="10"/>
      <c r="T367" s="10"/>
      <c r="U367" s="10"/>
      <c r="V367" s="10"/>
      <c r="W367" s="10"/>
      <c r="X367" s="10"/>
      <c r="Y367" s="10"/>
      <c r="Z367" s="10"/>
    </row>
    <row r="368" spans="1:26" ht="12.75" customHeight="1" x14ac:dyDescent="0.2">
      <c r="A368" s="10"/>
      <c r="B368" s="21"/>
      <c r="C368" s="22"/>
      <c r="D368" s="32"/>
      <c r="E368" s="22"/>
      <c r="F368" s="23"/>
      <c r="G368" s="22"/>
      <c r="H368" s="36"/>
      <c r="I368" s="22"/>
      <c r="J368" s="36"/>
      <c r="K368" s="153"/>
      <c r="L368" s="69"/>
      <c r="M368" s="148"/>
      <c r="N368" s="10"/>
      <c r="O368" s="10"/>
      <c r="P368" s="10"/>
      <c r="Q368" s="10"/>
      <c r="R368" s="10"/>
      <c r="S368" s="10"/>
      <c r="T368" s="10"/>
      <c r="U368" s="10"/>
      <c r="V368" s="10"/>
      <c r="W368" s="10"/>
      <c r="X368" s="10"/>
      <c r="Y368" s="10"/>
      <c r="Z368" s="10"/>
    </row>
    <row r="369" spans="1:26" ht="12.75" customHeight="1" x14ac:dyDescent="0.2">
      <c r="A369" s="10"/>
      <c r="B369" s="25"/>
      <c r="C369" s="27"/>
      <c r="D369" s="47"/>
      <c r="E369" s="27"/>
      <c r="F369" s="30"/>
      <c r="G369" s="27"/>
      <c r="H369" s="28"/>
      <c r="I369" s="27"/>
      <c r="J369" s="28"/>
      <c r="K369" s="158"/>
      <c r="L369" s="159"/>
      <c r="M369" s="149"/>
      <c r="N369" s="10"/>
      <c r="O369" s="10"/>
      <c r="P369" s="10"/>
      <c r="Q369" s="10"/>
      <c r="R369" s="10"/>
      <c r="S369" s="10"/>
      <c r="T369" s="10"/>
      <c r="U369" s="10"/>
      <c r="V369" s="10"/>
      <c r="W369" s="10"/>
      <c r="X369" s="10"/>
      <c r="Y369" s="10"/>
      <c r="Z369" s="10"/>
    </row>
    <row r="370" spans="1:26" ht="12.75" customHeight="1" x14ac:dyDescent="0.2">
      <c r="A370" s="10"/>
      <c r="B370" s="21"/>
      <c r="C370" s="22"/>
      <c r="D370" s="32"/>
      <c r="E370" s="22"/>
      <c r="F370" s="23"/>
      <c r="G370" s="22"/>
      <c r="H370" s="36"/>
      <c r="I370" s="22"/>
      <c r="J370" s="36"/>
      <c r="K370" s="153"/>
      <c r="L370" s="46"/>
      <c r="M370" s="148"/>
      <c r="N370" s="10"/>
      <c r="O370" s="10"/>
      <c r="P370" s="10"/>
      <c r="Q370" s="10"/>
      <c r="R370" s="10"/>
      <c r="S370" s="10"/>
      <c r="T370" s="10"/>
      <c r="U370" s="10"/>
      <c r="V370" s="10"/>
      <c r="W370" s="10"/>
      <c r="X370" s="10"/>
      <c r="Y370" s="10"/>
      <c r="Z370" s="10"/>
    </row>
    <row r="371" spans="1:26" ht="12.75" customHeight="1" x14ac:dyDescent="0.2">
      <c r="A371" s="10"/>
      <c r="B371" s="21" t="s">
        <v>194</v>
      </c>
      <c r="C371" s="45" t="s">
        <v>195</v>
      </c>
      <c r="D371" s="32"/>
      <c r="E371" s="22"/>
      <c r="F371" s="36"/>
      <c r="G371" s="22"/>
      <c r="H371" s="36"/>
      <c r="I371" s="22"/>
      <c r="J371" s="22"/>
      <c r="K371" s="34"/>
      <c r="L371" s="46"/>
      <c r="M371" s="148"/>
      <c r="N371" s="10"/>
      <c r="O371" s="10"/>
      <c r="P371" s="10"/>
      <c r="Q371" s="10"/>
      <c r="R371" s="10"/>
      <c r="S371" s="10"/>
      <c r="T371" s="10"/>
      <c r="U371" s="10"/>
      <c r="V371" s="10"/>
      <c r="W371" s="10"/>
      <c r="X371" s="10"/>
      <c r="Y371" s="10"/>
      <c r="Z371" s="10"/>
    </row>
    <row r="372" spans="1:26" ht="12.75" customHeight="1" x14ac:dyDescent="0.2">
      <c r="A372" s="10"/>
      <c r="B372" s="21"/>
      <c r="C372" s="22" t="s">
        <v>340</v>
      </c>
      <c r="D372" s="32" t="s">
        <v>341</v>
      </c>
      <c r="E372" s="22" t="s">
        <v>336</v>
      </c>
      <c r="F372" s="23">
        <v>213000000</v>
      </c>
      <c r="G372" s="22" t="s">
        <v>332</v>
      </c>
      <c r="H372" s="36">
        <v>1020</v>
      </c>
      <c r="I372" s="22" t="s">
        <v>199</v>
      </c>
      <c r="J372" s="68">
        <v>217260</v>
      </c>
      <c r="K372" s="151">
        <v>12703</v>
      </c>
      <c r="L372" s="160">
        <v>0</v>
      </c>
      <c r="M372" s="161">
        <v>0</v>
      </c>
      <c r="N372" s="10"/>
      <c r="O372" s="10"/>
      <c r="P372" s="10"/>
      <c r="Q372" s="10"/>
      <c r="R372" s="10"/>
      <c r="S372" s="10"/>
      <c r="T372" s="10"/>
      <c r="U372" s="10"/>
      <c r="V372" s="10"/>
      <c r="W372" s="10"/>
      <c r="X372" s="10"/>
      <c r="Y372" s="10"/>
      <c r="Z372" s="10"/>
    </row>
    <row r="373" spans="1:26" ht="12.75" customHeight="1" x14ac:dyDescent="0.2">
      <c r="A373" s="10"/>
      <c r="B373" s="21"/>
      <c r="C373" s="22"/>
      <c r="D373" s="32"/>
      <c r="E373" s="22"/>
      <c r="F373" s="23"/>
      <c r="G373" s="22"/>
      <c r="H373" s="36"/>
      <c r="I373" s="109"/>
      <c r="J373" s="68"/>
      <c r="K373" s="32"/>
      <c r="L373" s="32"/>
      <c r="M373" s="148"/>
      <c r="N373" s="10"/>
      <c r="O373" s="10"/>
      <c r="P373" s="10"/>
      <c r="Q373" s="10"/>
      <c r="R373" s="10"/>
      <c r="S373" s="10"/>
      <c r="T373" s="10"/>
      <c r="U373" s="10"/>
      <c r="V373" s="10"/>
      <c r="W373" s="10"/>
      <c r="X373" s="10"/>
      <c r="Y373" s="10"/>
      <c r="Z373" s="10"/>
    </row>
    <row r="374" spans="1:26" ht="12.75" customHeight="1" x14ac:dyDescent="0.2">
      <c r="A374" s="10"/>
      <c r="B374" s="25"/>
      <c r="C374" s="27"/>
      <c r="D374" s="47"/>
      <c r="E374" s="27"/>
      <c r="F374" s="27"/>
      <c r="G374" s="27"/>
      <c r="H374" s="27"/>
      <c r="I374" s="27"/>
      <c r="J374" s="27"/>
      <c r="K374" s="47"/>
      <c r="L374" s="47"/>
      <c r="M374" s="149"/>
      <c r="N374" s="10"/>
      <c r="O374" s="10"/>
      <c r="P374" s="10"/>
      <c r="Q374" s="10"/>
      <c r="R374" s="10"/>
      <c r="S374" s="10"/>
      <c r="T374" s="10"/>
      <c r="U374" s="10"/>
      <c r="V374" s="10"/>
      <c r="W374" s="10"/>
      <c r="X374" s="10"/>
      <c r="Y374" s="10"/>
      <c r="Z374" s="10"/>
    </row>
    <row r="375" spans="1:26" ht="12.75" customHeight="1" x14ac:dyDescent="0.2">
      <c r="A375" s="10"/>
      <c r="B375" s="21" t="s">
        <v>342</v>
      </c>
      <c r="C375" s="45" t="s">
        <v>343</v>
      </c>
      <c r="D375" s="32"/>
      <c r="E375" s="22"/>
      <c r="F375" s="22"/>
      <c r="G375" s="22"/>
      <c r="H375" s="22"/>
      <c r="I375" s="22"/>
      <c r="J375" s="22"/>
      <c r="K375" s="32"/>
      <c r="L375" s="32"/>
      <c r="M375" s="148"/>
      <c r="N375" s="10"/>
      <c r="O375" s="10"/>
      <c r="P375" s="10"/>
      <c r="Q375" s="10"/>
      <c r="R375" s="10"/>
      <c r="S375" s="10"/>
      <c r="T375" s="10"/>
      <c r="U375" s="10"/>
      <c r="V375" s="10"/>
      <c r="W375" s="10"/>
      <c r="X375" s="10"/>
      <c r="Y375" s="10"/>
      <c r="Z375" s="10"/>
    </row>
    <row r="376" spans="1:26" ht="12.75" customHeight="1" x14ac:dyDescent="0.2">
      <c r="A376" s="10"/>
      <c r="B376" s="21"/>
      <c r="C376" s="22" t="s">
        <v>344</v>
      </c>
      <c r="D376" s="32" t="s">
        <v>345</v>
      </c>
      <c r="E376" s="22" t="s">
        <v>336</v>
      </c>
      <c r="F376" s="23">
        <v>97000000</v>
      </c>
      <c r="G376" s="22" t="s">
        <v>332</v>
      </c>
      <c r="H376" s="111">
        <v>1064</v>
      </c>
      <c r="I376" s="22" t="s">
        <v>346</v>
      </c>
      <c r="J376" s="68">
        <v>103208</v>
      </c>
      <c r="K376" s="151">
        <v>5975</v>
      </c>
      <c r="L376" s="160">
        <v>1</v>
      </c>
      <c r="M376" s="162">
        <v>0.01</v>
      </c>
      <c r="N376" s="10"/>
      <c r="O376" s="10"/>
      <c r="P376" s="10"/>
      <c r="Q376" s="10"/>
      <c r="R376" s="10"/>
      <c r="S376" s="10"/>
      <c r="T376" s="10"/>
      <c r="U376" s="10"/>
      <c r="V376" s="10"/>
      <c r="W376" s="10"/>
      <c r="X376" s="10"/>
      <c r="Y376" s="10"/>
      <c r="Z376" s="10"/>
    </row>
    <row r="377" spans="1:26" ht="12.75" customHeight="1" x14ac:dyDescent="0.2">
      <c r="A377" s="10"/>
      <c r="B377" s="21"/>
      <c r="C377" s="22"/>
      <c r="D377" s="32"/>
      <c r="E377" s="22"/>
      <c r="F377" s="163"/>
      <c r="G377" s="22"/>
      <c r="H377" s="111"/>
      <c r="I377" s="22"/>
      <c r="J377" s="111"/>
      <c r="K377" s="32"/>
      <c r="L377" s="32"/>
      <c r="M377" s="148"/>
      <c r="N377" s="10"/>
      <c r="O377" s="10"/>
      <c r="P377" s="10"/>
      <c r="Q377" s="10"/>
      <c r="R377" s="10"/>
      <c r="S377" s="10"/>
      <c r="T377" s="10"/>
      <c r="U377" s="10"/>
      <c r="V377" s="10"/>
      <c r="W377" s="10"/>
      <c r="X377" s="10"/>
      <c r="Y377" s="10"/>
      <c r="Z377" s="10"/>
    </row>
    <row r="378" spans="1:26" ht="12.75" customHeight="1" x14ac:dyDescent="0.2">
      <c r="A378" s="10"/>
      <c r="B378" s="25"/>
      <c r="C378" s="27"/>
      <c r="D378" s="47"/>
      <c r="E378" s="27"/>
      <c r="F378" s="27"/>
      <c r="G378" s="27"/>
      <c r="H378" s="27"/>
      <c r="I378" s="27"/>
      <c r="J378" s="27"/>
      <c r="K378" s="47"/>
      <c r="L378" s="47"/>
      <c r="M378" s="149"/>
      <c r="N378" s="10"/>
      <c r="O378" s="10"/>
      <c r="P378" s="10"/>
      <c r="Q378" s="10"/>
      <c r="R378" s="10"/>
      <c r="S378" s="10"/>
      <c r="T378" s="10"/>
      <c r="U378" s="10"/>
      <c r="V378" s="10"/>
      <c r="W378" s="10"/>
      <c r="X378" s="10"/>
      <c r="Y378" s="10"/>
      <c r="Z378" s="10"/>
    </row>
    <row r="379" spans="1:26" ht="12.75" customHeight="1" x14ac:dyDescent="0.2">
      <c r="A379" s="10"/>
      <c r="B379" s="21"/>
      <c r="C379" s="22"/>
      <c r="D379" s="32"/>
      <c r="E379" s="22"/>
      <c r="F379" s="22"/>
      <c r="G379" s="22"/>
      <c r="H379" s="22"/>
      <c r="I379" s="22"/>
      <c r="J379" s="22"/>
      <c r="K379" s="32"/>
      <c r="L379" s="32"/>
      <c r="M379" s="148"/>
      <c r="N379" s="10"/>
      <c r="O379" s="10"/>
      <c r="P379" s="10"/>
      <c r="Q379" s="10"/>
      <c r="R379" s="10"/>
      <c r="S379" s="10"/>
      <c r="T379" s="10"/>
      <c r="U379" s="10"/>
      <c r="V379" s="10"/>
      <c r="W379" s="10"/>
      <c r="X379" s="10"/>
      <c r="Y379" s="10"/>
      <c r="Z379" s="10"/>
    </row>
    <row r="380" spans="1:26" ht="12.75" customHeight="1" x14ac:dyDescent="0.2">
      <c r="A380" s="10"/>
      <c r="B380" s="21" t="s">
        <v>214</v>
      </c>
      <c r="C380" s="45" t="s">
        <v>215</v>
      </c>
      <c r="D380" s="32"/>
      <c r="E380" s="22"/>
      <c r="F380" s="22"/>
      <c r="G380" s="22"/>
      <c r="H380" s="22"/>
      <c r="I380" s="22"/>
      <c r="J380" s="22"/>
      <c r="K380" s="32"/>
      <c r="L380" s="32"/>
      <c r="M380" s="148"/>
      <c r="N380" s="10"/>
      <c r="O380" s="10"/>
      <c r="P380" s="10"/>
      <c r="Q380" s="10"/>
      <c r="R380" s="10"/>
      <c r="S380" s="10"/>
      <c r="T380" s="10"/>
      <c r="U380" s="10"/>
      <c r="V380" s="10"/>
      <c r="W380" s="10"/>
      <c r="X380" s="10"/>
      <c r="Y380" s="10"/>
      <c r="Z380" s="10"/>
    </row>
    <row r="381" spans="1:26" ht="12.75" customHeight="1" x14ac:dyDescent="0.2">
      <c r="A381" s="10"/>
      <c r="B381" s="21"/>
      <c r="C381" s="22" t="s">
        <v>216</v>
      </c>
      <c r="D381" s="32" t="s">
        <v>217</v>
      </c>
      <c r="E381" s="22" t="s">
        <v>336</v>
      </c>
      <c r="F381" s="67">
        <v>79260000</v>
      </c>
      <c r="G381" s="22" t="s">
        <v>332</v>
      </c>
      <c r="H381" s="111">
        <v>1046</v>
      </c>
      <c r="I381" s="22" t="s">
        <v>347</v>
      </c>
      <c r="J381" s="23">
        <v>82905.960000000006</v>
      </c>
      <c r="K381" s="34">
        <v>6230.2873118412363</v>
      </c>
      <c r="L381" s="164">
        <v>9.1388181480573913E-2</v>
      </c>
      <c r="M381" s="150">
        <v>9.1388181480573909E-3</v>
      </c>
      <c r="N381" s="10"/>
      <c r="O381" s="10"/>
      <c r="P381" s="10"/>
      <c r="Q381" s="10"/>
      <c r="R381" s="10"/>
      <c r="S381" s="10"/>
      <c r="T381" s="10"/>
      <c r="U381" s="10"/>
      <c r="V381" s="10"/>
      <c r="W381" s="10"/>
      <c r="X381" s="10"/>
      <c r="Y381" s="10"/>
      <c r="Z381" s="10"/>
    </row>
    <row r="382" spans="1:26" ht="12.75" customHeight="1" x14ac:dyDescent="0.2">
      <c r="A382" s="10"/>
      <c r="B382" s="21"/>
      <c r="C382" s="22"/>
      <c r="D382" s="32"/>
      <c r="E382" s="22"/>
      <c r="F382" s="22"/>
      <c r="G382" s="22"/>
      <c r="H382" s="22"/>
      <c r="I382" s="22"/>
      <c r="J382" s="22"/>
      <c r="K382" s="32"/>
      <c r="L382" s="32"/>
      <c r="M382" s="148"/>
      <c r="N382" s="10"/>
      <c r="O382" s="10"/>
      <c r="P382" s="10"/>
      <c r="Q382" s="10"/>
      <c r="R382" s="10"/>
      <c r="S382" s="10"/>
      <c r="T382" s="10"/>
      <c r="U382" s="10"/>
      <c r="V382" s="10"/>
      <c r="W382" s="10"/>
      <c r="X382" s="10"/>
      <c r="Y382" s="10"/>
      <c r="Z382" s="10"/>
    </row>
    <row r="383" spans="1:26" ht="12.75" customHeight="1" x14ac:dyDescent="0.2">
      <c r="A383" s="10"/>
      <c r="B383" s="21"/>
      <c r="C383" s="22"/>
      <c r="D383" s="32" t="s">
        <v>159</v>
      </c>
      <c r="E383" s="22" t="s">
        <v>336</v>
      </c>
      <c r="F383" s="67">
        <v>462230000</v>
      </c>
      <c r="G383" s="22" t="s">
        <v>332</v>
      </c>
      <c r="H383" s="111">
        <v>1046</v>
      </c>
      <c r="I383" s="22" t="s">
        <v>347</v>
      </c>
      <c r="J383" s="23">
        <v>483492.58</v>
      </c>
      <c r="K383" s="34">
        <v>31187.329849436726</v>
      </c>
      <c r="L383" s="164">
        <v>0.53295936318149983</v>
      </c>
      <c r="M383" s="150">
        <v>5.3295936318149995E-2</v>
      </c>
      <c r="N383" s="10"/>
      <c r="O383" s="10"/>
      <c r="P383" s="10"/>
      <c r="Q383" s="10"/>
      <c r="R383" s="10"/>
      <c r="S383" s="10"/>
      <c r="T383" s="10"/>
      <c r="U383" s="10"/>
      <c r="V383" s="10"/>
      <c r="W383" s="10"/>
      <c r="X383" s="10"/>
      <c r="Y383" s="10"/>
      <c r="Z383" s="10"/>
    </row>
    <row r="384" spans="1:26" ht="12.75" customHeight="1" x14ac:dyDescent="0.2">
      <c r="A384" s="10"/>
      <c r="B384" s="21"/>
      <c r="C384" s="22"/>
      <c r="D384" s="32"/>
      <c r="E384" s="22"/>
      <c r="F384" s="22"/>
      <c r="G384" s="22"/>
      <c r="H384" s="22"/>
      <c r="I384" s="22"/>
      <c r="J384" s="22"/>
      <c r="K384" s="32"/>
      <c r="L384" s="32"/>
      <c r="M384" s="148"/>
      <c r="N384" s="10"/>
      <c r="O384" s="10"/>
      <c r="P384" s="10"/>
      <c r="Q384" s="10"/>
      <c r="R384" s="10"/>
      <c r="S384" s="10"/>
      <c r="T384" s="10"/>
      <c r="U384" s="10"/>
      <c r="V384" s="10"/>
      <c r="W384" s="10"/>
      <c r="X384" s="10"/>
      <c r="Y384" s="10"/>
      <c r="Z384" s="10"/>
    </row>
    <row r="385" spans="1:26" ht="12.75" customHeight="1" x14ac:dyDescent="0.2">
      <c r="A385" s="10"/>
      <c r="B385" s="25"/>
      <c r="C385" s="27"/>
      <c r="D385" s="47"/>
      <c r="E385" s="27"/>
      <c r="F385" s="27"/>
      <c r="G385" s="27"/>
      <c r="H385" s="27"/>
      <c r="I385" s="27"/>
      <c r="J385" s="27"/>
      <c r="K385" s="47"/>
      <c r="L385" s="47"/>
      <c r="M385" s="149"/>
      <c r="N385" s="10"/>
      <c r="O385" s="10"/>
      <c r="P385" s="10"/>
      <c r="Q385" s="10"/>
      <c r="R385" s="10"/>
      <c r="S385" s="10"/>
      <c r="T385" s="10"/>
      <c r="U385" s="10"/>
      <c r="V385" s="10"/>
      <c r="W385" s="10"/>
      <c r="X385" s="10"/>
      <c r="Y385" s="10"/>
      <c r="Z385" s="10"/>
    </row>
    <row r="386" spans="1:26" ht="12.75" customHeight="1" x14ac:dyDescent="0.2">
      <c r="A386" s="10"/>
      <c r="B386" s="21"/>
      <c r="C386" s="22"/>
      <c r="D386" s="32"/>
      <c r="E386" s="22"/>
      <c r="F386" s="22"/>
      <c r="G386" s="22"/>
      <c r="H386" s="22"/>
      <c r="I386" s="22"/>
      <c r="J386" s="22"/>
      <c r="K386" s="32"/>
      <c r="L386" s="32"/>
      <c r="M386" s="148"/>
      <c r="N386" s="10"/>
      <c r="O386" s="10"/>
      <c r="P386" s="10"/>
      <c r="Q386" s="10"/>
      <c r="R386" s="10"/>
      <c r="S386" s="10"/>
      <c r="T386" s="10"/>
      <c r="U386" s="10"/>
      <c r="V386" s="10"/>
      <c r="W386" s="10"/>
      <c r="X386" s="10"/>
      <c r="Y386" s="10"/>
      <c r="Z386" s="10"/>
    </row>
    <row r="387" spans="1:26" ht="12.75" customHeight="1" x14ac:dyDescent="0.2">
      <c r="A387" s="10"/>
      <c r="B387" s="21" t="s">
        <v>229</v>
      </c>
      <c r="C387" s="45" t="s">
        <v>230</v>
      </c>
      <c r="D387" s="32"/>
      <c r="E387" s="22"/>
      <c r="F387" s="22"/>
      <c r="G387" s="22"/>
      <c r="H387" s="22"/>
      <c r="I387" s="22"/>
      <c r="J387" s="22"/>
      <c r="K387" s="32"/>
      <c r="L387" s="32"/>
      <c r="M387" s="148"/>
      <c r="N387" s="10"/>
      <c r="O387" s="10"/>
      <c r="P387" s="10"/>
      <c r="Q387" s="10"/>
      <c r="R387" s="10"/>
      <c r="S387" s="10"/>
      <c r="T387" s="10"/>
      <c r="U387" s="10"/>
      <c r="V387" s="10"/>
      <c r="W387" s="10"/>
      <c r="X387" s="10"/>
      <c r="Y387" s="10"/>
      <c r="Z387" s="10"/>
    </row>
    <row r="388" spans="1:26" ht="12.75" customHeight="1" x14ac:dyDescent="0.2">
      <c r="A388" s="10"/>
      <c r="B388" s="21"/>
      <c r="C388" s="22" t="s">
        <v>231</v>
      </c>
      <c r="D388" s="32" t="s">
        <v>95</v>
      </c>
      <c r="E388" s="22" t="s">
        <v>331</v>
      </c>
      <c r="F388" s="67">
        <v>3780080.4597701146</v>
      </c>
      <c r="G388" s="22" t="s">
        <v>332</v>
      </c>
      <c r="H388" s="22">
        <v>1.044</v>
      </c>
      <c r="I388" s="22" t="s">
        <v>348</v>
      </c>
      <c r="J388" s="23">
        <v>3946404</v>
      </c>
      <c r="K388" s="34">
        <v>234662.13383203789</v>
      </c>
      <c r="L388" s="164">
        <v>16.97317515048799</v>
      </c>
      <c r="M388" s="70">
        <v>5.8906901992870084</v>
      </c>
      <c r="N388" s="10"/>
      <c r="O388" s="10"/>
      <c r="P388" s="10"/>
      <c r="Q388" s="10"/>
      <c r="R388" s="10"/>
      <c r="S388" s="10"/>
      <c r="T388" s="10"/>
      <c r="U388" s="10"/>
      <c r="V388" s="10"/>
      <c r="W388" s="10"/>
      <c r="X388" s="10"/>
      <c r="Y388" s="10"/>
      <c r="Z388" s="10"/>
    </row>
    <row r="389" spans="1:26" ht="12.75" customHeight="1" x14ac:dyDescent="0.2">
      <c r="A389" s="10"/>
      <c r="B389" s="21"/>
      <c r="C389" s="22"/>
      <c r="D389" s="32"/>
      <c r="E389" s="22"/>
      <c r="F389" s="22"/>
      <c r="G389" s="22"/>
      <c r="H389" s="22"/>
      <c r="I389" s="22"/>
      <c r="J389" s="36"/>
      <c r="K389" s="32"/>
      <c r="L389" s="32"/>
      <c r="M389" s="148"/>
      <c r="N389" s="10"/>
      <c r="O389" s="10"/>
      <c r="P389" s="10"/>
      <c r="Q389" s="10"/>
      <c r="R389" s="10"/>
      <c r="S389" s="10"/>
      <c r="T389" s="10"/>
      <c r="U389" s="10"/>
      <c r="V389" s="10"/>
      <c r="W389" s="10"/>
      <c r="X389" s="10"/>
      <c r="Y389" s="10"/>
      <c r="Z389" s="10"/>
    </row>
    <row r="390" spans="1:26" ht="12.75" customHeight="1" x14ac:dyDescent="0.2">
      <c r="A390" s="10"/>
      <c r="B390" s="21"/>
      <c r="C390" s="22" t="s">
        <v>234</v>
      </c>
      <c r="D390" s="32" t="s">
        <v>99</v>
      </c>
      <c r="E390" s="22" t="s">
        <v>331</v>
      </c>
      <c r="F390" s="23">
        <v>3587614.9425287354</v>
      </c>
      <c r="G390" s="22" t="s">
        <v>332</v>
      </c>
      <c r="H390" s="22">
        <v>1.044</v>
      </c>
      <c r="I390" s="22" t="s">
        <v>348</v>
      </c>
      <c r="J390" s="23">
        <v>3745470</v>
      </c>
      <c r="K390" s="34">
        <v>222782.9568362225</v>
      </c>
      <c r="L390" s="164">
        <v>16.06171402179524</v>
      </c>
      <c r="M390" s="70">
        <v>5.5866831380157347</v>
      </c>
      <c r="N390" s="10"/>
      <c r="O390" s="10"/>
      <c r="P390" s="10"/>
      <c r="Q390" s="10"/>
      <c r="R390" s="10"/>
      <c r="S390" s="10"/>
      <c r="T390" s="10"/>
      <c r="U390" s="10"/>
      <c r="V390" s="10"/>
      <c r="W390" s="10"/>
      <c r="X390" s="10"/>
      <c r="Y390" s="10"/>
      <c r="Z390" s="10"/>
    </row>
    <row r="391" spans="1:26" ht="12.75" customHeight="1" x14ac:dyDescent="0.2">
      <c r="A391" s="10"/>
      <c r="B391" s="21"/>
      <c r="C391" s="22"/>
      <c r="D391" s="32"/>
      <c r="E391" s="22"/>
      <c r="F391" s="22"/>
      <c r="G391" s="22"/>
      <c r="H391" s="22"/>
      <c r="I391" s="22"/>
      <c r="J391" s="22"/>
      <c r="K391" s="32"/>
      <c r="L391" s="32"/>
      <c r="M391" s="148"/>
      <c r="N391" s="10"/>
      <c r="O391" s="10"/>
      <c r="P391" s="10"/>
      <c r="Q391" s="10"/>
      <c r="R391" s="10"/>
      <c r="S391" s="10"/>
      <c r="T391" s="10"/>
      <c r="U391" s="10"/>
      <c r="V391" s="10"/>
      <c r="W391" s="10"/>
      <c r="X391" s="10"/>
      <c r="Y391" s="10"/>
      <c r="Z391" s="10"/>
    </row>
    <row r="392" spans="1:26" ht="12.75" customHeight="1" x14ac:dyDescent="0.2">
      <c r="A392" s="10"/>
      <c r="B392" s="25"/>
      <c r="C392" s="27"/>
      <c r="D392" s="47"/>
      <c r="E392" s="27"/>
      <c r="F392" s="27"/>
      <c r="G392" s="27"/>
      <c r="H392" s="27"/>
      <c r="I392" s="27"/>
      <c r="J392" s="27"/>
      <c r="K392" s="47"/>
      <c r="L392" s="47"/>
      <c r="M392" s="149"/>
      <c r="N392" s="10"/>
      <c r="O392" s="10"/>
      <c r="P392" s="10"/>
      <c r="Q392" s="10"/>
      <c r="R392" s="10"/>
      <c r="S392" s="10"/>
      <c r="T392" s="10"/>
      <c r="U392" s="10"/>
      <c r="V392" s="10"/>
      <c r="W392" s="10"/>
      <c r="X392" s="10"/>
      <c r="Y392" s="10"/>
      <c r="Z392" s="10"/>
    </row>
    <row r="393" spans="1:26" ht="12.75" customHeight="1" x14ac:dyDescent="0.2">
      <c r="A393" s="10"/>
      <c r="B393" s="21"/>
      <c r="C393" s="22"/>
      <c r="D393" s="32"/>
      <c r="E393" s="22"/>
      <c r="F393" s="22"/>
      <c r="G393" s="22"/>
      <c r="H393" s="22"/>
      <c r="I393" s="22"/>
      <c r="J393" s="22"/>
      <c r="K393" s="32"/>
      <c r="L393" s="32"/>
      <c r="M393" s="148"/>
      <c r="N393" s="10"/>
      <c r="O393" s="10"/>
      <c r="P393" s="10"/>
      <c r="Q393" s="10"/>
      <c r="R393" s="10"/>
      <c r="S393" s="10"/>
      <c r="T393" s="10"/>
      <c r="U393" s="10"/>
      <c r="V393" s="10"/>
      <c r="W393" s="10"/>
      <c r="X393" s="10"/>
      <c r="Y393" s="10"/>
      <c r="Z393" s="10"/>
    </row>
    <row r="394" spans="1:26" ht="12.75" customHeight="1" x14ac:dyDescent="0.2">
      <c r="A394" s="10"/>
      <c r="B394" s="21" t="s">
        <v>349</v>
      </c>
      <c r="C394" s="45" t="s">
        <v>350</v>
      </c>
      <c r="D394" s="32"/>
      <c r="E394" s="22"/>
      <c r="F394" s="22"/>
      <c r="G394" s="22"/>
      <c r="H394" s="22"/>
      <c r="I394" s="22"/>
      <c r="J394" s="22"/>
      <c r="K394" s="32"/>
      <c r="L394" s="32"/>
      <c r="M394" s="148"/>
      <c r="N394" s="10"/>
      <c r="O394" s="10"/>
      <c r="P394" s="10"/>
      <c r="Q394" s="10"/>
      <c r="R394" s="10"/>
      <c r="S394" s="10"/>
      <c r="T394" s="10"/>
      <c r="U394" s="10"/>
      <c r="V394" s="10"/>
      <c r="W394" s="10"/>
      <c r="X394" s="10"/>
      <c r="Y394" s="10"/>
      <c r="Z394" s="10"/>
    </row>
    <row r="395" spans="1:26" ht="12.75" customHeight="1" x14ac:dyDescent="0.2">
      <c r="A395" s="10"/>
      <c r="B395" s="21"/>
      <c r="C395" s="22" t="s">
        <v>344</v>
      </c>
      <c r="D395" s="32" t="s">
        <v>187</v>
      </c>
      <c r="E395" s="22" t="s">
        <v>336</v>
      </c>
      <c r="F395" s="23">
        <v>8000000</v>
      </c>
      <c r="G395" s="22" t="s">
        <v>332</v>
      </c>
      <c r="H395" s="111">
        <v>1089</v>
      </c>
      <c r="I395" s="22" t="s">
        <v>347</v>
      </c>
      <c r="J395" s="111">
        <v>8712</v>
      </c>
      <c r="K395" s="33">
        <v>505</v>
      </c>
      <c r="L395" s="165">
        <v>0.01</v>
      </c>
      <c r="M395" s="97">
        <v>0</v>
      </c>
      <c r="N395" s="10"/>
      <c r="O395" s="10"/>
      <c r="P395" s="10"/>
      <c r="Q395" s="10"/>
      <c r="R395" s="10"/>
      <c r="S395" s="10"/>
      <c r="T395" s="10"/>
      <c r="U395" s="10"/>
      <c r="V395" s="10"/>
      <c r="W395" s="10"/>
      <c r="X395" s="10"/>
      <c r="Y395" s="10"/>
      <c r="Z395" s="10"/>
    </row>
    <row r="396" spans="1:26" ht="12.75" customHeight="1" x14ac:dyDescent="0.2">
      <c r="A396" s="10"/>
      <c r="B396" s="21"/>
      <c r="C396" s="22" t="s">
        <v>351</v>
      </c>
      <c r="D396" s="32" t="s">
        <v>189</v>
      </c>
      <c r="E396" s="22" t="s">
        <v>336</v>
      </c>
      <c r="F396" s="23">
        <v>18000000</v>
      </c>
      <c r="G396" s="22" t="s">
        <v>332</v>
      </c>
      <c r="H396" s="111">
        <v>1042</v>
      </c>
      <c r="I396" s="22" t="s">
        <v>347</v>
      </c>
      <c r="J396" s="111">
        <v>18756</v>
      </c>
      <c r="K396" s="33">
        <v>1096</v>
      </c>
      <c r="L396" s="165">
        <v>0.02</v>
      </c>
      <c r="M396" s="97">
        <v>0</v>
      </c>
      <c r="N396" s="10"/>
      <c r="O396" s="10"/>
      <c r="P396" s="10"/>
      <c r="Q396" s="10"/>
      <c r="R396" s="10"/>
      <c r="S396" s="10"/>
      <c r="T396" s="10"/>
      <c r="U396" s="10"/>
      <c r="V396" s="10"/>
      <c r="W396" s="10"/>
      <c r="X396" s="10"/>
      <c r="Y396" s="10"/>
      <c r="Z396" s="10"/>
    </row>
    <row r="397" spans="1:26" ht="12.75" customHeight="1" x14ac:dyDescent="0.2">
      <c r="A397" s="10"/>
      <c r="B397" s="21"/>
      <c r="C397" s="22" t="s">
        <v>352</v>
      </c>
      <c r="D397" s="32" t="s">
        <v>191</v>
      </c>
      <c r="E397" s="22" t="s">
        <v>336</v>
      </c>
      <c r="F397" s="23">
        <v>16000000</v>
      </c>
      <c r="G397" s="22" t="s">
        <v>332</v>
      </c>
      <c r="H397" s="111">
        <v>1079</v>
      </c>
      <c r="I397" s="22" t="s">
        <v>347</v>
      </c>
      <c r="J397" s="111">
        <v>17264</v>
      </c>
      <c r="K397" s="33">
        <v>1009</v>
      </c>
      <c r="L397" s="165">
        <v>0.02</v>
      </c>
      <c r="M397" s="97">
        <v>0</v>
      </c>
      <c r="N397" s="10"/>
      <c r="O397" s="10"/>
      <c r="P397" s="10"/>
      <c r="Q397" s="10"/>
      <c r="R397" s="10"/>
      <c r="S397" s="10"/>
      <c r="T397" s="10"/>
      <c r="U397" s="10"/>
      <c r="V397" s="10"/>
      <c r="W397" s="10"/>
      <c r="X397" s="10"/>
      <c r="Y397" s="10"/>
      <c r="Z397" s="10"/>
    </row>
    <row r="398" spans="1:26" ht="12.75" customHeight="1" x14ac:dyDescent="0.2">
      <c r="A398" s="10"/>
      <c r="B398" s="21"/>
      <c r="C398" s="22" t="s">
        <v>353</v>
      </c>
      <c r="D398" s="32" t="s">
        <v>193</v>
      </c>
      <c r="E398" s="22" t="s">
        <v>336</v>
      </c>
      <c r="F398" s="23">
        <v>18000000</v>
      </c>
      <c r="G398" s="22" t="s">
        <v>332</v>
      </c>
      <c r="H398" s="111">
        <v>1071</v>
      </c>
      <c r="I398" s="22" t="s">
        <v>347</v>
      </c>
      <c r="J398" s="111">
        <v>19278</v>
      </c>
      <c r="K398" s="33">
        <v>1149</v>
      </c>
      <c r="L398" s="165">
        <v>0.02</v>
      </c>
      <c r="M398" s="97">
        <v>0</v>
      </c>
      <c r="N398" s="10"/>
      <c r="O398" s="10"/>
      <c r="P398" s="10"/>
      <c r="Q398" s="10"/>
      <c r="R398" s="10"/>
      <c r="S398" s="10"/>
      <c r="T398" s="10"/>
      <c r="U398" s="10"/>
      <c r="V398" s="10"/>
      <c r="W398" s="10"/>
      <c r="X398" s="10"/>
      <c r="Y398" s="10"/>
      <c r="Z398" s="10"/>
    </row>
    <row r="399" spans="1:26" ht="12.75" customHeight="1" x14ac:dyDescent="0.2">
      <c r="A399" s="10"/>
      <c r="B399" s="21"/>
      <c r="C399" s="22" t="s">
        <v>354</v>
      </c>
      <c r="D399" s="32" t="s">
        <v>355</v>
      </c>
      <c r="E399" s="22" t="s">
        <v>336</v>
      </c>
      <c r="F399" s="23">
        <v>4000000</v>
      </c>
      <c r="G399" s="22" t="s">
        <v>332</v>
      </c>
      <c r="H399" s="111">
        <v>1049</v>
      </c>
      <c r="I399" s="22" t="s">
        <v>347</v>
      </c>
      <c r="J399" s="111">
        <v>4196</v>
      </c>
      <c r="K399" s="33">
        <v>215</v>
      </c>
      <c r="L399" s="166">
        <v>0</v>
      </c>
      <c r="M399" s="97">
        <v>0</v>
      </c>
      <c r="N399" s="10"/>
      <c r="O399" s="10"/>
      <c r="P399" s="10"/>
      <c r="Q399" s="10"/>
      <c r="R399" s="10"/>
      <c r="S399" s="10"/>
      <c r="T399" s="10"/>
      <c r="U399" s="10"/>
      <c r="V399" s="10"/>
      <c r="W399" s="10"/>
      <c r="X399" s="10"/>
      <c r="Y399" s="10"/>
      <c r="Z399" s="10"/>
    </row>
    <row r="400" spans="1:26" ht="12.75" customHeight="1" x14ac:dyDescent="0.2">
      <c r="A400" s="10"/>
      <c r="B400" s="21"/>
      <c r="C400" s="22" t="s">
        <v>356</v>
      </c>
      <c r="D400" s="32" t="s">
        <v>357</v>
      </c>
      <c r="E400" s="22" t="s">
        <v>336</v>
      </c>
      <c r="F400" s="23">
        <v>21000000</v>
      </c>
      <c r="G400" s="22" t="s">
        <v>332</v>
      </c>
      <c r="H400" s="111">
        <v>1075</v>
      </c>
      <c r="I400" s="22" t="s">
        <v>347</v>
      </c>
      <c r="J400" s="111">
        <v>22575</v>
      </c>
      <c r="K400" s="33">
        <v>1334</v>
      </c>
      <c r="L400" s="165">
        <v>0.03</v>
      </c>
      <c r="M400" s="97">
        <v>0</v>
      </c>
      <c r="N400" s="10"/>
      <c r="O400" s="10"/>
      <c r="P400" s="10"/>
      <c r="Q400" s="10"/>
      <c r="R400" s="10"/>
      <c r="S400" s="10"/>
      <c r="T400" s="10"/>
      <c r="U400" s="10"/>
      <c r="V400" s="10"/>
      <c r="W400" s="10"/>
      <c r="X400" s="10"/>
      <c r="Y400" s="10"/>
      <c r="Z400" s="10"/>
    </row>
    <row r="401" spans="1:26" ht="12.75" customHeight="1" x14ac:dyDescent="0.2">
      <c r="A401" s="10"/>
      <c r="B401" s="21"/>
      <c r="C401" s="22" t="s">
        <v>358</v>
      </c>
      <c r="D401" s="32" t="s">
        <v>359</v>
      </c>
      <c r="E401" s="22" t="s">
        <v>336</v>
      </c>
      <c r="F401" s="23">
        <v>19000000</v>
      </c>
      <c r="G401" s="22" t="s">
        <v>332</v>
      </c>
      <c r="H401" s="111">
        <v>1072</v>
      </c>
      <c r="I401" s="22" t="s">
        <v>347</v>
      </c>
      <c r="J401" s="111">
        <v>20368</v>
      </c>
      <c r="K401" s="33">
        <v>1193</v>
      </c>
      <c r="L401" s="165">
        <v>0.02</v>
      </c>
      <c r="M401" s="97">
        <v>0</v>
      </c>
      <c r="N401" s="10"/>
      <c r="O401" s="10"/>
      <c r="P401" s="10"/>
      <c r="Q401" s="10"/>
      <c r="R401" s="10"/>
      <c r="S401" s="10"/>
      <c r="T401" s="10"/>
      <c r="U401" s="10"/>
      <c r="V401" s="10"/>
      <c r="W401" s="10"/>
      <c r="X401" s="10"/>
      <c r="Y401" s="10"/>
      <c r="Z401" s="10"/>
    </row>
    <row r="402" spans="1:26" ht="12.75" customHeight="1" x14ac:dyDescent="0.2">
      <c r="A402" s="10"/>
      <c r="B402" s="21"/>
      <c r="C402" s="22" t="s">
        <v>360</v>
      </c>
      <c r="D402" s="32" t="s">
        <v>361</v>
      </c>
      <c r="E402" s="22" t="s">
        <v>336</v>
      </c>
      <c r="F402" s="23">
        <v>19000000</v>
      </c>
      <c r="G402" s="22" t="s">
        <v>332</v>
      </c>
      <c r="H402" s="111">
        <v>1068</v>
      </c>
      <c r="I402" s="22" t="s">
        <v>347</v>
      </c>
      <c r="J402" s="111">
        <v>20292</v>
      </c>
      <c r="K402" s="33">
        <v>1198</v>
      </c>
      <c r="L402" s="165">
        <v>0.02</v>
      </c>
      <c r="M402" s="97">
        <v>0</v>
      </c>
      <c r="N402" s="10"/>
      <c r="O402" s="10"/>
      <c r="P402" s="10"/>
      <c r="Q402" s="10"/>
      <c r="R402" s="10"/>
      <c r="S402" s="10"/>
      <c r="T402" s="10"/>
      <c r="U402" s="10"/>
      <c r="V402" s="10"/>
      <c r="W402" s="10"/>
      <c r="X402" s="10"/>
      <c r="Y402" s="10"/>
      <c r="Z402" s="10"/>
    </row>
    <row r="403" spans="1:26" ht="12.75" customHeight="1" x14ac:dyDescent="0.2">
      <c r="A403" s="10"/>
      <c r="B403" s="21"/>
      <c r="C403" s="22"/>
      <c r="D403" s="32"/>
      <c r="E403" s="22"/>
      <c r="F403" s="22"/>
      <c r="G403" s="22"/>
      <c r="H403" s="111"/>
      <c r="I403" s="22"/>
      <c r="J403" s="22"/>
      <c r="K403" s="34"/>
      <c r="L403" s="32"/>
      <c r="M403" s="148"/>
      <c r="N403" s="10"/>
      <c r="O403" s="10"/>
      <c r="P403" s="10"/>
      <c r="Q403" s="10"/>
      <c r="R403" s="10"/>
      <c r="S403" s="10"/>
      <c r="T403" s="10"/>
      <c r="U403" s="10"/>
      <c r="V403" s="10"/>
      <c r="W403" s="10"/>
      <c r="X403" s="10"/>
      <c r="Y403" s="10"/>
      <c r="Z403" s="10"/>
    </row>
    <row r="404" spans="1:26" ht="12.75" customHeight="1" x14ac:dyDescent="0.2">
      <c r="A404" s="10"/>
      <c r="B404" s="25"/>
      <c r="C404" s="27"/>
      <c r="D404" s="47"/>
      <c r="E404" s="27"/>
      <c r="F404" s="27"/>
      <c r="G404" s="27"/>
      <c r="H404" s="27"/>
      <c r="I404" s="27"/>
      <c r="J404" s="27"/>
      <c r="K404" s="47"/>
      <c r="L404" s="47"/>
      <c r="M404" s="149"/>
      <c r="N404" s="10"/>
      <c r="O404" s="10"/>
      <c r="P404" s="10"/>
      <c r="Q404" s="10"/>
      <c r="R404" s="10"/>
      <c r="S404" s="10"/>
      <c r="T404" s="10"/>
      <c r="U404" s="10"/>
      <c r="V404" s="10"/>
      <c r="W404" s="10"/>
      <c r="X404" s="10"/>
      <c r="Y404" s="10"/>
      <c r="Z404" s="10"/>
    </row>
    <row r="405" spans="1:26" ht="12.75" customHeight="1" x14ac:dyDescent="0.2">
      <c r="A405" s="10"/>
      <c r="B405" s="21"/>
      <c r="C405" s="22"/>
      <c r="D405" s="32"/>
      <c r="E405" s="22"/>
      <c r="F405" s="22"/>
      <c r="G405" s="22"/>
      <c r="H405" s="22"/>
      <c r="I405" s="22"/>
      <c r="J405" s="22"/>
      <c r="K405" s="32"/>
      <c r="L405" s="32"/>
      <c r="M405" s="148"/>
      <c r="N405" s="10"/>
      <c r="O405" s="10"/>
      <c r="P405" s="10"/>
      <c r="Q405" s="10"/>
      <c r="R405" s="10"/>
      <c r="S405" s="10"/>
      <c r="T405" s="10"/>
      <c r="U405" s="10"/>
      <c r="V405" s="10"/>
      <c r="W405" s="10"/>
      <c r="X405" s="10"/>
      <c r="Y405" s="10"/>
      <c r="Z405" s="10"/>
    </row>
    <row r="406" spans="1:26" ht="12.75" customHeight="1" x14ac:dyDescent="0.2">
      <c r="A406" s="10"/>
      <c r="B406" s="21" t="s">
        <v>362</v>
      </c>
      <c r="C406" s="45" t="s">
        <v>363</v>
      </c>
      <c r="D406" s="32"/>
      <c r="E406" s="22"/>
      <c r="F406" s="22"/>
      <c r="G406" s="22"/>
      <c r="H406" s="22"/>
      <c r="I406" s="22"/>
      <c r="J406" s="22"/>
      <c r="K406" s="32"/>
      <c r="L406" s="32"/>
      <c r="M406" s="148"/>
      <c r="N406" s="10"/>
      <c r="O406" s="10"/>
      <c r="P406" s="10"/>
      <c r="Q406" s="10"/>
      <c r="R406" s="10"/>
      <c r="S406" s="10"/>
      <c r="T406" s="10"/>
      <c r="U406" s="10"/>
      <c r="V406" s="10"/>
      <c r="W406" s="10"/>
      <c r="X406" s="10"/>
      <c r="Y406" s="10"/>
      <c r="Z406" s="10"/>
    </row>
    <row r="407" spans="1:26" ht="12.75" customHeight="1" x14ac:dyDescent="0.2">
      <c r="A407" s="10"/>
      <c r="B407" s="21"/>
      <c r="C407" s="22" t="s">
        <v>364</v>
      </c>
      <c r="D407" s="32" t="s">
        <v>365</v>
      </c>
      <c r="E407" s="22" t="s">
        <v>331</v>
      </c>
      <c r="F407" s="23">
        <v>495510389.80737144</v>
      </c>
      <c r="G407" s="22" t="s">
        <v>332</v>
      </c>
      <c r="H407" s="133">
        <v>1.05488</v>
      </c>
      <c r="I407" s="22" t="s">
        <v>348</v>
      </c>
      <c r="J407" s="23">
        <v>522704</v>
      </c>
      <c r="K407" s="167">
        <v>31063.3</v>
      </c>
      <c r="L407" s="167">
        <v>13.1</v>
      </c>
      <c r="M407" s="168">
        <v>15.16</v>
      </c>
      <c r="N407" s="10"/>
      <c r="O407" s="10"/>
      <c r="P407" s="10"/>
      <c r="Q407" s="10"/>
      <c r="R407" s="10"/>
      <c r="S407" s="10"/>
      <c r="T407" s="10"/>
      <c r="U407" s="10"/>
      <c r="V407" s="10"/>
      <c r="W407" s="10"/>
      <c r="X407" s="10"/>
      <c r="Y407" s="10"/>
      <c r="Z407" s="10"/>
    </row>
    <row r="408" spans="1:26" ht="12.75" customHeight="1" x14ac:dyDescent="0.2">
      <c r="A408" s="10"/>
      <c r="B408" s="21"/>
      <c r="C408" s="22" t="s">
        <v>366</v>
      </c>
      <c r="D408" s="32" t="s">
        <v>367</v>
      </c>
      <c r="E408" s="22" t="s">
        <v>331</v>
      </c>
      <c r="F408" s="23">
        <v>485497876.53571969</v>
      </c>
      <c r="G408" s="22" t="s">
        <v>332</v>
      </c>
      <c r="H408" s="133">
        <v>1.05488</v>
      </c>
      <c r="I408" s="22" t="s">
        <v>348</v>
      </c>
      <c r="J408" s="23">
        <v>512142</v>
      </c>
      <c r="K408" s="167">
        <v>30436.1</v>
      </c>
      <c r="L408" s="167">
        <v>12.8</v>
      </c>
      <c r="M408" s="168">
        <v>15.3</v>
      </c>
      <c r="N408" s="10"/>
      <c r="O408" s="10"/>
      <c r="P408" s="10"/>
      <c r="Q408" s="10"/>
      <c r="R408" s="10"/>
      <c r="S408" s="10"/>
      <c r="T408" s="10"/>
      <c r="U408" s="10"/>
      <c r="V408" s="10"/>
      <c r="W408" s="10"/>
      <c r="X408" s="10"/>
      <c r="Y408" s="10"/>
      <c r="Z408" s="10"/>
    </row>
    <row r="409" spans="1:26" ht="12.75" customHeight="1" x14ac:dyDescent="0.2">
      <c r="A409" s="10"/>
      <c r="B409" s="21"/>
      <c r="C409" s="22" t="s">
        <v>368</v>
      </c>
      <c r="D409" s="32" t="s">
        <v>369</v>
      </c>
      <c r="E409" s="22" t="s">
        <v>331</v>
      </c>
      <c r="F409" s="23">
        <v>1002311163.3550736</v>
      </c>
      <c r="G409" s="22" t="s">
        <v>332</v>
      </c>
      <c r="H409" s="133">
        <v>1.05488</v>
      </c>
      <c r="I409" s="22" t="s">
        <v>348</v>
      </c>
      <c r="J409" s="23">
        <v>1057318</v>
      </c>
      <c r="K409" s="167">
        <v>62834.5</v>
      </c>
      <c r="L409" s="167">
        <v>26.4</v>
      </c>
      <c r="M409" s="168">
        <v>31.5</v>
      </c>
      <c r="N409" s="10"/>
      <c r="O409" s="10"/>
      <c r="P409" s="10"/>
      <c r="Q409" s="10"/>
      <c r="R409" s="10"/>
      <c r="S409" s="10"/>
      <c r="T409" s="10"/>
      <c r="U409" s="10"/>
      <c r="V409" s="10"/>
      <c r="W409" s="10"/>
      <c r="X409" s="10"/>
      <c r="Y409" s="10"/>
      <c r="Z409" s="10"/>
    </row>
    <row r="410" spans="1:26" ht="12.75" customHeight="1" x14ac:dyDescent="0.2">
      <c r="A410" s="10"/>
      <c r="B410" s="21"/>
      <c r="C410" s="22" t="s">
        <v>370</v>
      </c>
      <c r="D410" s="32" t="s">
        <v>371</v>
      </c>
      <c r="E410" s="22" t="s">
        <v>331</v>
      </c>
      <c r="F410" s="23">
        <v>1026439026.2399514</v>
      </c>
      <c r="G410" s="22" t="s">
        <v>332</v>
      </c>
      <c r="H410" s="133">
        <v>1.05488</v>
      </c>
      <c r="I410" s="22" t="s">
        <v>348</v>
      </c>
      <c r="J410" s="23">
        <v>1082770</v>
      </c>
      <c r="K410" s="167">
        <v>64347.7</v>
      </c>
      <c r="L410" s="167">
        <v>27.1</v>
      </c>
      <c r="M410" s="168">
        <v>32.299999999999997</v>
      </c>
      <c r="N410" s="10"/>
      <c r="O410" s="10"/>
      <c r="P410" s="10"/>
      <c r="Q410" s="10"/>
      <c r="R410" s="10"/>
      <c r="S410" s="10"/>
      <c r="T410" s="10"/>
      <c r="U410" s="10"/>
      <c r="V410" s="10"/>
      <c r="W410" s="10"/>
      <c r="X410" s="10"/>
      <c r="Y410" s="10"/>
      <c r="Z410" s="10"/>
    </row>
    <row r="411" spans="1:26" ht="12.75" customHeight="1" x14ac:dyDescent="0.2">
      <c r="A411" s="10"/>
      <c r="B411" s="21"/>
      <c r="C411" s="22" t="s">
        <v>372</v>
      </c>
      <c r="D411" s="32" t="s">
        <v>373</v>
      </c>
      <c r="E411" s="22" t="s">
        <v>331</v>
      </c>
      <c r="F411" s="23">
        <v>10541000</v>
      </c>
      <c r="G411" s="22" t="s">
        <v>332</v>
      </c>
      <c r="H411" s="133">
        <v>1.05488</v>
      </c>
      <c r="I411" s="22" t="s">
        <v>348</v>
      </c>
      <c r="J411" s="23">
        <v>11119.49008</v>
      </c>
      <c r="K411" s="167">
        <v>632.4</v>
      </c>
      <c r="L411" s="167">
        <v>1.2E-2</v>
      </c>
      <c r="M411" s="168">
        <v>1E-3</v>
      </c>
      <c r="N411" s="10"/>
      <c r="O411" s="10"/>
      <c r="P411" s="10"/>
      <c r="Q411" s="10"/>
      <c r="R411" s="10"/>
      <c r="S411" s="10"/>
      <c r="T411" s="10"/>
      <c r="U411" s="10"/>
      <c r="V411" s="10"/>
      <c r="W411" s="10"/>
      <c r="X411" s="10"/>
      <c r="Y411" s="10"/>
      <c r="Z411" s="10"/>
    </row>
    <row r="412" spans="1:26" ht="12.75" customHeight="1" x14ac:dyDescent="0.2">
      <c r="A412" s="10"/>
      <c r="B412" s="21"/>
      <c r="C412" s="22"/>
      <c r="D412" s="32"/>
      <c r="E412" s="22"/>
      <c r="F412" s="22"/>
      <c r="G412" s="22"/>
      <c r="H412" s="22"/>
      <c r="I412" s="22"/>
      <c r="J412" s="22"/>
      <c r="K412" s="32"/>
      <c r="L412" s="32"/>
      <c r="M412" s="148"/>
      <c r="N412" s="10"/>
      <c r="O412" s="10"/>
      <c r="P412" s="10"/>
      <c r="Q412" s="10"/>
      <c r="R412" s="10"/>
      <c r="S412" s="10"/>
      <c r="T412" s="10"/>
      <c r="U412" s="10"/>
      <c r="V412" s="10"/>
      <c r="W412" s="10"/>
      <c r="X412" s="10"/>
      <c r="Y412" s="10"/>
      <c r="Z412" s="10"/>
    </row>
    <row r="413" spans="1:26" ht="12.75" customHeight="1" x14ac:dyDescent="0.2">
      <c r="A413" s="10"/>
      <c r="B413" s="25"/>
      <c r="C413" s="27"/>
      <c r="D413" s="47"/>
      <c r="E413" s="27"/>
      <c r="F413" s="27"/>
      <c r="G413" s="27"/>
      <c r="H413" s="27"/>
      <c r="I413" s="27"/>
      <c r="J413" s="28"/>
      <c r="K413" s="48"/>
      <c r="L413" s="48"/>
      <c r="M413" s="169"/>
      <c r="N413" s="10"/>
      <c r="O413" s="10"/>
      <c r="P413" s="10"/>
      <c r="Q413" s="10"/>
      <c r="R413" s="10"/>
      <c r="S413" s="10"/>
      <c r="T413" s="10"/>
      <c r="U413" s="10"/>
      <c r="V413" s="10"/>
      <c r="W413" s="10"/>
      <c r="X413" s="10"/>
      <c r="Y413" s="10"/>
      <c r="Z413" s="10"/>
    </row>
    <row r="414" spans="1:26" ht="12.75" customHeight="1" x14ac:dyDescent="0.2">
      <c r="A414" s="10"/>
      <c r="B414" s="21" t="s">
        <v>374</v>
      </c>
      <c r="C414" s="45" t="s">
        <v>375</v>
      </c>
      <c r="D414" s="32"/>
      <c r="E414" s="22"/>
      <c r="F414" s="22"/>
      <c r="G414" s="22"/>
      <c r="H414" s="22"/>
      <c r="I414" s="22"/>
      <c r="J414" s="36"/>
      <c r="K414" s="34"/>
      <c r="L414" s="34"/>
      <c r="M414" s="170"/>
      <c r="N414" s="10"/>
      <c r="O414" s="10"/>
      <c r="P414" s="10"/>
      <c r="Q414" s="10"/>
      <c r="R414" s="10"/>
      <c r="S414" s="10"/>
      <c r="T414" s="10"/>
      <c r="U414" s="10"/>
      <c r="V414" s="10"/>
      <c r="W414" s="10"/>
      <c r="X414" s="10"/>
      <c r="Y414" s="10"/>
      <c r="Z414" s="10"/>
    </row>
    <row r="415" spans="1:26" ht="12.75" customHeight="1" x14ac:dyDescent="0.2">
      <c r="A415" s="10"/>
      <c r="B415" s="21"/>
      <c r="C415" s="22" t="s">
        <v>376</v>
      </c>
      <c r="D415" s="32" t="s">
        <v>377</v>
      </c>
      <c r="E415" s="22" t="s">
        <v>336</v>
      </c>
      <c r="F415" s="23">
        <v>211000000</v>
      </c>
      <c r="G415" s="22" t="s">
        <v>332</v>
      </c>
      <c r="H415" s="36">
        <v>1045</v>
      </c>
      <c r="I415" s="22" t="s">
        <v>347</v>
      </c>
      <c r="J415" s="68">
        <v>220495</v>
      </c>
      <c r="K415" s="33">
        <v>13102</v>
      </c>
      <c r="L415" s="171">
        <v>0</v>
      </c>
      <c r="M415" s="172">
        <v>0</v>
      </c>
      <c r="N415" s="10"/>
      <c r="O415" s="10"/>
      <c r="P415" s="10"/>
      <c r="Q415" s="10"/>
      <c r="R415" s="10"/>
      <c r="S415" s="10"/>
      <c r="T415" s="10"/>
      <c r="U415" s="10"/>
      <c r="V415" s="10"/>
      <c r="W415" s="10"/>
      <c r="X415" s="10"/>
      <c r="Y415" s="10"/>
      <c r="Z415" s="10"/>
    </row>
    <row r="416" spans="1:26" ht="12.75" customHeight="1" x14ac:dyDescent="0.2">
      <c r="A416" s="10"/>
      <c r="B416" s="21"/>
      <c r="C416" s="22"/>
      <c r="D416" s="22"/>
      <c r="E416" s="22"/>
      <c r="F416" s="23"/>
      <c r="G416" s="22"/>
      <c r="H416" s="36"/>
      <c r="I416" s="22"/>
      <c r="J416" s="68"/>
      <c r="K416" s="33"/>
      <c r="L416" s="171"/>
      <c r="M416" s="172"/>
      <c r="N416" s="10"/>
      <c r="O416" s="10"/>
      <c r="P416" s="10"/>
      <c r="Q416" s="10"/>
      <c r="R416" s="10"/>
      <c r="S416" s="10"/>
      <c r="T416" s="10"/>
      <c r="U416" s="10"/>
      <c r="V416" s="10"/>
      <c r="W416" s="10"/>
      <c r="X416" s="10"/>
      <c r="Y416" s="10"/>
      <c r="Z416" s="10"/>
    </row>
    <row r="417" spans="1:26" ht="12.75" customHeight="1" x14ac:dyDescent="0.2">
      <c r="A417" s="10"/>
      <c r="B417" s="25"/>
      <c r="C417" s="27"/>
      <c r="D417" s="29"/>
      <c r="E417" s="27"/>
      <c r="F417" s="30"/>
      <c r="G417" s="27"/>
      <c r="H417" s="28"/>
      <c r="I417" s="27"/>
      <c r="J417" s="101"/>
      <c r="K417" s="47"/>
      <c r="L417" s="47"/>
      <c r="M417" s="47"/>
      <c r="N417" s="10"/>
      <c r="O417" s="10"/>
      <c r="P417" s="10"/>
      <c r="Q417" s="10"/>
      <c r="R417" s="10"/>
      <c r="S417" s="10"/>
      <c r="T417" s="10"/>
      <c r="U417" s="10"/>
      <c r="V417" s="10"/>
      <c r="W417" s="10"/>
      <c r="X417" s="10"/>
      <c r="Y417" s="10"/>
      <c r="Z417" s="10"/>
    </row>
    <row r="418" spans="1:26" ht="12.75" customHeight="1" x14ac:dyDescent="0.2">
      <c r="A418" s="10"/>
      <c r="B418" s="21"/>
      <c r="C418" s="22"/>
      <c r="D418" s="126"/>
      <c r="E418" s="22"/>
      <c r="F418" s="23"/>
      <c r="G418" s="22"/>
      <c r="H418" s="36"/>
      <c r="I418" s="22"/>
      <c r="J418" s="68"/>
      <c r="K418" s="33"/>
      <c r="L418" s="171"/>
      <c r="M418" s="171"/>
      <c r="N418" s="10"/>
      <c r="O418" s="10"/>
      <c r="P418" s="10"/>
      <c r="Q418" s="10"/>
      <c r="R418" s="10"/>
      <c r="S418" s="10"/>
      <c r="T418" s="10"/>
      <c r="U418" s="10"/>
      <c r="V418" s="10"/>
      <c r="W418" s="10"/>
      <c r="X418" s="10"/>
      <c r="Y418" s="10"/>
      <c r="Z418" s="10"/>
    </row>
    <row r="419" spans="1:26" ht="12.75" customHeight="1" x14ac:dyDescent="0.2">
      <c r="A419" s="10"/>
      <c r="B419" s="21"/>
      <c r="C419" s="22"/>
      <c r="D419" s="130" t="s">
        <v>378</v>
      </c>
      <c r="E419" s="128"/>
      <c r="F419" s="128">
        <f>SUM(F321:F418)</f>
        <v>4830668471.340415</v>
      </c>
      <c r="G419" s="128"/>
      <c r="H419" s="128"/>
      <c r="I419" s="128"/>
      <c r="J419" s="128">
        <f t="shared" ref="J419:M419" si="3">SUM(J321:J418)</f>
        <v>18638709.727079999</v>
      </c>
      <c r="K419" s="173">
        <f t="shared" si="3"/>
        <v>1134492.4599787265</v>
      </c>
      <c r="L419" s="173">
        <f t="shared" si="3"/>
        <v>121.08774754605994</v>
      </c>
      <c r="M419" s="173">
        <f t="shared" si="3"/>
        <v>106.49570020404335</v>
      </c>
      <c r="N419" s="10"/>
      <c r="O419" s="10"/>
      <c r="P419" s="10"/>
      <c r="Q419" s="10"/>
      <c r="R419" s="10"/>
      <c r="S419" s="10"/>
      <c r="T419" s="10"/>
      <c r="U419" s="10"/>
      <c r="V419" s="10"/>
      <c r="W419" s="10"/>
      <c r="X419" s="10"/>
      <c r="Y419" s="10"/>
      <c r="Z419" s="10"/>
    </row>
    <row r="420" spans="1:26" ht="12.75" customHeight="1" x14ac:dyDescent="0.2">
      <c r="A420" s="10"/>
      <c r="B420" s="21"/>
      <c r="C420" s="22"/>
      <c r="D420" s="126"/>
      <c r="E420" s="22"/>
      <c r="F420" s="23"/>
      <c r="G420" s="22"/>
      <c r="H420" s="36"/>
      <c r="I420" s="22"/>
      <c r="J420" s="68"/>
      <c r="K420" s="33"/>
      <c r="L420" s="171"/>
      <c r="M420" s="171"/>
      <c r="N420" s="10"/>
      <c r="O420" s="10"/>
      <c r="P420" s="10"/>
      <c r="Q420" s="10"/>
      <c r="R420" s="10"/>
      <c r="S420" s="10"/>
      <c r="T420" s="10"/>
      <c r="U420" s="10"/>
      <c r="V420" s="10"/>
      <c r="W420" s="10"/>
      <c r="X420" s="10"/>
      <c r="Y420" s="10"/>
      <c r="Z420" s="10"/>
    </row>
    <row r="421" spans="1:26" ht="12.75" customHeight="1" x14ac:dyDescent="0.25">
      <c r="A421" s="10"/>
      <c r="B421" s="21"/>
      <c r="C421" s="22"/>
      <c r="D421" s="130" t="s">
        <v>379</v>
      </c>
      <c r="E421" s="128"/>
      <c r="F421" s="128"/>
      <c r="G421" s="128"/>
      <c r="H421" s="128"/>
      <c r="I421" s="128"/>
      <c r="J421" s="128"/>
      <c r="K421" s="173">
        <f>(+K419*0.907184)/1000000</f>
        <v>1.0291934078133409</v>
      </c>
      <c r="L421" s="173">
        <f>(+L419*$J$460*0.907184)/1000000</f>
        <v>3.0757682807550954E-3</v>
      </c>
      <c r="M421" s="173">
        <f>(+M419*$J$461*0.907184)/1000000</f>
        <v>2.5601966752884786E-2</v>
      </c>
      <c r="N421" s="10"/>
      <c r="O421" s="10"/>
      <c r="P421" s="10"/>
      <c r="Q421" s="10"/>
      <c r="R421" s="10"/>
      <c r="S421" s="10"/>
      <c r="T421" s="10"/>
      <c r="U421" s="10"/>
      <c r="V421" s="10"/>
      <c r="W421" s="10"/>
      <c r="X421" s="10"/>
      <c r="Y421" s="10"/>
      <c r="Z421" s="10"/>
    </row>
    <row r="422" spans="1:26" ht="12.75" customHeight="1" x14ac:dyDescent="0.2">
      <c r="A422" s="10"/>
      <c r="B422" s="63"/>
      <c r="C422" s="64"/>
      <c r="D422" s="131"/>
      <c r="E422" s="64"/>
      <c r="F422" s="64"/>
      <c r="G422" s="64"/>
      <c r="H422" s="64"/>
      <c r="I422" s="64"/>
      <c r="J422" s="64"/>
      <c r="K422" s="64"/>
      <c r="L422" s="64"/>
      <c r="M422" s="64"/>
      <c r="N422" s="10"/>
      <c r="O422" s="10"/>
      <c r="P422" s="10"/>
      <c r="Q422" s="10"/>
      <c r="R422" s="10"/>
      <c r="S422" s="10"/>
      <c r="T422" s="10"/>
      <c r="U422" s="10"/>
      <c r="V422" s="10"/>
      <c r="W422" s="10"/>
      <c r="X422" s="10"/>
      <c r="Y422" s="10"/>
      <c r="Z422" s="10"/>
    </row>
    <row r="423" spans="1:26"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5">
      <c r="A432" s="10"/>
      <c r="B432" s="174" t="s">
        <v>380</v>
      </c>
      <c r="C432" s="175"/>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74" t="s">
        <v>381</v>
      </c>
      <c r="C433" s="175"/>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5">
      <c r="A434" s="10"/>
      <c r="B434" s="10" t="s">
        <v>382</v>
      </c>
      <c r="C434" s="176"/>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5">
      <c r="A436" s="10"/>
      <c r="B436" s="177"/>
      <c r="C436" s="178" t="s">
        <v>383</v>
      </c>
      <c r="D436" s="178" t="s">
        <v>384</v>
      </c>
      <c r="E436" s="178" t="s">
        <v>385</v>
      </c>
      <c r="F436" s="178" t="s">
        <v>386</v>
      </c>
      <c r="G436" s="179" t="s">
        <v>387</v>
      </c>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5">
      <c r="A437" s="10"/>
      <c r="B437" s="180"/>
      <c r="C437" s="181"/>
      <c r="D437" s="181" t="s">
        <v>388</v>
      </c>
      <c r="E437" s="181" t="s">
        <v>389</v>
      </c>
      <c r="F437" s="181" t="s">
        <v>390</v>
      </c>
      <c r="G437" s="182" t="s">
        <v>391</v>
      </c>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80"/>
      <c r="C438" s="181"/>
      <c r="D438" s="181"/>
      <c r="E438" s="181"/>
      <c r="F438" s="181"/>
      <c r="G438" s="183"/>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84" t="s">
        <v>89</v>
      </c>
      <c r="C439" s="185">
        <f t="shared" ref="C439:D439" si="4">J74</f>
        <v>186207443.86538002</v>
      </c>
      <c r="D439" s="185">
        <f t="shared" si="4"/>
        <v>19400928.615855832</v>
      </c>
      <c r="E439" s="185">
        <f>D439*0.907441</f>
        <v>17605198.064100832</v>
      </c>
      <c r="F439" s="186">
        <f>E439/1000000</f>
        <v>17.605198064100833</v>
      </c>
      <c r="G439" s="183">
        <f>F439*(12/44)</f>
        <v>4.8014176538456814</v>
      </c>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84"/>
      <c r="C440" s="186"/>
      <c r="D440" s="186"/>
      <c r="E440" s="185"/>
      <c r="F440" s="186"/>
      <c r="G440" s="183"/>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84" t="s">
        <v>392</v>
      </c>
      <c r="C441" s="185">
        <f t="shared" ref="C441:D441" si="5">J266+J299</f>
        <v>5485803.7202824997</v>
      </c>
      <c r="D441" s="185">
        <f t="shared" si="5"/>
        <v>438110.09920158098</v>
      </c>
      <c r="E441" s="185">
        <f>D441*0.907441</f>
        <v>397559.06652958185</v>
      </c>
      <c r="F441" s="186">
        <f>E441/1000000</f>
        <v>0.39755906652958184</v>
      </c>
      <c r="G441" s="183">
        <f>F441*(12/44)</f>
        <v>0.10842519996261323</v>
      </c>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84"/>
      <c r="C442" s="186"/>
      <c r="D442" s="186"/>
      <c r="E442" s="185"/>
      <c r="F442" s="186"/>
      <c r="G442" s="183"/>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84" t="s">
        <v>331</v>
      </c>
      <c r="C443" s="185">
        <f t="shared" ref="C443:D443" si="6">J419</f>
        <v>18638709.727079999</v>
      </c>
      <c r="D443" s="185">
        <f t="shared" si="6"/>
        <v>1134492.4599787265</v>
      </c>
      <c r="E443" s="185">
        <f>D443*0.907441</f>
        <v>1029484.9723755555</v>
      </c>
      <c r="F443" s="186">
        <f>E443/1000000</f>
        <v>1.0294849723755555</v>
      </c>
      <c r="G443" s="183">
        <f>F443*(12/44)</f>
        <v>0.28076862882969694</v>
      </c>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84"/>
      <c r="C444" s="181"/>
      <c r="D444" s="181"/>
      <c r="E444" s="186"/>
      <c r="F444" s="186"/>
      <c r="G444" s="183"/>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87" t="s">
        <v>393</v>
      </c>
      <c r="C445" s="188"/>
      <c r="D445" s="188">
        <f t="shared" ref="D445:E445" si="7">SUM(D438:D443)</f>
        <v>20973531.17503614</v>
      </c>
      <c r="E445" s="188">
        <f t="shared" si="7"/>
        <v>19032242.103005972</v>
      </c>
      <c r="F445" s="188">
        <f>E445/1000000</f>
        <v>19.03224210300597</v>
      </c>
      <c r="G445" s="189">
        <f>SUM(G438:G443)</f>
        <v>5.1906114826379914</v>
      </c>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90"/>
      <c r="C446" s="191"/>
      <c r="D446" s="191"/>
      <c r="E446" s="191"/>
      <c r="F446" s="191"/>
      <c r="G446" s="192"/>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5">
      <c r="A451" s="10"/>
      <c r="B451" s="174" t="s">
        <v>394</v>
      </c>
      <c r="C451" s="175"/>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74" t="s">
        <v>381</v>
      </c>
      <c r="C452" s="175"/>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5">
      <c r="A454" s="10"/>
      <c r="B454" s="176" t="s">
        <v>395</v>
      </c>
      <c r="C454" s="176"/>
      <c r="D454" s="176"/>
      <c r="E454" s="176">
        <v>2014</v>
      </c>
      <c r="F454" s="176"/>
      <c r="G454" s="176"/>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76"/>
      <c r="C455" s="176"/>
      <c r="D455" s="176"/>
      <c r="E455" s="176"/>
      <c r="F455" s="176"/>
      <c r="G455" s="176"/>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93"/>
      <c r="C456" s="194" t="s">
        <v>396</v>
      </c>
      <c r="D456" s="195" t="s">
        <v>397</v>
      </c>
      <c r="E456" s="195" t="s">
        <v>397</v>
      </c>
      <c r="F456" s="194" t="s">
        <v>398</v>
      </c>
      <c r="G456" s="196" t="s">
        <v>397</v>
      </c>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5">
      <c r="A457" s="10"/>
      <c r="B457" s="184" t="s">
        <v>72</v>
      </c>
      <c r="C457" s="197" t="s">
        <v>399</v>
      </c>
      <c r="D457" s="186" t="s">
        <v>400</v>
      </c>
      <c r="E457" s="186" t="s">
        <v>401</v>
      </c>
      <c r="F457" s="197"/>
      <c r="G457" s="183" t="s">
        <v>402</v>
      </c>
      <c r="H457" s="10"/>
      <c r="I457" s="2501" t="s">
        <v>0</v>
      </c>
      <c r="J457" s="2502"/>
      <c r="K457" s="10"/>
      <c r="L457" s="10"/>
      <c r="M457" s="10"/>
      <c r="N457" s="10"/>
      <c r="O457" s="10"/>
      <c r="P457" s="10"/>
      <c r="Q457" s="10"/>
      <c r="R457" s="10"/>
      <c r="S457" s="10"/>
      <c r="T457" s="10"/>
      <c r="U457" s="10"/>
      <c r="V457" s="10"/>
      <c r="W457" s="10"/>
      <c r="X457" s="10"/>
      <c r="Y457" s="10"/>
      <c r="Z457" s="10"/>
    </row>
    <row r="458" spans="1:26" ht="12.75" customHeight="1" x14ac:dyDescent="0.2">
      <c r="A458" s="10"/>
      <c r="B458" s="184"/>
      <c r="C458" s="197"/>
      <c r="D458" s="186"/>
      <c r="E458" s="186"/>
      <c r="F458" s="197"/>
      <c r="G458" s="183"/>
      <c r="H458" s="10"/>
      <c r="I458" s="198"/>
      <c r="J458" s="198"/>
      <c r="K458" s="10"/>
      <c r="L458" s="10"/>
      <c r="M458" s="10"/>
      <c r="N458" s="10"/>
      <c r="O458" s="10"/>
      <c r="P458" s="10"/>
      <c r="Q458" s="10"/>
      <c r="R458" s="10"/>
      <c r="S458" s="10"/>
      <c r="T458" s="10"/>
      <c r="U458" s="10"/>
      <c r="V458" s="10"/>
      <c r="W458" s="10"/>
      <c r="X458" s="10"/>
      <c r="Y458" s="10"/>
      <c r="Z458" s="10"/>
    </row>
    <row r="459" spans="1:26" ht="12.75" customHeight="1" x14ac:dyDescent="0.2">
      <c r="A459" s="10"/>
      <c r="B459" s="184" t="s">
        <v>89</v>
      </c>
      <c r="C459" s="199">
        <f>J74/1000</f>
        <v>186207.44386538002</v>
      </c>
      <c r="D459" s="185">
        <f>L74</f>
        <v>1464.7684001465441</v>
      </c>
      <c r="E459" s="186">
        <f>D459*0.907441</f>
        <v>1329.1909017973801</v>
      </c>
      <c r="F459" s="186">
        <f>$J$460</f>
        <v>28</v>
      </c>
      <c r="G459" s="183">
        <f>(E459*F459)/1000000</f>
        <v>3.7217345250326647E-2</v>
      </c>
      <c r="H459" s="10"/>
      <c r="I459" s="200" t="s">
        <v>4</v>
      </c>
      <c r="J459" s="201">
        <f>'Summ GHG Rpt Expanded'!G4</f>
        <v>1</v>
      </c>
      <c r="K459" s="10"/>
      <c r="L459" s="10"/>
      <c r="M459" s="10"/>
      <c r="N459" s="10"/>
      <c r="O459" s="10"/>
      <c r="P459" s="10"/>
      <c r="Q459" s="10"/>
      <c r="R459" s="10"/>
      <c r="S459" s="10"/>
      <c r="T459" s="10"/>
      <c r="U459" s="10"/>
      <c r="V459" s="10"/>
      <c r="W459" s="10"/>
      <c r="X459" s="10"/>
      <c r="Y459" s="10"/>
      <c r="Z459" s="10"/>
    </row>
    <row r="460" spans="1:26" ht="12.75" customHeight="1" x14ac:dyDescent="0.2">
      <c r="A460" s="10"/>
      <c r="B460" s="184"/>
      <c r="C460" s="186"/>
      <c r="D460" s="186"/>
      <c r="E460" s="186"/>
      <c r="F460" s="186"/>
      <c r="G460" s="183"/>
      <c r="H460" s="10"/>
      <c r="I460" s="200" t="s">
        <v>5</v>
      </c>
      <c r="J460" s="201">
        <f>'Summ GHG Rpt Expanded'!G5</f>
        <v>28</v>
      </c>
      <c r="K460" s="10"/>
      <c r="L460" s="10"/>
      <c r="M460" s="10"/>
      <c r="N460" s="10"/>
      <c r="O460" s="10"/>
      <c r="P460" s="10"/>
      <c r="Q460" s="10"/>
      <c r="R460" s="10"/>
      <c r="S460" s="10"/>
      <c r="T460" s="10"/>
      <c r="U460" s="10"/>
      <c r="V460" s="10"/>
      <c r="W460" s="10"/>
      <c r="X460" s="10"/>
      <c r="Y460" s="10"/>
      <c r="Z460" s="10"/>
    </row>
    <row r="461" spans="1:26" ht="12.75" customHeight="1" x14ac:dyDescent="0.2">
      <c r="A461" s="10"/>
      <c r="B461" s="184" t="s">
        <v>403</v>
      </c>
      <c r="C461" s="199">
        <f>J266/1000</f>
        <v>3901.0303471064994</v>
      </c>
      <c r="D461" s="199">
        <f>L266</f>
        <v>10.733109596496325</v>
      </c>
      <c r="E461" s="186">
        <f>D461*0.907441</f>
        <v>9.7396637053542214</v>
      </c>
      <c r="F461" s="186">
        <f>$J$460</f>
        <v>28</v>
      </c>
      <c r="G461" s="183">
        <f>(E461*F461)/1000000</f>
        <v>2.7271058374991821E-4</v>
      </c>
      <c r="H461" s="10"/>
      <c r="I461" s="200" t="s">
        <v>6</v>
      </c>
      <c r="J461" s="201">
        <f>'Summ GHG Rpt Expanded'!G6</f>
        <v>265</v>
      </c>
      <c r="K461" s="10"/>
      <c r="L461" s="10"/>
      <c r="M461" s="10"/>
      <c r="N461" s="10"/>
      <c r="O461" s="10"/>
      <c r="P461" s="10"/>
      <c r="Q461" s="10"/>
      <c r="R461" s="10"/>
      <c r="S461" s="10"/>
      <c r="T461" s="10"/>
      <c r="U461" s="10"/>
      <c r="V461" s="10"/>
      <c r="W461" s="10"/>
      <c r="X461" s="10"/>
      <c r="Y461" s="10"/>
      <c r="Z461" s="10"/>
    </row>
    <row r="462" spans="1:26" ht="12.75" customHeight="1" x14ac:dyDescent="0.2">
      <c r="A462" s="10"/>
      <c r="B462" s="184"/>
      <c r="C462" s="186"/>
      <c r="D462" s="186"/>
      <c r="E462" s="186"/>
      <c r="F462" s="186"/>
      <c r="G462" s="183"/>
      <c r="H462" s="10"/>
      <c r="I462" s="200" t="s">
        <v>7</v>
      </c>
      <c r="J462" s="202">
        <f>'Summ GHG Rpt Expanded'!G7</f>
        <v>23500</v>
      </c>
      <c r="K462" s="10"/>
      <c r="L462" s="10"/>
      <c r="M462" s="10"/>
      <c r="N462" s="10"/>
      <c r="O462" s="10"/>
      <c r="P462" s="10"/>
      <c r="Q462" s="10"/>
      <c r="R462" s="10"/>
      <c r="S462" s="10"/>
      <c r="T462" s="10"/>
      <c r="U462" s="10"/>
      <c r="V462" s="10"/>
      <c r="W462" s="10"/>
      <c r="X462" s="10"/>
      <c r="Y462" s="10"/>
      <c r="Z462" s="10"/>
    </row>
    <row r="463" spans="1:26" ht="12.75" customHeight="1" x14ac:dyDescent="0.2">
      <c r="A463" s="10"/>
      <c r="B463" s="184" t="s">
        <v>404</v>
      </c>
      <c r="C463" s="199">
        <f>J299/1000</f>
        <v>1584.773373176</v>
      </c>
      <c r="D463" s="199">
        <f>L299</f>
        <v>5.2618065440998238</v>
      </c>
      <c r="E463" s="186">
        <f>D463*0.907441</f>
        <v>4.7747789921844888</v>
      </c>
      <c r="F463" s="186">
        <f>$J$460</f>
        <v>28</v>
      </c>
      <c r="G463" s="183">
        <f>(E463*F463)/1000000</f>
        <v>1.3369381178116569E-4</v>
      </c>
      <c r="H463" s="10"/>
      <c r="I463" s="200" t="s">
        <v>8</v>
      </c>
      <c r="J463" s="202">
        <f>'Summ GHG Rpt Expanded'!G8</f>
        <v>11100</v>
      </c>
      <c r="K463" s="10"/>
      <c r="L463" s="10"/>
      <c r="M463" s="10"/>
      <c r="N463" s="10"/>
      <c r="O463" s="10"/>
      <c r="P463" s="10"/>
      <c r="Q463" s="10"/>
      <c r="R463" s="10"/>
      <c r="S463" s="10"/>
      <c r="T463" s="10"/>
      <c r="U463" s="10"/>
      <c r="V463" s="10"/>
      <c r="W463" s="10"/>
      <c r="X463" s="10"/>
      <c r="Y463" s="10"/>
      <c r="Z463" s="10"/>
    </row>
    <row r="464" spans="1:26" ht="12.75" customHeight="1" x14ac:dyDescent="0.2">
      <c r="A464" s="10"/>
      <c r="B464" s="184"/>
      <c r="C464" s="186"/>
      <c r="D464" s="186"/>
      <c r="E464" s="186"/>
      <c r="F464" s="186"/>
      <c r="G464" s="183"/>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84" t="s">
        <v>331</v>
      </c>
      <c r="C465" s="199">
        <f>J419/1000</f>
        <v>18638.70972708</v>
      </c>
      <c r="D465" s="199">
        <f>L419</f>
        <v>121.08774754605994</v>
      </c>
      <c r="E465" s="186">
        <f>D465*0.907441</f>
        <v>109.87998672094419</v>
      </c>
      <c r="F465" s="186">
        <f>$J$460</f>
        <v>28</v>
      </c>
      <c r="G465" s="183">
        <f>(E465*F465)/1000000</f>
        <v>3.0766396281864373E-3</v>
      </c>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84"/>
      <c r="C466" s="186"/>
      <c r="D466" s="186"/>
      <c r="E466" s="186"/>
      <c r="F466" s="186"/>
      <c r="G466" s="183"/>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84"/>
      <c r="C467" s="186"/>
      <c r="D467" s="186"/>
      <c r="E467" s="186"/>
      <c r="F467" s="186"/>
      <c r="G467" s="183"/>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203" t="s">
        <v>393</v>
      </c>
      <c r="C468" s="204"/>
      <c r="D468" s="204">
        <f>SUM(D459:D465)</f>
        <v>1601.8510638332002</v>
      </c>
      <c r="E468" s="204"/>
      <c r="F468" s="204" t="s">
        <v>393</v>
      </c>
      <c r="G468" s="205">
        <f>SUM(G459:G465)</f>
        <v>4.0700389274044173E-2</v>
      </c>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206"/>
      <c r="C469" s="191"/>
      <c r="D469" s="191"/>
      <c r="E469" s="191"/>
      <c r="F469" s="191"/>
      <c r="G469" s="192"/>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5">
      <c r="A473" s="10"/>
      <c r="B473" s="174" t="s">
        <v>405</v>
      </c>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74" t="s">
        <v>406</v>
      </c>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5">
      <c r="A475" s="10"/>
      <c r="B475" s="10" t="s">
        <v>407</v>
      </c>
      <c r="C475" s="176"/>
      <c r="D475" s="176"/>
      <c r="E475" s="176">
        <v>2014</v>
      </c>
      <c r="F475" s="176"/>
      <c r="G475" s="176"/>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76"/>
      <c r="D476" s="176"/>
      <c r="E476" s="176"/>
      <c r="F476" s="176"/>
      <c r="G476" s="176"/>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93"/>
      <c r="C477" s="194" t="s">
        <v>396</v>
      </c>
      <c r="D477" s="195" t="s">
        <v>408</v>
      </c>
      <c r="E477" s="195" t="s">
        <v>408</v>
      </c>
      <c r="F477" s="194" t="s">
        <v>398</v>
      </c>
      <c r="G477" s="196" t="s">
        <v>397</v>
      </c>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5">
      <c r="A478" s="10"/>
      <c r="B478" s="184" t="s">
        <v>72</v>
      </c>
      <c r="C478" s="197" t="s">
        <v>399</v>
      </c>
      <c r="D478" s="186" t="s">
        <v>409</v>
      </c>
      <c r="E478" s="186" t="s">
        <v>410</v>
      </c>
      <c r="F478" s="197"/>
      <c r="G478" s="183" t="s">
        <v>411</v>
      </c>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84"/>
      <c r="C479" s="197"/>
      <c r="D479" s="186"/>
      <c r="E479" s="186"/>
      <c r="F479" s="197"/>
      <c r="G479" s="183"/>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84" t="s">
        <v>89</v>
      </c>
      <c r="C480" s="199">
        <f>C459</f>
        <v>186207.44386538002</v>
      </c>
      <c r="D480" s="185">
        <f>M74</f>
        <v>325.72740258408061</v>
      </c>
      <c r="E480" s="186">
        <f>D480*0.907441</f>
        <v>295.57839992830071</v>
      </c>
      <c r="F480" s="186">
        <f>$J$461</f>
        <v>265</v>
      </c>
      <c r="G480" s="183">
        <f>E480*F480/1000000</f>
        <v>7.8328275980999687E-2</v>
      </c>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84"/>
      <c r="C481" s="186"/>
      <c r="D481" s="185"/>
      <c r="E481" s="186"/>
      <c r="F481" s="186"/>
      <c r="G481" s="183"/>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84" t="s">
        <v>403</v>
      </c>
      <c r="C482" s="199">
        <f>C461</f>
        <v>3901.0303471064994</v>
      </c>
      <c r="D482" s="199">
        <f>M266</f>
        <v>1.8240482373708244</v>
      </c>
      <c r="E482" s="207">
        <f>D482*0.907441</f>
        <v>1.6552161565680183</v>
      </c>
      <c r="F482" s="186">
        <f>$J$461</f>
        <v>265</v>
      </c>
      <c r="G482" s="183">
        <f>E482*F482/1000000</f>
        <v>4.3863228149052484E-4</v>
      </c>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84"/>
      <c r="C483" s="186"/>
      <c r="D483" s="199"/>
      <c r="E483" s="207"/>
      <c r="F483" s="186"/>
      <c r="G483" s="183"/>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84" t="s">
        <v>404</v>
      </c>
      <c r="C484" s="199">
        <f>C463</f>
        <v>1584.773373176</v>
      </c>
      <c r="D484" s="199">
        <f>M299</f>
        <v>1.0515613088199649</v>
      </c>
      <c r="E484" s="207">
        <f>D484*0.907441</f>
        <v>0.95422984563689783</v>
      </c>
      <c r="F484" s="186">
        <f>$J$461</f>
        <v>265</v>
      </c>
      <c r="G484" s="183">
        <f>E484*F484/1000000</f>
        <v>2.5287090909377794E-4</v>
      </c>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84"/>
      <c r="C485" s="186"/>
      <c r="D485" s="199"/>
      <c r="E485" s="207"/>
      <c r="F485" s="186"/>
      <c r="G485" s="183"/>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84" t="s">
        <v>331</v>
      </c>
      <c r="C486" s="199">
        <f>C465</f>
        <v>18638.70972708</v>
      </c>
      <c r="D486" s="199">
        <f>M419</f>
        <v>106.49570020404335</v>
      </c>
      <c r="E486" s="207">
        <f>D486*0.907441</f>
        <v>96.638564688857301</v>
      </c>
      <c r="F486" s="186">
        <f>$J$461</f>
        <v>265</v>
      </c>
      <c r="G486" s="183">
        <f>E486*F486/1000000</f>
        <v>2.5609219642547185E-2</v>
      </c>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84"/>
      <c r="C487" s="186"/>
      <c r="D487" s="186"/>
      <c r="E487" s="207"/>
      <c r="F487" s="186"/>
      <c r="G487" s="183"/>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203" t="s">
        <v>393</v>
      </c>
      <c r="C488" s="204"/>
      <c r="D488" s="204"/>
      <c r="E488" s="204"/>
      <c r="F488" s="204"/>
      <c r="G488" s="205">
        <f>SUM(G480:G486)</f>
        <v>0.10462899881413117</v>
      </c>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206"/>
      <c r="C489" s="208"/>
      <c r="D489" s="208"/>
      <c r="E489" s="208"/>
      <c r="F489" s="209"/>
      <c r="G489" s="2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74" t="s">
        <v>412</v>
      </c>
      <c r="C491" s="175"/>
      <c r="D491" s="176"/>
      <c r="E491" s="176"/>
      <c r="F491" s="211"/>
      <c r="G491" s="212"/>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74" t="s">
        <v>406</v>
      </c>
      <c r="C492" s="175"/>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t="s">
        <v>413</v>
      </c>
      <c r="C493" s="176"/>
      <c r="D493" s="176"/>
      <c r="E493" s="176">
        <v>2014</v>
      </c>
      <c r="F493" s="176"/>
      <c r="G493" s="176"/>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93"/>
      <c r="C495" s="194"/>
      <c r="D495" s="195" t="s">
        <v>397</v>
      </c>
      <c r="E495" s="195" t="s">
        <v>397</v>
      </c>
      <c r="F495" s="195" t="s">
        <v>397</v>
      </c>
      <c r="G495" s="196" t="s">
        <v>397</v>
      </c>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5">
      <c r="A496" s="10"/>
      <c r="B496" s="184"/>
      <c r="C496" s="197" t="s">
        <v>396</v>
      </c>
      <c r="D496" s="213" t="s">
        <v>414</v>
      </c>
      <c r="E496" s="213" t="s">
        <v>415</v>
      </c>
      <c r="F496" s="213" t="s">
        <v>416</v>
      </c>
      <c r="G496" s="214" t="s">
        <v>393</v>
      </c>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5">
      <c r="A497" s="10"/>
      <c r="B497" s="180" t="s">
        <v>72</v>
      </c>
      <c r="C497" s="197" t="s">
        <v>399</v>
      </c>
      <c r="D497" s="213" t="s">
        <v>417</v>
      </c>
      <c r="E497" s="213" t="s">
        <v>418</v>
      </c>
      <c r="F497" s="213" t="s">
        <v>419</v>
      </c>
      <c r="G497" s="214" t="s">
        <v>420</v>
      </c>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80"/>
      <c r="C498" s="197"/>
      <c r="D498" s="213"/>
      <c r="E498" s="213"/>
      <c r="F498" s="213"/>
      <c r="G498" s="214"/>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84" t="s">
        <v>89</v>
      </c>
      <c r="C499" s="215">
        <f>C480</f>
        <v>186207.44386538002</v>
      </c>
      <c r="D499" s="216">
        <f>D439*0.9072/1000000</f>
        <v>17.60052244030441</v>
      </c>
      <c r="E499" s="186">
        <f>G480</f>
        <v>7.8328275980999687E-2</v>
      </c>
      <c r="F499" s="186">
        <f>G459</f>
        <v>3.7217345250326647E-2</v>
      </c>
      <c r="G499" s="217">
        <f>D499+E499+F499</f>
        <v>17.716068061535736</v>
      </c>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84"/>
      <c r="C500" s="215"/>
      <c r="D500" s="218"/>
      <c r="E500" s="186"/>
      <c r="F500" s="186"/>
      <c r="G500" s="183"/>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84" t="s">
        <v>403</v>
      </c>
      <c r="C501" s="215">
        <f>C482</f>
        <v>3901.0303471064994</v>
      </c>
      <c r="D501" s="216">
        <f>(K270*0.9072)/1000000</f>
        <v>0</v>
      </c>
      <c r="E501" s="186">
        <f>G482</f>
        <v>4.3863228149052484E-4</v>
      </c>
      <c r="F501" s="186">
        <f>G461</f>
        <v>2.7271058374991821E-4</v>
      </c>
      <c r="G501" s="217">
        <f>D501+E501+F501</f>
        <v>7.113428652404431E-4</v>
      </c>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84"/>
      <c r="C502" s="215"/>
      <c r="D502" s="216"/>
      <c r="E502" s="186"/>
      <c r="F502" s="186"/>
      <c r="G502" s="183"/>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84" t="s">
        <v>404</v>
      </c>
      <c r="C503" s="215">
        <f>C484</f>
        <v>1584.773373176</v>
      </c>
      <c r="D503" s="216">
        <f>(K314*0.9072)/1000000</f>
        <v>0</v>
      </c>
      <c r="E503" s="186">
        <f>G484</f>
        <v>2.5287090909377794E-4</v>
      </c>
      <c r="F503" s="186">
        <f>G463</f>
        <v>1.3369381178116569E-4</v>
      </c>
      <c r="G503" s="217">
        <f>D503+E503+F503</f>
        <v>3.8656472087494366E-4</v>
      </c>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84"/>
      <c r="C504" s="215"/>
      <c r="D504" s="216"/>
      <c r="E504" s="186"/>
      <c r="F504" s="186"/>
      <c r="G504" s="183"/>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84" t="s">
        <v>331</v>
      </c>
      <c r="C505" s="215">
        <f>C486</f>
        <v>18638.70972708</v>
      </c>
      <c r="D505" s="216">
        <f>(K426*0.9072)/1000000</f>
        <v>0</v>
      </c>
      <c r="E505" s="186">
        <f>G486</f>
        <v>2.5609219642547185E-2</v>
      </c>
      <c r="F505" s="186">
        <f>G465</f>
        <v>3.0766396281864373E-3</v>
      </c>
      <c r="G505" s="217">
        <f>D505+E505+F505</f>
        <v>2.8685859270733621E-2</v>
      </c>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0"/>
      <c r="B506" s="184"/>
      <c r="C506" s="186"/>
      <c r="D506" s="186"/>
      <c r="E506" s="186"/>
      <c r="F506" s="186"/>
      <c r="G506" s="183"/>
      <c r="H506" s="10"/>
      <c r="I506" s="10"/>
      <c r="J506" s="10"/>
      <c r="K506" s="10"/>
      <c r="L506" s="10"/>
      <c r="M506" s="10"/>
      <c r="N506" s="10"/>
      <c r="O506" s="10"/>
      <c r="P506" s="10"/>
      <c r="Q506" s="10"/>
      <c r="R506" s="10"/>
      <c r="S506" s="10"/>
      <c r="T506" s="10"/>
      <c r="U506" s="10"/>
      <c r="V506" s="10"/>
      <c r="W506" s="10"/>
      <c r="X506" s="10"/>
      <c r="Y506" s="10"/>
      <c r="Z506" s="10"/>
    </row>
    <row r="507" spans="1:26" ht="12.75" customHeight="1" x14ac:dyDescent="0.2">
      <c r="A507" s="10"/>
      <c r="B507" s="219"/>
      <c r="C507" s="220"/>
      <c r="D507" s="221">
        <f t="shared" ref="D507:F507" si="8">SUM(D499:D505)</f>
        <v>17.60052244030441</v>
      </c>
      <c r="E507" s="221">
        <f t="shared" si="8"/>
        <v>0.10462899881413117</v>
      </c>
      <c r="F507" s="221">
        <f t="shared" si="8"/>
        <v>4.0700389274044173E-2</v>
      </c>
      <c r="G507" s="222">
        <f>SUM(D507:F507)</f>
        <v>17.745851828392585</v>
      </c>
      <c r="H507" s="10"/>
      <c r="I507" s="10"/>
      <c r="J507" s="10"/>
      <c r="K507" s="10"/>
      <c r="L507" s="10"/>
      <c r="M507" s="10"/>
      <c r="N507" s="10"/>
      <c r="O507" s="10"/>
      <c r="P507" s="10"/>
      <c r="Q507" s="10"/>
      <c r="R507" s="10"/>
      <c r="S507" s="10"/>
      <c r="T507" s="10"/>
      <c r="U507" s="10"/>
      <c r="V507" s="10"/>
      <c r="W507" s="10"/>
      <c r="X507" s="10"/>
      <c r="Y507" s="10"/>
      <c r="Z507" s="10"/>
    </row>
    <row r="508" spans="1:26" ht="12.7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2.7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2.7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2.7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2.7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2.7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2.7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2.7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2.7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2.7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2.7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2.7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2.7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2.7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2.7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2.7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2.7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2.7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2.7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2.7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2.7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2.7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2.7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2.7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2.7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2.7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2.7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2.7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2.7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2.7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2.7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2.7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2.7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2.7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2.7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2.7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2.7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2.7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2.7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2.7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2.7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2.7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2.7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2.7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2.7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2.7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2.7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2.7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2.7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2.7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2.7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2.7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2.7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2.7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2.7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2.7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2.7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2.7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2.7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2.7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2.7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2.7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2.7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2.7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2.7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2.7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2.7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2.7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2.7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2.7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2.7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2.7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2.7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2.7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2.7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2.7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2.7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2.7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2.7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2.7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2.7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2.7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2.7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2.7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2.7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2.7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2.7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2.7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2.7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2.7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2.7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2.7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2.7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2.7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2.7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2.7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2.7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2.7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2.7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2.7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2.7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2.7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2.7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2.7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2.7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2.7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2.7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2.7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2.7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2.7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2.7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2.7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2.7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2.7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2.7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2.7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2.7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2.7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2.7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2.7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2.7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2.7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2.7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2.7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2.7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2.7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2.7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2.7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2.7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2.7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2.7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2.7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2.7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2.7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2.7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2.7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2.7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2.7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2.7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2.7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2.7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2.7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2.7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2.7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2.7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2.7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2.7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2.7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2.7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2.7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2.7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2.7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2.7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2.7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2.7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2.7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2.7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2.7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2.7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2.7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2.7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2.7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2.7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2.7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2.7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2.7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2.7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2.7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2.7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2.7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2.7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2.7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2.7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2.7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2.7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2.7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2.7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2.7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2.7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2.7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2.7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2.7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2.7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2.7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2.7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2.7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2.7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2.7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2.7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2.7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2.7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2.7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2.7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2.7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2.7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2.7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2.7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2.7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2.7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2.7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2.7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2.7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2.7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2.7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2.7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2.7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2.7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2.7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2.7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2.7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2.7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2.7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2.7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2.7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2.7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2.7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2.7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2.7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2.7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2.7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2.7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2.7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2.7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2.7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2.7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2.7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2.7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2.7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2.7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2.7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2.7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2.7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2.7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2.7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2.7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2.7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2.7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2.7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2.7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2.7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2.7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2.7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2.7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2.7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2.7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2.7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2.7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2.7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2.7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2.7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2.7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2.7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2.7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2.7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2.7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2.7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2.7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2.7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2.7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2.7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2.7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2.7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2.7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2.7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2.7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2.7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2.7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2.7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2.7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2.7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2.7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2.7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2.7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2.7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2.7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2.7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2.7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2.7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2.7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2.7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2.7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2.7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2.7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2.7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2.7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2.7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2.7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2.7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2.7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2.7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2.7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2.7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2.7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2.7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2.7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2.7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2.7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2.7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2.7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2.7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2.7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2.7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2.7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2.7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2.7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2.7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2.7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2.7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2.7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2.7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2.7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2.7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2.7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2.7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2.7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2.7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2.7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2.7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2.7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2.7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2.7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2.7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2.7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2.7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2.7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2.7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2.7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2.7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2.7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2.7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2.7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2.7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2.7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2.7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2.7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2.7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2.7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2.7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2.7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2.7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2.7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2.7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2.7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2.7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2.7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2.7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2.7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2.7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2.7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2.7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2.7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2.7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2.7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2.7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2.7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2.7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2.7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2.7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2.7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2.7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2.7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2.7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2.7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2.7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2.7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2.7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2.7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2.7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2.7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2.7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2.7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2.7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2.7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2.7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2.7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2.7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2.7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2.7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2.7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2.7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2.7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2.7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2.7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2.7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2.7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2.7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2.7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2.7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2.7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2.7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2.7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2.7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2.7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2.7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2.7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2.7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2.7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2.7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2.7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2.7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2.7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2.7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2.7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2.7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2.7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2.7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2.7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2.7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2.7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2.7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2.7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2.7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2.7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2.7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2.7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2.7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2.7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2.7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2.7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2.7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2.7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2.7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2.7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2.7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2.7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2.7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2.7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2.7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2.7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2.7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2.7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2.7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2.7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2.7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2.7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2.7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2.7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2.7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2.7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2.7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2.7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2.7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2.7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2.7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2.7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2.7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2.7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2.7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2.7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2.7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2.7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2.7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2.7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2.7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2.7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2.7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2.7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2.7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2.7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2.7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2.7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2.7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2.7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2.7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2.7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2.7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2.7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2.7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2.7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2.7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2.7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2.7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2.7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2.7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2.7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2.7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2.7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2.7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2.7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2.7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2.7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2.7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2.7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2.7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2.7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2.7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2.7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2.7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2.7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2.7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2.7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2.7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sheetProtection algorithmName="SHA-512" hashValue="PAjQP0mQvvGJpse8QPO/bsUQaT368soFVXr9OxGEVU0xEPmj5WvkGGNqKiCCYK7aBKTMOn/GaStmKWThgL5eDA==" saltValue="EPxRPfs7/3y1y4ZlGbbTrA==" spinCount="100000" sheet="1" objects="1" scenarios="1"/>
  <mergeCells count="1">
    <mergeCell ref="I457:J457"/>
  </mergeCells>
  <pageMargins left="0.45" right="0.45" top="0.75" bottom="0.5" header="0" footer="0"/>
  <pageSetup orientation="landscape"/>
  <rowBreaks count="5" manualBreakCount="5">
    <brk id="81" man="1"/>
    <brk id="450" man="1"/>
    <brk id="163" man="1"/>
    <brk id="311" man="1"/>
    <brk id="393" man="1"/>
  </rowBreaks>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45"/>
  <sheetViews>
    <sheetView workbookViewId="0"/>
  </sheetViews>
  <sheetFormatPr defaultColWidth="16.83203125" defaultRowHeight="15" customHeight="1" x14ac:dyDescent="0.2"/>
  <cols>
    <col min="1" max="1" width="3.83203125" customWidth="1"/>
    <col min="2" max="2" width="23" customWidth="1"/>
    <col min="3" max="3" width="12.6640625" customWidth="1"/>
    <col min="4" max="4" width="10.6640625" customWidth="1"/>
    <col min="5" max="5" width="11.83203125" customWidth="1"/>
    <col min="6" max="6" width="8.83203125" customWidth="1"/>
    <col min="7" max="7" width="16.5" customWidth="1"/>
    <col min="8" max="8" width="8.83203125" customWidth="1"/>
    <col min="9" max="9" width="13.33203125" customWidth="1"/>
    <col min="10" max="10" width="8.83203125" customWidth="1"/>
    <col min="11" max="11" width="11.1640625" customWidth="1"/>
    <col min="12" max="12" width="8.83203125" customWidth="1"/>
    <col min="13" max="13" width="12.33203125" customWidth="1"/>
    <col min="14" max="14" width="8.83203125" customWidth="1"/>
    <col min="15" max="15" width="12.5" customWidth="1"/>
    <col min="16" max="18" width="8.83203125" customWidth="1"/>
    <col min="19" max="19" width="14" customWidth="1"/>
    <col min="20" max="20" width="8.83203125" customWidth="1"/>
    <col min="21" max="21" width="12.5" customWidth="1"/>
    <col min="22" max="24" width="8.83203125" customWidth="1"/>
    <col min="25" max="25" width="11.33203125" customWidth="1"/>
    <col min="26" max="26" width="8.83203125" customWidth="1"/>
    <col min="27" max="27" width="10.6640625" customWidth="1"/>
    <col min="28" max="28" width="8.83203125" customWidth="1"/>
    <col min="29" max="29" width="11.33203125" customWidth="1"/>
    <col min="30" max="32" width="8.83203125" customWidth="1"/>
    <col min="33" max="33" width="10.33203125" customWidth="1"/>
    <col min="34" max="34" width="8.83203125" customWidth="1"/>
    <col min="35" max="35" width="10.1640625" customWidth="1"/>
    <col min="36" max="36" width="8.83203125" customWidth="1"/>
    <col min="37" max="37" width="10.6640625" customWidth="1"/>
    <col min="38" max="38" width="8.83203125" customWidth="1"/>
    <col min="39" max="39" width="12" customWidth="1"/>
  </cols>
  <sheetData>
    <row r="1" spans="1:39" ht="33" x14ac:dyDescent="0.45">
      <c r="B1" s="1600" t="s">
        <v>1527</v>
      </c>
      <c r="C1" s="1601"/>
      <c r="D1" s="1602"/>
      <c r="E1" s="1602"/>
      <c r="G1" s="482"/>
    </row>
    <row r="2" spans="1:39" ht="245.25" customHeight="1" x14ac:dyDescent="0.2"/>
    <row r="3" spans="1:39" ht="19.5" x14ac:dyDescent="0.2">
      <c r="B3" s="2567" t="s">
        <v>1528</v>
      </c>
      <c r="C3" s="2568"/>
      <c r="D3" s="2568"/>
      <c r="E3" s="2568"/>
      <c r="F3" s="2568"/>
      <c r="G3" s="2568"/>
      <c r="H3" s="2568"/>
      <c r="I3" s="2568"/>
      <c r="J3" s="629"/>
      <c r="K3" s="629"/>
      <c r="L3" s="629"/>
      <c r="M3" s="629"/>
      <c r="N3" s="629"/>
      <c r="O3" s="629"/>
      <c r="P3" s="629"/>
      <c r="Q3" s="629"/>
      <c r="R3" s="629"/>
      <c r="S3" s="629"/>
      <c r="T3" s="629"/>
      <c r="U3" s="629"/>
      <c r="V3" s="629"/>
      <c r="W3" s="629"/>
      <c r="X3" s="629"/>
      <c r="Y3" s="630"/>
    </row>
    <row r="4" spans="1:39" ht="45.75" x14ac:dyDescent="0.2">
      <c r="A4" s="223"/>
      <c r="B4" s="1603" t="s">
        <v>1529</v>
      </c>
      <c r="C4" s="1604" t="s">
        <v>1139</v>
      </c>
      <c r="D4" s="1605"/>
      <c r="E4" s="1604" t="s">
        <v>1530</v>
      </c>
      <c r="F4" s="1606"/>
      <c r="G4" s="1604" t="s">
        <v>1531</v>
      </c>
      <c r="H4" s="1606"/>
      <c r="I4" s="1604" t="s">
        <v>1532</v>
      </c>
      <c r="J4" s="1606"/>
      <c r="K4" s="1604" t="s">
        <v>1533</v>
      </c>
      <c r="L4" s="1606"/>
      <c r="M4" s="1604" t="s">
        <v>1534</v>
      </c>
      <c r="N4" s="1606"/>
      <c r="O4" s="1604" t="s">
        <v>1535</v>
      </c>
      <c r="P4" s="1606"/>
      <c r="Q4" s="1604" t="s">
        <v>1536</v>
      </c>
      <c r="R4" s="1606"/>
      <c r="S4" s="1604" t="s">
        <v>1537</v>
      </c>
      <c r="T4" s="1604"/>
      <c r="U4" s="1604" t="s">
        <v>1538</v>
      </c>
      <c r="V4" s="1606"/>
      <c r="W4" s="1604" t="s">
        <v>1539</v>
      </c>
      <c r="X4" s="223"/>
      <c r="Y4" s="1607" t="s">
        <v>1540</v>
      </c>
      <c r="Z4" s="223"/>
      <c r="AA4" s="223"/>
      <c r="AB4" s="223"/>
      <c r="AC4" s="223"/>
      <c r="AD4" s="223"/>
      <c r="AE4" s="223"/>
      <c r="AF4" s="223"/>
      <c r="AG4" s="223"/>
      <c r="AH4" s="223"/>
      <c r="AI4" s="223"/>
      <c r="AJ4" s="223"/>
      <c r="AK4" s="223"/>
      <c r="AL4" s="223"/>
      <c r="AM4" s="223"/>
    </row>
    <row r="5" spans="1:39" ht="11.25" x14ac:dyDescent="0.2">
      <c r="A5" s="1608"/>
      <c r="B5" s="1609">
        <v>2014</v>
      </c>
      <c r="C5" s="1610">
        <v>5976407</v>
      </c>
      <c r="D5" s="1611" t="s">
        <v>1002</v>
      </c>
      <c r="E5" s="1612">
        <v>0.09</v>
      </c>
      <c r="F5" s="1611" t="s">
        <v>1002</v>
      </c>
      <c r="G5" s="1613">
        <v>365</v>
      </c>
      <c r="H5" s="1611" t="s">
        <v>1002</v>
      </c>
      <c r="I5" s="1614">
        <v>1E-3</v>
      </c>
      <c r="J5" s="1611" t="s">
        <v>1002</v>
      </c>
      <c r="K5" s="1615">
        <v>0.6</v>
      </c>
      <c r="L5" s="1611" t="s">
        <v>1002</v>
      </c>
      <c r="M5" s="1616">
        <v>0.16250000000000001</v>
      </c>
      <c r="N5" s="1617" t="s">
        <v>649</v>
      </c>
      <c r="O5" s="1615">
        <f>C5*$E$5*$G$5*$M$5*$K$5*$I$5</f>
        <v>19141.684570124999</v>
      </c>
      <c r="P5" s="1611" t="s">
        <v>1002</v>
      </c>
      <c r="Q5" s="1610">
        <f>S31</f>
        <v>28</v>
      </c>
      <c r="R5" s="1611" t="s">
        <v>1002</v>
      </c>
      <c r="S5" s="1618">
        <v>9.9999999999999995E-7</v>
      </c>
      <c r="T5" s="1611" t="s">
        <v>1002</v>
      </c>
      <c r="U5" s="1615">
        <f>12/44</f>
        <v>0.27272727272727271</v>
      </c>
      <c r="V5" s="1611" t="s">
        <v>649</v>
      </c>
      <c r="W5" s="1608">
        <f>O5*Q$5*S$5*U$5</f>
        <v>0.14617286399004539</v>
      </c>
      <c r="X5" s="1611" t="s">
        <v>649</v>
      </c>
      <c r="Y5" s="1619">
        <f>W5*44/12</f>
        <v>0.53596716796349975</v>
      </c>
      <c r="Z5" s="1608"/>
      <c r="AA5" s="1608"/>
      <c r="AB5" s="1608"/>
      <c r="AC5" s="1608"/>
      <c r="AD5" s="1608"/>
      <c r="AE5" s="1608"/>
      <c r="AF5" s="1608"/>
      <c r="AG5" s="1608"/>
      <c r="AH5" s="1608"/>
      <c r="AI5" s="1608"/>
      <c r="AJ5" s="1608"/>
      <c r="AK5" s="1608"/>
      <c r="AL5" s="1608"/>
      <c r="AM5" s="1608"/>
    </row>
    <row r="6" spans="1:39" ht="11.25" x14ac:dyDescent="0.2">
      <c r="B6" s="687"/>
      <c r="C6" s="688"/>
      <c r="D6" s="688"/>
      <c r="E6" s="688"/>
      <c r="F6" s="688"/>
      <c r="G6" s="688"/>
      <c r="H6" s="688"/>
      <c r="I6" s="688"/>
      <c r="J6" s="688"/>
      <c r="K6" s="688"/>
      <c r="L6" s="688"/>
      <c r="M6" s="688"/>
      <c r="N6" s="688"/>
      <c r="O6" s="688"/>
      <c r="P6" s="688"/>
      <c r="Q6" s="688"/>
      <c r="R6" s="688"/>
      <c r="S6" s="688"/>
      <c r="T6" s="688"/>
      <c r="U6" s="688"/>
      <c r="V6" s="688"/>
      <c r="W6" s="688"/>
      <c r="X6" s="688"/>
      <c r="Y6" s="694"/>
    </row>
    <row r="7" spans="1:39" ht="11.25" x14ac:dyDescent="0.2">
      <c r="B7" s="466"/>
      <c r="C7" s="466"/>
      <c r="D7" s="466"/>
      <c r="E7" s="466"/>
      <c r="F7" s="466"/>
      <c r="G7" s="466"/>
      <c r="H7" s="466"/>
      <c r="I7" s="466"/>
      <c r="J7" s="466"/>
      <c r="K7" s="466"/>
      <c r="L7" s="466"/>
      <c r="M7" s="466"/>
      <c r="N7" s="466"/>
      <c r="O7" s="466"/>
      <c r="P7" s="466"/>
      <c r="Q7" s="466"/>
      <c r="R7" s="466"/>
      <c r="S7" s="466"/>
      <c r="T7" s="466"/>
      <c r="U7" s="466"/>
      <c r="V7" s="466"/>
      <c r="W7" s="466"/>
      <c r="X7" s="466"/>
      <c r="Y7" s="466"/>
    </row>
    <row r="8" spans="1:39" ht="19.5" x14ac:dyDescent="0.2">
      <c r="B8" s="1620" t="s">
        <v>1541</v>
      </c>
      <c r="C8" s="1621"/>
      <c r="D8" s="1621"/>
      <c r="E8" s="1621"/>
      <c r="F8" s="1621"/>
      <c r="G8" s="1621"/>
      <c r="H8" s="1621"/>
      <c r="I8" s="1621"/>
      <c r="J8" s="629"/>
      <c r="K8" s="629"/>
      <c r="L8" s="629"/>
      <c r="M8" s="629"/>
      <c r="N8" s="629"/>
      <c r="O8" s="629"/>
      <c r="P8" s="629"/>
      <c r="Q8" s="629"/>
      <c r="R8" s="629"/>
      <c r="S8" s="629"/>
      <c r="T8" s="629"/>
      <c r="U8" s="629"/>
      <c r="V8" s="629"/>
      <c r="W8" s="629"/>
      <c r="X8" s="629"/>
      <c r="Y8" s="630"/>
    </row>
    <row r="9" spans="1:39" ht="54.75" x14ac:dyDescent="0.2">
      <c r="B9" s="1603" t="s">
        <v>1529</v>
      </c>
      <c r="C9" s="1604" t="s">
        <v>1139</v>
      </c>
      <c r="D9" s="1561"/>
      <c r="E9" s="1604" t="s">
        <v>1542</v>
      </c>
      <c r="F9" s="1606"/>
      <c r="G9" s="1604" t="s">
        <v>1543</v>
      </c>
      <c r="H9" s="1606"/>
      <c r="I9" s="1604" t="s">
        <v>1544</v>
      </c>
      <c r="J9" s="1604"/>
      <c r="K9" s="1604" t="s">
        <v>1545</v>
      </c>
      <c r="L9" s="1606"/>
      <c r="M9" s="1604" t="s">
        <v>1546</v>
      </c>
      <c r="N9" s="1606"/>
      <c r="O9" s="1604" t="s">
        <v>1547</v>
      </c>
      <c r="P9" s="1604"/>
      <c r="Q9" s="1604" t="s">
        <v>1548</v>
      </c>
      <c r="R9" s="1606"/>
      <c r="S9" s="1604" t="s">
        <v>1539</v>
      </c>
      <c r="T9" s="223"/>
      <c r="U9" s="1604" t="s">
        <v>1549</v>
      </c>
      <c r="V9" s="223"/>
      <c r="W9" s="223"/>
      <c r="X9" s="223"/>
      <c r="Y9" s="1622"/>
      <c r="Z9" s="223"/>
      <c r="AA9" s="223"/>
      <c r="AB9" s="223"/>
      <c r="AC9" s="223"/>
      <c r="AD9" s="223"/>
    </row>
    <row r="10" spans="1:39" ht="11.25" x14ac:dyDescent="0.2">
      <c r="A10" s="1623"/>
      <c r="B10" s="1609">
        <v>2014</v>
      </c>
      <c r="C10" s="1610">
        <v>5976407</v>
      </c>
      <c r="D10" s="1611" t="s">
        <v>1002</v>
      </c>
      <c r="E10" s="1624">
        <v>0.81169999999999998</v>
      </c>
      <c r="F10" s="1611" t="s">
        <v>1002</v>
      </c>
      <c r="G10" s="1625">
        <v>4</v>
      </c>
      <c r="H10" s="1611" t="s">
        <v>1002</v>
      </c>
      <c r="I10" s="1626">
        <v>9.9999999999999995E-7</v>
      </c>
      <c r="J10" s="1617" t="s">
        <v>649</v>
      </c>
      <c r="K10" s="1627">
        <f>C10*E10*G10*I10</f>
        <v>19.4041982476</v>
      </c>
      <c r="L10" s="1611" t="s">
        <v>1002</v>
      </c>
      <c r="M10" s="1610">
        <f>S32</f>
        <v>265</v>
      </c>
      <c r="N10" s="1611" t="s">
        <v>1002</v>
      </c>
      <c r="O10" s="1618">
        <f>1/1000000</f>
        <v>9.9999999999999995E-7</v>
      </c>
      <c r="P10" s="1611" t="s">
        <v>1002</v>
      </c>
      <c r="Q10" s="1615">
        <f>12/44</f>
        <v>0.27272727272727271</v>
      </c>
      <c r="R10" s="1617" t="s">
        <v>649</v>
      </c>
      <c r="S10" s="1628">
        <f>K10*M10*O10*Q10</f>
        <v>1.4023943278947272E-3</v>
      </c>
      <c r="T10" s="1617" t="s">
        <v>649</v>
      </c>
      <c r="U10" s="1628">
        <f>S10*44/12</f>
        <v>5.1421125356139992E-3</v>
      </c>
      <c r="V10" s="1608"/>
      <c r="W10" s="1608"/>
      <c r="X10" s="1608"/>
      <c r="Y10" s="1629"/>
      <c r="Z10" s="1608"/>
      <c r="AA10" s="1608"/>
      <c r="AB10" s="1608"/>
      <c r="AC10" s="1608"/>
      <c r="AD10" s="1608"/>
      <c r="AE10" s="1623"/>
      <c r="AF10" s="1623"/>
      <c r="AG10" s="1623"/>
      <c r="AH10" s="1623"/>
      <c r="AI10" s="1623"/>
      <c r="AJ10" s="1623"/>
      <c r="AK10" s="1623"/>
      <c r="AL10" s="1623"/>
      <c r="AM10" s="1623"/>
    </row>
    <row r="11" spans="1:39" ht="11.25" x14ac:dyDescent="0.2">
      <c r="B11" s="1630"/>
      <c r="C11" s="1631"/>
      <c r="D11" s="1631"/>
      <c r="E11" s="1631"/>
      <c r="F11" s="1631"/>
      <c r="G11" s="1631"/>
      <c r="H11" s="1631"/>
      <c r="I11" s="1631"/>
      <c r="J11" s="1631"/>
      <c r="K11" s="1631"/>
      <c r="L11" s="1631"/>
      <c r="M11" s="1631"/>
      <c r="N11" s="1631"/>
      <c r="O11" s="1631"/>
      <c r="P11" s="1631"/>
      <c r="Q11" s="1631"/>
      <c r="R11" s="1631"/>
      <c r="S11" s="1631"/>
      <c r="T11" s="1631"/>
      <c r="U11" s="1631"/>
      <c r="V11" s="1631"/>
      <c r="W11" s="1631"/>
      <c r="X11" s="1631"/>
      <c r="Y11" s="1632"/>
      <c r="Z11" s="223"/>
      <c r="AA11" s="223"/>
      <c r="AB11" s="223"/>
      <c r="AC11" s="223"/>
      <c r="AD11" s="223"/>
    </row>
    <row r="12" spans="1:39" ht="11.25" x14ac:dyDescent="0.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row>
    <row r="13" spans="1:39" ht="19.5" x14ac:dyDescent="0.2">
      <c r="B13" s="1620" t="s">
        <v>1550</v>
      </c>
      <c r="C13" s="1621"/>
      <c r="D13" s="1621"/>
      <c r="E13" s="1621"/>
      <c r="F13" s="1621"/>
      <c r="G13" s="1621"/>
      <c r="H13" s="1621"/>
      <c r="I13" s="1621"/>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30"/>
    </row>
    <row r="14" spans="1:39" ht="54.75" x14ac:dyDescent="0.2">
      <c r="B14" s="1603" t="s">
        <v>1529</v>
      </c>
      <c r="C14" s="1633" t="s">
        <v>1139</v>
      </c>
      <c r="D14" s="1634"/>
      <c r="E14" s="1633" t="s">
        <v>1551</v>
      </c>
      <c r="F14" s="1635"/>
      <c r="G14" s="1633" t="s">
        <v>1552</v>
      </c>
      <c r="H14" s="1635"/>
      <c r="I14" s="1633" t="s">
        <v>1553</v>
      </c>
      <c r="J14" s="1635"/>
      <c r="K14" s="1633" t="s">
        <v>1532</v>
      </c>
      <c r="L14" s="1633"/>
      <c r="M14" s="1633" t="s">
        <v>1554</v>
      </c>
      <c r="N14" s="1633"/>
      <c r="O14" s="1633" t="s">
        <v>1555</v>
      </c>
      <c r="P14" s="1634"/>
      <c r="Q14" s="1633" t="s">
        <v>1556</v>
      </c>
      <c r="R14" s="1633"/>
      <c r="S14" s="1633" t="s">
        <v>1557</v>
      </c>
      <c r="T14" s="1633"/>
      <c r="U14" s="1633" t="s">
        <v>1558</v>
      </c>
      <c r="V14" s="1635"/>
      <c r="W14" s="1633" t="s">
        <v>1559</v>
      </c>
      <c r="X14" s="1635"/>
      <c r="Y14" s="1633" t="s">
        <v>1560</v>
      </c>
      <c r="Z14" s="1635"/>
      <c r="AA14" s="1633" t="s">
        <v>1561</v>
      </c>
      <c r="AB14" s="1635"/>
      <c r="AC14" s="1633" t="s">
        <v>1537</v>
      </c>
      <c r="AD14" s="1633"/>
      <c r="AE14" s="1633" t="s">
        <v>1562</v>
      </c>
      <c r="AF14" s="1635"/>
      <c r="AG14" s="1633" t="s">
        <v>1563</v>
      </c>
      <c r="AH14" s="1633"/>
      <c r="AI14" s="1633" t="s">
        <v>1564</v>
      </c>
      <c r="AJ14" s="1633"/>
      <c r="AK14" s="1633" t="s">
        <v>1565</v>
      </c>
      <c r="AL14" s="1634"/>
      <c r="AM14" s="1636" t="s">
        <v>1566</v>
      </c>
    </row>
    <row r="15" spans="1:39" ht="11.25" x14ac:dyDescent="0.2">
      <c r="B15" s="631"/>
      <c r="C15" s="1119"/>
      <c r="D15" s="1119"/>
      <c r="E15" s="1637"/>
      <c r="F15" s="1638"/>
      <c r="G15" s="1637"/>
      <c r="H15" s="1638"/>
      <c r="I15" s="1638"/>
      <c r="J15" s="1638"/>
      <c r="K15" s="1638"/>
      <c r="L15" s="1638"/>
      <c r="M15" s="1638"/>
      <c r="N15" s="1638"/>
      <c r="O15" s="1638"/>
      <c r="P15" s="1638"/>
      <c r="Q15" s="1638"/>
      <c r="R15" s="1638"/>
      <c r="S15" s="1638"/>
      <c r="T15" s="1638"/>
      <c r="U15" s="1637"/>
      <c r="V15" s="1638"/>
      <c r="W15" s="1638"/>
      <c r="X15" s="1638"/>
      <c r="Y15" s="1638"/>
      <c r="Z15" s="1638"/>
      <c r="AA15" s="1638"/>
      <c r="AB15" s="1638"/>
      <c r="AC15" s="1638" t="s">
        <v>1567</v>
      </c>
      <c r="AD15" s="1119"/>
      <c r="AE15" s="1119"/>
      <c r="AF15" s="1119"/>
      <c r="AG15" s="1638"/>
      <c r="AH15" s="1638"/>
      <c r="AI15" s="1638"/>
      <c r="AJ15" s="1638"/>
      <c r="AK15" s="1638"/>
      <c r="AL15" s="1119"/>
      <c r="AM15" s="1639"/>
    </row>
    <row r="16" spans="1:39" ht="11.25" x14ac:dyDescent="0.2">
      <c r="A16" s="1608"/>
      <c r="B16" s="1609">
        <v>2014</v>
      </c>
      <c r="C16" s="1610">
        <v>5828289</v>
      </c>
      <c r="D16" s="1611" t="s">
        <v>1002</v>
      </c>
      <c r="E16" s="1615">
        <v>42.6</v>
      </c>
      <c r="F16" s="1611" t="s">
        <v>1002</v>
      </c>
      <c r="G16" s="1624">
        <v>0.16</v>
      </c>
      <c r="H16" s="1611" t="s">
        <v>1002</v>
      </c>
      <c r="I16" s="1627">
        <v>1.75</v>
      </c>
      <c r="J16" s="1611" t="s">
        <v>1002</v>
      </c>
      <c r="K16" s="1614">
        <v>1E-3</v>
      </c>
      <c r="L16" s="1617" t="s">
        <v>649</v>
      </c>
      <c r="M16" s="1610">
        <f>C16*E16*G16*I16*K16</f>
        <v>69519.831191999998</v>
      </c>
      <c r="N16" s="1640" t="s">
        <v>1490</v>
      </c>
      <c r="O16" s="1610">
        <v>11.265631541818182</v>
      </c>
      <c r="P16" s="1617" t="s">
        <v>649</v>
      </c>
      <c r="Q16" s="1610">
        <f>M16-O16</f>
        <v>69508.565560458184</v>
      </c>
      <c r="R16" s="1610" t="s">
        <v>1002</v>
      </c>
      <c r="S16" s="1624">
        <v>0</v>
      </c>
      <c r="T16" s="1611" t="s">
        <v>1002</v>
      </c>
      <c r="U16" s="1627">
        <v>5.0000000000000001E-3</v>
      </c>
      <c r="V16" s="1611" t="s">
        <v>1002</v>
      </c>
      <c r="W16" s="1628">
        <f>44/28</f>
        <v>1.5714285714285714</v>
      </c>
      <c r="X16" s="1617" t="s">
        <v>649</v>
      </c>
      <c r="Y16" s="1615">
        <f>Q16*(1-S16)*U16*W16</f>
        <v>546.1387294036</v>
      </c>
      <c r="Z16" s="1611" t="s">
        <v>1002</v>
      </c>
      <c r="AA16" s="1610">
        <f>S32</f>
        <v>265</v>
      </c>
      <c r="AB16" s="1611" t="s">
        <v>1002</v>
      </c>
      <c r="AC16" s="1618">
        <f>1/1000000</f>
        <v>9.9999999999999995E-7</v>
      </c>
      <c r="AD16" s="1611" t="s">
        <v>1002</v>
      </c>
      <c r="AE16" s="1615">
        <f>12/44</f>
        <v>0.27272727272727271</v>
      </c>
      <c r="AF16" s="1617" t="s">
        <v>649</v>
      </c>
      <c r="AG16" s="1628">
        <f>Y16*AA$16*AC$16*AE$16</f>
        <v>3.9470935443260177E-2</v>
      </c>
      <c r="AH16" s="1641" t="s">
        <v>1489</v>
      </c>
      <c r="AI16" s="1628">
        <f>0.00149671961912727*(S32/310)</f>
        <v>1.279453867963634E-3</v>
      </c>
      <c r="AJ16" s="1642" t="s">
        <v>649</v>
      </c>
      <c r="AK16" s="1628">
        <f>AG16+AI16</f>
        <v>4.0750389311223809E-2</v>
      </c>
      <c r="AL16" s="1642" t="s">
        <v>649</v>
      </c>
      <c r="AM16" s="1643">
        <f>AK16/AE16</f>
        <v>0.14941809414115398</v>
      </c>
    </row>
    <row r="17" spans="1:39" ht="11.25" x14ac:dyDescent="0.2">
      <c r="A17" s="1608"/>
      <c r="B17" s="1644"/>
      <c r="C17" s="1645"/>
      <c r="D17" s="1646"/>
      <c r="E17" s="1647"/>
      <c r="F17" s="1646"/>
      <c r="G17" s="1648"/>
      <c r="H17" s="1646"/>
      <c r="I17" s="1649"/>
      <c r="J17" s="1646"/>
      <c r="K17" s="1650"/>
      <c r="L17" s="1646"/>
      <c r="M17" s="1645"/>
      <c r="N17" s="1651"/>
      <c r="O17" s="1645"/>
      <c r="P17" s="1646"/>
      <c r="Q17" s="1645"/>
      <c r="R17" s="1645"/>
      <c r="S17" s="1648"/>
      <c r="T17" s="1646"/>
      <c r="U17" s="1649"/>
      <c r="V17" s="1646"/>
      <c r="W17" s="1652"/>
      <c r="X17" s="1646"/>
      <c r="Y17" s="1647"/>
      <c r="Z17" s="1646"/>
      <c r="AA17" s="1645"/>
      <c r="AB17" s="1646"/>
      <c r="AC17" s="1653"/>
      <c r="AD17" s="1646"/>
      <c r="AE17" s="1647"/>
      <c r="AF17" s="1646"/>
      <c r="AG17" s="1652"/>
      <c r="AH17" s="1654"/>
      <c r="AI17" s="1652"/>
      <c r="AJ17" s="1654"/>
      <c r="AK17" s="1652"/>
      <c r="AL17" s="1654"/>
      <c r="AM17" s="1655"/>
    </row>
    <row r="18" spans="1:39" ht="11.25" x14ac:dyDescent="0.2">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row>
    <row r="19" spans="1:39" ht="19.5" x14ac:dyDescent="0.2">
      <c r="B19" s="1620" t="s">
        <v>1568</v>
      </c>
      <c r="C19" s="1656"/>
      <c r="D19" s="1656"/>
      <c r="E19" s="1656"/>
      <c r="F19" s="1656"/>
      <c r="G19" s="1656"/>
      <c r="H19" s="1657"/>
      <c r="I19" s="1657"/>
      <c r="J19" s="1657"/>
      <c r="K19" s="1657"/>
      <c r="L19" s="1657"/>
      <c r="M19" s="1657"/>
      <c r="N19" s="1657"/>
      <c r="O19" s="1657"/>
      <c r="P19" s="1657"/>
      <c r="Q19" s="1657"/>
      <c r="R19" s="1657"/>
      <c r="S19" s="1657"/>
      <c r="T19" s="1657"/>
      <c r="U19" s="1657"/>
      <c r="V19" s="1657"/>
      <c r="W19" s="1657"/>
      <c r="X19" s="1657"/>
      <c r="Y19" s="1657"/>
      <c r="Z19" s="1657"/>
      <c r="AA19" s="1658"/>
      <c r="AB19" s="223"/>
      <c r="AC19" s="223"/>
      <c r="AD19" s="223"/>
    </row>
    <row r="20" spans="1:39" ht="27.75" x14ac:dyDescent="0.2">
      <c r="B20" s="1603" t="s">
        <v>1529</v>
      </c>
      <c r="C20" s="1633" t="s">
        <v>1569</v>
      </c>
      <c r="D20" s="1633"/>
      <c r="E20" s="1633" t="s">
        <v>1570</v>
      </c>
      <c r="F20" s="1635"/>
      <c r="G20" s="1633" t="s">
        <v>1571</v>
      </c>
      <c r="H20" s="1635"/>
      <c r="I20" s="1633" t="s">
        <v>1572</v>
      </c>
      <c r="J20" s="1635"/>
      <c r="K20" s="1633" t="s">
        <v>985</v>
      </c>
      <c r="L20" s="1635"/>
      <c r="M20" s="1633" t="s">
        <v>1573</v>
      </c>
      <c r="N20" s="1635"/>
      <c r="O20" s="1633" t="s">
        <v>397</v>
      </c>
      <c r="P20" s="1635"/>
      <c r="Q20" s="1633" t="s">
        <v>1571</v>
      </c>
      <c r="R20" s="1635"/>
      <c r="S20" s="1633" t="s">
        <v>397</v>
      </c>
      <c r="T20" s="1635"/>
      <c r="U20" s="1633" t="s">
        <v>1574</v>
      </c>
      <c r="V20" s="1633"/>
      <c r="W20" s="1633" t="s">
        <v>1575</v>
      </c>
      <c r="X20" s="1635"/>
      <c r="Y20" s="1633" t="s">
        <v>397</v>
      </c>
      <c r="Z20" s="1634"/>
      <c r="AA20" s="1636" t="s">
        <v>397</v>
      </c>
      <c r="AB20" s="223"/>
      <c r="AC20" s="223"/>
      <c r="AD20" s="223"/>
    </row>
    <row r="21" spans="1:39" ht="11.25" x14ac:dyDescent="0.2">
      <c r="B21" s="631"/>
      <c r="C21" s="1119" t="s">
        <v>389</v>
      </c>
      <c r="D21" s="1634"/>
      <c r="E21" s="1119" t="s">
        <v>1576</v>
      </c>
      <c r="F21" s="1119"/>
      <c r="G21" s="1119" t="s">
        <v>1577</v>
      </c>
      <c r="H21" s="1119"/>
      <c r="I21" s="1119" t="s">
        <v>1578</v>
      </c>
      <c r="J21" s="1119"/>
      <c r="K21" s="1119" t="s">
        <v>1579</v>
      </c>
      <c r="L21" s="1119"/>
      <c r="M21" s="1119" t="s">
        <v>1580</v>
      </c>
      <c r="N21" s="1119"/>
      <c r="O21" s="1119" t="s">
        <v>1581</v>
      </c>
      <c r="P21" s="1119"/>
      <c r="Q21" s="1119" t="s">
        <v>1582</v>
      </c>
      <c r="R21" s="1119"/>
      <c r="S21" s="1119" t="s">
        <v>1583</v>
      </c>
      <c r="T21" s="1119"/>
      <c r="U21" s="1119" t="s">
        <v>1584</v>
      </c>
      <c r="V21" s="1119"/>
      <c r="W21" s="1119"/>
      <c r="X21" s="1119"/>
      <c r="Y21" s="1119" t="s">
        <v>990</v>
      </c>
      <c r="Z21" s="1634"/>
      <c r="AA21" s="1659" t="s">
        <v>1585</v>
      </c>
      <c r="AB21" s="223"/>
      <c r="AC21" s="223"/>
      <c r="AD21" s="223"/>
    </row>
    <row r="22" spans="1:39" ht="11.25" x14ac:dyDescent="0.2">
      <c r="A22" s="1608"/>
      <c r="B22" s="1609">
        <v>2014</v>
      </c>
      <c r="C22" s="1615">
        <f>(31100000/2204.58)</f>
        <v>14106.995436772537</v>
      </c>
      <c r="D22" s="1611" t="s">
        <v>1002</v>
      </c>
      <c r="E22" s="1613">
        <v>7.9</v>
      </c>
      <c r="F22" s="1611" t="s">
        <v>1002</v>
      </c>
      <c r="G22" s="1610">
        <v>1000</v>
      </c>
      <c r="H22" s="1611" t="s">
        <v>1002</v>
      </c>
      <c r="I22" s="1660">
        <v>4.0999999999999996</v>
      </c>
      <c r="J22" s="1611" t="s">
        <v>1002</v>
      </c>
      <c r="K22" s="1615">
        <v>0.25</v>
      </c>
      <c r="L22" s="1611" t="s">
        <v>1002</v>
      </c>
      <c r="M22" s="1624">
        <v>0.33</v>
      </c>
      <c r="N22" s="1611" t="s">
        <v>649</v>
      </c>
      <c r="O22" s="1661">
        <f>C22*$E$22*$I$22*$M$22*$K$22*$G$22</f>
        <v>37696360.531257652</v>
      </c>
      <c r="P22" s="1611" t="s">
        <v>1002</v>
      </c>
      <c r="Q22" s="1662">
        <v>9.9999999999999998E-13</v>
      </c>
      <c r="R22" s="1617" t="s">
        <v>649</v>
      </c>
      <c r="S22" s="1615">
        <f>O22*Q22</f>
        <v>3.7696360531257653E-5</v>
      </c>
      <c r="T22" s="1611" t="s">
        <v>1002</v>
      </c>
      <c r="U22" s="1610">
        <f>S31</f>
        <v>28</v>
      </c>
      <c r="V22" s="1611" t="s">
        <v>1002</v>
      </c>
      <c r="W22" s="1615">
        <f>12/44</f>
        <v>0.27272727272727271</v>
      </c>
      <c r="X22" s="1617" t="s">
        <v>649</v>
      </c>
      <c r="Y22" s="1628">
        <f>S22*U$22*W$22</f>
        <v>2.8786311678414932E-4</v>
      </c>
      <c r="Z22" s="1617" t="s">
        <v>649</v>
      </c>
      <c r="AA22" s="1663">
        <f>Y22*44/12</f>
        <v>1.0554980948752142E-3</v>
      </c>
      <c r="AB22" s="223"/>
      <c r="AC22" s="223"/>
      <c r="AD22" s="223"/>
      <c r="AE22" s="466"/>
      <c r="AF22" s="466"/>
      <c r="AG22" s="466"/>
      <c r="AH22" s="466"/>
      <c r="AI22" s="466"/>
      <c r="AJ22" s="466"/>
      <c r="AK22" s="466"/>
      <c r="AL22" s="466"/>
      <c r="AM22" s="466"/>
    </row>
    <row r="23" spans="1:39" ht="11.25" x14ac:dyDescent="0.2">
      <c r="B23" s="1630"/>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1631"/>
      <c r="Y23" s="1631"/>
      <c r="Z23" s="1631"/>
      <c r="AA23" s="1632"/>
      <c r="AB23" s="223"/>
      <c r="AC23" s="223"/>
      <c r="AD23" s="223"/>
    </row>
    <row r="24" spans="1:39" ht="11.25" x14ac:dyDescent="0.2">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row>
    <row r="25" spans="1:39" ht="11.25" x14ac:dyDescent="0.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row>
    <row r="26" spans="1:39" ht="11.25" x14ac:dyDescent="0.2">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row>
    <row r="28" spans="1:39" ht="12" x14ac:dyDescent="0.25">
      <c r="B28" s="2569" t="s">
        <v>1586</v>
      </c>
      <c r="C28" s="2504"/>
      <c r="D28" s="2504"/>
      <c r="E28" s="2504"/>
      <c r="F28" s="2504"/>
      <c r="G28" s="2504"/>
      <c r="H28" s="2504"/>
      <c r="I28" s="2504"/>
      <c r="J28" s="2504"/>
      <c r="K28" s="2504"/>
      <c r="L28" s="2504"/>
      <c r="M28" s="2504"/>
      <c r="N28" s="2504"/>
      <c r="R28" s="2501" t="s">
        <v>0</v>
      </c>
      <c r="S28" s="2502"/>
    </row>
    <row r="29" spans="1:39" ht="11.25" x14ac:dyDescent="0.2">
      <c r="R29" s="1382"/>
      <c r="S29" s="1382"/>
    </row>
    <row r="30" spans="1:39" ht="14.25" x14ac:dyDescent="0.3">
      <c r="B30" s="1664" t="s">
        <v>1587</v>
      </c>
      <c r="C30" s="1664">
        <v>2014</v>
      </c>
      <c r="R30" s="1383" t="s">
        <v>4</v>
      </c>
      <c r="S30" s="1384">
        <f>'Summ GHG Rpt Expanded'!$G4</f>
        <v>1</v>
      </c>
    </row>
    <row r="31" spans="1:39" ht="12.75" x14ac:dyDescent="0.25">
      <c r="B31" s="869" t="s">
        <v>1588</v>
      </c>
      <c r="C31" s="1665">
        <f>Y5</f>
        <v>0.53596716796349975</v>
      </c>
      <c r="D31" s="1666"/>
      <c r="R31" s="1383" t="s">
        <v>5</v>
      </c>
      <c r="S31" s="1384">
        <f>'Summ GHG Rpt Expanded'!$G5</f>
        <v>28</v>
      </c>
    </row>
    <row r="32" spans="1:39" ht="12.75" x14ac:dyDescent="0.25">
      <c r="B32" s="869" t="s">
        <v>1589</v>
      </c>
      <c r="C32" s="1667">
        <f>AM16</f>
        <v>0.14941809414115398</v>
      </c>
      <c r="D32" s="1666"/>
      <c r="R32" s="1383" t="s">
        <v>6</v>
      </c>
      <c r="S32" s="1384">
        <f>'Summ GHG Rpt Expanded'!$G6</f>
        <v>265</v>
      </c>
    </row>
    <row r="33" spans="2:24" ht="12.75" x14ac:dyDescent="0.25">
      <c r="B33" s="869" t="s">
        <v>1590</v>
      </c>
      <c r="C33" s="1665">
        <f>SUM(C34:C37)</f>
        <v>1.0554980948752142E-3</v>
      </c>
      <c r="D33" s="1666"/>
      <c r="R33" s="1383" t="s">
        <v>7</v>
      </c>
      <c r="S33" s="202">
        <f>'Summ GHG Rpt Expanded'!$G7</f>
        <v>23500</v>
      </c>
    </row>
    <row r="34" spans="2:24" ht="12.75" x14ac:dyDescent="0.25">
      <c r="B34" s="1668" t="s">
        <v>1591</v>
      </c>
      <c r="C34" s="1665">
        <v>0</v>
      </c>
      <c r="D34" s="1666"/>
      <c r="R34" s="1383" t="s">
        <v>8</v>
      </c>
      <c r="S34" s="202">
        <f>'Summ GHG Rpt Expanded'!$G8</f>
        <v>11100</v>
      </c>
    </row>
    <row r="35" spans="2:24" ht="12.75" x14ac:dyDescent="0.25">
      <c r="B35" s="1668" t="s">
        <v>1592</v>
      </c>
      <c r="C35" s="1665">
        <f>AA22</f>
        <v>1.0554980948752142E-3</v>
      </c>
      <c r="D35" s="1666"/>
    </row>
    <row r="36" spans="2:24" ht="12.75" x14ac:dyDescent="0.25">
      <c r="B36" s="1668" t="s">
        <v>1593</v>
      </c>
      <c r="C36" s="1665">
        <v>0</v>
      </c>
      <c r="D36" s="1666"/>
    </row>
    <row r="37" spans="2:24" ht="12.75" x14ac:dyDescent="0.25">
      <c r="B37" s="1668" t="s">
        <v>1594</v>
      </c>
      <c r="C37" s="1665">
        <v>0</v>
      </c>
      <c r="D37" s="1666"/>
    </row>
    <row r="38" spans="2:24" ht="14.25" x14ac:dyDescent="0.3">
      <c r="B38" s="1669" t="s">
        <v>1169</v>
      </c>
      <c r="C38" s="1670">
        <f>SUM(C31:C33)</f>
        <v>0.68644076019952893</v>
      </c>
      <c r="D38" s="1666"/>
    </row>
    <row r="39" spans="2:24" ht="11.25" x14ac:dyDescent="0.2">
      <c r="S39" s="1671">
        <f>SUM(C31:C33)</f>
        <v>0.68644076019952893</v>
      </c>
    </row>
    <row r="45" spans="2:24" ht="11.25" x14ac:dyDescent="0.2">
      <c r="C45" s="466" t="s">
        <v>1595</v>
      </c>
      <c r="D45" s="466"/>
      <c r="E45" s="466"/>
      <c r="F45" s="466"/>
      <c r="G45" s="466"/>
      <c r="H45" s="466"/>
      <c r="I45" s="466"/>
      <c r="J45" s="466"/>
      <c r="K45" s="466"/>
      <c r="L45" s="466"/>
      <c r="M45" s="466"/>
      <c r="N45" s="466"/>
      <c r="O45" s="466"/>
      <c r="P45" s="466"/>
      <c r="Q45" s="466"/>
      <c r="R45" s="466"/>
      <c r="S45" s="466"/>
      <c r="T45" s="466"/>
      <c r="U45" s="466"/>
      <c r="V45" s="466"/>
      <c r="W45" s="466"/>
      <c r="X45" s="466"/>
    </row>
  </sheetData>
  <sheetProtection algorithmName="SHA-512" hashValue="NMXL0A1c2vpT4YlszJ8zZSNMz6QKfW0gsngQyOFR/aYnjVhfF5IojPemKXIBoXql4AKrrM/N8gFePxp1qnTdvw==" saltValue="/AraOc9p7vY67ErSeGup/w==" spinCount="100000" sheet="1" objects="1" scenarios="1"/>
  <mergeCells count="3">
    <mergeCell ref="B3:I3"/>
    <mergeCell ref="B28:N28"/>
    <mergeCell ref="R28:S28"/>
  </mergeCells>
  <conditionalFormatting sqref="B28:N28">
    <cfRule type="cellIs" dxfId="1" priority="1" stopIfTrue="1" operator="equal">
      <formula>0</formula>
    </cfRule>
  </conditionalFormatting>
  <conditionalFormatting sqref="B28:N28">
    <cfRule type="cellIs" dxfId="0" priority="2" stopIfTrue="1" operator="notEqual">
      <formula>0</formula>
    </cfRule>
  </conditionalFormatting>
  <pageMargins left="0.75" right="0.75" top="1" bottom="1" header="0" footer="0"/>
  <pageSetup orientation="portrait"/>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C263"/>
  <sheetViews>
    <sheetView workbookViewId="0"/>
  </sheetViews>
  <sheetFormatPr defaultColWidth="16.83203125" defaultRowHeight="15" customHeight="1" x14ac:dyDescent="0.2"/>
  <cols>
    <col min="1" max="1" width="6" customWidth="1"/>
    <col min="2" max="2" width="34.33203125" customWidth="1"/>
    <col min="3" max="3" width="11" customWidth="1"/>
    <col min="4" max="4" width="3.83203125" customWidth="1"/>
    <col min="5" max="5" width="13.1640625" customWidth="1"/>
    <col min="6" max="6" width="3.83203125" customWidth="1"/>
    <col min="7" max="7" width="15" customWidth="1"/>
    <col min="8" max="8" width="3.83203125" customWidth="1"/>
    <col min="9" max="9" width="12.33203125" customWidth="1"/>
    <col min="10" max="10" width="3.83203125" customWidth="1"/>
    <col min="11" max="11" width="12.33203125" customWidth="1"/>
    <col min="12" max="12" width="3.83203125" customWidth="1"/>
    <col min="13" max="13" width="14.1640625" customWidth="1"/>
    <col min="14" max="14" width="8.6640625" customWidth="1"/>
    <col min="15" max="15" width="10.83203125" customWidth="1"/>
    <col min="16" max="16" width="3.83203125" customWidth="1"/>
    <col min="17" max="17" width="11" customWidth="1"/>
    <col min="18" max="18" width="3.83203125" customWidth="1"/>
    <col min="19" max="19" width="12.6640625" customWidth="1"/>
    <col min="20" max="20" width="3.83203125" customWidth="1"/>
    <col min="21" max="21" width="13" customWidth="1"/>
    <col min="22" max="22" width="3.83203125" customWidth="1"/>
    <col min="23" max="23" width="12.5" customWidth="1"/>
    <col min="24" max="24" width="2.83203125" customWidth="1"/>
    <col min="25" max="25" width="14" customWidth="1"/>
    <col min="26" max="26" width="8.83203125" customWidth="1"/>
    <col min="27" max="27" width="10.6640625" customWidth="1"/>
    <col min="28" max="28" width="2.83203125" customWidth="1"/>
    <col min="29" max="29" width="10.6640625" customWidth="1"/>
    <col min="30" max="30" width="2.83203125" customWidth="1"/>
    <col min="31" max="31" width="10.5" customWidth="1"/>
    <col min="32" max="81" width="8.83203125" customWidth="1"/>
  </cols>
  <sheetData>
    <row r="1" spans="1:81" ht="33" x14ac:dyDescent="0.45">
      <c r="A1" s="9" t="s">
        <v>1596</v>
      </c>
      <c r="E1" s="482"/>
    </row>
    <row r="2" spans="1:81" ht="351" customHeight="1" x14ac:dyDescent="0.25">
      <c r="A2" s="466"/>
      <c r="B2" s="2573"/>
      <c r="C2" s="2504"/>
      <c r="D2" s="2504"/>
      <c r="E2" s="2504"/>
      <c r="F2" s="2504"/>
      <c r="G2" s="2504"/>
      <c r="H2" s="2504"/>
      <c r="I2" s="2504"/>
      <c r="J2" s="2504"/>
      <c r="K2" s="2504"/>
      <c r="L2" s="2504"/>
      <c r="M2" s="2504"/>
      <c r="N2" s="2504"/>
      <c r="O2" s="2504"/>
      <c r="P2" s="2504"/>
      <c r="Q2" s="2504"/>
      <c r="R2" s="2504"/>
      <c r="S2" s="2504"/>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row>
    <row r="3" spans="1:81" ht="19.5" x14ac:dyDescent="0.4">
      <c r="B3" s="1672" t="s">
        <v>1597</v>
      </c>
      <c r="C3" s="1673"/>
      <c r="D3" s="1673"/>
      <c r="E3" s="1673"/>
      <c r="F3" s="1673"/>
      <c r="G3" s="1673"/>
      <c r="H3" s="1673"/>
      <c r="I3" s="1673"/>
      <c r="J3" s="1673"/>
      <c r="K3" s="1673"/>
      <c r="L3" s="1673"/>
      <c r="M3" s="1674"/>
    </row>
    <row r="4" spans="1:81" ht="36.75" x14ac:dyDescent="0.2">
      <c r="B4" s="491"/>
      <c r="C4" s="1675" t="s">
        <v>1598</v>
      </c>
      <c r="D4" s="1675"/>
      <c r="E4" s="1675" t="s">
        <v>1599</v>
      </c>
      <c r="F4" s="1675"/>
      <c r="G4" s="1675" t="s">
        <v>1600</v>
      </c>
      <c r="H4" s="1676"/>
      <c r="I4" s="1675" t="s">
        <v>1601</v>
      </c>
      <c r="J4" s="1676"/>
      <c r="K4" s="1675" t="s">
        <v>1539</v>
      </c>
      <c r="L4" s="1676"/>
      <c r="M4" s="1677" t="s">
        <v>1602</v>
      </c>
      <c r="Y4" s="2501" t="s">
        <v>0</v>
      </c>
      <c r="Z4" s="2502"/>
    </row>
    <row r="5" spans="1:81" ht="11.25" x14ac:dyDescent="0.2">
      <c r="B5" s="1678" t="s">
        <v>1603</v>
      </c>
      <c r="C5" s="1679"/>
      <c r="D5" s="1680"/>
      <c r="E5" s="492"/>
      <c r="F5" s="492"/>
      <c r="G5" s="492"/>
      <c r="H5" s="492"/>
      <c r="I5" s="1681"/>
      <c r="J5" s="492"/>
      <c r="K5" s="492"/>
      <c r="L5" s="492"/>
      <c r="M5" s="495"/>
      <c r="Y5" s="1382"/>
      <c r="Z5" s="1382"/>
    </row>
    <row r="6" spans="1:81" ht="11.25" x14ac:dyDescent="0.2">
      <c r="B6" s="1682" t="s">
        <v>1604</v>
      </c>
      <c r="C6" s="1683">
        <v>50</v>
      </c>
      <c r="D6" s="1680" t="s">
        <v>1002</v>
      </c>
      <c r="E6" s="1684">
        <v>135.52796557564673</v>
      </c>
      <c r="F6" s="1680" t="s">
        <v>649</v>
      </c>
      <c r="G6" s="1685">
        <f t="shared" ref="G6:G9" si="0">C6*E6*1000</f>
        <v>6776398.278782337</v>
      </c>
      <c r="H6" s="1680" t="s">
        <v>649</v>
      </c>
      <c r="I6" s="1686">
        <f t="shared" ref="I6:I9" si="1">G6/1000*10^-6</f>
        <v>6.7763982787823369E-3</v>
      </c>
      <c r="J6" s="1680" t="s">
        <v>649</v>
      </c>
      <c r="K6" s="1687">
        <f t="shared" ref="K6:K9" si="2">(I6*$Z$7)*(12/44)</f>
        <v>5.1747041401610572E-2</v>
      </c>
      <c r="L6" s="1680" t="s">
        <v>649</v>
      </c>
      <c r="M6" s="1688">
        <f t="shared" ref="M6:M9" si="3">K6/(12/44)</f>
        <v>0.18973915180590545</v>
      </c>
      <c r="Y6" s="1383" t="s">
        <v>4</v>
      </c>
      <c r="Z6" s="1384">
        <f>'Summ GHG Rpt Expanded'!$G4</f>
        <v>1</v>
      </c>
    </row>
    <row r="7" spans="1:81" ht="11.25" x14ac:dyDescent="0.2">
      <c r="B7" s="1682" t="s">
        <v>1605</v>
      </c>
      <c r="C7" s="1689">
        <v>25</v>
      </c>
      <c r="D7" s="1680" t="s">
        <v>1002</v>
      </c>
      <c r="E7" s="1684">
        <v>72.025911131270846</v>
      </c>
      <c r="F7" s="1680" t="s">
        <v>649</v>
      </c>
      <c r="G7" s="1685">
        <f t="shared" si="0"/>
        <v>1800647.7782817711</v>
      </c>
      <c r="H7" s="1680" t="s">
        <v>649</v>
      </c>
      <c r="I7" s="1686">
        <f t="shared" si="1"/>
        <v>1.8006477782817709E-3</v>
      </c>
      <c r="J7" s="1680" t="s">
        <v>649</v>
      </c>
      <c r="K7" s="1687">
        <f t="shared" si="2"/>
        <v>1.3750401215969885E-2</v>
      </c>
      <c r="L7" s="1680" t="s">
        <v>649</v>
      </c>
      <c r="M7" s="1688">
        <f t="shared" si="3"/>
        <v>5.0418137791889583E-2</v>
      </c>
      <c r="Y7" s="1383" t="s">
        <v>5</v>
      </c>
      <c r="Z7" s="1384">
        <f>'Summ GHG Rpt Expanded'!$G5</f>
        <v>28</v>
      </c>
    </row>
    <row r="8" spans="1:81" ht="11.25" x14ac:dyDescent="0.2">
      <c r="B8" s="1682" t="s">
        <v>1606</v>
      </c>
      <c r="C8" s="1689">
        <v>0</v>
      </c>
      <c r="D8" s="1680" t="s">
        <v>1002</v>
      </c>
      <c r="E8" s="1684">
        <v>53.69953033484164</v>
      </c>
      <c r="F8" s="1680" t="s">
        <v>649</v>
      </c>
      <c r="G8" s="1685">
        <f t="shared" si="0"/>
        <v>0</v>
      </c>
      <c r="H8" s="1680" t="s">
        <v>649</v>
      </c>
      <c r="I8" s="1686">
        <f t="shared" si="1"/>
        <v>0</v>
      </c>
      <c r="J8" s="1680" t="s">
        <v>649</v>
      </c>
      <c r="K8" s="1687">
        <f t="shared" si="2"/>
        <v>0</v>
      </c>
      <c r="L8" s="1680" t="s">
        <v>649</v>
      </c>
      <c r="M8" s="1688">
        <f t="shared" si="3"/>
        <v>0</v>
      </c>
      <c r="Y8" s="1383" t="s">
        <v>6</v>
      </c>
      <c r="Z8" s="1384">
        <f>'Summ GHG Rpt Expanded'!$G6</f>
        <v>265</v>
      </c>
    </row>
    <row r="9" spans="1:81" ht="11.25" x14ac:dyDescent="0.2">
      <c r="B9" s="1682" t="s">
        <v>1607</v>
      </c>
      <c r="C9" s="1689">
        <v>0</v>
      </c>
      <c r="D9" s="1680" t="s">
        <v>1002</v>
      </c>
      <c r="E9" s="1684">
        <v>79.741615387843581</v>
      </c>
      <c r="F9" s="1680" t="s">
        <v>649</v>
      </c>
      <c r="G9" s="1685">
        <f t="shared" si="0"/>
        <v>0</v>
      </c>
      <c r="H9" s="1680" t="s">
        <v>649</v>
      </c>
      <c r="I9" s="1686">
        <f t="shared" si="1"/>
        <v>0</v>
      </c>
      <c r="J9" s="1680" t="s">
        <v>649</v>
      </c>
      <c r="K9" s="1687">
        <f t="shared" si="2"/>
        <v>0</v>
      </c>
      <c r="L9" s="1680" t="s">
        <v>649</v>
      </c>
      <c r="M9" s="1688">
        <f t="shared" si="3"/>
        <v>0</v>
      </c>
      <c r="Y9" s="1383" t="s">
        <v>7</v>
      </c>
      <c r="Z9" s="202">
        <f>'Summ GHG Rpt Expanded'!$G7</f>
        <v>23500</v>
      </c>
    </row>
    <row r="10" spans="1:81" ht="11.25" x14ac:dyDescent="0.2">
      <c r="B10" s="1678" t="s">
        <v>1608</v>
      </c>
      <c r="C10" s="1690"/>
      <c r="D10" s="1680"/>
      <c r="E10" s="1684"/>
      <c r="F10" s="1680"/>
      <c r="G10" s="1685"/>
      <c r="H10" s="1680"/>
      <c r="I10" s="1686"/>
      <c r="J10" s="1680"/>
      <c r="K10" s="1687"/>
      <c r="L10" s="1680"/>
      <c r="M10" s="1688"/>
      <c r="Y10" s="1383" t="s">
        <v>8</v>
      </c>
      <c r="Z10" s="202">
        <f>'Summ GHG Rpt Expanded'!$G8</f>
        <v>11100</v>
      </c>
    </row>
    <row r="11" spans="1:81" ht="11.25" x14ac:dyDescent="0.2">
      <c r="B11" s="1682" t="s">
        <v>1609</v>
      </c>
      <c r="C11" s="1689">
        <v>38</v>
      </c>
      <c r="D11" s="1680" t="s">
        <v>1002</v>
      </c>
      <c r="E11" s="1684">
        <v>85.595205370316165</v>
      </c>
      <c r="F11" s="1680" t="s">
        <v>649</v>
      </c>
      <c r="G11" s="1685">
        <f t="shared" ref="G11:G19" si="4">C11*E11*1000</f>
        <v>3252617.8040720141</v>
      </c>
      <c r="H11" s="1680" t="s">
        <v>649</v>
      </c>
      <c r="I11" s="1686">
        <f t="shared" ref="I11:I19" si="5">G11/1000*10^-6</f>
        <v>3.252617804072014E-3</v>
      </c>
      <c r="J11" s="1680" t="s">
        <v>649</v>
      </c>
      <c r="K11" s="1687">
        <f t="shared" ref="K11:K19" si="6">(I11*$Z$7)*(12/44)</f>
        <v>2.483817232200447E-2</v>
      </c>
      <c r="L11" s="1680" t="s">
        <v>649</v>
      </c>
      <c r="M11" s="1688">
        <f t="shared" ref="M11:M19" si="7">K11/(12/44)</f>
        <v>9.1073298514016396E-2</v>
      </c>
    </row>
    <row r="12" spans="1:81" ht="11.25" x14ac:dyDescent="0.2">
      <c r="B12" s="1682" t="s">
        <v>1610</v>
      </c>
      <c r="C12" s="1689">
        <v>10</v>
      </c>
      <c r="D12" s="1680" t="s">
        <v>1002</v>
      </c>
      <c r="E12" s="1684">
        <v>59.188893394935164</v>
      </c>
      <c r="F12" s="1680" t="s">
        <v>649</v>
      </c>
      <c r="G12" s="1685">
        <f t="shared" si="4"/>
        <v>591888.93394935166</v>
      </c>
      <c r="H12" s="1680" t="s">
        <v>649</v>
      </c>
      <c r="I12" s="1686">
        <f t="shared" si="5"/>
        <v>5.9188893394935161E-4</v>
      </c>
      <c r="J12" s="1680" t="s">
        <v>649</v>
      </c>
      <c r="K12" s="1687">
        <f t="shared" si="6"/>
        <v>4.519879131976867E-3</v>
      </c>
      <c r="L12" s="1680" t="s">
        <v>649</v>
      </c>
      <c r="M12" s="1688">
        <f t="shared" si="7"/>
        <v>1.6572890150581845E-2</v>
      </c>
    </row>
    <row r="13" spans="1:81" ht="11.25" x14ac:dyDescent="0.2">
      <c r="B13" s="1682" t="s">
        <v>1606</v>
      </c>
      <c r="C13" s="1689">
        <v>0</v>
      </c>
      <c r="D13" s="1680" t="s">
        <v>1002</v>
      </c>
      <c r="E13" s="1684">
        <v>53.442625254783813</v>
      </c>
      <c r="F13" s="1680" t="s">
        <v>649</v>
      </c>
      <c r="G13" s="1685">
        <f t="shared" si="4"/>
        <v>0</v>
      </c>
      <c r="H13" s="1680" t="s">
        <v>649</v>
      </c>
      <c r="I13" s="1686">
        <f t="shared" si="5"/>
        <v>0</v>
      </c>
      <c r="J13" s="1680" t="s">
        <v>649</v>
      </c>
      <c r="K13" s="1687">
        <f t="shared" si="6"/>
        <v>0</v>
      </c>
      <c r="L13" s="1680" t="s">
        <v>649</v>
      </c>
      <c r="M13" s="1688">
        <f t="shared" si="7"/>
        <v>0</v>
      </c>
    </row>
    <row r="14" spans="1:81" ht="11.25" x14ac:dyDescent="0.2">
      <c r="B14" s="1682" t="s">
        <v>1607</v>
      </c>
      <c r="C14" s="1689">
        <v>0</v>
      </c>
      <c r="D14" s="1680" t="s">
        <v>1002</v>
      </c>
      <c r="E14" s="1684">
        <v>61.566795443796686</v>
      </c>
      <c r="F14" s="1680" t="s">
        <v>649</v>
      </c>
      <c r="G14" s="1685">
        <f t="shared" si="4"/>
        <v>0</v>
      </c>
      <c r="H14" s="1680" t="s">
        <v>649</v>
      </c>
      <c r="I14" s="1686">
        <f t="shared" si="5"/>
        <v>0</v>
      </c>
      <c r="J14" s="1680" t="s">
        <v>649</v>
      </c>
      <c r="K14" s="1687">
        <f t="shared" si="6"/>
        <v>0</v>
      </c>
      <c r="L14" s="1680" t="s">
        <v>649</v>
      </c>
      <c r="M14" s="1688">
        <f t="shared" si="7"/>
        <v>0</v>
      </c>
    </row>
    <row r="15" spans="1:81" ht="11.25" x14ac:dyDescent="0.2">
      <c r="B15" s="1682" t="s">
        <v>1611</v>
      </c>
      <c r="C15" s="1689">
        <v>8</v>
      </c>
      <c r="D15" s="1680" t="s">
        <v>1002</v>
      </c>
      <c r="E15" s="1684">
        <v>28.537676403724976</v>
      </c>
      <c r="F15" s="1680" t="s">
        <v>649</v>
      </c>
      <c r="G15" s="1685">
        <f t="shared" si="4"/>
        <v>228301.41122979982</v>
      </c>
      <c r="H15" s="1680" t="s">
        <v>649</v>
      </c>
      <c r="I15" s="1686">
        <f t="shared" si="5"/>
        <v>2.2830141122979981E-4</v>
      </c>
      <c r="J15" s="1680" t="s">
        <v>649</v>
      </c>
      <c r="K15" s="1687">
        <f t="shared" si="6"/>
        <v>1.7433925948457439E-3</v>
      </c>
      <c r="L15" s="1680" t="s">
        <v>649</v>
      </c>
      <c r="M15" s="1688">
        <f t="shared" si="7"/>
        <v>6.392439514434395E-3</v>
      </c>
    </row>
    <row r="16" spans="1:81" ht="11.25" x14ac:dyDescent="0.2">
      <c r="B16" s="1682" t="s">
        <v>1612</v>
      </c>
      <c r="C16" s="1689">
        <v>15</v>
      </c>
      <c r="D16" s="1680" t="s">
        <v>1002</v>
      </c>
      <c r="E16" s="1684">
        <v>57.341151515894396</v>
      </c>
      <c r="F16" s="1680" t="s">
        <v>649</v>
      </c>
      <c r="G16" s="1685">
        <f t="shared" si="4"/>
        <v>860117.27273841598</v>
      </c>
      <c r="H16" s="1680" t="s">
        <v>649</v>
      </c>
      <c r="I16" s="1686">
        <f t="shared" si="5"/>
        <v>8.6011727273841592E-4</v>
      </c>
      <c r="J16" s="1680" t="s">
        <v>649</v>
      </c>
      <c r="K16" s="1687">
        <f t="shared" si="6"/>
        <v>6.5681682645479028E-3</v>
      </c>
      <c r="L16" s="1680" t="s">
        <v>649</v>
      </c>
      <c r="M16" s="1688">
        <f t="shared" si="7"/>
        <v>2.4083283636675647E-2</v>
      </c>
    </row>
    <row r="17" spans="2:24" ht="11.25" x14ac:dyDescent="0.2">
      <c r="B17" s="1682" t="s">
        <v>1613</v>
      </c>
      <c r="C17" s="1691">
        <v>3.9119999999999999</v>
      </c>
      <c r="D17" s="1680" t="s">
        <v>1002</v>
      </c>
      <c r="E17" s="1684">
        <v>57.017959375650115</v>
      </c>
      <c r="F17" s="1680" t="s">
        <v>649</v>
      </c>
      <c r="G17" s="1685">
        <f t="shared" si="4"/>
        <v>223054.25707754324</v>
      </c>
      <c r="H17" s="1680" t="s">
        <v>649</v>
      </c>
      <c r="I17" s="1686">
        <f t="shared" si="5"/>
        <v>2.2305425707754324E-4</v>
      </c>
      <c r="J17" s="1680" t="s">
        <v>649</v>
      </c>
      <c r="K17" s="1687">
        <f t="shared" si="6"/>
        <v>1.7033234176830575E-3</v>
      </c>
      <c r="L17" s="1680" t="s">
        <v>649</v>
      </c>
      <c r="M17" s="1688">
        <f t="shared" si="7"/>
        <v>6.2455191981712109E-3</v>
      </c>
    </row>
    <row r="18" spans="2:24" ht="11.25" x14ac:dyDescent="0.2">
      <c r="B18" s="1682" t="s">
        <v>1614</v>
      </c>
      <c r="C18" s="1691">
        <v>7.3949999999999996</v>
      </c>
      <c r="D18" s="1680" t="s">
        <v>1002</v>
      </c>
      <c r="E18" s="1684">
        <v>56.856488705063306</v>
      </c>
      <c r="F18" s="1680" t="s">
        <v>649</v>
      </c>
      <c r="G18" s="1685">
        <f t="shared" si="4"/>
        <v>420453.73397394316</v>
      </c>
      <c r="H18" s="1680" t="s">
        <v>649</v>
      </c>
      <c r="I18" s="1686">
        <f t="shared" si="5"/>
        <v>4.2045373397394314E-4</v>
      </c>
      <c r="J18" s="1680" t="s">
        <v>649</v>
      </c>
      <c r="K18" s="1687">
        <f t="shared" si="6"/>
        <v>3.210737604891929E-3</v>
      </c>
      <c r="L18" s="1680" t="s">
        <v>649</v>
      </c>
      <c r="M18" s="1688">
        <f t="shared" si="7"/>
        <v>1.1772704551270408E-2</v>
      </c>
    </row>
    <row r="19" spans="2:24" ht="11.25" x14ac:dyDescent="0.2">
      <c r="B19" s="1682" t="s">
        <v>1615</v>
      </c>
      <c r="C19" s="1689">
        <v>4</v>
      </c>
      <c r="D19" s="1680" t="s">
        <v>1002</v>
      </c>
      <c r="E19" s="1684">
        <v>53</v>
      </c>
      <c r="F19" s="1680" t="s">
        <v>649</v>
      </c>
      <c r="G19" s="1685">
        <f t="shared" si="4"/>
        <v>212000</v>
      </c>
      <c r="H19" s="1680" t="s">
        <v>649</v>
      </c>
      <c r="I19" s="1686">
        <f t="shared" si="5"/>
        <v>2.12E-4</v>
      </c>
      <c r="J19" s="1680" t="s">
        <v>649</v>
      </c>
      <c r="K19" s="1687">
        <f t="shared" si="6"/>
        <v>1.6189090909090908E-3</v>
      </c>
      <c r="L19" s="1680" t="s">
        <v>649</v>
      </c>
      <c r="M19" s="1688">
        <f t="shared" si="7"/>
        <v>5.9360000000000003E-3</v>
      </c>
    </row>
    <row r="20" spans="2:24" ht="11.25" x14ac:dyDescent="0.2">
      <c r="B20" s="1678" t="s">
        <v>555</v>
      </c>
      <c r="C20" s="1692"/>
      <c r="D20" s="1680"/>
      <c r="E20" s="1684"/>
      <c r="F20" s="1680"/>
      <c r="G20" s="1685"/>
      <c r="H20" s="1680"/>
      <c r="I20" s="1686"/>
      <c r="J20" s="1680"/>
      <c r="K20" s="1687"/>
      <c r="L20" s="1680"/>
      <c r="M20" s="1688"/>
    </row>
    <row r="21" spans="2:24" ht="11.25" x14ac:dyDescent="0.2">
      <c r="B21" s="1682" t="s">
        <v>1616</v>
      </c>
      <c r="C21" s="1691">
        <v>24</v>
      </c>
      <c r="D21" s="1680" t="s">
        <v>1002</v>
      </c>
      <c r="E21" s="1684">
        <v>8</v>
      </c>
      <c r="F21" s="1680" t="s">
        <v>649</v>
      </c>
      <c r="G21" s="1685">
        <f t="shared" ref="G21:G24" si="8">C21*E21*1000</f>
        <v>192000</v>
      </c>
      <c r="H21" s="1680" t="s">
        <v>649</v>
      </c>
      <c r="I21" s="1686">
        <f t="shared" ref="I21:I24" si="9">G21/1000*10^-6</f>
        <v>1.92E-4</v>
      </c>
      <c r="J21" s="1680" t="s">
        <v>649</v>
      </c>
      <c r="K21" s="1687">
        <f t="shared" ref="K21:K24" si="10">(I21*$Z$7)*(12/44)</f>
        <v>1.4661818181818183E-3</v>
      </c>
      <c r="L21" s="1680" t="s">
        <v>649</v>
      </c>
      <c r="M21" s="1688">
        <f t="shared" ref="M21:M24" si="11">K21/(12/44)</f>
        <v>5.3760000000000006E-3</v>
      </c>
    </row>
    <row r="22" spans="2:24" ht="11.25" x14ac:dyDescent="0.2">
      <c r="B22" s="1682" t="s">
        <v>1617</v>
      </c>
      <c r="C22" s="1689">
        <v>13</v>
      </c>
      <c r="D22" s="1680" t="s">
        <v>1002</v>
      </c>
      <c r="E22" s="1684">
        <v>5</v>
      </c>
      <c r="F22" s="1680" t="s">
        <v>649</v>
      </c>
      <c r="G22" s="1685">
        <f t="shared" si="8"/>
        <v>65000</v>
      </c>
      <c r="H22" s="1680" t="s">
        <v>649</v>
      </c>
      <c r="I22" s="1686">
        <f t="shared" si="9"/>
        <v>6.4999999999999994E-5</v>
      </c>
      <c r="J22" s="1680" t="s">
        <v>649</v>
      </c>
      <c r="K22" s="1687">
        <f t="shared" si="10"/>
        <v>4.9636363636363626E-4</v>
      </c>
      <c r="L22" s="1680" t="s">
        <v>649</v>
      </c>
      <c r="M22" s="1688">
        <f t="shared" si="11"/>
        <v>1.8199999999999998E-3</v>
      </c>
    </row>
    <row r="23" spans="2:24" ht="11.25" x14ac:dyDescent="0.2">
      <c r="B23" s="1682" t="s">
        <v>1618</v>
      </c>
      <c r="C23" s="1689">
        <v>21</v>
      </c>
      <c r="D23" s="1680" t="s">
        <v>1002</v>
      </c>
      <c r="E23" s="1684">
        <v>1.5</v>
      </c>
      <c r="F23" s="1680" t="s">
        <v>649</v>
      </c>
      <c r="G23" s="1685">
        <f t="shared" si="8"/>
        <v>31500</v>
      </c>
      <c r="H23" s="1680" t="s">
        <v>649</v>
      </c>
      <c r="I23" s="1686">
        <f t="shared" si="9"/>
        <v>3.15E-5</v>
      </c>
      <c r="J23" s="1680" t="s">
        <v>649</v>
      </c>
      <c r="K23" s="1687">
        <f t="shared" si="10"/>
        <v>2.4054545454545452E-4</v>
      </c>
      <c r="L23" s="1680" t="s">
        <v>649</v>
      </c>
      <c r="M23" s="1688">
        <f t="shared" si="11"/>
        <v>8.8199999999999997E-4</v>
      </c>
    </row>
    <row r="24" spans="2:24" ht="11.25" x14ac:dyDescent="0.2">
      <c r="B24" s="1682" t="s">
        <v>1619</v>
      </c>
      <c r="C24" s="1691">
        <v>80</v>
      </c>
      <c r="D24" s="1680" t="s">
        <v>1002</v>
      </c>
      <c r="E24" s="1684">
        <v>18</v>
      </c>
      <c r="F24" s="1680" t="s">
        <v>649</v>
      </c>
      <c r="G24" s="1685">
        <f t="shared" si="8"/>
        <v>1440000</v>
      </c>
      <c r="H24" s="1680" t="s">
        <v>649</v>
      </c>
      <c r="I24" s="1686">
        <f t="shared" si="9"/>
        <v>1.4399999999999999E-3</v>
      </c>
      <c r="J24" s="1680" t="s">
        <v>649</v>
      </c>
      <c r="K24" s="1687">
        <f t="shared" si="10"/>
        <v>1.0996363636363634E-2</v>
      </c>
      <c r="L24" s="1680" t="s">
        <v>649</v>
      </c>
      <c r="M24" s="1688">
        <f t="shared" si="11"/>
        <v>4.0319999999999995E-2</v>
      </c>
    </row>
    <row r="25" spans="2:24" ht="11.25" x14ac:dyDescent="0.2">
      <c r="B25" s="1693" t="s">
        <v>1620</v>
      </c>
      <c r="C25" s="1694"/>
      <c r="D25" s="1695"/>
      <c r="E25" s="1695"/>
      <c r="F25" s="1695"/>
      <c r="G25" s="1696">
        <f>SUM(G6:G24)</f>
        <v>16093979.470105177</v>
      </c>
      <c r="H25" s="1697"/>
      <c r="I25" s="1698">
        <f>SUM(I6:I24)</f>
        <v>1.6093979470105178E-2</v>
      </c>
      <c r="J25" s="1697"/>
      <c r="K25" s="1699">
        <f>SUM(K6:K24)</f>
        <v>0.12289947958989407</v>
      </c>
      <c r="L25" s="1700"/>
      <c r="M25" s="1701">
        <f>SUM(M6:M24)</f>
        <v>0.45063142516294497</v>
      </c>
    </row>
    <row r="26" spans="2:24" ht="11.25" x14ac:dyDescent="0.2">
      <c r="B26" s="1702"/>
      <c r="C26" s="977"/>
      <c r="D26" s="1119"/>
      <c r="E26" s="1119"/>
      <c r="F26" s="1119"/>
      <c r="G26" s="1703"/>
      <c r="H26" s="873"/>
      <c r="I26" s="1704"/>
      <c r="J26" s="873"/>
      <c r="K26" s="1705"/>
      <c r="L26" s="466"/>
      <c r="M26" s="1705"/>
    </row>
    <row r="27" spans="2:24" ht="11.25" x14ac:dyDescent="0.2">
      <c r="B27" s="1702"/>
      <c r="C27" s="977"/>
      <c r="D27" s="1119"/>
      <c r="E27" s="1119"/>
      <c r="F27" s="1119"/>
      <c r="G27" s="1703"/>
      <c r="H27" s="873"/>
      <c r="I27" s="1704"/>
      <c r="J27" s="873"/>
      <c r="K27" s="1705"/>
      <c r="L27" s="466"/>
      <c r="M27" s="1705"/>
    </row>
    <row r="28" spans="2:24" ht="11.25" x14ac:dyDescent="0.2">
      <c r="B28" s="1706"/>
      <c r="C28" s="1707"/>
      <c r="D28" s="1708"/>
      <c r="E28" s="1708"/>
      <c r="F28" s="1708"/>
      <c r="G28" s="1709"/>
      <c r="H28" s="1710"/>
      <c r="I28" s="1711"/>
      <c r="J28" s="1710"/>
      <c r="K28" s="1712"/>
      <c r="L28" s="578"/>
      <c r="M28" s="1712"/>
      <c r="N28" s="578"/>
      <c r="O28" s="578"/>
      <c r="P28" s="578"/>
      <c r="Q28" s="578"/>
      <c r="R28" s="578"/>
      <c r="S28" s="578"/>
      <c r="T28" s="578"/>
      <c r="U28" s="578"/>
      <c r="V28" s="578"/>
      <c r="W28" s="578"/>
    </row>
    <row r="29" spans="2:24" ht="19.5" x14ac:dyDescent="0.4">
      <c r="B29" s="1672" t="s">
        <v>1621</v>
      </c>
      <c r="C29" s="1713"/>
      <c r="D29" s="1714"/>
      <c r="E29" s="1714"/>
      <c r="F29" s="1714"/>
      <c r="G29" s="1715"/>
      <c r="H29" s="1716"/>
      <c r="I29" s="1717"/>
      <c r="J29" s="1716"/>
      <c r="K29" s="1718"/>
      <c r="L29" s="1673"/>
      <c r="M29" s="1718"/>
      <c r="N29" s="1673"/>
      <c r="O29" s="1673"/>
      <c r="P29" s="1673"/>
      <c r="Q29" s="1673"/>
      <c r="R29" s="1673"/>
      <c r="S29" s="1673"/>
      <c r="T29" s="1673"/>
      <c r="U29" s="1673"/>
      <c r="V29" s="1673"/>
      <c r="W29" s="1674"/>
      <c r="X29" s="466"/>
    </row>
    <row r="30" spans="2:24" ht="45.75" x14ac:dyDescent="0.2">
      <c r="B30" s="1719"/>
      <c r="C30" s="1720" t="s">
        <v>1622</v>
      </c>
      <c r="D30" s="1721"/>
      <c r="E30" s="1720" t="s">
        <v>1623</v>
      </c>
      <c r="F30" s="1720"/>
      <c r="G30" s="1722" t="s">
        <v>1624</v>
      </c>
      <c r="H30" s="1722"/>
      <c r="I30" s="1720" t="s">
        <v>1625</v>
      </c>
      <c r="J30" s="1697"/>
      <c r="K30" s="1720" t="s">
        <v>1626</v>
      </c>
      <c r="L30" s="1720"/>
      <c r="M30" s="1720" t="s">
        <v>1627</v>
      </c>
      <c r="N30" s="1720"/>
      <c r="O30" s="1720" t="s">
        <v>1628</v>
      </c>
      <c r="P30" s="1720"/>
      <c r="Q30" s="1720" t="s">
        <v>1629</v>
      </c>
      <c r="R30" s="1720"/>
      <c r="S30" s="1720" t="s">
        <v>1630</v>
      </c>
      <c r="T30" s="1720"/>
      <c r="U30" s="1720" t="s">
        <v>1631</v>
      </c>
      <c r="V30" s="1720"/>
      <c r="W30" s="1723" t="s">
        <v>1632</v>
      </c>
    </row>
    <row r="31" spans="2:24" x14ac:dyDescent="0.2">
      <c r="B31" s="1724" t="s">
        <v>1603</v>
      </c>
      <c r="C31" s="1725"/>
      <c r="D31" s="1726"/>
      <c r="E31" s="1727"/>
      <c r="F31" s="1726"/>
      <c r="G31" s="1726"/>
      <c r="H31" s="1726"/>
      <c r="I31" s="1725"/>
      <c r="J31" s="1725"/>
      <c r="K31" s="1725"/>
      <c r="L31" s="1725"/>
      <c r="M31" s="1728"/>
      <c r="N31" s="1725"/>
      <c r="O31" s="1729"/>
      <c r="P31" s="1730"/>
      <c r="Q31" s="1731"/>
      <c r="R31" s="1725"/>
      <c r="S31" s="1725"/>
      <c r="T31" s="1725"/>
      <c r="U31" s="1725"/>
      <c r="V31" s="1725"/>
      <c r="W31" s="1732"/>
    </row>
    <row r="32" spans="2:24" ht="11.25" x14ac:dyDescent="0.2">
      <c r="B32" s="1682" t="s">
        <v>1604</v>
      </c>
      <c r="C32" s="1733">
        <v>50</v>
      </c>
      <c r="D32" s="1680" t="s">
        <v>1002</v>
      </c>
      <c r="E32" s="1734">
        <v>680</v>
      </c>
      <c r="F32" s="1680" t="s">
        <v>1002</v>
      </c>
      <c r="G32" s="1684">
        <v>9.9102243378572403</v>
      </c>
      <c r="H32" s="1680" t="s">
        <v>649</v>
      </c>
      <c r="I32" s="1735">
        <f t="shared" ref="I32:I33" si="12">C32*E32*G32*365</f>
        <v>122985884.03280835</v>
      </c>
      <c r="J32" s="1680" t="s">
        <v>1002</v>
      </c>
      <c r="K32" s="1736">
        <v>0.24</v>
      </c>
      <c r="L32" s="1737" t="s">
        <v>1002</v>
      </c>
      <c r="M32" s="1738">
        <v>0.11818290022824871</v>
      </c>
      <c r="N32" s="1737" t="s">
        <v>649</v>
      </c>
      <c r="O32" s="1735">
        <f t="shared" ref="O32:O33" si="13">(I32*K32)*M32</f>
        <v>3488358.8309117649</v>
      </c>
      <c r="P32" s="1680" t="s">
        <v>649</v>
      </c>
      <c r="Q32" s="1739">
        <f t="shared" ref="Q32:Q33" si="14">O32*0.000662</f>
        <v>2309.2935460635886</v>
      </c>
      <c r="R32" s="1680" t="s">
        <v>649</v>
      </c>
      <c r="S32" s="1740">
        <f t="shared" ref="S32:S33" si="15">Q32/1000000</f>
        <v>2.3092935460635885E-3</v>
      </c>
      <c r="T32" s="1680" t="s">
        <v>649</v>
      </c>
      <c r="U32" s="1740">
        <f t="shared" ref="U32:U33" si="16">(S32*$Z$7)*12/44</f>
        <v>1.7634605260849222E-2</v>
      </c>
      <c r="V32" s="1680" t="s">
        <v>649</v>
      </c>
      <c r="W32" s="1741">
        <f t="shared" ref="W32:W33" si="17">U32/(12/44)</f>
        <v>6.4660219289780482E-2</v>
      </c>
    </row>
    <row r="33" spans="2:23" ht="11.25" x14ac:dyDescent="0.2">
      <c r="B33" s="1742" t="s">
        <v>1605</v>
      </c>
      <c r="C33" s="1733">
        <v>25</v>
      </c>
      <c r="D33" s="1680" t="s">
        <v>1002</v>
      </c>
      <c r="E33" s="1734">
        <v>476</v>
      </c>
      <c r="F33" s="1680" t="s">
        <v>1002</v>
      </c>
      <c r="G33" s="1684">
        <v>8.4234562108475171</v>
      </c>
      <c r="H33" s="1680" t="s">
        <v>649</v>
      </c>
      <c r="I33" s="1735">
        <f t="shared" si="12"/>
        <v>36587282.051816188</v>
      </c>
      <c r="J33" s="1680" t="s">
        <v>1002</v>
      </c>
      <c r="K33" s="1736">
        <v>0.17</v>
      </c>
      <c r="L33" s="1737" t="s">
        <v>1002</v>
      </c>
      <c r="M33" s="1738">
        <v>1.2467660091668786E-2</v>
      </c>
      <c r="N33" s="1737" t="s">
        <v>649</v>
      </c>
      <c r="O33" s="1735">
        <f t="shared" si="13"/>
        <v>77546.825371009923</v>
      </c>
      <c r="P33" s="1680" t="s">
        <v>649</v>
      </c>
      <c r="Q33" s="1739">
        <f t="shared" si="14"/>
        <v>51.33599839560857</v>
      </c>
      <c r="R33" s="1680" t="s">
        <v>649</v>
      </c>
      <c r="S33" s="1740">
        <f t="shared" si="15"/>
        <v>5.1335998395608567E-5</v>
      </c>
      <c r="T33" s="1680" t="s">
        <v>649</v>
      </c>
      <c r="U33" s="1740">
        <f t="shared" si="16"/>
        <v>3.9202035138464727E-4</v>
      </c>
      <c r="V33" s="1680" t="s">
        <v>649</v>
      </c>
      <c r="W33" s="1741">
        <f t="shared" si="17"/>
        <v>1.4374079550770402E-3</v>
      </c>
    </row>
    <row r="34" spans="2:23" ht="11.25" x14ac:dyDescent="0.2">
      <c r="B34" s="1743" t="s">
        <v>1608</v>
      </c>
      <c r="C34" s="1744"/>
      <c r="D34" s="1680"/>
      <c r="E34" s="1734"/>
      <c r="F34" s="1680"/>
      <c r="G34" s="1684"/>
      <c r="H34" s="1680"/>
      <c r="I34" s="1735"/>
      <c r="J34" s="1680"/>
      <c r="K34" s="1736"/>
      <c r="L34" s="1680"/>
      <c r="M34" s="1680"/>
      <c r="N34" s="1680"/>
      <c r="O34" s="1735"/>
      <c r="P34" s="1680"/>
      <c r="Q34" s="1739"/>
      <c r="R34" s="1680"/>
      <c r="S34" s="1740"/>
      <c r="T34" s="1680"/>
      <c r="U34" s="1740"/>
      <c r="V34" s="1680"/>
      <c r="W34" s="1741"/>
    </row>
    <row r="35" spans="2:23" ht="11.25" x14ac:dyDescent="0.2">
      <c r="B35" s="1742" t="s">
        <v>1613</v>
      </c>
      <c r="C35" s="1745">
        <v>3.9119999999999999</v>
      </c>
      <c r="D35" s="1680" t="s">
        <v>1002</v>
      </c>
      <c r="E35" s="1734">
        <v>420</v>
      </c>
      <c r="F35" s="1680" t="s">
        <v>1002</v>
      </c>
      <c r="G35" s="1684">
        <v>4.4494891690016054</v>
      </c>
      <c r="H35" s="1680" t="s">
        <v>649</v>
      </c>
      <c r="I35" s="1735">
        <f t="shared" ref="I35:I42" si="18">C35*E35*G35*365</f>
        <v>2668401.369746285</v>
      </c>
      <c r="J35" s="1680" t="s">
        <v>1002</v>
      </c>
      <c r="K35" s="1736">
        <v>0.33</v>
      </c>
      <c r="L35" s="1680" t="s">
        <v>1002</v>
      </c>
      <c r="M35" s="1738">
        <v>1.3123459123854105E-2</v>
      </c>
      <c r="N35" s="1680" t="s">
        <v>649</v>
      </c>
      <c r="O35" s="1735">
        <f t="shared" ref="O35:O42" si="19">(I35*K35)*M35</f>
        <v>11556.156579627554</v>
      </c>
      <c r="P35" s="1680" t="s">
        <v>649</v>
      </c>
      <c r="Q35" s="1739">
        <f t="shared" ref="Q35:Q42" si="20">O35*0.000662</f>
        <v>7.6501756557134408</v>
      </c>
      <c r="R35" s="1746" t="s">
        <v>649</v>
      </c>
      <c r="S35" s="1740">
        <f t="shared" ref="S35:S42" si="21">Q35/1000000</f>
        <v>7.650175655713441E-6</v>
      </c>
      <c r="T35" s="1746" t="s">
        <v>649</v>
      </c>
      <c r="U35" s="1740">
        <f t="shared" ref="U35:U42" si="22">(S35*$Z$7)*12/44</f>
        <v>5.8419523189084461E-5</v>
      </c>
      <c r="V35" s="1746" t="s">
        <v>649</v>
      </c>
      <c r="W35" s="1741">
        <f t="shared" ref="W35:W42" si="23">U35/(12/44)</f>
        <v>2.1420491835997637E-4</v>
      </c>
    </row>
    <row r="36" spans="2:23" ht="11.25" x14ac:dyDescent="0.2">
      <c r="B36" s="1742" t="s">
        <v>1614</v>
      </c>
      <c r="C36" s="1745">
        <v>7.3949999999999996</v>
      </c>
      <c r="D36" s="1680" t="s">
        <v>1002</v>
      </c>
      <c r="E36" s="1734">
        <v>420</v>
      </c>
      <c r="F36" s="1680" t="s">
        <v>1002</v>
      </c>
      <c r="G36" s="1684">
        <v>4.0511716824525843</v>
      </c>
      <c r="H36" s="1680" t="s">
        <v>649</v>
      </c>
      <c r="I36" s="1735">
        <f t="shared" si="18"/>
        <v>4592624.9569132598</v>
      </c>
      <c r="J36" s="1680" t="s">
        <v>1002</v>
      </c>
      <c r="K36" s="1736">
        <v>0.33</v>
      </c>
      <c r="L36" s="1680" t="s">
        <v>1002</v>
      </c>
      <c r="M36" s="1738">
        <v>1.2974017738876182E-2</v>
      </c>
      <c r="N36" s="1680" t="s">
        <v>649</v>
      </c>
      <c r="O36" s="1735">
        <f t="shared" si="19"/>
        <v>19662.983227469373</v>
      </c>
      <c r="P36" s="1680" t="s">
        <v>649</v>
      </c>
      <c r="Q36" s="1739">
        <f t="shared" si="20"/>
        <v>13.016894896584725</v>
      </c>
      <c r="R36" s="1746" t="s">
        <v>649</v>
      </c>
      <c r="S36" s="1740">
        <f t="shared" si="21"/>
        <v>1.3016894896584725E-5</v>
      </c>
      <c r="T36" s="1746" t="s">
        <v>649</v>
      </c>
      <c r="U36" s="1740">
        <f t="shared" si="22"/>
        <v>9.9401742846646994E-5</v>
      </c>
      <c r="V36" s="1746" t="s">
        <v>649</v>
      </c>
      <c r="W36" s="1741">
        <f t="shared" si="23"/>
        <v>3.6447305710437232E-4</v>
      </c>
    </row>
    <row r="37" spans="2:23" ht="11.25" x14ac:dyDescent="0.2">
      <c r="B37" s="1742" t="s">
        <v>1615</v>
      </c>
      <c r="C37" s="1733">
        <v>4</v>
      </c>
      <c r="D37" s="1680" t="s">
        <v>1002</v>
      </c>
      <c r="E37" s="1734">
        <v>750</v>
      </c>
      <c r="F37" s="1680" t="s">
        <v>1002</v>
      </c>
      <c r="G37" s="1684">
        <v>6.04</v>
      </c>
      <c r="H37" s="1680" t="s">
        <v>649</v>
      </c>
      <c r="I37" s="1735">
        <f t="shared" si="18"/>
        <v>6613800</v>
      </c>
      <c r="J37" s="1680" t="s">
        <v>1002</v>
      </c>
      <c r="K37" s="1736">
        <v>0.17</v>
      </c>
      <c r="L37" s="1680" t="s">
        <v>1002</v>
      </c>
      <c r="M37" s="1738">
        <v>1.0999999999999999E-2</v>
      </c>
      <c r="N37" s="1680" t="s">
        <v>649</v>
      </c>
      <c r="O37" s="1735">
        <f t="shared" si="19"/>
        <v>12367.805999999999</v>
      </c>
      <c r="P37" s="1680" t="s">
        <v>649</v>
      </c>
      <c r="Q37" s="1739">
        <f t="shared" si="20"/>
        <v>8.1874875720000002</v>
      </c>
      <c r="R37" s="1746" t="s">
        <v>649</v>
      </c>
      <c r="S37" s="1740">
        <f t="shared" si="21"/>
        <v>8.187487572000001E-6</v>
      </c>
      <c r="T37" s="1746" t="s">
        <v>649</v>
      </c>
      <c r="U37" s="1740">
        <f t="shared" si="22"/>
        <v>6.2522632368000001E-5</v>
      </c>
      <c r="V37" s="1746" t="s">
        <v>649</v>
      </c>
      <c r="W37" s="1741">
        <f t="shared" si="23"/>
        <v>2.2924965201600003E-4</v>
      </c>
    </row>
    <row r="38" spans="2:23" ht="11.25" x14ac:dyDescent="0.2">
      <c r="B38" s="1742" t="s">
        <v>1633</v>
      </c>
      <c r="C38" s="1733">
        <v>33</v>
      </c>
      <c r="D38" s="1680" t="s">
        <v>1002</v>
      </c>
      <c r="E38" s="1734">
        <v>118</v>
      </c>
      <c r="F38" s="1680" t="s">
        <v>1002</v>
      </c>
      <c r="G38" s="1684">
        <v>6.41</v>
      </c>
      <c r="H38" s="1680" t="s">
        <v>649</v>
      </c>
      <c r="I38" s="1735">
        <f t="shared" si="18"/>
        <v>9110597.0999999996</v>
      </c>
      <c r="J38" s="1680" t="s">
        <v>1002</v>
      </c>
      <c r="K38" s="1736">
        <v>0.17</v>
      </c>
      <c r="L38" s="1680" t="s">
        <v>1002</v>
      </c>
      <c r="M38" s="1738">
        <v>1.0999999999999999E-2</v>
      </c>
      <c r="N38" s="1680" t="s">
        <v>649</v>
      </c>
      <c r="O38" s="1735">
        <f t="shared" si="19"/>
        <v>17036.816576999998</v>
      </c>
      <c r="P38" s="1680" t="s">
        <v>649</v>
      </c>
      <c r="Q38" s="1739">
        <f t="shared" si="20"/>
        <v>11.278372573974</v>
      </c>
      <c r="R38" s="1746" t="s">
        <v>649</v>
      </c>
      <c r="S38" s="1740">
        <f t="shared" si="21"/>
        <v>1.1278372573974E-5</v>
      </c>
      <c r="T38" s="1746" t="s">
        <v>649</v>
      </c>
      <c r="U38" s="1740">
        <f t="shared" si="22"/>
        <v>8.6125754201255993E-5</v>
      </c>
      <c r="V38" s="1746" t="s">
        <v>649</v>
      </c>
      <c r="W38" s="1741">
        <f t="shared" si="23"/>
        <v>3.1579443207127198E-4</v>
      </c>
    </row>
    <row r="39" spans="2:23" ht="11.25" x14ac:dyDescent="0.2">
      <c r="B39" s="1742" t="s">
        <v>1609</v>
      </c>
      <c r="C39" s="1733">
        <v>38</v>
      </c>
      <c r="D39" s="1680" t="s">
        <v>1002</v>
      </c>
      <c r="E39" s="1734">
        <v>533</v>
      </c>
      <c r="F39" s="1680" t="s">
        <v>1002</v>
      </c>
      <c r="G39" s="1684">
        <v>7.4944796348701379</v>
      </c>
      <c r="H39" s="1680" t="s">
        <v>649</v>
      </c>
      <c r="I39" s="1735">
        <f t="shared" si="18"/>
        <v>55404514.541500814</v>
      </c>
      <c r="J39" s="1680" t="s">
        <v>1002</v>
      </c>
      <c r="K39" s="1736">
        <v>0.17</v>
      </c>
      <c r="L39" s="1680" t="s">
        <v>1002</v>
      </c>
      <c r="M39" s="1738">
        <v>1.0999999999999999E-2</v>
      </c>
      <c r="N39" s="1680" t="s">
        <v>649</v>
      </c>
      <c r="O39" s="1735">
        <f t="shared" si="19"/>
        <v>103606.44219260653</v>
      </c>
      <c r="P39" s="1680" t="s">
        <v>649</v>
      </c>
      <c r="Q39" s="1739">
        <f t="shared" si="20"/>
        <v>68.58746473150552</v>
      </c>
      <c r="R39" s="1746" t="s">
        <v>649</v>
      </c>
      <c r="S39" s="1740">
        <f t="shared" si="21"/>
        <v>6.8587464731505515E-5</v>
      </c>
      <c r="T39" s="1746" t="s">
        <v>649</v>
      </c>
      <c r="U39" s="1740">
        <f t="shared" si="22"/>
        <v>5.2375882158604218E-4</v>
      </c>
      <c r="V39" s="1746" t="s">
        <v>649</v>
      </c>
      <c r="W39" s="1741">
        <f t="shared" si="23"/>
        <v>1.9204490124821547E-3</v>
      </c>
    </row>
    <row r="40" spans="2:23" ht="11.25" x14ac:dyDescent="0.2">
      <c r="B40" s="1742" t="s">
        <v>1610</v>
      </c>
      <c r="C40" s="1733">
        <v>10</v>
      </c>
      <c r="D40" s="1680" t="s">
        <v>1002</v>
      </c>
      <c r="E40" s="1734">
        <v>420</v>
      </c>
      <c r="F40" s="1680" t="s">
        <v>1002</v>
      </c>
      <c r="G40" s="1684">
        <v>7.5904766546383824</v>
      </c>
      <c r="H40" s="1680" t="s">
        <v>649</v>
      </c>
      <c r="I40" s="1735">
        <f t="shared" si="18"/>
        <v>11636200.71156064</v>
      </c>
      <c r="J40" s="1680" t="s">
        <v>1002</v>
      </c>
      <c r="K40" s="1736">
        <v>0.17</v>
      </c>
      <c r="L40" s="1680" t="s">
        <v>1002</v>
      </c>
      <c r="M40" s="1738">
        <v>1.0999999999999999E-2</v>
      </c>
      <c r="N40" s="1680" t="s">
        <v>649</v>
      </c>
      <c r="O40" s="1735">
        <f t="shared" si="19"/>
        <v>21759.695330618397</v>
      </c>
      <c r="P40" s="1680" t="s">
        <v>649</v>
      </c>
      <c r="Q40" s="1739">
        <f t="shared" si="20"/>
        <v>14.40491830886938</v>
      </c>
      <c r="R40" s="1746" t="s">
        <v>649</v>
      </c>
      <c r="S40" s="1740">
        <f t="shared" si="21"/>
        <v>1.4404918308869381E-5</v>
      </c>
      <c r="T40" s="1746" t="s">
        <v>649</v>
      </c>
      <c r="U40" s="1740">
        <f t="shared" si="22"/>
        <v>1.1000119435863892E-4</v>
      </c>
      <c r="V40" s="1746" t="s">
        <v>649</v>
      </c>
      <c r="W40" s="1741">
        <f t="shared" si="23"/>
        <v>4.0333771264834271E-4</v>
      </c>
    </row>
    <row r="41" spans="2:23" ht="11.25" x14ac:dyDescent="0.2">
      <c r="B41" s="1742" t="s">
        <v>1612</v>
      </c>
      <c r="C41" s="1733">
        <v>15</v>
      </c>
      <c r="D41" s="1680" t="s">
        <v>1002</v>
      </c>
      <c r="E41" s="1734">
        <v>318</v>
      </c>
      <c r="F41" s="1680" t="s">
        <v>1002</v>
      </c>
      <c r="G41" s="1684">
        <v>8.057750625264946</v>
      </c>
      <c r="H41" s="1680" t="s">
        <v>649</v>
      </c>
      <c r="I41" s="1735">
        <f t="shared" si="18"/>
        <v>14028946.726117536</v>
      </c>
      <c r="J41" s="1680" t="s">
        <v>1002</v>
      </c>
      <c r="K41" s="1736">
        <v>0.17</v>
      </c>
      <c r="L41" s="1680" t="s">
        <v>1002</v>
      </c>
      <c r="M41" s="1738">
        <v>1.0999999999999999E-2</v>
      </c>
      <c r="N41" s="1680" t="s">
        <v>649</v>
      </c>
      <c r="O41" s="1735">
        <f t="shared" si="19"/>
        <v>26234.130377839796</v>
      </c>
      <c r="P41" s="1746" t="s">
        <v>649</v>
      </c>
      <c r="Q41" s="1739">
        <f t="shared" si="20"/>
        <v>17.366994310129947</v>
      </c>
      <c r="R41" s="1746" t="s">
        <v>649</v>
      </c>
      <c r="S41" s="1740">
        <f t="shared" si="21"/>
        <v>1.7366994310129948E-5</v>
      </c>
      <c r="T41" s="1746" t="s">
        <v>649</v>
      </c>
      <c r="U41" s="1740">
        <f t="shared" si="22"/>
        <v>1.3262068382281051E-4</v>
      </c>
      <c r="V41" s="1746" t="s">
        <v>649</v>
      </c>
      <c r="W41" s="1741">
        <f t="shared" si="23"/>
        <v>4.8627584068363858E-4</v>
      </c>
    </row>
    <row r="42" spans="2:23" ht="11.25" x14ac:dyDescent="0.2">
      <c r="B42" s="1742" t="s">
        <v>1611</v>
      </c>
      <c r="C42" s="1733">
        <v>8</v>
      </c>
      <c r="D42" s="1680" t="s">
        <v>1002</v>
      </c>
      <c r="E42" s="1734">
        <v>420</v>
      </c>
      <c r="F42" s="1680" t="s">
        <v>1002</v>
      </c>
      <c r="G42" s="1684">
        <v>8.4906077943936555</v>
      </c>
      <c r="H42" s="1680" t="s">
        <v>649</v>
      </c>
      <c r="I42" s="1735">
        <f t="shared" si="18"/>
        <v>10412881.39904438</v>
      </c>
      <c r="J42" s="1680" t="s">
        <v>1002</v>
      </c>
      <c r="K42" s="1736">
        <v>0.17</v>
      </c>
      <c r="L42" s="1680" t="s">
        <v>1002</v>
      </c>
      <c r="M42" s="1738">
        <v>1.0999999999999999E-2</v>
      </c>
      <c r="N42" s="1680" t="s">
        <v>649</v>
      </c>
      <c r="O42" s="1735">
        <f t="shared" si="19"/>
        <v>19472.088216212989</v>
      </c>
      <c r="P42" s="1680" t="s">
        <v>649</v>
      </c>
      <c r="Q42" s="1739">
        <f t="shared" si="20"/>
        <v>12.890522399132999</v>
      </c>
      <c r="R42" s="1746" t="s">
        <v>649</v>
      </c>
      <c r="S42" s="1740">
        <f t="shared" si="21"/>
        <v>1.2890522399132999E-5</v>
      </c>
      <c r="T42" s="1746" t="s">
        <v>649</v>
      </c>
      <c r="U42" s="1740">
        <f t="shared" si="22"/>
        <v>9.8436716502470166E-5</v>
      </c>
      <c r="V42" s="1746" t="s">
        <v>649</v>
      </c>
      <c r="W42" s="1741">
        <f t="shared" si="23"/>
        <v>3.6093462717572399E-4</v>
      </c>
    </row>
    <row r="43" spans="2:23" ht="11.25" x14ac:dyDescent="0.2">
      <c r="B43" s="1743" t="s">
        <v>1618</v>
      </c>
      <c r="C43" s="1744"/>
      <c r="D43" s="1680"/>
      <c r="E43" s="1734"/>
      <c r="F43" s="1680"/>
      <c r="G43" s="1684"/>
      <c r="H43" s="1680"/>
      <c r="I43" s="1735"/>
      <c r="J43" s="1680"/>
      <c r="K43" s="1736"/>
      <c r="L43" s="1680"/>
      <c r="M43" s="1680"/>
      <c r="N43" s="1680"/>
      <c r="O43" s="1735"/>
      <c r="P43" s="1680"/>
      <c r="Q43" s="1739"/>
      <c r="R43" s="1746"/>
      <c r="S43" s="1740"/>
      <c r="T43" s="1746"/>
      <c r="U43" s="1740"/>
      <c r="V43" s="1746"/>
      <c r="W43" s="1741"/>
    </row>
    <row r="44" spans="2:23" ht="11.25" x14ac:dyDescent="0.2">
      <c r="B44" s="1742" t="s">
        <v>1634</v>
      </c>
      <c r="C44" s="1733">
        <v>3</v>
      </c>
      <c r="D44" s="1680" t="s">
        <v>1002</v>
      </c>
      <c r="E44" s="1734">
        <v>198</v>
      </c>
      <c r="F44" s="1680" t="s">
        <v>1002</v>
      </c>
      <c r="G44" s="1684">
        <v>2.6</v>
      </c>
      <c r="H44" s="1680" t="s">
        <v>649</v>
      </c>
      <c r="I44" s="1735">
        <f t="shared" ref="I44:I48" si="24">C44*E44*G44*365</f>
        <v>563706</v>
      </c>
      <c r="J44" s="1680" t="s">
        <v>1002</v>
      </c>
      <c r="K44" s="1736">
        <v>0.48</v>
      </c>
      <c r="L44" s="1680" t="s">
        <v>1002</v>
      </c>
      <c r="M44" s="1738">
        <v>0.30060131865467832</v>
      </c>
      <c r="N44" s="1680" t="s">
        <v>649</v>
      </c>
      <c r="O44" s="1735">
        <f t="shared" ref="O44:O48" si="25">(I44*K44)*M44</f>
        <v>81336.368128105969</v>
      </c>
      <c r="P44" s="1680" t="s">
        <v>649</v>
      </c>
      <c r="Q44" s="1739">
        <f t="shared" ref="Q44:Q48" si="26">O44*0.000662</f>
        <v>53.844675700806157</v>
      </c>
      <c r="R44" s="1680" t="s">
        <v>649</v>
      </c>
      <c r="S44" s="1740">
        <f t="shared" ref="S44:S48" si="27">Q44/1000000</f>
        <v>5.3844675700806154E-5</v>
      </c>
      <c r="T44" s="1680" t="s">
        <v>649</v>
      </c>
      <c r="U44" s="1740">
        <f t="shared" ref="U44:U48" si="28">(S44*$Z$7)*12/44</f>
        <v>4.1117752353342883E-4</v>
      </c>
      <c r="V44" s="1680" t="s">
        <v>649</v>
      </c>
      <c r="W44" s="1741">
        <f t="shared" ref="W44:W48" si="29">U44/(12/44)</f>
        <v>1.5076509196225725E-3</v>
      </c>
    </row>
    <row r="45" spans="2:23" ht="11.25" x14ac:dyDescent="0.2">
      <c r="B45" s="1742" t="s">
        <v>1635</v>
      </c>
      <c r="C45" s="1733">
        <v>7</v>
      </c>
      <c r="D45" s="1680" t="s">
        <v>1002</v>
      </c>
      <c r="E45" s="1734">
        <v>15.88</v>
      </c>
      <c r="F45" s="1680" t="s">
        <v>1002</v>
      </c>
      <c r="G45" s="1684">
        <v>8.8000000000000007</v>
      </c>
      <c r="H45" s="1680" t="s">
        <v>649</v>
      </c>
      <c r="I45" s="1735">
        <f t="shared" si="24"/>
        <v>357045.9200000001</v>
      </c>
      <c r="J45" s="1680" t="s">
        <v>1002</v>
      </c>
      <c r="K45" s="1736">
        <v>0.48</v>
      </c>
      <c r="L45" s="1680" t="s">
        <v>1002</v>
      </c>
      <c r="M45" s="1738">
        <v>0.30016800271641908</v>
      </c>
      <c r="N45" s="1680" t="s">
        <v>649</v>
      </c>
      <c r="O45" s="1735">
        <f t="shared" si="25"/>
        <v>51443.405128534265</v>
      </c>
      <c r="P45" s="1680" t="s">
        <v>649</v>
      </c>
      <c r="Q45" s="1739">
        <f t="shared" si="26"/>
        <v>34.055534195089685</v>
      </c>
      <c r="R45" s="1680" t="s">
        <v>649</v>
      </c>
      <c r="S45" s="1740">
        <f t="shared" si="27"/>
        <v>3.4055534195089685E-5</v>
      </c>
      <c r="T45" s="1680" t="s">
        <v>649</v>
      </c>
      <c r="U45" s="1740">
        <f t="shared" si="28"/>
        <v>2.6006044294432125E-4</v>
      </c>
      <c r="V45" s="1680" t="s">
        <v>649</v>
      </c>
      <c r="W45" s="1741">
        <f t="shared" si="29"/>
        <v>9.5355495746251131E-4</v>
      </c>
    </row>
    <row r="46" spans="2:23" ht="11.25" x14ac:dyDescent="0.2">
      <c r="B46" s="1742" t="s">
        <v>1636</v>
      </c>
      <c r="C46" s="1745">
        <v>4</v>
      </c>
      <c r="D46" s="1680" t="s">
        <v>1002</v>
      </c>
      <c r="E46" s="1734">
        <v>40.6</v>
      </c>
      <c r="F46" s="1680" t="s">
        <v>1002</v>
      </c>
      <c r="G46" s="1684">
        <v>5.4</v>
      </c>
      <c r="H46" s="1680" t="s">
        <v>649</v>
      </c>
      <c r="I46" s="1735">
        <f t="shared" si="24"/>
        <v>320090.40000000002</v>
      </c>
      <c r="J46" s="1680" t="s">
        <v>1002</v>
      </c>
      <c r="K46" s="1736">
        <v>0.48</v>
      </c>
      <c r="L46" s="1680" t="s">
        <v>1002</v>
      </c>
      <c r="M46" s="1738">
        <v>0.30016800271641908</v>
      </c>
      <c r="N46" s="1680" t="s">
        <v>649</v>
      </c>
      <c r="O46" s="1735">
        <f t="shared" si="25"/>
        <v>46118.830107215843</v>
      </c>
      <c r="P46" s="1680" t="s">
        <v>649</v>
      </c>
      <c r="Q46" s="1739">
        <f t="shared" si="26"/>
        <v>30.53066553097689</v>
      </c>
      <c r="R46" s="1680" t="s">
        <v>649</v>
      </c>
      <c r="S46" s="1740">
        <f t="shared" si="27"/>
        <v>3.0530665530976887E-5</v>
      </c>
      <c r="T46" s="1680" t="s">
        <v>649</v>
      </c>
      <c r="U46" s="1740">
        <f t="shared" si="28"/>
        <v>2.3314326405473259E-4</v>
      </c>
      <c r="V46" s="1680" t="s">
        <v>649</v>
      </c>
      <c r="W46" s="1741">
        <f t="shared" si="29"/>
        <v>8.5485863486735292E-4</v>
      </c>
    </row>
    <row r="47" spans="2:23" ht="11.25" x14ac:dyDescent="0.2">
      <c r="B47" s="1742" t="s">
        <v>1637</v>
      </c>
      <c r="C47" s="1733">
        <v>3</v>
      </c>
      <c r="D47" s="1680" t="s">
        <v>1002</v>
      </c>
      <c r="E47" s="1734">
        <v>67.819999999999993</v>
      </c>
      <c r="F47" s="1680" t="s">
        <v>1002</v>
      </c>
      <c r="G47" s="1684">
        <v>5.4</v>
      </c>
      <c r="H47" s="1680" t="s">
        <v>649</v>
      </c>
      <c r="I47" s="1735">
        <f t="shared" si="24"/>
        <v>401019.66</v>
      </c>
      <c r="J47" s="1680" t="s">
        <v>1002</v>
      </c>
      <c r="K47" s="1736">
        <v>0.48</v>
      </c>
      <c r="L47" s="1680" t="s">
        <v>1002</v>
      </c>
      <c r="M47" s="1738">
        <v>0.30016800271641908</v>
      </c>
      <c r="N47" s="1680" t="s">
        <v>649</v>
      </c>
      <c r="O47" s="1735">
        <f t="shared" si="25"/>
        <v>57779.169788264371</v>
      </c>
      <c r="P47" s="1680" t="s">
        <v>649</v>
      </c>
      <c r="Q47" s="1739">
        <f t="shared" si="26"/>
        <v>38.249810399831013</v>
      </c>
      <c r="R47" s="1680" t="s">
        <v>649</v>
      </c>
      <c r="S47" s="1740">
        <f t="shared" si="27"/>
        <v>3.8249810399831015E-5</v>
      </c>
      <c r="T47" s="1680" t="s">
        <v>649</v>
      </c>
      <c r="U47" s="1740">
        <f t="shared" si="28"/>
        <v>2.9208946123507323E-4</v>
      </c>
      <c r="V47" s="1680" t="s">
        <v>649</v>
      </c>
      <c r="W47" s="1741">
        <f t="shared" si="29"/>
        <v>1.0709946911952686E-3</v>
      </c>
    </row>
    <row r="48" spans="2:23" ht="11.25" x14ac:dyDescent="0.2">
      <c r="B48" s="1742" t="s">
        <v>1638</v>
      </c>
      <c r="C48" s="1733">
        <v>4</v>
      </c>
      <c r="D48" s="1680" t="s">
        <v>1002</v>
      </c>
      <c r="E48" s="1734">
        <v>90.75</v>
      </c>
      <c r="F48" s="1680" t="s">
        <v>1002</v>
      </c>
      <c r="G48" s="1684">
        <v>5.4</v>
      </c>
      <c r="H48" s="1680" t="s">
        <v>649</v>
      </c>
      <c r="I48" s="1735">
        <f t="shared" si="24"/>
        <v>715473</v>
      </c>
      <c r="J48" s="1680" t="s">
        <v>1002</v>
      </c>
      <c r="K48" s="1736">
        <v>0.48</v>
      </c>
      <c r="L48" s="1680" t="s">
        <v>1002</v>
      </c>
      <c r="M48" s="1738">
        <v>0.30016800271641908</v>
      </c>
      <c r="N48" s="1680" t="s">
        <v>649</v>
      </c>
      <c r="O48" s="1735">
        <f t="shared" si="25"/>
        <v>103085.80867561176</v>
      </c>
      <c r="P48" s="1680" t="s">
        <v>649</v>
      </c>
      <c r="Q48" s="1739">
        <f t="shared" si="26"/>
        <v>68.242805343254986</v>
      </c>
      <c r="R48" s="1680" t="s">
        <v>649</v>
      </c>
      <c r="S48" s="1740">
        <f t="shared" si="27"/>
        <v>6.8242805343254989E-5</v>
      </c>
      <c r="T48" s="1680" t="s">
        <v>649</v>
      </c>
      <c r="U48" s="1740">
        <f t="shared" si="28"/>
        <v>5.2112687716667448E-4</v>
      </c>
      <c r="V48" s="1680" t="s">
        <v>649</v>
      </c>
      <c r="W48" s="1741">
        <f t="shared" si="29"/>
        <v>1.9107985496111398E-3</v>
      </c>
    </row>
    <row r="49" spans="1:23" ht="11.25" x14ac:dyDescent="0.2">
      <c r="B49" s="1743" t="s">
        <v>1593</v>
      </c>
      <c r="C49" s="1744"/>
      <c r="D49" s="1680"/>
      <c r="E49" s="1734"/>
      <c r="F49" s="1680"/>
      <c r="G49" s="1680"/>
      <c r="H49" s="1680"/>
      <c r="I49" s="1735"/>
      <c r="J49" s="1680"/>
      <c r="K49" s="1736"/>
      <c r="L49" s="1680"/>
      <c r="M49" s="1747"/>
      <c r="N49" s="1680"/>
      <c r="O49" s="1735"/>
      <c r="P49" s="1680"/>
      <c r="Q49" s="1739"/>
      <c r="R49" s="1680"/>
      <c r="S49" s="1740"/>
      <c r="T49" s="1680"/>
      <c r="U49" s="1740"/>
      <c r="V49" s="1680"/>
      <c r="W49" s="1741"/>
    </row>
    <row r="50" spans="1:23" ht="11.25" x14ac:dyDescent="0.2">
      <c r="B50" s="1742" t="s">
        <v>1639</v>
      </c>
      <c r="C50" s="1748"/>
      <c r="D50" s="1749"/>
      <c r="E50" s="1750"/>
      <c r="F50" s="1749"/>
      <c r="G50" s="1749"/>
      <c r="H50" s="1749"/>
      <c r="I50" s="1751"/>
      <c r="J50" s="1749"/>
      <c r="K50" s="1752"/>
      <c r="L50" s="1749"/>
      <c r="M50" s="1753"/>
      <c r="N50" s="1749"/>
      <c r="O50" s="1751"/>
      <c r="P50" s="1749"/>
      <c r="Q50" s="1754"/>
      <c r="R50" s="1749"/>
      <c r="S50" s="1755"/>
      <c r="T50" s="1749"/>
      <c r="U50" s="1755"/>
      <c r="V50" s="1749"/>
      <c r="W50" s="1756"/>
    </row>
    <row r="51" spans="1:23" ht="11.25" x14ac:dyDescent="0.2">
      <c r="B51" s="1742" t="s">
        <v>1640</v>
      </c>
      <c r="C51" s="1733">
        <v>2364</v>
      </c>
      <c r="D51" s="1680" t="s">
        <v>1002</v>
      </c>
      <c r="E51" s="1734">
        <v>1.8</v>
      </c>
      <c r="F51" s="1680" t="s">
        <v>1002</v>
      </c>
      <c r="G51" s="1680">
        <v>10.8</v>
      </c>
      <c r="H51" s="1680" t="s">
        <v>649</v>
      </c>
      <c r="I51" s="1735">
        <f t="shared" ref="I51:I55" si="30">C51*E51*G51*365</f>
        <v>16773998.4</v>
      </c>
      <c r="J51" s="1680" t="s">
        <v>1002</v>
      </c>
      <c r="K51" s="1736">
        <v>0.39</v>
      </c>
      <c r="L51" s="1680" t="s">
        <v>1002</v>
      </c>
      <c r="M51" s="1738">
        <v>5.12259842612387E-2</v>
      </c>
      <c r="N51" s="1680" t="s">
        <v>649</v>
      </c>
      <c r="O51" s="1735">
        <f t="shared" ref="O51:O55" si="31">(I51*K51)*M51</f>
        <v>335113.18543421285</v>
      </c>
      <c r="P51" s="1680" t="s">
        <v>649</v>
      </c>
      <c r="Q51" s="1739">
        <f t="shared" ref="Q51:Q55" si="32">O51*0.000662</f>
        <v>221.84492875744891</v>
      </c>
      <c r="R51" s="1680" t="s">
        <v>649</v>
      </c>
      <c r="S51" s="1740">
        <f t="shared" ref="S51:S55" si="33">Q51/1000000</f>
        <v>2.2184492875744892E-4</v>
      </c>
      <c r="T51" s="1680" t="s">
        <v>649</v>
      </c>
      <c r="U51" s="1740">
        <f t="shared" ref="U51:U55" si="34">(S51*$Z$7)*12/44</f>
        <v>1.6940885468750644E-3</v>
      </c>
      <c r="V51" s="1680" t="s">
        <v>649</v>
      </c>
      <c r="W51" s="1741">
        <f t="shared" ref="W51:W55" si="35">U51/(12/44)</f>
        <v>6.2116580052085698E-3</v>
      </c>
    </row>
    <row r="52" spans="1:23" ht="11.25" x14ac:dyDescent="0.2">
      <c r="B52" s="1742" t="s">
        <v>1641</v>
      </c>
      <c r="C52" s="1733">
        <v>708</v>
      </c>
      <c r="D52" s="1680" t="s">
        <v>1002</v>
      </c>
      <c r="E52" s="1734">
        <v>1.8</v>
      </c>
      <c r="F52" s="1680" t="s">
        <v>1002</v>
      </c>
      <c r="G52" s="1680">
        <v>9.6999999999999993</v>
      </c>
      <c r="H52" s="1680" t="s">
        <v>649</v>
      </c>
      <c r="I52" s="1735">
        <f t="shared" si="30"/>
        <v>4512013.2</v>
      </c>
      <c r="J52" s="1680" t="s">
        <v>1002</v>
      </c>
      <c r="K52" s="1736">
        <v>0.39</v>
      </c>
      <c r="L52" s="1680" t="s">
        <v>1002</v>
      </c>
      <c r="M52" s="1738">
        <v>5.12259842612387E-2</v>
      </c>
      <c r="N52" s="1680" t="s">
        <v>649</v>
      </c>
      <c r="O52" s="1735">
        <f t="shared" si="31"/>
        <v>90141.603696183491</v>
      </c>
      <c r="P52" s="1680" t="s">
        <v>649</v>
      </c>
      <c r="Q52" s="1739">
        <f t="shared" si="32"/>
        <v>59.673741646873474</v>
      </c>
      <c r="R52" s="1680" t="s">
        <v>649</v>
      </c>
      <c r="S52" s="1740">
        <f t="shared" si="33"/>
        <v>5.9673741646873475E-5</v>
      </c>
      <c r="T52" s="1680" t="s">
        <v>649</v>
      </c>
      <c r="U52" s="1740">
        <f t="shared" si="34"/>
        <v>4.556903907579429E-4</v>
      </c>
      <c r="V52" s="1680" t="s">
        <v>649</v>
      </c>
      <c r="W52" s="1741">
        <f t="shared" si="35"/>
        <v>1.6708647661124573E-3</v>
      </c>
    </row>
    <row r="53" spans="1:23" ht="11.25" x14ac:dyDescent="0.2">
      <c r="B53" s="1742" t="s">
        <v>1642</v>
      </c>
      <c r="C53" s="1733">
        <v>10</v>
      </c>
      <c r="D53" s="1680" t="s">
        <v>1002</v>
      </c>
      <c r="E53" s="1734">
        <v>1.8</v>
      </c>
      <c r="F53" s="1680" t="s">
        <v>1002</v>
      </c>
      <c r="G53" s="1684">
        <v>10.8</v>
      </c>
      <c r="H53" s="1680" t="s">
        <v>649</v>
      </c>
      <c r="I53" s="1735">
        <f t="shared" si="30"/>
        <v>70956</v>
      </c>
      <c r="J53" s="1680" t="s">
        <v>1002</v>
      </c>
      <c r="K53" s="1736">
        <v>0.39</v>
      </c>
      <c r="L53" s="1680" t="s">
        <v>1002</v>
      </c>
      <c r="M53" s="1738">
        <v>5.12259842612387E-2</v>
      </c>
      <c r="N53" s="1680" t="s">
        <v>649</v>
      </c>
      <c r="O53" s="1735">
        <f t="shared" si="31"/>
        <v>1417.5684663037766</v>
      </c>
      <c r="P53" s="1680" t="s">
        <v>649</v>
      </c>
      <c r="Q53" s="1739">
        <f t="shared" si="32"/>
        <v>0.93843032469310017</v>
      </c>
      <c r="R53" s="1680" t="s">
        <v>649</v>
      </c>
      <c r="S53" s="1740">
        <f t="shared" si="33"/>
        <v>9.3843032469310014E-7</v>
      </c>
      <c r="T53" s="1680" t="s">
        <v>649</v>
      </c>
      <c r="U53" s="1740">
        <f t="shared" si="34"/>
        <v>7.1661952067473099E-6</v>
      </c>
      <c r="V53" s="1680" t="s">
        <v>649</v>
      </c>
      <c r="W53" s="1741">
        <f t="shared" si="35"/>
        <v>2.6276049091406806E-5</v>
      </c>
    </row>
    <row r="54" spans="1:23" ht="11.25" x14ac:dyDescent="0.2">
      <c r="B54" s="1742" t="s">
        <v>1643</v>
      </c>
      <c r="C54" s="1733">
        <v>52327</v>
      </c>
      <c r="D54" s="1679" t="s">
        <v>1002</v>
      </c>
      <c r="E54" s="1734">
        <v>0.9</v>
      </c>
      <c r="F54" s="1679" t="s">
        <v>1002</v>
      </c>
      <c r="G54" s="1680">
        <v>15</v>
      </c>
      <c r="H54" s="1679" t="s">
        <v>649</v>
      </c>
      <c r="I54" s="1735">
        <f t="shared" si="30"/>
        <v>257841292.5</v>
      </c>
      <c r="J54" s="1679" t="s">
        <v>1002</v>
      </c>
      <c r="K54" s="1736">
        <v>0.36</v>
      </c>
      <c r="L54" s="1679" t="s">
        <v>1002</v>
      </c>
      <c r="M54" s="1747">
        <v>1.4999999999999999E-2</v>
      </c>
      <c r="N54" s="1679" t="s">
        <v>649</v>
      </c>
      <c r="O54" s="1735">
        <f t="shared" si="31"/>
        <v>1392342.9794999999</v>
      </c>
      <c r="P54" s="1680" t="s">
        <v>649</v>
      </c>
      <c r="Q54" s="1739">
        <f t="shared" si="32"/>
        <v>921.73105242899999</v>
      </c>
      <c r="R54" s="1680" t="s">
        <v>649</v>
      </c>
      <c r="S54" s="1740">
        <f t="shared" si="33"/>
        <v>9.2173105242900001E-4</v>
      </c>
      <c r="T54" s="1680" t="s">
        <v>649</v>
      </c>
      <c r="U54" s="1740">
        <f t="shared" si="34"/>
        <v>7.0386734912760004E-3</v>
      </c>
      <c r="V54" s="1680" t="s">
        <v>649</v>
      </c>
      <c r="W54" s="1741">
        <f t="shared" si="35"/>
        <v>2.5808469468012005E-2</v>
      </c>
    </row>
    <row r="55" spans="1:23" ht="11.25" x14ac:dyDescent="0.2">
      <c r="B55" s="1742" t="s">
        <v>1644</v>
      </c>
      <c r="C55" s="1733">
        <v>421</v>
      </c>
      <c r="D55" s="1679" t="s">
        <v>1002</v>
      </c>
      <c r="E55" s="1734">
        <v>6.8</v>
      </c>
      <c r="F55" s="1679" t="s">
        <v>1002</v>
      </c>
      <c r="G55" s="1680">
        <v>9.6999999999999993</v>
      </c>
      <c r="H55" s="1679" t="s">
        <v>649</v>
      </c>
      <c r="I55" s="1735">
        <f t="shared" si="30"/>
        <v>10135743.399999999</v>
      </c>
      <c r="J55" s="1679" t="s">
        <v>1002</v>
      </c>
      <c r="K55" s="1736">
        <v>0.36</v>
      </c>
      <c r="L55" s="1679" t="s">
        <v>1002</v>
      </c>
      <c r="M55" s="1747">
        <v>1.4999999999999999E-2</v>
      </c>
      <c r="N55" s="1679" t="s">
        <v>649</v>
      </c>
      <c r="O55" s="1735">
        <f t="shared" si="31"/>
        <v>54733.014359999986</v>
      </c>
      <c r="P55" s="1680" t="s">
        <v>649</v>
      </c>
      <c r="Q55" s="1739">
        <f t="shared" si="32"/>
        <v>36.233255506319992</v>
      </c>
      <c r="R55" s="1680" t="s">
        <v>649</v>
      </c>
      <c r="S55" s="1740">
        <f t="shared" si="33"/>
        <v>3.623325550631999E-5</v>
      </c>
      <c r="T55" s="1680" t="s">
        <v>649</v>
      </c>
      <c r="U55" s="1740">
        <f t="shared" si="34"/>
        <v>2.7669031477553448E-4</v>
      </c>
      <c r="V55" s="1680" t="s">
        <v>649</v>
      </c>
      <c r="W55" s="1741">
        <f t="shared" si="35"/>
        <v>1.0145311541769598E-3</v>
      </c>
    </row>
    <row r="56" spans="1:23" ht="11.25" x14ac:dyDescent="0.2">
      <c r="B56" s="1743" t="s">
        <v>555</v>
      </c>
      <c r="C56" s="1744"/>
      <c r="D56" s="1679"/>
      <c r="E56" s="1734"/>
      <c r="F56" s="1679"/>
      <c r="G56" s="1680"/>
      <c r="H56" s="1679"/>
      <c r="I56" s="1735"/>
      <c r="J56" s="1680"/>
      <c r="K56" s="1736"/>
      <c r="L56" s="1680"/>
      <c r="M56" s="1747"/>
      <c r="N56" s="1680"/>
      <c r="O56" s="1735"/>
      <c r="P56" s="1680"/>
      <c r="Q56" s="1739"/>
      <c r="R56" s="1680"/>
      <c r="S56" s="1740"/>
      <c r="T56" s="1680"/>
      <c r="U56" s="1740"/>
      <c r="V56" s="1680"/>
      <c r="W56" s="1741"/>
    </row>
    <row r="57" spans="1:23" ht="11.25" x14ac:dyDescent="0.2">
      <c r="B57" s="1682" t="s">
        <v>1645</v>
      </c>
      <c r="C57" s="1733">
        <v>0</v>
      </c>
      <c r="D57" s="1679" t="s">
        <v>1002</v>
      </c>
      <c r="E57" s="1734">
        <v>25</v>
      </c>
      <c r="F57" s="1679" t="s">
        <v>1002</v>
      </c>
      <c r="G57" s="1684">
        <v>9.205479452054794</v>
      </c>
      <c r="H57" s="1679" t="s">
        <v>649</v>
      </c>
      <c r="I57" s="1735">
        <f t="shared" ref="I57:I60" si="36">C57*E57*G57*365</f>
        <v>0</v>
      </c>
      <c r="J57" s="1679" t="s">
        <v>1002</v>
      </c>
      <c r="K57" s="1736">
        <v>0.36056372132540354</v>
      </c>
      <c r="L57" s="1679" t="s">
        <v>1002</v>
      </c>
      <c r="M57" s="1747">
        <v>1.2E-2</v>
      </c>
      <c r="N57" s="1679" t="s">
        <v>649</v>
      </c>
      <c r="O57" s="1735">
        <f t="shared" ref="O57:O60" si="37">(I57*K57)*M57</f>
        <v>0</v>
      </c>
      <c r="P57" s="1680" t="s">
        <v>649</v>
      </c>
      <c r="Q57" s="1739">
        <f t="shared" ref="Q57:Q60" si="38">O57*0.000662</f>
        <v>0</v>
      </c>
      <c r="R57" s="1680" t="s">
        <v>649</v>
      </c>
      <c r="S57" s="1740">
        <f t="shared" ref="S57:S60" si="39">Q57/1000000</f>
        <v>0</v>
      </c>
      <c r="T57" s="1680" t="s">
        <v>649</v>
      </c>
      <c r="U57" s="1740">
        <f t="shared" ref="U57:U60" si="40">(S57*$Z$7)*12/44</f>
        <v>0</v>
      </c>
      <c r="V57" s="1680" t="s">
        <v>649</v>
      </c>
      <c r="W57" s="1741">
        <f t="shared" ref="W57:W60" si="41">U57/(12/44)</f>
        <v>0</v>
      </c>
    </row>
    <row r="58" spans="1:23" ht="11.25" x14ac:dyDescent="0.2">
      <c r="B58" s="1682" t="s">
        <v>1646</v>
      </c>
      <c r="C58" s="1691">
        <v>12</v>
      </c>
      <c r="D58" s="1679" t="s">
        <v>1002</v>
      </c>
      <c r="E58" s="1734">
        <v>80</v>
      </c>
      <c r="F58" s="1679" t="s">
        <v>1002</v>
      </c>
      <c r="G58" s="1684">
        <v>9.205479452054794</v>
      </c>
      <c r="H58" s="1679" t="s">
        <v>649</v>
      </c>
      <c r="I58" s="1735">
        <f t="shared" si="36"/>
        <v>3225600</v>
      </c>
      <c r="J58" s="1679" t="s">
        <v>1002</v>
      </c>
      <c r="K58" s="1736">
        <v>0.1899677145284622</v>
      </c>
      <c r="L58" s="1679" t="s">
        <v>1002</v>
      </c>
      <c r="M58" s="1747">
        <v>1.0999999999999999E-2</v>
      </c>
      <c r="N58" s="1679" t="s">
        <v>649</v>
      </c>
      <c r="O58" s="1735">
        <f t="shared" si="37"/>
        <v>6740.3584598130838</v>
      </c>
      <c r="P58" s="1680" t="s">
        <v>649</v>
      </c>
      <c r="Q58" s="1739">
        <f t="shared" si="38"/>
        <v>4.4621173003962618</v>
      </c>
      <c r="R58" s="1680" t="s">
        <v>649</v>
      </c>
      <c r="S58" s="1740">
        <f t="shared" si="39"/>
        <v>4.462117300396262E-6</v>
      </c>
      <c r="T58" s="1680" t="s">
        <v>649</v>
      </c>
      <c r="U58" s="1740">
        <f t="shared" si="40"/>
        <v>3.4074350293935093E-5</v>
      </c>
      <c r="V58" s="1680" t="s">
        <v>649</v>
      </c>
      <c r="W58" s="1741">
        <f t="shared" si="41"/>
        <v>1.2493928441109536E-4</v>
      </c>
    </row>
    <row r="59" spans="1:23" ht="11.25" x14ac:dyDescent="0.2">
      <c r="B59" s="1682" t="s">
        <v>1617</v>
      </c>
      <c r="C59" s="1733">
        <v>13</v>
      </c>
      <c r="D59" s="1679" t="s">
        <v>1002</v>
      </c>
      <c r="E59" s="1734">
        <v>64</v>
      </c>
      <c r="F59" s="1679" t="s">
        <v>1002</v>
      </c>
      <c r="G59" s="1684">
        <v>9.5342465753424666</v>
      </c>
      <c r="H59" s="1679" t="s">
        <v>649</v>
      </c>
      <c r="I59" s="1735">
        <f t="shared" si="36"/>
        <v>2895360.0000000005</v>
      </c>
      <c r="J59" s="1679" t="s">
        <v>1002</v>
      </c>
      <c r="K59" s="1736">
        <v>0.16997111299915041</v>
      </c>
      <c r="L59" s="1679" t="s">
        <v>1002</v>
      </c>
      <c r="M59" s="1747">
        <v>1.0999999999999999E-2</v>
      </c>
      <c r="N59" s="1679" t="s">
        <v>649</v>
      </c>
      <c r="O59" s="1735">
        <f t="shared" si="37"/>
        <v>5413.4031790654217</v>
      </c>
      <c r="P59" s="1680" t="s">
        <v>649</v>
      </c>
      <c r="Q59" s="1739">
        <f t="shared" si="38"/>
        <v>3.5836729045413094</v>
      </c>
      <c r="R59" s="1680" t="s">
        <v>649</v>
      </c>
      <c r="S59" s="1740">
        <f t="shared" si="39"/>
        <v>3.5836729045413092E-6</v>
      </c>
      <c r="T59" s="1680" t="s">
        <v>649</v>
      </c>
      <c r="U59" s="1740">
        <f t="shared" si="40"/>
        <v>2.7366229452860909E-5</v>
      </c>
      <c r="V59" s="1680" t="s">
        <v>649</v>
      </c>
      <c r="W59" s="1741">
        <f t="shared" si="41"/>
        <v>1.0034284132715667E-4</v>
      </c>
    </row>
    <row r="60" spans="1:23" ht="11.25" x14ac:dyDescent="0.2">
      <c r="B60" s="1682" t="s">
        <v>1619</v>
      </c>
      <c r="C60" s="1691">
        <v>80</v>
      </c>
      <c r="D60" s="1679" t="s">
        <v>1002</v>
      </c>
      <c r="E60" s="1734">
        <v>450</v>
      </c>
      <c r="F60" s="1679" t="s">
        <v>1002</v>
      </c>
      <c r="G60" s="1680">
        <v>10</v>
      </c>
      <c r="H60" s="1679" t="s">
        <v>649</v>
      </c>
      <c r="I60" s="1735">
        <f t="shared" si="36"/>
        <v>131400000</v>
      </c>
      <c r="J60" s="1679" t="s">
        <v>1002</v>
      </c>
      <c r="K60" s="1736">
        <v>0.33056881903143587</v>
      </c>
      <c r="L60" s="1679" t="s">
        <v>1002</v>
      </c>
      <c r="M60" s="1747">
        <v>1.0999999999999999E-2</v>
      </c>
      <c r="N60" s="1679" t="s">
        <v>649</v>
      </c>
      <c r="O60" s="1735">
        <f t="shared" si="37"/>
        <v>477804.17102803738</v>
      </c>
      <c r="P60" s="1680" t="s">
        <v>649</v>
      </c>
      <c r="Q60" s="1739">
        <f t="shared" si="38"/>
        <v>316.30636122056075</v>
      </c>
      <c r="R60" s="1680" t="s">
        <v>649</v>
      </c>
      <c r="S60" s="1740">
        <f t="shared" si="39"/>
        <v>3.1630636122056076E-4</v>
      </c>
      <c r="T60" s="1680" t="s">
        <v>649</v>
      </c>
      <c r="U60" s="1740">
        <f t="shared" si="40"/>
        <v>2.4154303947751909E-3</v>
      </c>
      <c r="V60" s="1680" t="s">
        <v>649</v>
      </c>
      <c r="W60" s="1741">
        <f t="shared" si="41"/>
        <v>8.8565781141757005E-3</v>
      </c>
    </row>
    <row r="61" spans="1:23" ht="12.75" x14ac:dyDescent="0.2">
      <c r="B61" s="1693" t="s">
        <v>1620</v>
      </c>
      <c r="C61" s="1757"/>
      <c r="D61" s="1757"/>
      <c r="E61" s="1758"/>
      <c r="F61" s="1757"/>
      <c r="G61" s="1757"/>
      <c r="H61" s="1757"/>
      <c r="I61" s="1757"/>
      <c r="J61" s="1695"/>
      <c r="K61" s="1695"/>
      <c r="L61" s="1695"/>
      <c r="M61" s="1695"/>
      <c r="N61" s="1695"/>
      <c r="O61" s="1759">
        <f>SUM(O32:O60)</f>
        <v>6501071.6407354986</v>
      </c>
      <c r="P61" s="1695"/>
      <c r="Q61" s="1760">
        <f>SUM(Q32:Q60)</f>
        <v>4303.7094261668999</v>
      </c>
      <c r="R61" s="1695"/>
      <c r="S61" s="1761">
        <f>SUM(S32:S60)</f>
        <v>4.3037094261668997E-3</v>
      </c>
      <c r="T61" s="1695"/>
      <c r="U61" s="1761">
        <f>SUM(U32:U60)</f>
        <v>3.2864690163456313E-2</v>
      </c>
      <c r="V61" s="1757"/>
      <c r="W61" s="1762">
        <f>SUM(W32:W60)</f>
        <v>0.12050386393267321</v>
      </c>
    </row>
    <row r="62" spans="1:23" ht="12.75" x14ac:dyDescent="0.2">
      <c r="A62" s="466"/>
      <c r="B62" s="1702"/>
      <c r="C62" s="224"/>
      <c r="D62" s="224"/>
      <c r="E62" s="1763"/>
      <c r="F62" s="224"/>
      <c r="G62" s="224"/>
      <c r="H62" s="224"/>
      <c r="I62" s="224"/>
      <c r="J62" s="1119"/>
      <c r="K62" s="1119"/>
      <c r="L62" s="1119"/>
      <c r="M62" s="1119"/>
      <c r="N62" s="1119"/>
      <c r="O62" s="1764"/>
      <c r="P62" s="1119"/>
      <c r="Q62" s="1765"/>
      <c r="R62" s="1119"/>
      <c r="S62" s="1766"/>
      <c r="T62" s="1119"/>
      <c r="U62" s="1766"/>
      <c r="V62" s="224"/>
      <c r="W62" s="1766"/>
    </row>
    <row r="63" spans="1:23" ht="12.75" x14ac:dyDescent="0.2">
      <c r="A63" s="466"/>
      <c r="B63" s="1702"/>
      <c r="C63" s="224"/>
      <c r="D63" s="224"/>
      <c r="E63" s="1763"/>
      <c r="F63" s="224"/>
      <c r="G63" s="224"/>
      <c r="H63" s="224"/>
      <c r="I63" s="224"/>
      <c r="J63" s="1119"/>
      <c r="K63" s="1119"/>
      <c r="L63" s="1119"/>
      <c r="M63" s="1119"/>
      <c r="N63" s="1119"/>
      <c r="O63" s="1764"/>
      <c r="P63" s="1119"/>
      <c r="Q63" s="1765"/>
      <c r="R63" s="1119"/>
      <c r="S63" s="1766"/>
      <c r="T63" s="1119"/>
      <c r="U63" s="1766"/>
      <c r="V63" s="224"/>
      <c r="W63" s="1766"/>
    </row>
    <row r="64" spans="1:23" ht="11.25" x14ac:dyDescent="0.2">
      <c r="B64" s="1706"/>
      <c r="C64" s="1707"/>
      <c r="D64" s="1708"/>
      <c r="E64" s="1708"/>
      <c r="F64" s="1708"/>
      <c r="G64" s="1709"/>
      <c r="H64" s="1710"/>
      <c r="I64" s="1711"/>
      <c r="J64" s="1710"/>
      <c r="K64" s="1712"/>
      <c r="L64" s="578"/>
      <c r="M64" s="1712"/>
      <c r="N64" s="578"/>
      <c r="O64" s="578"/>
      <c r="P64" s="578"/>
      <c r="Q64" s="578"/>
      <c r="R64" s="578"/>
      <c r="S64" s="578"/>
      <c r="T64" s="578"/>
      <c r="U64" s="578"/>
      <c r="V64" s="466"/>
      <c r="W64" s="466"/>
    </row>
    <row r="65" spans="2:23" ht="19.5" x14ac:dyDescent="0.4">
      <c r="B65" s="1672" t="s">
        <v>1647</v>
      </c>
      <c r="C65" s="1713"/>
      <c r="D65" s="1714"/>
      <c r="E65" s="1714"/>
      <c r="F65" s="1714"/>
      <c r="G65" s="1715"/>
      <c r="H65" s="1716"/>
      <c r="I65" s="1717"/>
      <c r="J65" s="1716"/>
      <c r="K65" s="1718"/>
      <c r="L65" s="1673"/>
      <c r="M65" s="1718"/>
      <c r="N65" s="1673"/>
      <c r="O65" s="1673"/>
      <c r="P65" s="1673"/>
      <c r="Q65" s="1673"/>
      <c r="R65" s="1673"/>
      <c r="S65" s="1673"/>
      <c r="T65" s="1673"/>
      <c r="U65" s="1674"/>
      <c r="V65" s="1767"/>
      <c r="W65" s="466"/>
    </row>
    <row r="66" spans="2:23" ht="81.75" x14ac:dyDescent="0.2">
      <c r="B66" s="296"/>
      <c r="C66" s="1768" t="s">
        <v>1598</v>
      </c>
      <c r="D66" s="1769"/>
      <c r="E66" s="1675" t="s">
        <v>1648</v>
      </c>
      <c r="F66" s="1676"/>
      <c r="G66" s="1675" t="s">
        <v>1649</v>
      </c>
      <c r="H66" s="1675"/>
      <c r="I66" s="1675" t="s">
        <v>1650</v>
      </c>
      <c r="J66" s="1676"/>
      <c r="K66" s="1675" t="s">
        <v>1651</v>
      </c>
      <c r="L66" s="1770"/>
      <c r="M66" s="1675" t="s">
        <v>1652</v>
      </c>
      <c r="N66" s="1676"/>
      <c r="O66" s="1675" t="s">
        <v>1653</v>
      </c>
      <c r="P66" s="1676"/>
      <c r="Q66" s="1675" t="s">
        <v>1119</v>
      </c>
      <c r="R66" s="1676"/>
      <c r="S66" s="1675" t="s">
        <v>1539</v>
      </c>
      <c r="T66" s="1676"/>
      <c r="U66" s="1677" t="s">
        <v>1654</v>
      </c>
    </row>
    <row r="67" spans="2:23" x14ac:dyDescent="0.3">
      <c r="B67" s="1743" t="s">
        <v>1655</v>
      </c>
      <c r="C67" s="1771"/>
      <c r="D67" s="1772"/>
      <c r="E67" s="1773"/>
      <c r="F67" s="274"/>
      <c r="G67" s="274"/>
      <c r="H67" s="274"/>
      <c r="I67" s="1774"/>
      <c r="J67" s="274"/>
      <c r="K67" s="274"/>
      <c r="L67" s="1775"/>
      <c r="M67" s="274"/>
      <c r="N67" s="274"/>
      <c r="O67" s="274"/>
      <c r="P67" s="274"/>
      <c r="Q67" s="274"/>
      <c r="R67" s="274"/>
      <c r="S67" s="1776"/>
      <c r="T67" s="274"/>
      <c r="U67" s="1777"/>
    </row>
    <row r="68" spans="2:23" ht="12.75" x14ac:dyDescent="0.2">
      <c r="B68" s="1682" t="s">
        <v>1604</v>
      </c>
      <c r="C68" s="1733">
        <v>50</v>
      </c>
      <c r="D68" s="1680"/>
      <c r="E68" s="1735">
        <v>5788024</v>
      </c>
      <c r="F68" s="274"/>
      <c r="G68" s="1735">
        <v>1338267.8842689372</v>
      </c>
      <c r="H68" s="1685"/>
      <c r="I68" s="1735">
        <v>1499202.3862762167</v>
      </c>
      <c r="J68" s="274"/>
      <c r="K68" s="1735">
        <v>1338.2678842689372</v>
      </c>
      <c r="L68" s="1680" t="s">
        <v>1489</v>
      </c>
      <c r="M68" s="1735">
        <v>29984.047725524335</v>
      </c>
      <c r="N68" s="1685" t="s">
        <v>649</v>
      </c>
      <c r="O68" s="1735">
        <v>49220.781672532285</v>
      </c>
      <c r="P68" s="1685" t="s">
        <v>649</v>
      </c>
      <c r="Q68" s="1735">
        <f t="shared" ref="Q68:Q69" si="42">O68/1000*$Z$8*12/44</f>
        <v>3557.3201299693787</v>
      </c>
      <c r="R68" s="1685" t="s">
        <v>649</v>
      </c>
      <c r="S68" s="1778">
        <f t="shared" ref="S68:S69" si="43">Q68/10^6</f>
        <v>3.5573201299693787E-3</v>
      </c>
      <c r="T68" s="1685" t="s">
        <v>649</v>
      </c>
      <c r="U68" s="1779">
        <f t="shared" ref="U68:U69" si="44">S68/(12/44)</f>
        <v>1.3043507143221056E-2</v>
      </c>
    </row>
    <row r="69" spans="2:23" ht="12.75" x14ac:dyDescent="0.2">
      <c r="B69" s="1742" t="s">
        <v>1605</v>
      </c>
      <c r="C69" s="1733">
        <v>25</v>
      </c>
      <c r="D69" s="1680"/>
      <c r="E69" s="1735">
        <v>1508063.2</v>
      </c>
      <c r="F69" s="274"/>
      <c r="G69" s="1735">
        <v>348684.20518087747</v>
      </c>
      <c r="H69" s="1685"/>
      <c r="I69" s="1735">
        <v>739299.71515531605</v>
      </c>
      <c r="J69" s="274"/>
      <c r="K69" s="1735">
        <v>348.68420518087748</v>
      </c>
      <c r="L69" s="1680" t="s">
        <v>1489</v>
      </c>
      <c r="M69" s="1735">
        <v>14785.994303106321</v>
      </c>
      <c r="N69" s="1685" t="s">
        <v>649</v>
      </c>
      <c r="O69" s="1735">
        <v>23235.133904881361</v>
      </c>
      <c r="P69" s="1685" t="s">
        <v>649</v>
      </c>
      <c r="Q69" s="1735">
        <f t="shared" si="42"/>
        <v>1679.2664958527894</v>
      </c>
      <c r="R69" s="1685" t="s">
        <v>649</v>
      </c>
      <c r="S69" s="1778">
        <f t="shared" si="43"/>
        <v>1.6792664958527894E-3</v>
      </c>
      <c r="T69" s="1685" t="s">
        <v>649</v>
      </c>
      <c r="U69" s="1779">
        <f t="shared" si="44"/>
        <v>6.1573104847935612E-3</v>
      </c>
    </row>
    <row r="70" spans="2:23" ht="12.75" x14ac:dyDescent="0.2">
      <c r="B70" s="1743" t="s">
        <v>1608</v>
      </c>
      <c r="C70" s="1780"/>
      <c r="D70" s="1680"/>
      <c r="E70" s="1735"/>
      <c r="F70" s="274"/>
      <c r="G70" s="1735"/>
      <c r="H70" s="1685"/>
      <c r="I70" s="1735"/>
      <c r="J70" s="274"/>
      <c r="K70" s="1735" t="s">
        <v>1656</v>
      </c>
      <c r="L70" s="1680"/>
      <c r="M70" s="1735"/>
      <c r="N70" s="1685"/>
      <c r="O70" s="1735"/>
      <c r="P70" s="1685"/>
      <c r="Q70" s="1735"/>
      <c r="R70" s="1685"/>
      <c r="S70" s="1735"/>
      <c r="T70" s="1685"/>
      <c r="U70" s="1781"/>
    </row>
    <row r="71" spans="2:23" ht="12.75" x14ac:dyDescent="0.2">
      <c r="B71" s="1742" t="s">
        <v>1613</v>
      </c>
      <c r="C71" s="1691">
        <v>3.9119999999999999</v>
      </c>
      <c r="D71" s="1680"/>
      <c r="E71" s="1735">
        <v>179361</v>
      </c>
      <c r="F71" s="274"/>
      <c r="G71" s="1735" t="s">
        <v>1102</v>
      </c>
      <c r="H71" s="1685"/>
      <c r="I71" s="1735">
        <v>179361</v>
      </c>
      <c r="J71" s="274"/>
      <c r="K71" s="1735" t="s">
        <v>1102</v>
      </c>
      <c r="L71" s="1680" t="s">
        <v>1489</v>
      </c>
      <c r="M71" s="1735">
        <v>3587.22</v>
      </c>
      <c r="N71" s="1685" t="s">
        <v>649</v>
      </c>
      <c r="O71" s="1735">
        <v>5637.06</v>
      </c>
      <c r="P71" s="1685" t="s">
        <v>649</v>
      </c>
      <c r="Q71" s="1735">
        <f t="shared" ref="Q71:Q72" si="45">O71/1000*$Z$8*12/44</f>
        <v>407.40570000000002</v>
      </c>
      <c r="R71" s="1685" t="s">
        <v>649</v>
      </c>
      <c r="S71" s="1778">
        <f t="shared" ref="S71:S72" si="46">Q71/10^6</f>
        <v>4.0740570000000003E-4</v>
      </c>
      <c r="T71" s="1685" t="s">
        <v>649</v>
      </c>
      <c r="U71" s="1779">
        <f t="shared" ref="U71:U72" si="47">S71/(12/44)</f>
        <v>1.4938209000000002E-3</v>
      </c>
    </row>
    <row r="72" spans="2:23" ht="12.75" x14ac:dyDescent="0.2">
      <c r="B72" s="1742" t="s">
        <v>1614</v>
      </c>
      <c r="C72" s="1691">
        <v>7.3949999999999996</v>
      </c>
      <c r="D72" s="1680"/>
      <c r="E72" s="1735">
        <v>340326</v>
      </c>
      <c r="F72" s="274"/>
      <c r="G72" s="1735" t="s">
        <v>1102</v>
      </c>
      <c r="H72" s="1685"/>
      <c r="I72" s="1735">
        <v>340326</v>
      </c>
      <c r="J72" s="274"/>
      <c r="K72" s="1735" t="s">
        <v>1102</v>
      </c>
      <c r="L72" s="1680" t="s">
        <v>1489</v>
      </c>
      <c r="M72" s="1735">
        <v>6806.52</v>
      </c>
      <c r="N72" s="1685" t="s">
        <v>649</v>
      </c>
      <c r="O72" s="1735">
        <v>10695.96</v>
      </c>
      <c r="P72" s="1685" t="s">
        <v>649</v>
      </c>
      <c r="Q72" s="1735">
        <f t="shared" si="45"/>
        <v>773.0261999999999</v>
      </c>
      <c r="R72" s="1685" t="s">
        <v>649</v>
      </c>
      <c r="S72" s="1778">
        <f t="shared" si="46"/>
        <v>7.7302619999999986E-4</v>
      </c>
      <c r="T72" s="1685" t="s">
        <v>649</v>
      </c>
      <c r="U72" s="1779">
        <f t="shared" si="47"/>
        <v>2.8344293999999996E-3</v>
      </c>
    </row>
    <row r="73" spans="2:23" ht="12.75" x14ac:dyDescent="0.2">
      <c r="B73" s="1743" t="s">
        <v>1618</v>
      </c>
      <c r="C73" s="1780"/>
      <c r="D73" s="1680"/>
      <c r="E73" s="1778"/>
      <c r="F73" s="274"/>
      <c r="G73" s="1778"/>
      <c r="H73" s="1685"/>
      <c r="I73" s="1735"/>
      <c r="J73" s="274"/>
      <c r="K73" s="1735" t="s">
        <v>1656</v>
      </c>
      <c r="L73" s="1680"/>
      <c r="M73" s="1735"/>
      <c r="N73" s="1685"/>
      <c r="O73" s="1735"/>
      <c r="P73" s="1685"/>
      <c r="Q73" s="1735"/>
      <c r="R73" s="1685"/>
      <c r="S73" s="1735"/>
      <c r="T73" s="1685"/>
      <c r="U73" s="1781"/>
    </row>
    <row r="74" spans="2:23" ht="12.75" x14ac:dyDescent="0.2">
      <c r="B74" s="1742" t="s">
        <v>1634</v>
      </c>
      <c r="C74" s="1733">
        <v>3</v>
      </c>
      <c r="D74" s="1680"/>
      <c r="E74" s="1735">
        <v>33966.9</v>
      </c>
      <c r="F74" s="274"/>
      <c r="G74" s="1735">
        <v>25508.812421069997</v>
      </c>
      <c r="H74" s="1685"/>
      <c r="I74" s="1735">
        <v>1277.2541478113997</v>
      </c>
      <c r="J74" s="274"/>
      <c r="K74" s="1735">
        <v>25.508812421069997</v>
      </c>
      <c r="L74" s="1680" t="s">
        <v>1489</v>
      </c>
      <c r="M74" s="1735">
        <v>25.545082956227994</v>
      </c>
      <c r="N74" s="1685" t="s">
        <v>649</v>
      </c>
      <c r="O74" s="1735">
        <v>80.227549878611129</v>
      </c>
      <c r="P74" s="1685" t="s">
        <v>649</v>
      </c>
      <c r="Q74" s="1735">
        <f t="shared" ref="Q74:Q78" si="48">O74/1000*$Z$8*12/44</f>
        <v>5.7982638321359863</v>
      </c>
      <c r="R74" s="1685" t="s">
        <v>649</v>
      </c>
      <c r="S74" s="1778">
        <f t="shared" ref="S74:S78" si="49">Q74/10^6</f>
        <v>5.7982638321359862E-6</v>
      </c>
      <c r="T74" s="1685" t="s">
        <v>649</v>
      </c>
      <c r="U74" s="1779">
        <f t="shared" ref="U74:U78" si="50">S74/(12/44)</f>
        <v>2.1260300717831949E-5</v>
      </c>
    </row>
    <row r="75" spans="2:23" ht="12.75" x14ac:dyDescent="0.2">
      <c r="B75" s="1742" t="s">
        <v>1635</v>
      </c>
      <c r="C75" s="1733">
        <v>7</v>
      </c>
      <c r="D75" s="1680"/>
      <c r="E75" s="1735">
        <v>31299.48</v>
      </c>
      <c r="F75" s="274"/>
      <c r="G75" s="1735">
        <v>23505.605875044002</v>
      </c>
      <c r="H75" s="1685"/>
      <c r="I75" s="1735">
        <v>1176.95140428888</v>
      </c>
      <c r="J75" s="274"/>
      <c r="K75" s="1735">
        <v>23.505605875044004</v>
      </c>
      <c r="L75" s="1680" t="s">
        <v>1489</v>
      </c>
      <c r="M75" s="1735">
        <v>23.539028085777598</v>
      </c>
      <c r="N75" s="1685" t="s">
        <v>649</v>
      </c>
      <c r="O75" s="1735">
        <v>73.927281938433936</v>
      </c>
      <c r="P75" s="1685" t="s">
        <v>649</v>
      </c>
      <c r="Q75" s="1735">
        <f t="shared" si="48"/>
        <v>5.3429262855504529</v>
      </c>
      <c r="R75" s="1685" t="s">
        <v>649</v>
      </c>
      <c r="S75" s="1778">
        <f t="shared" si="49"/>
        <v>5.3429262855504525E-6</v>
      </c>
      <c r="T75" s="1685" t="s">
        <v>649</v>
      </c>
      <c r="U75" s="1779">
        <f t="shared" si="50"/>
        <v>1.9590729713684996E-5</v>
      </c>
    </row>
    <row r="76" spans="2:23" ht="12.75" x14ac:dyDescent="0.2">
      <c r="B76" s="1742" t="s">
        <v>1636</v>
      </c>
      <c r="C76" s="1745">
        <v>4</v>
      </c>
      <c r="D76" s="1680"/>
      <c r="E76" s="1735">
        <v>43567.86</v>
      </c>
      <c r="F76" s="274"/>
      <c r="G76" s="1735">
        <v>32719.040251757993</v>
      </c>
      <c r="H76" s="1685"/>
      <c r="I76" s="1735">
        <v>1638.2781442011596</v>
      </c>
      <c r="J76" s="274"/>
      <c r="K76" s="1735">
        <v>32.719040251757995</v>
      </c>
      <c r="L76" s="1680" t="s">
        <v>1489</v>
      </c>
      <c r="M76" s="1735">
        <v>32.765562884023197</v>
      </c>
      <c r="N76" s="1685" t="s">
        <v>649</v>
      </c>
      <c r="O76" s="1735">
        <v>102.90437635622757</v>
      </c>
      <c r="P76" s="1685" t="s">
        <v>649</v>
      </c>
      <c r="Q76" s="1735">
        <f t="shared" si="48"/>
        <v>7.4371799275637196</v>
      </c>
      <c r="R76" s="1685" t="s">
        <v>649</v>
      </c>
      <c r="S76" s="1778">
        <f t="shared" si="49"/>
        <v>7.4371799275637193E-6</v>
      </c>
      <c r="T76" s="1685" t="s">
        <v>649</v>
      </c>
      <c r="U76" s="1779">
        <f t="shared" si="50"/>
        <v>2.7269659734400305E-5</v>
      </c>
    </row>
    <row r="77" spans="2:23" ht="12.75" x14ac:dyDescent="0.2">
      <c r="B77" s="1742" t="s">
        <v>1637</v>
      </c>
      <c r="C77" s="1733">
        <v>3</v>
      </c>
      <c r="D77" s="1680"/>
      <c r="E77" s="1735">
        <v>41587.223999999995</v>
      </c>
      <c r="F77" s="274"/>
      <c r="G77" s="1735">
        <v>31231.601827927196</v>
      </c>
      <c r="H77" s="1685"/>
      <c r="I77" s="1735">
        <v>1563.8004748729438</v>
      </c>
      <c r="J77" s="274"/>
      <c r="K77" s="1735">
        <v>31.231601827927197</v>
      </c>
      <c r="L77" s="1680" t="s">
        <v>1489</v>
      </c>
      <c r="M77" s="1735">
        <v>31.276009497458876</v>
      </c>
      <c r="N77" s="1685" t="s">
        <v>649</v>
      </c>
      <c r="O77" s="1735">
        <v>98.226246368463833</v>
      </c>
      <c r="P77" s="1685" t="s">
        <v>649</v>
      </c>
      <c r="Q77" s="1735">
        <f t="shared" si="48"/>
        <v>7.0990787148117045</v>
      </c>
      <c r="R77" s="1685" t="s">
        <v>649</v>
      </c>
      <c r="S77" s="1778">
        <f t="shared" si="49"/>
        <v>7.0990787148117049E-6</v>
      </c>
      <c r="T77" s="1685" t="s">
        <v>649</v>
      </c>
      <c r="U77" s="1779">
        <f t="shared" si="50"/>
        <v>2.6029955287642919E-5</v>
      </c>
    </row>
    <row r="78" spans="2:23" ht="12.75" x14ac:dyDescent="0.2">
      <c r="B78" s="1742" t="s">
        <v>1638</v>
      </c>
      <c r="C78" s="1733">
        <v>4</v>
      </c>
      <c r="D78" s="1680"/>
      <c r="E78" s="1735">
        <v>55647.9</v>
      </c>
      <c r="F78" s="274"/>
      <c r="G78" s="1735">
        <v>41791.033115370003</v>
      </c>
      <c r="H78" s="1685"/>
      <c r="I78" s="1735">
        <v>2092.5227527973998</v>
      </c>
      <c r="J78" s="274"/>
      <c r="K78" s="1735">
        <v>41.791033115370006</v>
      </c>
      <c r="L78" s="1680" t="s">
        <v>1489</v>
      </c>
      <c r="M78" s="1735">
        <v>41.850455055947997</v>
      </c>
      <c r="N78" s="1685" t="s">
        <v>649</v>
      </c>
      <c r="O78" s="1735">
        <v>131.43662426921401</v>
      </c>
      <c r="P78" s="1685" t="s">
        <v>649</v>
      </c>
      <c r="Q78" s="1735">
        <f t="shared" si="48"/>
        <v>9.499283299456831</v>
      </c>
      <c r="R78" s="1685" t="s">
        <v>649</v>
      </c>
      <c r="S78" s="1778">
        <f t="shared" si="49"/>
        <v>9.4992832994568306E-6</v>
      </c>
      <c r="T78" s="1685" t="s">
        <v>649</v>
      </c>
      <c r="U78" s="1779">
        <f t="shared" si="50"/>
        <v>3.4830705431341715E-5</v>
      </c>
    </row>
    <row r="79" spans="2:23" ht="12.75" x14ac:dyDescent="0.2">
      <c r="B79" s="1743" t="s">
        <v>1593</v>
      </c>
      <c r="C79" s="1780"/>
      <c r="D79" s="1680"/>
      <c r="E79" s="1735"/>
      <c r="F79" s="274"/>
      <c r="G79" s="1735"/>
      <c r="H79" s="1685"/>
      <c r="I79" s="1735"/>
      <c r="J79" s="274"/>
      <c r="K79" s="1735" t="s">
        <v>1656</v>
      </c>
      <c r="L79" s="1680"/>
      <c r="M79" s="1735"/>
      <c r="N79" s="1685"/>
      <c r="O79" s="1735"/>
      <c r="P79" s="1685"/>
      <c r="Q79" s="1735"/>
      <c r="R79" s="1685"/>
      <c r="S79" s="1735"/>
      <c r="T79" s="1685"/>
      <c r="U79" s="1781"/>
    </row>
    <row r="80" spans="2:23" ht="12.75" x14ac:dyDescent="0.2">
      <c r="B80" s="1742" t="s">
        <v>1639</v>
      </c>
      <c r="C80" s="1782"/>
      <c r="D80" s="1749"/>
      <c r="E80" s="1751"/>
      <c r="F80" s="1783"/>
      <c r="G80" s="1751"/>
      <c r="H80" s="1784"/>
      <c r="I80" s="1751"/>
      <c r="J80" s="1783"/>
      <c r="K80" s="1751"/>
      <c r="L80" s="1749"/>
      <c r="M80" s="1751"/>
      <c r="N80" s="1784"/>
      <c r="O80" s="1751"/>
      <c r="P80" s="1784"/>
      <c r="Q80" s="1751"/>
      <c r="R80" s="1784"/>
      <c r="S80" s="1751"/>
      <c r="T80" s="1784"/>
      <c r="U80" s="1785"/>
    </row>
    <row r="81" spans="1:81" ht="12.75" x14ac:dyDescent="0.2">
      <c r="B81" s="1742" t="s">
        <v>1640</v>
      </c>
      <c r="C81" s="1733">
        <v>2364</v>
      </c>
      <c r="D81" s="1680"/>
      <c r="E81" s="1735">
        <v>1249850.52</v>
      </c>
      <c r="F81" s="274"/>
      <c r="G81" s="1735">
        <v>62492.526000000005</v>
      </c>
      <c r="H81" s="1685"/>
      <c r="I81" s="1735">
        <v>1187357.9939999999</v>
      </c>
      <c r="J81" s="274"/>
      <c r="K81" s="1735">
        <v>62.492526000000005</v>
      </c>
      <c r="L81" s="1680" t="s">
        <v>1489</v>
      </c>
      <c r="M81" s="1735">
        <v>5936.7899699999998</v>
      </c>
      <c r="N81" s="1685" t="s">
        <v>649</v>
      </c>
      <c r="O81" s="1735">
        <v>9427.4439222857145</v>
      </c>
      <c r="P81" s="1685" t="s">
        <v>649</v>
      </c>
      <c r="Q81" s="1735">
        <f t="shared" ref="Q81:Q85" si="51">O81/1000*$Z$8*12/44</f>
        <v>681.3470834742858</v>
      </c>
      <c r="R81" s="1685" t="s">
        <v>649</v>
      </c>
      <c r="S81" s="1778">
        <f t="shared" ref="S81:S85" si="52">Q81/10^6</f>
        <v>6.8134708347428576E-4</v>
      </c>
      <c r="T81" s="1685" t="s">
        <v>649</v>
      </c>
      <c r="U81" s="1779">
        <f t="shared" ref="U81:U85" si="53">S81/(12/44)</f>
        <v>2.4982726394057147E-3</v>
      </c>
    </row>
    <row r="82" spans="1:81" ht="12.75" x14ac:dyDescent="0.2">
      <c r="B82" s="1742" t="s">
        <v>1641</v>
      </c>
      <c r="C82" s="1733">
        <v>708</v>
      </c>
      <c r="D82" s="1680"/>
      <c r="E82" s="1735">
        <v>74950.559999999998</v>
      </c>
      <c r="F82" s="274"/>
      <c r="G82" s="1735">
        <v>3747.5280000000002</v>
      </c>
      <c r="H82" s="1685"/>
      <c r="I82" s="1735">
        <v>71203.031999999992</v>
      </c>
      <c r="J82" s="274"/>
      <c r="K82" s="1735">
        <v>3.7475280000000004</v>
      </c>
      <c r="L82" s="1680" t="s">
        <v>1489</v>
      </c>
      <c r="M82" s="1735">
        <v>356.01515999999998</v>
      </c>
      <c r="N82" s="1685" t="s">
        <v>649</v>
      </c>
      <c r="O82" s="1735">
        <v>565.34136685714282</v>
      </c>
      <c r="P82" s="1685" t="s">
        <v>649</v>
      </c>
      <c r="Q82" s="1735">
        <f t="shared" si="51"/>
        <v>40.85876242285714</v>
      </c>
      <c r="R82" s="1685" t="s">
        <v>649</v>
      </c>
      <c r="S82" s="1778">
        <f t="shared" si="52"/>
        <v>4.0858762422857142E-5</v>
      </c>
      <c r="T82" s="1685" t="s">
        <v>649</v>
      </c>
      <c r="U82" s="1779">
        <f t="shared" si="53"/>
        <v>1.4981546221714287E-4</v>
      </c>
    </row>
    <row r="83" spans="1:81" ht="12.75" x14ac:dyDescent="0.2">
      <c r="B83" s="1742" t="s">
        <v>1642</v>
      </c>
      <c r="C83" s="1733">
        <v>10</v>
      </c>
      <c r="D83" s="1680"/>
      <c r="E83" s="1735">
        <v>6543.72</v>
      </c>
      <c r="F83" s="274"/>
      <c r="G83" s="1735">
        <v>327.18600000000004</v>
      </c>
      <c r="H83" s="1685"/>
      <c r="I83" s="1735">
        <v>6216.5339999999997</v>
      </c>
      <c r="J83" s="274"/>
      <c r="K83" s="1735">
        <v>0.32718600000000003</v>
      </c>
      <c r="L83" s="1680" t="s">
        <v>1489</v>
      </c>
      <c r="M83" s="1735">
        <v>31.08267</v>
      </c>
      <c r="N83" s="1685" t="s">
        <v>649</v>
      </c>
      <c r="O83" s="1735">
        <v>49.358345142857146</v>
      </c>
      <c r="P83" s="1685" t="s">
        <v>649</v>
      </c>
      <c r="Q83" s="1735">
        <f t="shared" si="51"/>
        <v>3.5672622171428574</v>
      </c>
      <c r="R83" s="1685" t="s">
        <v>649</v>
      </c>
      <c r="S83" s="1778">
        <f t="shared" si="52"/>
        <v>3.5672622171428574E-6</v>
      </c>
      <c r="T83" s="1685" t="s">
        <v>649</v>
      </c>
      <c r="U83" s="1779">
        <f t="shared" si="53"/>
        <v>1.3079961462857144E-5</v>
      </c>
    </row>
    <row r="84" spans="1:81" ht="12.75" x14ac:dyDescent="0.2">
      <c r="B84" s="1742" t="s">
        <v>1643</v>
      </c>
      <c r="C84" s="1733">
        <v>52327</v>
      </c>
      <c r="D84" s="1679"/>
      <c r="E84" s="1735">
        <v>19177820.145000003</v>
      </c>
      <c r="F84" s="274"/>
      <c r="G84" s="1735" t="s">
        <v>1102</v>
      </c>
      <c r="H84" s="1685"/>
      <c r="I84" s="1735">
        <v>19177820.145000003</v>
      </c>
      <c r="J84" s="274"/>
      <c r="K84" s="1735" t="s">
        <v>1102</v>
      </c>
      <c r="L84" s="1680" t="s">
        <v>1489</v>
      </c>
      <c r="M84" s="1735">
        <v>383556.40290000004</v>
      </c>
      <c r="N84" s="1685" t="s">
        <v>649</v>
      </c>
      <c r="O84" s="1735">
        <v>602731.4902714286</v>
      </c>
      <c r="P84" s="1685" t="s">
        <v>649</v>
      </c>
      <c r="Q84" s="1735">
        <f t="shared" si="51"/>
        <v>43561.048615071428</v>
      </c>
      <c r="R84" s="1685" t="s">
        <v>649</v>
      </c>
      <c r="S84" s="1778">
        <f t="shared" si="52"/>
        <v>4.3561048615071429E-2</v>
      </c>
      <c r="T84" s="1685" t="s">
        <v>649</v>
      </c>
      <c r="U84" s="1779">
        <f t="shared" si="53"/>
        <v>0.15972384492192859</v>
      </c>
    </row>
    <row r="85" spans="1:81" ht="12.75" x14ac:dyDescent="0.2">
      <c r="B85" s="1742" t="s">
        <v>1644</v>
      </c>
      <c r="C85" s="1733">
        <v>421</v>
      </c>
      <c r="D85" s="1679"/>
      <c r="E85" s="1735">
        <v>1293022.72</v>
      </c>
      <c r="F85" s="274"/>
      <c r="G85" s="1735" t="s">
        <v>1102</v>
      </c>
      <c r="H85" s="1685"/>
      <c r="I85" s="1735">
        <v>1293022.72</v>
      </c>
      <c r="J85" s="274"/>
      <c r="K85" s="1735" t="s">
        <v>1102</v>
      </c>
      <c r="L85" s="1680" t="s">
        <v>1489</v>
      </c>
      <c r="M85" s="1735">
        <v>25860.454399999999</v>
      </c>
      <c r="N85" s="1685" t="s">
        <v>649</v>
      </c>
      <c r="O85" s="1735">
        <v>40637.856914285709</v>
      </c>
      <c r="P85" s="1685" t="s">
        <v>649</v>
      </c>
      <c r="Q85" s="1735">
        <f t="shared" si="51"/>
        <v>2937.0087497142854</v>
      </c>
      <c r="R85" s="1685" t="s">
        <v>649</v>
      </c>
      <c r="S85" s="1778">
        <f t="shared" si="52"/>
        <v>2.9370087497142855E-3</v>
      </c>
      <c r="T85" s="1685" t="s">
        <v>649</v>
      </c>
      <c r="U85" s="1779">
        <f t="shared" si="53"/>
        <v>1.0769032082285714E-2</v>
      </c>
    </row>
    <row r="86" spans="1:81" ht="12.75" x14ac:dyDescent="0.2">
      <c r="B86" s="1743" t="s">
        <v>555</v>
      </c>
      <c r="C86" s="1780"/>
      <c r="D86" s="1679"/>
      <c r="E86" s="1735"/>
      <c r="F86" s="274"/>
      <c r="G86" s="1735"/>
      <c r="H86" s="1685"/>
      <c r="I86" s="1735"/>
      <c r="J86" s="274"/>
      <c r="K86" s="1735" t="s">
        <v>1656</v>
      </c>
      <c r="L86" s="1680"/>
      <c r="M86" s="1735"/>
      <c r="N86" s="1685"/>
      <c r="O86" s="1735"/>
      <c r="P86" s="1685"/>
      <c r="Q86" s="1735"/>
      <c r="R86" s="1685"/>
      <c r="S86" s="1735"/>
      <c r="T86" s="1685"/>
      <c r="U86" s="1781"/>
    </row>
    <row r="87" spans="1:81" ht="12.75" x14ac:dyDescent="0.2">
      <c r="B87" s="1682" t="s">
        <v>1645</v>
      </c>
      <c r="C87" s="1733">
        <v>0</v>
      </c>
      <c r="D87" s="1679"/>
      <c r="E87" s="1735">
        <v>0</v>
      </c>
      <c r="F87" s="274"/>
      <c r="G87" s="1735" t="s">
        <v>1102</v>
      </c>
      <c r="H87" s="1685"/>
      <c r="I87" s="1735">
        <v>0</v>
      </c>
      <c r="J87" s="274"/>
      <c r="K87" s="1735" t="s">
        <v>1102</v>
      </c>
      <c r="L87" s="1680" t="s">
        <v>1489</v>
      </c>
      <c r="M87" s="1735">
        <v>0</v>
      </c>
      <c r="N87" s="1685" t="s">
        <v>649</v>
      </c>
      <c r="O87" s="1735">
        <v>0</v>
      </c>
      <c r="P87" s="1685" t="s">
        <v>649</v>
      </c>
      <c r="Q87" s="1735">
        <f t="shared" ref="Q87:Q88" si="54">O87/1000*$Z$8*12/44</f>
        <v>0</v>
      </c>
      <c r="R87" s="1685" t="s">
        <v>649</v>
      </c>
      <c r="S87" s="1778">
        <f t="shared" ref="S87:S89" si="55">Q87/10^6</f>
        <v>0</v>
      </c>
      <c r="T87" s="1685" t="s">
        <v>649</v>
      </c>
      <c r="U87" s="1779">
        <f t="shared" ref="U87:U89" si="56">S87/(12/44)</f>
        <v>0</v>
      </c>
    </row>
    <row r="88" spans="1:81" ht="12.75" x14ac:dyDescent="0.2">
      <c r="B88" s="1682" t="s">
        <v>1646</v>
      </c>
      <c r="C88" s="1691">
        <v>24</v>
      </c>
      <c r="D88" s="1679"/>
      <c r="E88" s="1735">
        <v>294336</v>
      </c>
      <c r="F88" s="274"/>
      <c r="G88" s="1735" t="s">
        <v>1102</v>
      </c>
      <c r="H88" s="1685"/>
      <c r="I88" s="1735">
        <v>0</v>
      </c>
      <c r="J88" s="274"/>
      <c r="K88" s="1735" t="s">
        <v>1102</v>
      </c>
      <c r="L88" s="1680" t="s">
        <v>1489</v>
      </c>
      <c r="M88" s="1735">
        <v>0</v>
      </c>
      <c r="N88" s="1685" t="s">
        <v>649</v>
      </c>
      <c r="O88" s="1735">
        <v>0</v>
      </c>
      <c r="P88" s="1685" t="s">
        <v>649</v>
      </c>
      <c r="Q88" s="1735">
        <f t="shared" si="54"/>
        <v>0</v>
      </c>
      <c r="R88" s="1685" t="s">
        <v>649</v>
      </c>
      <c r="S88" s="1778">
        <f t="shared" si="55"/>
        <v>0</v>
      </c>
      <c r="T88" s="1685" t="s">
        <v>649</v>
      </c>
      <c r="U88" s="1779">
        <f t="shared" si="56"/>
        <v>0</v>
      </c>
    </row>
    <row r="89" spans="1:81" ht="12.75" x14ac:dyDescent="0.2">
      <c r="B89" s="1786" t="s">
        <v>1620</v>
      </c>
      <c r="C89" s="1787" t="s">
        <v>1656</v>
      </c>
      <c r="D89" s="1788"/>
      <c r="E89" s="1789">
        <v>30118367.229000006</v>
      </c>
      <c r="F89" s="1788"/>
      <c r="G89" s="1789">
        <v>1908275.4229409834</v>
      </c>
      <c r="H89" s="1788"/>
      <c r="I89" s="1789">
        <v>24501558.333355505</v>
      </c>
      <c r="J89" s="1790"/>
      <c r="K89" s="1789">
        <v>1908.2754229409841</v>
      </c>
      <c r="L89" s="1791"/>
      <c r="M89" s="1789">
        <v>471059.50326711009</v>
      </c>
      <c r="N89" s="1790"/>
      <c r="O89" s="1789">
        <v>742687.14847622463</v>
      </c>
      <c r="P89" s="1790"/>
      <c r="Q89" s="1789">
        <f>SUM(Q68:Q88)</f>
        <v>53676.025730781694</v>
      </c>
      <c r="R89" s="1790"/>
      <c r="S89" s="1792">
        <f t="shared" si="55"/>
        <v>5.3676025730781694E-2</v>
      </c>
      <c r="T89" s="1790"/>
      <c r="U89" s="1793">
        <f t="shared" si="56"/>
        <v>0.19681209434619956</v>
      </c>
    </row>
    <row r="90" spans="1:81" ht="11.25" x14ac:dyDescent="0.2">
      <c r="A90" s="578"/>
      <c r="B90" s="1794"/>
      <c r="C90" s="1795"/>
      <c r="D90" s="1796"/>
      <c r="E90" s="1796"/>
      <c r="F90" s="1796"/>
      <c r="G90" s="1797"/>
      <c r="H90" s="1798"/>
      <c r="I90" s="1799"/>
      <c r="J90" s="1798"/>
      <c r="K90" s="1800"/>
      <c r="L90" s="581"/>
      <c r="M90" s="1800"/>
      <c r="N90" s="581"/>
      <c r="O90" s="581"/>
      <c r="P90" s="581"/>
      <c r="Q90" s="581"/>
      <c r="R90" s="581"/>
      <c r="S90" s="581"/>
      <c r="T90" s="581"/>
      <c r="U90" s="830"/>
    </row>
    <row r="91" spans="1:81" ht="11.25" x14ac:dyDescent="0.2">
      <c r="A91" s="466"/>
      <c r="B91" s="1702"/>
      <c r="C91" s="977"/>
      <c r="D91" s="1119"/>
      <c r="E91" s="1119"/>
      <c r="F91" s="1119"/>
      <c r="G91" s="1703"/>
      <c r="H91" s="873"/>
      <c r="I91" s="1704"/>
      <c r="J91" s="873"/>
      <c r="K91" s="1705"/>
      <c r="L91" s="466"/>
      <c r="M91" s="1705"/>
      <c r="N91" s="466"/>
      <c r="O91" s="466"/>
      <c r="P91" s="466"/>
      <c r="Q91" s="466"/>
      <c r="R91" s="466"/>
      <c r="S91" s="466"/>
      <c r="T91" s="466"/>
      <c r="U91" s="466"/>
    </row>
    <row r="92" spans="1:81" ht="11.25" x14ac:dyDescent="0.2">
      <c r="A92" s="466"/>
      <c r="B92" s="1702"/>
      <c r="C92" s="977"/>
      <c r="D92" s="1119"/>
      <c r="E92" s="1119"/>
      <c r="F92" s="1119"/>
      <c r="G92" s="1703"/>
      <c r="H92" s="873"/>
      <c r="I92" s="1704"/>
      <c r="J92" s="873"/>
      <c r="K92" s="1705"/>
      <c r="L92" s="466"/>
      <c r="M92" s="1705"/>
      <c r="N92" s="466"/>
      <c r="O92" s="466"/>
      <c r="P92" s="466"/>
      <c r="Q92" s="466"/>
      <c r="R92" s="466"/>
      <c r="S92" s="466"/>
      <c r="T92" s="466"/>
      <c r="U92" s="466"/>
    </row>
    <row r="93" spans="1:81" ht="19.5" x14ac:dyDescent="0.4">
      <c r="B93" s="1801" t="s">
        <v>1657</v>
      </c>
      <c r="C93" s="1802"/>
      <c r="D93" s="1803"/>
      <c r="E93" s="1803"/>
      <c r="F93" s="1804"/>
      <c r="G93" s="1805"/>
      <c r="H93" s="1806"/>
      <c r="I93" s="1807"/>
      <c r="J93" s="1806"/>
      <c r="K93" s="1808"/>
      <c r="L93" s="1809"/>
      <c r="M93" s="1808"/>
      <c r="N93" s="1809"/>
      <c r="O93" s="1809"/>
      <c r="P93" s="1809"/>
      <c r="Q93" s="1809"/>
      <c r="R93" s="1809"/>
      <c r="S93" s="1809"/>
      <c r="T93" s="1809"/>
      <c r="U93" s="1809"/>
      <c r="V93" s="1809"/>
      <c r="W93" s="1809"/>
      <c r="X93" s="1809"/>
      <c r="Y93" s="1809"/>
      <c r="Z93" s="1809"/>
      <c r="AA93" s="1809"/>
      <c r="AB93" s="1809"/>
      <c r="AC93" s="1809"/>
      <c r="AD93" s="1809"/>
      <c r="AE93" s="1810"/>
    </row>
    <row r="94" spans="1:81" ht="11.25" x14ac:dyDescent="0.2">
      <c r="A94" s="223"/>
      <c r="B94" s="1811" t="s">
        <v>1658</v>
      </c>
      <c r="C94" s="223"/>
      <c r="D94" s="223"/>
      <c r="E94" s="223"/>
      <c r="F94" s="223"/>
      <c r="G94" s="1812"/>
      <c r="H94" s="1812"/>
      <c r="I94" s="1812"/>
      <c r="J94" s="1812"/>
      <c r="K94" s="1812"/>
      <c r="L94" s="1812"/>
      <c r="M94" s="1813"/>
      <c r="N94" s="1812"/>
      <c r="O94" s="1812"/>
      <c r="P94" s="1814"/>
      <c r="Q94" s="1812"/>
      <c r="R94" s="1812"/>
      <c r="S94" s="1812"/>
      <c r="T94" s="1812"/>
      <c r="U94" s="1812"/>
      <c r="V94" s="1812"/>
      <c r="W94" s="1812"/>
      <c r="X94" s="1812"/>
      <c r="Y94" s="1812"/>
      <c r="Z94" s="1812"/>
      <c r="AA94" s="1812"/>
      <c r="AB94" s="1812"/>
      <c r="AC94" s="1812"/>
      <c r="AD94" s="1812"/>
      <c r="AE94" s="1815"/>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row>
    <row r="95" spans="1:81" ht="48" x14ac:dyDescent="0.25">
      <c r="A95" s="223"/>
      <c r="B95" s="1816"/>
      <c r="C95" s="1817" t="s">
        <v>80</v>
      </c>
      <c r="D95" s="1817"/>
      <c r="E95" s="1817" t="s">
        <v>1659</v>
      </c>
      <c r="F95" s="1817"/>
      <c r="G95" s="1817" t="s">
        <v>1660</v>
      </c>
      <c r="H95" s="1818"/>
      <c r="I95" s="1817" t="s">
        <v>1661</v>
      </c>
      <c r="J95" s="1818"/>
      <c r="K95" s="1817" t="s">
        <v>1662</v>
      </c>
      <c r="L95" s="1817"/>
      <c r="M95" s="1817" t="s">
        <v>1663</v>
      </c>
      <c r="N95" s="1819"/>
      <c r="O95" s="1817" t="s">
        <v>1664</v>
      </c>
      <c r="P95" s="1817"/>
      <c r="Q95" s="1817" t="s">
        <v>1665</v>
      </c>
      <c r="R95" s="1818"/>
      <c r="S95" s="1817" t="s">
        <v>1666</v>
      </c>
      <c r="T95" s="1817"/>
      <c r="U95" s="1817" t="s">
        <v>1667</v>
      </c>
      <c r="V95" s="1818"/>
      <c r="W95" s="1817" t="s">
        <v>1668</v>
      </c>
      <c r="X95" s="1820"/>
      <c r="Y95" s="1821"/>
      <c r="Z95" s="1822" t="s">
        <v>1669</v>
      </c>
      <c r="AA95" s="1817" t="s">
        <v>1670</v>
      </c>
      <c r="AB95" s="1821"/>
      <c r="AC95" s="1823" t="s">
        <v>1671</v>
      </c>
      <c r="AD95" s="1821"/>
      <c r="AE95" s="1824" t="s">
        <v>1672</v>
      </c>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row>
    <row r="96" spans="1:81" ht="11.25" x14ac:dyDescent="0.2">
      <c r="A96" s="223"/>
      <c r="B96" s="1825" t="s">
        <v>1673</v>
      </c>
      <c r="C96" s="1826" t="s">
        <v>1674</v>
      </c>
      <c r="D96" s="1512"/>
      <c r="E96" s="1827">
        <v>133</v>
      </c>
      <c r="F96" s="1828"/>
      <c r="G96" s="1829" t="s">
        <v>1102</v>
      </c>
      <c r="H96" s="1515"/>
      <c r="I96" s="1515">
        <v>0</v>
      </c>
      <c r="J96" s="1515"/>
      <c r="K96" s="1830">
        <f>E96*0.9072*1000</f>
        <v>120657.60000000001</v>
      </c>
      <c r="L96" s="1831"/>
      <c r="M96" s="1515">
        <v>0.85</v>
      </c>
      <c r="N96" s="1515"/>
      <c r="O96" s="1515">
        <v>0</v>
      </c>
      <c r="P96" s="1515"/>
      <c r="Q96" s="1515" t="s">
        <v>1102</v>
      </c>
      <c r="R96" s="1515"/>
      <c r="S96" s="1830" t="s">
        <v>1102</v>
      </c>
      <c r="T96" s="1832"/>
      <c r="U96" s="1515">
        <v>0.03</v>
      </c>
      <c r="V96" s="1515"/>
      <c r="W96" s="1830">
        <f>(K96*1000)*(1+I96)*M96*U96</f>
        <v>3076768.8</v>
      </c>
      <c r="X96" s="1515"/>
      <c r="Y96" s="1833" t="s">
        <v>1675</v>
      </c>
      <c r="Z96" s="1832">
        <v>0.01</v>
      </c>
      <c r="AA96" s="1834">
        <f>S117/1000*Z96*44/28</f>
        <v>578.06661517835255</v>
      </c>
      <c r="AB96" s="1515"/>
      <c r="AC96" s="1835">
        <f t="shared" ref="AC96:AC97" si="57">AA96*$Z$8*12/44*10^-6</f>
        <v>4.177845082425366E-2</v>
      </c>
      <c r="AD96" s="1515"/>
      <c r="AE96" s="1836">
        <f t="shared" ref="AE96:AE97" si="58">AC96/(12/44)</f>
        <v>0.15318765302226342</v>
      </c>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row>
    <row r="97" spans="1:81" ht="11.25" x14ac:dyDescent="0.2">
      <c r="A97" s="223"/>
      <c r="B97" s="1544" t="s">
        <v>1676</v>
      </c>
      <c r="C97" s="1837" t="s">
        <v>1677</v>
      </c>
      <c r="D97" s="1838"/>
      <c r="E97" s="1839">
        <v>75250</v>
      </c>
      <c r="F97" s="1521"/>
      <c r="G97" s="1840">
        <v>2.5401147108E-2</v>
      </c>
      <c r="H97" s="1521"/>
      <c r="I97" s="1521">
        <v>1</v>
      </c>
      <c r="J97" s="1521"/>
      <c r="K97" s="1543">
        <f t="shared" ref="K97:K103" si="59">E97*1000*G97</f>
        <v>1911436.3198770001</v>
      </c>
      <c r="L97" s="1543"/>
      <c r="M97" s="1521">
        <v>0.91</v>
      </c>
      <c r="N97" s="1521"/>
      <c r="O97" s="1521">
        <v>0.9</v>
      </c>
      <c r="P97" s="1521"/>
      <c r="Q97" s="1521">
        <v>5.7999999999999996E-3</v>
      </c>
      <c r="R97" s="1521"/>
      <c r="S97" s="1543">
        <f t="shared" ref="S97:S111" si="60">(K97*1000)*I97*M97*O97*Q97</f>
        <v>9079704.8066797256</v>
      </c>
      <c r="T97" s="1520"/>
      <c r="U97" s="1521">
        <v>0.03</v>
      </c>
      <c r="V97" s="1521"/>
      <c r="W97" s="1543" t="s">
        <v>1102</v>
      </c>
      <c r="X97" s="1521"/>
      <c r="Y97" s="1841" t="s">
        <v>1678</v>
      </c>
      <c r="Z97" s="1520">
        <v>0.01</v>
      </c>
      <c r="AA97" s="1842">
        <f>W117/1000*Z97*44/28</f>
        <v>852.18149706895929</v>
      </c>
      <c r="AB97" s="1521"/>
      <c r="AC97" s="1843">
        <f t="shared" si="57"/>
        <v>6.1589480924529323E-2</v>
      </c>
      <c r="AD97" s="1521"/>
      <c r="AE97" s="1844">
        <f t="shared" si="58"/>
        <v>0.2258280967232742</v>
      </c>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row>
    <row r="98" spans="1:81" ht="11.25" x14ac:dyDescent="0.2">
      <c r="A98" s="223"/>
      <c r="B98" s="1544" t="s">
        <v>1679</v>
      </c>
      <c r="C98" s="1837" t="s">
        <v>1677</v>
      </c>
      <c r="D98" s="1838"/>
      <c r="E98" s="1839">
        <v>17500</v>
      </c>
      <c r="F98" s="1521"/>
      <c r="G98" s="1840">
        <v>2.7215442853E-2</v>
      </c>
      <c r="H98" s="1521"/>
      <c r="I98" s="1521">
        <v>1.3</v>
      </c>
      <c r="J98" s="1521"/>
      <c r="K98" s="1543">
        <f t="shared" si="59"/>
        <v>476270.24992749997</v>
      </c>
      <c r="L98" s="1543"/>
      <c r="M98" s="1521">
        <v>0.93</v>
      </c>
      <c r="N98" s="1521"/>
      <c r="O98" s="1521">
        <v>0.9</v>
      </c>
      <c r="P98" s="1521"/>
      <c r="Q98" s="1521">
        <v>6.1999999999999998E-3</v>
      </c>
      <c r="R98" s="1521"/>
      <c r="S98" s="1543">
        <f t="shared" si="60"/>
        <v>3213023.8854658986</v>
      </c>
      <c r="T98" s="1520"/>
      <c r="U98" s="1521">
        <v>0.03</v>
      </c>
      <c r="V98" s="1521"/>
      <c r="W98" s="1543" t="s">
        <v>1102</v>
      </c>
      <c r="X98" s="1521"/>
      <c r="Y98" s="1845"/>
      <c r="Z98" s="1846"/>
      <c r="AA98" s="1521"/>
      <c r="AB98" s="1521"/>
      <c r="AC98" s="1521"/>
      <c r="AD98" s="1521"/>
      <c r="AE98" s="15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row>
    <row r="99" spans="1:81" ht="11.25" x14ac:dyDescent="0.2">
      <c r="A99" s="223"/>
      <c r="B99" s="1544" t="s">
        <v>1680</v>
      </c>
      <c r="C99" s="1837" t="s">
        <v>1677</v>
      </c>
      <c r="D99" s="1838"/>
      <c r="E99" s="1839">
        <v>3465</v>
      </c>
      <c r="F99" s="1521"/>
      <c r="G99" s="1840">
        <v>2.1772E-2</v>
      </c>
      <c r="H99" s="1521"/>
      <c r="I99" s="1521">
        <v>1.2</v>
      </c>
      <c r="J99" s="1521"/>
      <c r="K99" s="1543">
        <f t="shared" si="59"/>
        <v>75439.98</v>
      </c>
      <c r="L99" s="1543"/>
      <c r="M99" s="1521">
        <v>0.93</v>
      </c>
      <c r="N99" s="1521"/>
      <c r="O99" s="1521">
        <v>0.9</v>
      </c>
      <c r="P99" s="1521"/>
      <c r="Q99" s="1521">
        <v>7.7000000000000002E-3</v>
      </c>
      <c r="R99" s="1521"/>
      <c r="S99" s="1543">
        <f t="shared" si="60"/>
        <v>583443.75252240011</v>
      </c>
      <c r="T99" s="1520"/>
      <c r="U99" s="1521">
        <v>0.03</v>
      </c>
      <c r="V99" s="1521"/>
      <c r="W99" s="1543" t="s">
        <v>1102</v>
      </c>
      <c r="X99" s="1521"/>
      <c r="Y99" s="1521"/>
      <c r="Z99" s="1846"/>
      <c r="AA99" s="1521"/>
      <c r="AB99" s="1521"/>
      <c r="AC99" s="1521"/>
      <c r="AD99" s="1521"/>
      <c r="AE99" s="15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row>
    <row r="100" spans="1:81" ht="11.25" x14ac:dyDescent="0.2">
      <c r="A100" s="223"/>
      <c r="B100" s="1544" t="s">
        <v>1681</v>
      </c>
      <c r="C100" s="1837" t="s">
        <v>1677</v>
      </c>
      <c r="D100" s="1838"/>
      <c r="E100" s="1839">
        <v>0</v>
      </c>
      <c r="F100" s="1521"/>
      <c r="G100" s="1840">
        <v>2.5401169512752383E-2</v>
      </c>
      <c r="H100" s="1521"/>
      <c r="I100" s="1521">
        <v>1.4</v>
      </c>
      <c r="J100" s="1521"/>
      <c r="K100" s="1543">
        <f t="shared" si="59"/>
        <v>0</v>
      </c>
      <c r="L100" s="1543"/>
      <c r="M100" s="1521">
        <v>0.91</v>
      </c>
      <c r="N100" s="1521"/>
      <c r="O100" s="1521">
        <v>0.9</v>
      </c>
      <c r="P100" s="1521"/>
      <c r="Q100" s="1521">
        <v>1.0800000000000001E-2</v>
      </c>
      <c r="R100" s="1521"/>
      <c r="S100" s="1543">
        <f t="shared" si="60"/>
        <v>0</v>
      </c>
      <c r="T100" s="1520"/>
      <c r="U100" s="1521">
        <v>0.03</v>
      </c>
      <c r="V100" s="1521"/>
      <c r="W100" s="1543" t="s">
        <v>1102</v>
      </c>
      <c r="X100" s="1521"/>
      <c r="Y100" s="1521"/>
      <c r="Z100" s="1846"/>
      <c r="AA100" s="1521"/>
      <c r="AB100" s="1521"/>
      <c r="AC100" s="1521"/>
      <c r="AD100" s="1521"/>
      <c r="AE100" s="15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row>
    <row r="101" spans="1:81" ht="11.25" x14ac:dyDescent="0.2">
      <c r="A101" s="223"/>
      <c r="B101" s="1544" t="s">
        <v>1682</v>
      </c>
      <c r="C101" s="1837" t="s">
        <v>1677</v>
      </c>
      <c r="D101" s="1838"/>
      <c r="E101" s="1839">
        <v>0</v>
      </c>
      <c r="F101" s="1521"/>
      <c r="G101" s="1840">
        <v>1.4514959222223263E-2</v>
      </c>
      <c r="H101" s="1521"/>
      <c r="I101" s="1521">
        <v>1.3</v>
      </c>
      <c r="J101" s="1521"/>
      <c r="K101" s="1543">
        <f t="shared" si="59"/>
        <v>0</v>
      </c>
      <c r="L101" s="1543"/>
      <c r="M101" s="1521">
        <v>0.92</v>
      </c>
      <c r="N101" s="1521"/>
      <c r="O101" s="1521">
        <v>0.9</v>
      </c>
      <c r="P101" s="1521"/>
      <c r="Q101" s="1521">
        <v>7.0000000000000001E-3</v>
      </c>
      <c r="R101" s="1521"/>
      <c r="S101" s="1543">
        <f t="shared" si="60"/>
        <v>0</v>
      </c>
      <c r="T101" s="1520"/>
      <c r="U101" s="1521">
        <v>0.03</v>
      </c>
      <c r="V101" s="1521"/>
      <c r="W101" s="1543" t="s">
        <v>1102</v>
      </c>
      <c r="X101" s="1521"/>
      <c r="Y101" s="1521"/>
      <c r="Z101" s="1846"/>
      <c r="AA101" s="1521"/>
      <c r="AB101" s="1521"/>
      <c r="AC101" s="1521"/>
      <c r="AD101" s="1521"/>
      <c r="AE101" s="15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row>
    <row r="102" spans="1:81" ht="11.25" x14ac:dyDescent="0.2">
      <c r="A102" s="223"/>
      <c r="B102" s="1544" t="s">
        <v>1683</v>
      </c>
      <c r="C102" s="1837" t="s">
        <v>1677</v>
      </c>
      <c r="D102" s="1838"/>
      <c r="E102" s="1839">
        <v>0</v>
      </c>
      <c r="F102" s="1521"/>
      <c r="G102" s="1840">
        <v>2.5401046494036766E-2</v>
      </c>
      <c r="H102" s="1521"/>
      <c r="I102" s="1521">
        <v>1.6</v>
      </c>
      <c r="J102" s="1521"/>
      <c r="K102" s="1543">
        <f t="shared" si="59"/>
        <v>0</v>
      </c>
      <c r="L102" s="1543"/>
      <c r="M102" s="1521">
        <v>0.9</v>
      </c>
      <c r="N102" s="1521"/>
      <c r="O102" s="1521">
        <v>0.9</v>
      </c>
      <c r="P102" s="1521"/>
      <c r="Q102" s="1521">
        <v>4.7999999999999996E-3</v>
      </c>
      <c r="R102" s="1521"/>
      <c r="S102" s="1543">
        <f t="shared" si="60"/>
        <v>0</v>
      </c>
      <c r="T102" s="1520"/>
      <c r="U102" s="1521">
        <v>0.03</v>
      </c>
      <c r="V102" s="1521"/>
      <c r="W102" s="1543" t="s">
        <v>1102</v>
      </c>
      <c r="X102" s="1521"/>
      <c r="Y102" s="1521"/>
      <c r="Z102" s="1846"/>
      <c r="AA102" s="1521"/>
      <c r="AB102" s="1521"/>
      <c r="AC102" s="1521"/>
      <c r="AD102" s="1521"/>
      <c r="AE102" s="15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row>
    <row r="103" spans="1:81" ht="11.25" x14ac:dyDescent="0.2">
      <c r="A103" s="223"/>
      <c r="B103" s="1544" t="s">
        <v>1684</v>
      </c>
      <c r="C103" s="1837" t="s">
        <v>1677</v>
      </c>
      <c r="D103" s="1838"/>
      <c r="E103" s="1847">
        <v>0</v>
      </c>
      <c r="F103" s="1521"/>
      <c r="G103" s="1840">
        <v>2.7215E-2</v>
      </c>
      <c r="H103" s="1521"/>
      <c r="I103" s="1521">
        <v>1.4</v>
      </c>
      <c r="J103" s="1521"/>
      <c r="K103" s="1543">
        <f t="shared" si="59"/>
        <v>0</v>
      </c>
      <c r="L103" s="1520"/>
      <c r="M103" s="1521">
        <v>0.89</v>
      </c>
      <c r="N103" s="1521"/>
      <c r="O103" s="1521">
        <v>0.89</v>
      </c>
      <c r="P103" s="1521"/>
      <c r="Q103" s="1521">
        <v>7.0000000000000001E-3</v>
      </c>
      <c r="R103" s="1521"/>
      <c r="S103" s="1543">
        <f t="shared" si="60"/>
        <v>0</v>
      </c>
      <c r="T103" s="1520"/>
      <c r="U103" s="1521">
        <v>0.03</v>
      </c>
      <c r="V103" s="1521"/>
      <c r="W103" s="1543" t="s">
        <v>1102</v>
      </c>
      <c r="X103" s="1521"/>
      <c r="Y103" s="1521"/>
      <c r="Z103" s="1848"/>
      <c r="AA103" s="1521"/>
      <c r="AB103" s="1521"/>
      <c r="AC103" s="1521"/>
      <c r="AD103" s="1521"/>
      <c r="AE103" s="15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row>
    <row r="104" spans="1:81" ht="33.75" x14ac:dyDescent="0.2">
      <c r="A104" s="223"/>
      <c r="B104" s="1544" t="s">
        <v>1685</v>
      </c>
      <c r="C104" s="1837" t="s">
        <v>1686</v>
      </c>
      <c r="D104" s="1838"/>
      <c r="E104" s="1839">
        <v>0</v>
      </c>
      <c r="F104" s="1521"/>
      <c r="G104" s="1840" t="s">
        <v>1102</v>
      </c>
      <c r="H104" s="1521"/>
      <c r="I104" s="1521">
        <v>1.4</v>
      </c>
      <c r="J104" s="1521"/>
      <c r="K104" s="1543">
        <f>(E104*0.454)*100</f>
        <v>0</v>
      </c>
      <c r="L104" s="1543"/>
      <c r="M104" s="1521">
        <v>0.91</v>
      </c>
      <c r="N104" s="1521"/>
      <c r="O104" s="1521">
        <v>1</v>
      </c>
      <c r="P104" s="1521"/>
      <c r="Q104" s="1521">
        <v>7.1999999999999998E-3</v>
      </c>
      <c r="R104" s="1521"/>
      <c r="S104" s="1543">
        <f t="shared" si="60"/>
        <v>0</v>
      </c>
      <c r="T104" s="1520"/>
      <c r="U104" s="1521">
        <v>0.03</v>
      </c>
      <c r="V104" s="1521"/>
      <c r="W104" s="1543" t="s">
        <v>1102</v>
      </c>
      <c r="X104" s="1521"/>
      <c r="Y104" s="1521"/>
      <c r="Z104" s="1846"/>
      <c r="AA104" s="1521"/>
      <c r="AB104" s="1521"/>
      <c r="AC104" s="1521"/>
      <c r="AD104" s="1521"/>
      <c r="AE104" s="15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row>
    <row r="105" spans="1:81" ht="11.25" x14ac:dyDescent="0.2">
      <c r="A105" s="223"/>
      <c r="B105" s="1544" t="s">
        <v>1687</v>
      </c>
      <c r="C105" s="1837" t="s">
        <v>1677</v>
      </c>
      <c r="D105" s="1838"/>
      <c r="E105" s="1839">
        <v>23230</v>
      </c>
      <c r="F105" s="1521"/>
      <c r="G105" s="1840">
        <v>2.7215692074999999E-2</v>
      </c>
      <c r="H105" s="1521"/>
      <c r="I105" s="1521">
        <v>2.1</v>
      </c>
      <c r="J105" s="1521"/>
      <c r="K105" s="1543">
        <f>E105*1000*G105</f>
        <v>632220.52690225001</v>
      </c>
      <c r="L105" s="1543"/>
      <c r="M105" s="1521">
        <v>0.87</v>
      </c>
      <c r="N105" s="1521"/>
      <c r="O105" s="1521">
        <v>0.9</v>
      </c>
      <c r="P105" s="1521"/>
      <c r="Q105" s="1521">
        <v>2.3E-2</v>
      </c>
      <c r="R105" s="1521"/>
      <c r="S105" s="1543">
        <f t="shared" si="60"/>
        <v>23909884.884863503</v>
      </c>
      <c r="T105" s="1520"/>
      <c r="U105" s="1521">
        <v>0.03</v>
      </c>
      <c r="V105" s="1521"/>
      <c r="W105" s="1543">
        <f t="shared" ref="W105:W116" si="61">(K105*1000)*(1+I105)*M105*U105</f>
        <v>51152962.831661053</v>
      </c>
      <c r="X105" s="1521"/>
      <c r="Y105" s="1521"/>
      <c r="Z105" s="1846"/>
      <c r="AA105" s="1521"/>
      <c r="AB105" s="1521"/>
      <c r="AC105" s="1521"/>
      <c r="AD105" s="1521"/>
      <c r="AE105" s="15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row>
    <row r="106" spans="1:81" ht="11.25" x14ac:dyDescent="0.2">
      <c r="A106" s="223"/>
      <c r="B106" s="1544" t="s">
        <v>1688</v>
      </c>
      <c r="C106" s="1837" t="s">
        <v>1689</v>
      </c>
      <c r="D106" s="1838"/>
      <c r="E106" s="1839">
        <v>0</v>
      </c>
      <c r="F106" s="1521"/>
      <c r="G106" s="1840" t="s">
        <v>1102</v>
      </c>
      <c r="H106" s="1521"/>
      <c r="I106" s="1521">
        <v>1</v>
      </c>
      <c r="J106" s="1521"/>
      <c r="K106" s="1543">
        <f>(E106*1000/2000*0.9072)</f>
        <v>0</v>
      </c>
      <c r="L106" s="1543"/>
      <c r="M106" s="1521">
        <v>0.86</v>
      </c>
      <c r="N106" s="1521"/>
      <c r="O106" s="1521">
        <v>0.9</v>
      </c>
      <c r="P106" s="1521"/>
      <c r="Q106" s="1521">
        <v>1.06E-2</v>
      </c>
      <c r="R106" s="1521"/>
      <c r="S106" s="1543">
        <f t="shared" si="60"/>
        <v>0</v>
      </c>
      <c r="T106" s="1520"/>
      <c r="U106" s="1521">
        <v>0.03</v>
      </c>
      <c r="V106" s="1521"/>
      <c r="W106" s="1543">
        <f t="shared" si="61"/>
        <v>0</v>
      </c>
      <c r="X106" s="1521"/>
      <c r="Y106" s="1521"/>
      <c r="Z106" s="1846"/>
      <c r="AA106" s="1521"/>
      <c r="AB106" s="1521"/>
      <c r="AC106" s="1521"/>
      <c r="AD106" s="1521"/>
      <c r="AE106" s="15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row>
    <row r="107" spans="1:81" ht="33.75" x14ac:dyDescent="0.2">
      <c r="A107" s="223"/>
      <c r="B107" s="1544" t="s">
        <v>1690</v>
      </c>
      <c r="C107" s="1837" t="s">
        <v>1686</v>
      </c>
      <c r="D107" s="1838"/>
      <c r="E107" s="1839">
        <v>0</v>
      </c>
      <c r="F107" s="1521"/>
      <c r="G107" s="1840" t="s">
        <v>1102</v>
      </c>
      <c r="H107" s="1521"/>
      <c r="I107" s="1521">
        <v>2.1</v>
      </c>
      <c r="J107" s="1521"/>
      <c r="K107" s="1543">
        <f t="shared" ref="K107:K111" si="62">(E107*0.454)*100</f>
        <v>0</v>
      </c>
      <c r="L107" s="1543"/>
      <c r="M107" s="1521">
        <v>0.87</v>
      </c>
      <c r="N107" s="1521"/>
      <c r="O107" s="1521">
        <v>1.55</v>
      </c>
      <c r="P107" s="1521"/>
      <c r="Q107" s="1521">
        <v>1.6799999999999999E-2</v>
      </c>
      <c r="R107" s="1521"/>
      <c r="S107" s="1543">
        <f t="shared" si="60"/>
        <v>0</v>
      </c>
      <c r="T107" s="1520"/>
      <c r="U107" s="1521">
        <v>0.03</v>
      </c>
      <c r="V107" s="1521"/>
      <c r="W107" s="1543">
        <f t="shared" si="61"/>
        <v>0</v>
      </c>
      <c r="X107" s="1521"/>
      <c r="Y107" s="1521"/>
      <c r="Z107" s="1846"/>
      <c r="AA107" s="1521"/>
      <c r="AB107" s="1521"/>
      <c r="AC107" s="1521"/>
      <c r="AD107" s="1521"/>
      <c r="AE107" s="15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row>
    <row r="108" spans="1:81" ht="33.75" x14ac:dyDescent="0.2">
      <c r="A108" s="223"/>
      <c r="B108" s="1544" t="s">
        <v>1691</v>
      </c>
      <c r="C108" s="1837" t="s">
        <v>1686</v>
      </c>
      <c r="D108" s="1838"/>
      <c r="E108" s="1839">
        <v>0</v>
      </c>
      <c r="F108" s="1521"/>
      <c r="G108" s="1840" t="s">
        <v>1102</v>
      </c>
      <c r="H108" s="1521"/>
      <c r="I108" s="1521">
        <v>1.5</v>
      </c>
      <c r="J108" s="1521"/>
      <c r="K108" s="1543">
        <f t="shared" si="62"/>
        <v>0</v>
      </c>
      <c r="L108" s="1543"/>
      <c r="M108" s="1521">
        <v>0.87</v>
      </c>
      <c r="N108" s="1521"/>
      <c r="O108" s="1521">
        <v>0.9</v>
      </c>
      <c r="P108" s="1521"/>
      <c r="Q108" s="1521">
        <v>1.6799999999999999E-2</v>
      </c>
      <c r="R108" s="1521"/>
      <c r="S108" s="1543">
        <f t="shared" si="60"/>
        <v>0</v>
      </c>
      <c r="T108" s="1520"/>
      <c r="U108" s="1521">
        <v>0.03</v>
      </c>
      <c r="V108" s="1521"/>
      <c r="W108" s="1543">
        <f t="shared" si="61"/>
        <v>0</v>
      </c>
      <c r="X108" s="1521"/>
      <c r="Y108" s="1521"/>
      <c r="Z108" s="1846"/>
      <c r="AA108" s="1521"/>
      <c r="AB108" s="1521"/>
      <c r="AC108" s="1521"/>
      <c r="AD108" s="1521"/>
      <c r="AE108" s="15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row>
    <row r="109" spans="1:81" ht="33.75" x14ac:dyDescent="0.2">
      <c r="A109" s="223"/>
      <c r="B109" s="1849" t="s">
        <v>1692</v>
      </c>
      <c r="C109" s="1837" t="s">
        <v>1686</v>
      </c>
      <c r="D109" s="1838"/>
      <c r="E109" s="1839">
        <v>0</v>
      </c>
      <c r="F109" s="1521"/>
      <c r="G109" s="1840" t="s">
        <v>1102</v>
      </c>
      <c r="H109" s="1521"/>
      <c r="I109" s="1521">
        <v>1.5</v>
      </c>
      <c r="J109" s="1521"/>
      <c r="K109" s="1543">
        <f t="shared" si="62"/>
        <v>0</v>
      </c>
      <c r="L109" s="1543"/>
      <c r="M109" s="1521">
        <v>0.87</v>
      </c>
      <c r="N109" s="1521"/>
      <c r="O109" s="1521">
        <v>0.9</v>
      </c>
      <c r="P109" s="1521"/>
      <c r="Q109" s="1521">
        <v>1.6799999999999999E-2</v>
      </c>
      <c r="R109" s="1521"/>
      <c r="S109" s="1543">
        <f t="shared" si="60"/>
        <v>0</v>
      </c>
      <c r="T109" s="1520"/>
      <c r="U109" s="1521">
        <v>0.03</v>
      </c>
      <c r="V109" s="1521"/>
      <c r="W109" s="1543">
        <f t="shared" si="61"/>
        <v>0</v>
      </c>
      <c r="X109" s="1521"/>
      <c r="Y109" s="1521"/>
      <c r="Z109" s="1846"/>
      <c r="AA109" s="1521"/>
      <c r="AB109" s="1521"/>
      <c r="AC109" s="1521"/>
      <c r="AD109" s="1521"/>
      <c r="AE109" s="15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row>
    <row r="110" spans="1:81" ht="33.75" x14ac:dyDescent="0.2">
      <c r="A110" s="223"/>
      <c r="B110" s="1849" t="s">
        <v>1693</v>
      </c>
      <c r="C110" s="1837" t="s">
        <v>1686</v>
      </c>
      <c r="D110" s="1838"/>
      <c r="E110" s="1839">
        <v>0</v>
      </c>
      <c r="F110" s="1521"/>
      <c r="G110" s="1840" t="s">
        <v>1102</v>
      </c>
      <c r="H110" s="1521"/>
      <c r="I110" s="1521">
        <v>2.1</v>
      </c>
      <c r="J110" s="1521"/>
      <c r="K110" s="1543">
        <f t="shared" si="62"/>
        <v>0</v>
      </c>
      <c r="L110" s="1543"/>
      <c r="M110" s="1521">
        <v>0.87</v>
      </c>
      <c r="N110" s="1521"/>
      <c r="O110" s="1521">
        <v>1.55</v>
      </c>
      <c r="P110" s="1521"/>
      <c r="Q110" s="1521">
        <v>1.6799999999999999E-2</v>
      </c>
      <c r="R110" s="1521"/>
      <c r="S110" s="1543">
        <f t="shared" si="60"/>
        <v>0</v>
      </c>
      <c r="T110" s="1520"/>
      <c r="U110" s="1521">
        <v>0.03</v>
      </c>
      <c r="V110" s="1521"/>
      <c r="W110" s="1543">
        <f t="shared" si="61"/>
        <v>0</v>
      </c>
      <c r="X110" s="1521"/>
      <c r="Y110" s="1850"/>
      <c r="Z110" s="1846"/>
      <c r="AA110" s="1521"/>
      <c r="AB110" s="1521"/>
      <c r="AC110" s="1521"/>
      <c r="AD110" s="1521"/>
      <c r="AE110" s="15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row>
    <row r="111" spans="1:81" ht="33.75" x14ac:dyDescent="0.2">
      <c r="A111" s="223"/>
      <c r="B111" s="1849" t="s">
        <v>1694</v>
      </c>
      <c r="C111" s="1837" t="s">
        <v>1686</v>
      </c>
      <c r="D111" s="1838"/>
      <c r="E111" s="1839">
        <v>0</v>
      </c>
      <c r="F111" s="1521"/>
      <c r="G111" s="1840" t="s">
        <v>1102</v>
      </c>
      <c r="H111" s="1521"/>
      <c r="I111" s="1521">
        <v>1.5</v>
      </c>
      <c r="J111" s="1521"/>
      <c r="K111" s="1543">
        <f t="shared" si="62"/>
        <v>0</v>
      </c>
      <c r="L111" s="1543"/>
      <c r="M111" s="1521">
        <v>0.87</v>
      </c>
      <c r="N111" s="1521"/>
      <c r="O111" s="1521">
        <v>0.9</v>
      </c>
      <c r="P111" s="1521"/>
      <c r="Q111" s="1521">
        <v>1.6799999999999999E-2</v>
      </c>
      <c r="R111" s="1521"/>
      <c r="S111" s="1543">
        <f t="shared" si="60"/>
        <v>0</v>
      </c>
      <c r="T111" s="1520"/>
      <c r="U111" s="1521">
        <v>0.03</v>
      </c>
      <c r="V111" s="1521"/>
      <c r="W111" s="1543">
        <f t="shared" si="61"/>
        <v>0</v>
      </c>
      <c r="X111" s="1521"/>
      <c r="Y111" s="1850"/>
      <c r="Z111" s="1846"/>
      <c r="AA111" s="1521"/>
      <c r="AB111" s="1521"/>
      <c r="AC111" s="1521"/>
      <c r="AD111" s="1521"/>
      <c r="AE111" s="15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row>
    <row r="112" spans="1:81" ht="11.25" x14ac:dyDescent="0.2">
      <c r="A112" s="223"/>
      <c r="B112" s="1849" t="s">
        <v>1695</v>
      </c>
      <c r="C112" s="1838" t="s">
        <v>1184</v>
      </c>
      <c r="D112" s="1838"/>
      <c r="E112" s="1847"/>
      <c r="F112" s="1521"/>
      <c r="G112" s="1840" t="s">
        <v>1102</v>
      </c>
      <c r="H112" s="1521"/>
      <c r="I112" s="1521"/>
      <c r="J112" s="1521"/>
      <c r="K112" s="1543">
        <f t="shared" ref="K112:K116" si="63">E112</f>
        <v>0</v>
      </c>
      <c r="L112" s="1520"/>
      <c r="M112" s="1521"/>
      <c r="N112" s="1521"/>
      <c r="O112" s="1521"/>
      <c r="P112" s="1521"/>
      <c r="Q112" s="1521"/>
      <c r="R112" s="1521"/>
      <c r="S112" s="1543" t="s">
        <v>1102</v>
      </c>
      <c r="T112" s="1520"/>
      <c r="U112" s="1521">
        <v>0.03</v>
      </c>
      <c r="V112" s="1521"/>
      <c r="W112" s="1543">
        <f t="shared" si="61"/>
        <v>0</v>
      </c>
      <c r="X112" s="1521"/>
      <c r="Y112" s="1850"/>
      <c r="Z112" s="1846"/>
      <c r="AA112" s="1521"/>
      <c r="AB112" s="1521"/>
      <c r="AC112" s="1521"/>
      <c r="AD112" s="1521"/>
      <c r="AE112" s="15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row>
    <row r="113" spans="1:81" ht="11.25" x14ac:dyDescent="0.2">
      <c r="A113" s="223"/>
      <c r="B113" s="1849" t="s">
        <v>1696</v>
      </c>
      <c r="C113" s="1838" t="s">
        <v>1184</v>
      </c>
      <c r="D113" s="1838"/>
      <c r="E113" s="1847"/>
      <c r="F113" s="1521"/>
      <c r="G113" s="1840" t="s">
        <v>1102</v>
      </c>
      <c r="H113" s="1521"/>
      <c r="I113" s="1521"/>
      <c r="J113" s="1521"/>
      <c r="K113" s="1543">
        <f t="shared" si="63"/>
        <v>0</v>
      </c>
      <c r="L113" s="1520"/>
      <c r="M113" s="1521"/>
      <c r="N113" s="1521"/>
      <c r="O113" s="1521"/>
      <c r="P113" s="1521"/>
      <c r="Q113" s="1521"/>
      <c r="R113" s="1521"/>
      <c r="S113" s="1543" t="s">
        <v>1102</v>
      </c>
      <c r="T113" s="1520"/>
      <c r="U113" s="1521">
        <v>0.03</v>
      </c>
      <c r="V113" s="1521"/>
      <c r="W113" s="1543">
        <f t="shared" si="61"/>
        <v>0</v>
      </c>
      <c r="X113" s="1521"/>
      <c r="Y113" s="1850"/>
      <c r="Z113" s="1846"/>
      <c r="AA113" s="1521"/>
      <c r="AB113" s="1521"/>
      <c r="AC113" s="1521"/>
      <c r="AD113" s="1521"/>
      <c r="AE113" s="15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row>
    <row r="114" spans="1:81" ht="11.25" x14ac:dyDescent="0.2">
      <c r="A114" s="223"/>
      <c r="B114" s="1849" t="s">
        <v>1697</v>
      </c>
      <c r="C114" s="1838" t="s">
        <v>1184</v>
      </c>
      <c r="D114" s="1838"/>
      <c r="E114" s="1847"/>
      <c r="F114" s="1521"/>
      <c r="G114" s="1840" t="s">
        <v>1102</v>
      </c>
      <c r="H114" s="1521"/>
      <c r="I114" s="1521"/>
      <c r="J114" s="1521"/>
      <c r="K114" s="1543">
        <f t="shared" si="63"/>
        <v>0</v>
      </c>
      <c r="L114" s="1520"/>
      <c r="M114" s="1521"/>
      <c r="N114" s="1521"/>
      <c r="O114" s="1521"/>
      <c r="P114" s="1521"/>
      <c r="Q114" s="1521"/>
      <c r="R114" s="1521"/>
      <c r="S114" s="1543" t="s">
        <v>1102</v>
      </c>
      <c r="T114" s="1520"/>
      <c r="U114" s="1521">
        <v>0.03</v>
      </c>
      <c r="V114" s="1521"/>
      <c r="W114" s="1543">
        <f t="shared" si="61"/>
        <v>0</v>
      </c>
      <c r="X114" s="1521"/>
      <c r="Y114" s="1850"/>
      <c r="Z114" s="1846"/>
      <c r="AA114" s="1521"/>
      <c r="AB114" s="1521"/>
      <c r="AC114" s="1521"/>
      <c r="AD114" s="1521"/>
      <c r="AE114" s="15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row>
    <row r="115" spans="1:81" ht="11.25" x14ac:dyDescent="0.2">
      <c r="A115" s="223"/>
      <c r="B115" s="1849" t="s">
        <v>1698</v>
      </c>
      <c r="C115" s="1838" t="s">
        <v>1184</v>
      </c>
      <c r="D115" s="1838"/>
      <c r="E115" s="1847"/>
      <c r="F115" s="1521"/>
      <c r="G115" s="1840" t="s">
        <v>1102</v>
      </c>
      <c r="H115" s="1521"/>
      <c r="I115" s="1521"/>
      <c r="J115" s="1521"/>
      <c r="K115" s="1543">
        <f t="shared" si="63"/>
        <v>0</v>
      </c>
      <c r="L115" s="1520"/>
      <c r="M115" s="1521"/>
      <c r="N115" s="1521"/>
      <c r="O115" s="1521"/>
      <c r="P115" s="1521"/>
      <c r="Q115" s="1521"/>
      <c r="R115" s="1521"/>
      <c r="S115" s="1543" t="s">
        <v>1102</v>
      </c>
      <c r="T115" s="1520"/>
      <c r="U115" s="1521">
        <v>0.03</v>
      </c>
      <c r="V115" s="1521"/>
      <c r="W115" s="1543">
        <f t="shared" si="61"/>
        <v>0</v>
      </c>
      <c r="X115" s="1521"/>
      <c r="Y115" s="1850"/>
      <c r="Z115" s="1846"/>
      <c r="AA115" s="1521"/>
      <c r="AB115" s="1521"/>
      <c r="AC115" s="1521"/>
      <c r="AD115" s="1521"/>
      <c r="AE115" s="15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row>
    <row r="116" spans="1:81" ht="11.25" x14ac:dyDescent="0.2">
      <c r="A116" s="223"/>
      <c r="B116" s="1849" t="s">
        <v>1699</v>
      </c>
      <c r="C116" s="1838" t="s">
        <v>1184</v>
      </c>
      <c r="D116" s="1838"/>
      <c r="E116" s="1847"/>
      <c r="F116" s="1521"/>
      <c r="G116" s="1840" t="s">
        <v>1102</v>
      </c>
      <c r="H116" s="1521"/>
      <c r="I116" s="1521"/>
      <c r="J116" s="1521"/>
      <c r="K116" s="1543">
        <f t="shared" si="63"/>
        <v>0</v>
      </c>
      <c r="L116" s="1520"/>
      <c r="M116" s="1521"/>
      <c r="N116" s="1521"/>
      <c r="O116" s="1521"/>
      <c r="P116" s="1521"/>
      <c r="Q116" s="1521"/>
      <c r="R116" s="1521"/>
      <c r="S116" s="1543" t="s">
        <v>1102</v>
      </c>
      <c r="T116" s="1520"/>
      <c r="U116" s="1521">
        <v>0.03</v>
      </c>
      <c r="V116" s="1521"/>
      <c r="W116" s="1543">
        <f t="shared" si="61"/>
        <v>0</v>
      </c>
      <c r="X116" s="1521"/>
      <c r="Y116" s="1850"/>
      <c r="Z116" s="1846"/>
      <c r="AA116" s="1521"/>
      <c r="AB116" s="1521"/>
      <c r="AC116" s="1521"/>
      <c r="AD116" s="1521"/>
      <c r="AE116" s="15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row>
    <row r="117" spans="1:81" ht="11.25" x14ac:dyDescent="0.2">
      <c r="A117" s="223"/>
      <c r="B117" s="1851" t="s">
        <v>1620</v>
      </c>
      <c r="C117" s="1852"/>
      <c r="D117" s="1852"/>
      <c r="E117" s="1853"/>
      <c r="F117" s="1853"/>
      <c r="G117" s="1853"/>
      <c r="H117" s="1853"/>
      <c r="I117" s="1853"/>
      <c r="J117" s="1853"/>
      <c r="K117" s="1854">
        <f>SUM(K96:K116)</f>
        <v>3216024.6767067499</v>
      </c>
      <c r="L117" s="1854"/>
      <c r="M117" s="1699"/>
      <c r="N117" s="1853"/>
      <c r="O117" s="1853"/>
      <c r="P117" s="1853"/>
      <c r="Q117" s="1853"/>
      <c r="R117" s="1853"/>
      <c r="S117" s="1854">
        <f>SUM(S96:S111)</f>
        <v>36786057.329531528</v>
      </c>
      <c r="T117" s="1855"/>
      <c r="U117" s="1853"/>
      <c r="V117" s="1853"/>
      <c r="W117" s="1856">
        <f>SUM(W96:W116)</f>
        <v>54229731.63166105</v>
      </c>
      <c r="X117" s="1853"/>
      <c r="Y117" s="1853"/>
      <c r="Z117" s="1857"/>
      <c r="AA117" s="1853"/>
      <c r="AB117" s="1853"/>
      <c r="AC117" s="1853"/>
      <c r="AD117" s="1853"/>
      <c r="AE117" s="1858"/>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row>
    <row r="118" spans="1:81" ht="11.25" x14ac:dyDescent="0.2">
      <c r="A118" s="223"/>
      <c r="B118" s="1608"/>
      <c r="C118" s="1608"/>
      <c r="D118" s="1608"/>
      <c r="E118" s="223"/>
      <c r="F118" s="223"/>
      <c r="G118" s="223"/>
      <c r="H118" s="223"/>
      <c r="I118" s="223"/>
      <c r="J118" s="223"/>
      <c r="K118" s="1859"/>
      <c r="L118" s="1859"/>
      <c r="M118" s="1705"/>
      <c r="N118" s="223"/>
      <c r="O118" s="223"/>
      <c r="P118" s="223"/>
      <c r="Q118" s="223"/>
      <c r="R118" s="223"/>
      <c r="S118" s="1859"/>
      <c r="T118" s="1860"/>
      <c r="U118" s="223"/>
      <c r="V118" s="223"/>
      <c r="W118" s="1861"/>
      <c r="X118" s="223"/>
      <c r="Y118" s="223"/>
      <c r="Z118" s="1862"/>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row>
    <row r="119" spans="1:81" ht="11.25" x14ac:dyDescent="0.2">
      <c r="A119" s="223"/>
      <c r="B119" s="1608"/>
      <c r="C119" s="1608"/>
      <c r="D119" s="1608"/>
      <c r="E119" s="223"/>
      <c r="F119" s="223"/>
      <c r="G119" s="223"/>
      <c r="H119" s="223"/>
      <c r="I119" s="223"/>
      <c r="J119" s="223"/>
      <c r="K119" s="1859"/>
      <c r="L119" s="1859"/>
      <c r="M119" s="1705"/>
      <c r="N119" s="223"/>
      <c r="O119" s="223"/>
      <c r="P119" s="223"/>
      <c r="Q119" s="223"/>
      <c r="R119" s="223"/>
      <c r="S119" s="1859"/>
      <c r="T119" s="1860"/>
      <c r="U119" s="223"/>
      <c r="V119" s="223"/>
      <c r="W119" s="1861"/>
      <c r="X119" s="223"/>
      <c r="Y119" s="223"/>
      <c r="Z119" s="1862"/>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row>
    <row r="120" spans="1:81" ht="11.25" x14ac:dyDescent="0.2">
      <c r="A120" s="466"/>
      <c r="B120" s="1706"/>
      <c r="C120" s="1707"/>
      <c r="D120" s="1708"/>
      <c r="E120" s="1708"/>
      <c r="F120" s="1708"/>
      <c r="G120" s="1709"/>
      <c r="H120" s="1710"/>
      <c r="I120" s="1711"/>
      <c r="J120" s="1710"/>
      <c r="K120" s="1712"/>
      <c r="L120" s="578"/>
      <c r="M120" s="1712"/>
      <c r="N120" s="578"/>
      <c r="O120" s="578"/>
      <c r="P120" s="578"/>
      <c r="Q120" s="578"/>
      <c r="R120" s="578"/>
      <c r="S120" s="578"/>
      <c r="T120" s="578"/>
      <c r="U120" s="578"/>
    </row>
    <row r="121" spans="1:81" ht="19.5" x14ac:dyDescent="0.4">
      <c r="A121" s="1106"/>
      <c r="B121" s="1801" t="s">
        <v>1700</v>
      </c>
      <c r="C121" s="1802"/>
      <c r="D121" s="1803"/>
      <c r="E121" s="1803"/>
      <c r="F121" s="1804"/>
      <c r="G121" s="1805"/>
      <c r="H121" s="1806"/>
      <c r="I121" s="1807"/>
      <c r="J121" s="1806"/>
      <c r="K121" s="1808"/>
      <c r="L121" s="1809"/>
      <c r="M121" s="1808"/>
      <c r="N121" s="1809"/>
      <c r="O121" s="1809"/>
      <c r="P121" s="1809"/>
      <c r="Q121" s="1809"/>
      <c r="R121" s="1809"/>
      <c r="S121" s="1809"/>
      <c r="T121" s="1809"/>
      <c r="U121" s="1809"/>
      <c r="V121" s="1809"/>
      <c r="W121" s="1809"/>
      <c r="X121" s="1809"/>
      <c r="Y121" s="1810"/>
    </row>
    <row r="122" spans="1:81" ht="11.25" x14ac:dyDescent="0.2">
      <c r="A122" s="223"/>
      <c r="B122" s="1863" t="s">
        <v>1701</v>
      </c>
      <c r="C122" s="1864">
        <v>2014</v>
      </c>
      <c r="D122" s="1865"/>
      <c r="E122" s="1865"/>
      <c r="F122" s="1865"/>
      <c r="G122" s="1865"/>
      <c r="H122" s="1865"/>
      <c r="I122" s="1865"/>
      <c r="J122" s="1865"/>
      <c r="K122" s="1865"/>
      <c r="L122" s="1865"/>
      <c r="M122" s="1865"/>
      <c r="N122" s="223"/>
      <c r="O122" s="223"/>
      <c r="P122" s="223"/>
      <c r="Q122" s="223"/>
      <c r="R122" s="223"/>
      <c r="S122" s="223"/>
      <c r="T122" s="223"/>
      <c r="U122" s="223"/>
      <c r="V122" s="1812"/>
      <c r="W122" s="1812"/>
      <c r="X122" s="1812"/>
      <c r="Y122" s="1815"/>
      <c r="Z122" s="223"/>
      <c r="AA122" s="223"/>
      <c r="AB122" s="223"/>
      <c r="AC122" s="223"/>
      <c r="AD122" s="223"/>
      <c r="AE122" s="1866"/>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c r="BN122" s="223"/>
      <c r="BO122" s="223"/>
      <c r="BP122" s="223"/>
      <c r="BQ122" s="223"/>
      <c r="BR122" s="223"/>
      <c r="BS122" s="223"/>
      <c r="BT122" s="223"/>
      <c r="BU122" s="223"/>
      <c r="BV122" s="223"/>
      <c r="BW122" s="223"/>
      <c r="BX122" s="223"/>
      <c r="BY122" s="223"/>
      <c r="BZ122" s="223"/>
      <c r="CA122" s="223"/>
      <c r="CB122" s="223"/>
      <c r="CC122" s="223"/>
    </row>
    <row r="123" spans="1:81" ht="46.5" x14ac:dyDescent="0.2">
      <c r="A123" s="1867"/>
      <c r="B123" s="1868" t="s">
        <v>1702</v>
      </c>
      <c r="C123" s="1869" t="s">
        <v>1703</v>
      </c>
      <c r="D123" s="1869"/>
      <c r="E123" s="1870" t="s">
        <v>1704</v>
      </c>
      <c r="F123" s="1871"/>
      <c r="G123" s="1872" t="s">
        <v>1705</v>
      </c>
      <c r="H123" s="1873"/>
      <c r="I123" s="1874" t="s">
        <v>1706</v>
      </c>
      <c r="J123" s="1873"/>
      <c r="K123" s="1869" t="s">
        <v>1707</v>
      </c>
      <c r="L123" s="1869"/>
      <c r="M123" s="1869" t="s">
        <v>1708</v>
      </c>
      <c r="N123" s="1869"/>
      <c r="O123" s="1872" t="s">
        <v>1709</v>
      </c>
      <c r="P123" s="1869"/>
      <c r="Q123" s="1872" t="s">
        <v>1710</v>
      </c>
      <c r="R123" s="1875"/>
      <c r="S123" s="1876" t="s">
        <v>1711</v>
      </c>
      <c r="T123" s="1875"/>
      <c r="U123" s="1876" t="s">
        <v>1712</v>
      </c>
      <c r="V123" s="1875"/>
      <c r="W123" s="1872" t="s">
        <v>1713</v>
      </c>
      <c r="X123" s="1873"/>
      <c r="Y123" s="1877" t="s">
        <v>1714</v>
      </c>
      <c r="Z123" s="1867"/>
      <c r="AA123" s="1867"/>
      <c r="AB123" s="1867"/>
      <c r="AC123" s="1867"/>
      <c r="AD123" s="1867"/>
      <c r="AE123" s="1867"/>
      <c r="AF123" s="1867"/>
      <c r="AG123" s="1867"/>
      <c r="AH123" s="1867"/>
      <c r="AI123" s="1867"/>
      <c r="AJ123" s="1867"/>
      <c r="AK123" s="1867"/>
      <c r="AL123" s="1867"/>
      <c r="AM123" s="1867"/>
      <c r="AN123" s="1867"/>
      <c r="AO123" s="1867"/>
      <c r="AP123" s="1867"/>
      <c r="AQ123" s="1867"/>
      <c r="AR123" s="1867"/>
      <c r="AS123" s="1867"/>
      <c r="AT123" s="1867"/>
      <c r="AU123" s="1867"/>
      <c r="AV123" s="1867"/>
      <c r="AW123" s="1867"/>
      <c r="AX123" s="1867"/>
      <c r="AY123" s="1867"/>
      <c r="AZ123" s="1867"/>
      <c r="BA123" s="1867"/>
      <c r="BB123" s="1867"/>
      <c r="BC123" s="1867"/>
      <c r="BD123" s="1867"/>
      <c r="BE123" s="1867"/>
      <c r="BF123" s="1867"/>
      <c r="BG123" s="1867"/>
      <c r="BH123" s="1867"/>
      <c r="BI123" s="1867"/>
      <c r="BJ123" s="1867"/>
      <c r="BK123" s="1867"/>
      <c r="BL123" s="1867"/>
      <c r="BM123" s="1867"/>
      <c r="BN123" s="1867"/>
      <c r="BO123" s="1867"/>
      <c r="BP123" s="1867"/>
      <c r="BQ123" s="1867"/>
      <c r="BR123" s="1867"/>
      <c r="BS123" s="1867"/>
      <c r="BT123" s="1867"/>
      <c r="BU123" s="1867"/>
      <c r="BV123" s="1867"/>
      <c r="BW123" s="1867"/>
      <c r="BX123" s="1867"/>
      <c r="BY123" s="1867"/>
      <c r="BZ123" s="1867"/>
      <c r="CA123" s="1867"/>
      <c r="CB123" s="1867"/>
      <c r="CC123" s="1867"/>
    </row>
    <row r="124" spans="1:81" ht="11.25" x14ac:dyDescent="0.2">
      <c r="A124" s="223"/>
      <c r="B124" s="1878" t="s">
        <v>1715</v>
      </c>
      <c r="C124" s="1879">
        <f>32639.48*907.2</f>
        <v>29610536.256000001</v>
      </c>
      <c r="D124" s="1880"/>
      <c r="E124" s="1881">
        <f>$C140*0.65+$C124*0.35</f>
        <v>24559856.294399999</v>
      </c>
      <c r="F124" s="1882"/>
      <c r="G124" s="1883">
        <v>0.1</v>
      </c>
      <c r="H124" s="1521"/>
      <c r="I124" s="1521"/>
      <c r="J124" s="1521"/>
      <c r="K124" s="1884">
        <f>($E124*(1-G124))</f>
        <v>22103870.664960001</v>
      </c>
      <c r="L124" s="1884"/>
      <c r="M124" s="1884">
        <v>5120245.8012377974</v>
      </c>
      <c r="N124" s="1884"/>
      <c r="O124" s="1885">
        <f>(K124+K125)/1000*0.01*44/28</f>
        <v>355.26438782886862</v>
      </c>
      <c r="P124" s="1884"/>
      <c r="Q124" s="1885">
        <f>(M124+M125)/1000*0.01*44/28</f>
        <v>80.53693967673783</v>
      </c>
      <c r="R124" s="1886"/>
      <c r="S124" s="1887">
        <f>O124*$Z$8*12/44*10^-6</f>
        <v>2.5675926211268234E-2</v>
      </c>
      <c r="T124" s="1888"/>
      <c r="U124" s="1887">
        <f>Q124*$Z$8*12/44*10^-6</f>
        <v>5.8206242766369615E-3</v>
      </c>
      <c r="V124" s="1886"/>
      <c r="W124" s="1889">
        <f>S124/(12/44)</f>
        <v>9.4145062774650193E-2</v>
      </c>
      <c r="X124" s="1890"/>
      <c r="Y124" s="1844">
        <f>U124/(12/44)</f>
        <v>2.1342289014335526E-2</v>
      </c>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P124" s="223"/>
      <c r="BQ124" s="223"/>
      <c r="BR124" s="223"/>
      <c r="BS124" s="223"/>
      <c r="BT124" s="223"/>
      <c r="BU124" s="223"/>
      <c r="BV124" s="223"/>
      <c r="BW124" s="223"/>
      <c r="BX124" s="223"/>
      <c r="BY124" s="223"/>
      <c r="BZ124" s="223"/>
      <c r="CA124" s="223"/>
      <c r="CB124" s="223"/>
      <c r="CC124" s="223"/>
    </row>
    <row r="125" spans="1:81" ht="11.25" x14ac:dyDescent="0.2">
      <c r="A125" s="223"/>
      <c r="B125" s="1878" t="s">
        <v>1716</v>
      </c>
      <c r="C125" s="1543">
        <f>E125</f>
        <v>31404890.809999999</v>
      </c>
      <c r="D125" s="1543"/>
      <c r="E125" s="1881">
        <f>SUM(E126:E132)</f>
        <v>31404890.809999999</v>
      </c>
      <c r="F125" s="1891"/>
      <c r="G125" s="1892">
        <v>0.2</v>
      </c>
      <c r="H125" s="1559"/>
      <c r="I125" s="1559">
        <v>4.1000000000000002E-2</v>
      </c>
      <c r="J125" s="1559"/>
      <c r="K125" s="1893">
        <f>$E134*I125*(1-G125)</f>
        <v>503863.10596800002</v>
      </c>
      <c r="L125" s="1893"/>
      <c r="M125" s="1893">
        <v>4832.1781909733309</v>
      </c>
      <c r="N125" s="1893"/>
      <c r="O125" s="1893"/>
      <c r="P125" s="1893"/>
      <c r="Q125" s="1893"/>
      <c r="R125" s="1894"/>
      <c r="S125" s="1894"/>
      <c r="T125" s="1894"/>
      <c r="U125" s="1894"/>
      <c r="V125" s="1894"/>
      <c r="W125" s="1894"/>
      <c r="X125" s="1559"/>
      <c r="Y125" s="1560"/>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c r="BN125" s="223"/>
      <c r="BO125" s="223"/>
      <c r="BP125" s="223"/>
      <c r="BQ125" s="223"/>
      <c r="BR125" s="223"/>
      <c r="BS125" s="223"/>
      <c r="BT125" s="223"/>
      <c r="BU125" s="223"/>
      <c r="BV125" s="223"/>
      <c r="BW125" s="223"/>
      <c r="BX125" s="223"/>
      <c r="BY125" s="223"/>
      <c r="BZ125" s="223"/>
      <c r="CA125" s="223"/>
      <c r="CB125" s="223"/>
      <c r="CC125" s="223"/>
    </row>
    <row r="126" spans="1:81" ht="11.25" x14ac:dyDescent="0.2">
      <c r="A126" s="223"/>
      <c r="B126" s="1895" t="s">
        <v>1717</v>
      </c>
      <c r="C126" s="1879"/>
      <c r="D126" s="1880"/>
      <c r="E126" s="1881">
        <f t="shared" ref="E126:E127" si="64">$C126*0.65+$C142*0.35</f>
        <v>0</v>
      </c>
      <c r="F126" s="1865"/>
      <c r="G126" s="1896"/>
      <c r="H126" s="1865"/>
      <c r="I126" s="223"/>
      <c r="J126" s="223"/>
      <c r="K126" s="1896"/>
      <c r="L126" s="1896"/>
      <c r="M126" s="1896"/>
      <c r="N126" s="1896"/>
      <c r="O126" s="1896"/>
      <c r="P126" s="1866"/>
      <c r="Q126" s="1866"/>
      <c r="R126" s="1866"/>
      <c r="S126" s="1866"/>
      <c r="T126" s="1866"/>
      <c r="U126" s="1866"/>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223"/>
      <c r="BQ126" s="223"/>
      <c r="BR126" s="223"/>
      <c r="BS126" s="223"/>
      <c r="BT126" s="223"/>
      <c r="BU126" s="223"/>
      <c r="BV126" s="223"/>
      <c r="BW126" s="223"/>
      <c r="BX126" s="223"/>
      <c r="BY126" s="223"/>
      <c r="BZ126" s="223"/>
      <c r="CA126" s="223"/>
      <c r="CB126" s="223"/>
      <c r="CC126" s="223"/>
    </row>
    <row r="127" spans="1:81" ht="11.25" x14ac:dyDescent="0.2">
      <c r="A127" s="223"/>
      <c r="B127" s="1895" t="s">
        <v>1718</v>
      </c>
      <c r="C127" s="1879"/>
      <c r="D127" s="1880"/>
      <c r="E127" s="1881">
        <f t="shared" si="64"/>
        <v>0</v>
      </c>
      <c r="F127" s="1865"/>
      <c r="G127" s="1865"/>
      <c r="H127" s="1865"/>
      <c r="I127" s="1896"/>
      <c r="J127" s="1896"/>
      <c r="K127" s="1896"/>
      <c r="L127" s="1896"/>
      <c r="M127" s="1896"/>
      <c r="N127" s="1866"/>
      <c r="O127" s="1866"/>
      <c r="P127" s="1866"/>
      <c r="Q127" s="1866"/>
      <c r="R127" s="1866"/>
      <c r="S127" s="1866"/>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c r="BN127" s="223"/>
      <c r="BO127" s="223"/>
      <c r="BP127" s="223"/>
      <c r="BQ127" s="223"/>
      <c r="BR127" s="223"/>
      <c r="BS127" s="223"/>
      <c r="BT127" s="223"/>
      <c r="BU127" s="223"/>
      <c r="BV127" s="223"/>
      <c r="BW127" s="223"/>
      <c r="BX127" s="223"/>
      <c r="BY127" s="223"/>
      <c r="BZ127" s="223"/>
      <c r="CA127" s="223"/>
      <c r="CB127" s="223"/>
      <c r="CC127" s="223"/>
    </row>
    <row r="128" spans="1:81" ht="11.25" x14ac:dyDescent="0.2">
      <c r="A128" s="223"/>
      <c r="B128" s="1897" t="s">
        <v>1719</v>
      </c>
      <c r="C128" s="1879">
        <v>16043210.75</v>
      </c>
      <c r="D128" s="1880"/>
      <c r="E128" s="1881">
        <f t="shared" ref="E128:E129" si="65">C128</f>
        <v>16043210.75</v>
      </c>
      <c r="F128" s="1865"/>
      <c r="G128" s="1865"/>
      <c r="H128" s="1865"/>
      <c r="I128" s="1896"/>
      <c r="J128" s="1896"/>
      <c r="K128" s="1896"/>
      <c r="L128" s="1896"/>
      <c r="M128" s="1896"/>
      <c r="N128" s="1866"/>
      <c r="O128" s="1866"/>
      <c r="P128" s="1866"/>
      <c r="Q128" s="1866"/>
      <c r="R128" s="1866"/>
      <c r="S128" s="1866"/>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row>
    <row r="129" spans="1:81" ht="11.25" x14ac:dyDescent="0.2">
      <c r="A129" s="223"/>
      <c r="B129" s="1895" t="s">
        <v>1720</v>
      </c>
      <c r="C129" s="1879">
        <v>15132935</v>
      </c>
      <c r="D129" s="1880"/>
      <c r="E129" s="1881">
        <f t="shared" si="65"/>
        <v>15132935</v>
      </c>
      <c r="F129" s="1865"/>
      <c r="G129" s="1865"/>
      <c r="H129" s="1865"/>
      <c r="I129" s="1896"/>
      <c r="J129" s="1896"/>
      <c r="K129" s="1896"/>
      <c r="L129" s="1896"/>
      <c r="M129" s="1896"/>
      <c r="N129" s="1866"/>
      <c r="O129" s="1866"/>
      <c r="P129" s="1866"/>
      <c r="Q129" s="1866"/>
      <c r="R129" s="1866"/>
      <c r="S129" s="1866"/>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c r="BU129" s="223"/>
      <c r="BV129" s="223"/>
      <c r="BW129" s="223"/>
      <c r="BX129" s="223"/>
      <c r="BY129" s="223"/>
      <c r="BZ129" s="223"/>
      <c r="CA129" s="223"/>
      <c r="CB129" s="223"/>
      <c r="CC129" s="223"/>
    </row>
    <row r="130" spans="1:81" ht="11.25" x14ac:dyDescent="0.2">
      <c r="A130" s="223"/>
      <c r="B130" s="1895" t="s">
        <v>1721</v>
      </c>
      <c r="C130" s="1879"/>
      <c r="D130" s="1880"/>
      <c r="E130" s="1881">
        <f t="shared" ref="E130:E131" si="66">$C130*0.65+$C146*0.35</f>
        <v>0</v>
      </c>
      <c r="F130" s="1865"/>
      <c r="G130" s="1865"/>
      <c r="H130" s="1865"/>
      <c r="I130" s="1896"/>
      <c r="J130" s="1896"/>
      <c r="K130" s="1896"/>
      <c r="L130" s="1896"/>
      <c r="M130" s="1896"/>
      <c r="N130" s="1866"/>
      <c r="O130" s="1866"/>
      <c r="P130" s="1866"/>
      <c r="Q130" s="1866"/>
      <c r="R130" s="1866"/>
      <c r="S130" s="1866"/>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row>
    <row r="131" spans="1:81" ht="11.25" x14ac:dyDescent="0.2">
      <c r="A131" s="223"/>
      <c r="B131" s="1895" t="s">
        <v>1722</v>
      </c>
      <c r="C131" s="1879"/>
      <c r="D131" s="1880"/>
      <c r="E131" s="1881">
        <f t="shared" si="66"/>
        <v>0</v>
      </c>
      <c r="F131" s="1865"/>
      <c r="G131" s="1865"/>
      <c r="H131" s="1865"/>
      <c r="I131" s="1896"/>
      <c r="J131" s="1896"/>
      <c r="K131" s="1896"/>
      <c r="L131" s="1896"/>
      <c r="M131" s="1896"/>
      <c r="N131" s="1866"/>
      <c r="O131" s="1866"/>
      <c r="P131" s="1866"/>
      <c r="Q131" s="1866"/>
      <c r="R131" s="1866"/>
      <c r="S131" s="1866"/>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223"/>
      <c r="BO131" s="223"/>
      <c r="BP131" s="223"/>
      <c r="BQ131" s="223"/>
      <c r="BR131" s="223"/>
      <c r="BS131" s="223"/>
      <c r="BT131" s="223"/>
      <c r="BU131" s="223"/>
      <c r="BV131" s="223"/>
      <c r="BW131" s="223"/>
      <c r="BX131" s="223"/>
      <c r="BY131" s="223"/>
      <c r="BZ131" s="223"/>
      <c r="CA131" s="223"/>
      <c r="CB131" s="223"/>
      <c r="CC131" s="223"/>
    </row>
    <row r="132" spans="1:81" ht="11.25" x14ac:dyDescent="0.2">
      <c r="A132" s="223"/>
      <c r="B132" s="1895" t="s">
        <v>1723</v>
      </c>
      <c r="C132" s="1879">
        <v>228745.06</v>
      </c>
      <c r="D132" s="1880"/>
      <c r="E132" s="1881">
        <f>C132</f>
        <v>228745.06</v>
      </c>
      <c r="F132" s="1865"/>
      <c r="G132" s="1865"/>
      <c r="H132" s="1865"/>
      <c r="I132" s="1896"/>
      <c r="J132" s="1898"/>
      <c r="K132" s="1896"/>
      <c r="L132" s="1896"/>
      <c r="M132" s="1896"/>
      <c r="N132" s="1866"/>
      <c r="O132" s="1866"/>
      <c r="P132" s="1866"/>
      <c r="Q132" s="1866"/>
      <c r="R132" s="1866"/>
      <c r="S132" s="1866"/>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3"/>
      <c r="BT132" s="223"/>
      <c r="BU132" s="223"/>
      <c r="BV132" s="223"/>
      <c r="BW132" s="223"/>
      <c r="BX132" s="223"/>
      <c r="BY132" s="223"/>
      <c r="BZ132" s="223"/>
      <c r="CA132" s="223"/>
      <c r="CB132" s="223"/>
      <c r="CC132" s="223"/>
    </row>
    <row r="133" spans="1:81" ht="11.25" x14ac:dyDescent="0.2">
      <c r="A133" s="223"/>
      <c r="B133" s="1899" t="s">
        <v>1724</v>
      </c>
      <c r="C133" s="1900">
        <v>5.0683858558632873E-3</v>
      </c>
      <c r="D133" s="1880"/>
      <c r="E133" s="1901">
        <f>IF(E125=0,0,E128/E125)</f>
        <v>0.51085070943445199</v>
      </c>
      <c r="F133" s="1865"/>
      <c r="G133" s="1865"/>
      <c r="H133" s="1865"/>
      <c r="I133" s="1865"/>
      <c r="J133" s="1865"/>
      <c r="K133" s="1865"/>
      <c r="L133" s="1865"/>
      <c r="M133" s="1865"/>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223"/>
      <c r="BO133" s="223"/>
      <c r="BP133" s="223"/>
      <c r="BQ133" s="223"/>
      <c r="BR133" s="223"/>
      <c r="BS133" s="223"/>
      <c r="BT133" s="223"/>
      <c r="BU133" s="223"/>
      <c r="BV133" s="223"/>
      <c r="BW133" s="223"/>
      <c r="BX133" s="223"/>
      <c r="BY133" s="223"/>
      <c r="BZ133" s="223"/>
      <c r="CA133" s="223"/>
      <c r="CB133" s="223"/>
      <c r="CC133" s="223"/>
    </row>
    <row r="134" spans="1:81" ht="11.25" x14ac:dyDescent="0.2">
      <c r="A134" s="223"/>
      <c r="B134" s="1899" t="s">
        <v>1725</v>
      </c>
      <c r="C134" s="1902">
        <f>C125-C128</f>
        <v>15361680.059999999</v>
      </c>
      <c r="D134" s="1880"/>
      <c r="E134" s="1903">
        <f>E125*(1-E133)</f>
        <v>15361680.059999999</v>
      </c>
      <c r="F134" s="1865"/>
      <c r="G134" s="1865"/>
      <c r="H134" s="1865"/>
      <c r="I134" s="1865"/>
      <c r="J134" s="1865"/>
      <c r="K134" s="1865"/>
      <c r="L134" s="1865"/>
      <c r="M134" s="1865"/>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row>
    <row r="135" spans="1:81" ht="11.25" x14ac:dyDescent="0.2">
      <c r="A135" s="223"/>
      <c r="B135" s="1899" t="s">
        <v>1726</v>
      </c>
      <c r="C135" s="1880">
        <f>C128</f>
        <v>16043210.75</v>
      </c>
      <c r="D135" s="1880"/>
      <c r="E135" s="1904">
        <f>E125*E133</f>
        <v>16043210.75</v>
      </c>
      <c r="F135" s="1865"/>
      <c r="G135" s="1865"/>
      <c r="H135" s="1865"/>
      <c r="I135" s="1865"/>
      <c r="J135" s="1865"/>
      <c r="K135" s="1865"/>
      <c r="L135" s="1865"/>
      <c r="M135" s="1865"/>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row>
    <row r="136" spans="1:81" ht="11.25" x14ac:dyDescent="0.2">
      <c r="A136" s="223"/>
      <c r="B136" s="1544"/>
      <c r="C136" s="1880"/>
      <c r="D136" s="1880"/>
      <c r="E136" s="1904"/>
      <c r="F136" s="1865"/>
      <c r="G136" s="1865"/>
      <c r="H136" s="1865"/>
      <c r="I136" s="1865"/>
      <c r="J136" s="1865"/>
      <c r="K136" s="1865"/>
      <c r="L136" s="1865"/>
      <c r="M136" s="1865"/>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row>
    <row r="137" spans="1:81" ht="11.25" x14ac:dyDescent="0.2">
      <c r="A137" s="223"/>
      <c r="B137" s="1905"/>
      <c r="C137" s="1906"/>
      <c r="D137" s="1521"/>
      <c r="E137" s="1523"/>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row>
    <row r="138" spans="1:81" ht="11.25" x14ac:dyDescent="0.2">
      <c r="A138" s="223"/>
      <c r="B138" s="1907" t="s">
        <v>1701</v>
      </c>
      <c r="C138" s="1908">
        <v>2013</v>
      </c>
      <c r="D138" s="1909"/>
      <c r="E138" s="1910"/>
      <c r="F138" s="1866"/>
      <c r="G138" s="1866"/>
      <c r="H138" s="1866"/>
      <c r="I138" s="1866"/>
      <c r="J138" s="1866"/>
      <c r="K138" s="1866"/>
      <c r="L138" s="1866"/>
      <c r="M138" s="1866"/>
      <c r="N138" s="1866"/>
      <c r="O138" s="1866"/>
      <c r="P138" s="1866"/>
      <c r="Q138" s="1866"/>
      <c r="R138" s="1866"/>
      <c r="S138" s="1866"/>
      <c r="T138" s="1866"/>
      <c r="U138" s="1866"/>
      <c r="V138" s="1866"/>
      <c r="W138" s="1866"/>
      <c r="X138" s="1866"/>
      <c r="Y138" s="1866"/>
      <c r="Z138" s="1866"/>
      <c r="AA138" s="1866"/>
      <c r="AB138" s="1866"/>
      <c r="AC138" s="1866"/>
      <c r="AD138" s="1866"/>
      <c r="AE138" s="1866"/>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row>
    <row r="139" spans="1:81" ht="33.75" x14ac:dyDescent="0.2">
      <c r="A139" s="1867"/>
      <c r="B139" s="1911" t="s">
        <v>1702</v>
      </c>
      <c r="C139" s="1912" t="s">
        <v>1727</v>
      </c>
      <c r="D139" s="1913"/>
      <c r="E139" s="1914"/>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row>
    <row r="140" spans="1:81" ht="11.25" x14ac:dyDescent="0.2">
      <c r="A140" s="223"/>
      <c r="B140" s="1878" t="s">
        <v>1715</v>
      </c>
      <c r="C140" s="1879">
        <f>24074.36*907.2</f>
        <v>21840259.392000001</v>
      </c>
      <c r="D140" s="1880"/>
      <c r="E140" s="1904"/>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row>
    <row r="141" spans="1:81" ht="11.25" x14ac:dyDescent="0.2">
      <c r="A141" s="223"/>
      <c r="B141" s="1878" t="s">
        <v>1716</v>
      </c>
      <c r="C141" s="1543"/>
      <c r="D141" s="1543"/>
      <c r="E141" s="1915"/>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row>
    <row r="142" spans="1:81" ht="11.25" x14ac:dyDescent="0.2">
      <c r="A142" s="223"/>
      <c r="B142" s="1895" t="s">
        <v>1717</v>
      </c>
      <c r="C142" s="1879"/>
      <c r="D142" s="1880"/>
      <c r="E142" s="1904"/>
      <c r="F142" s="1865"/>
      <c r="G142" s="1865"/>
      <c r="H142" s="1896"/>
      <c r="I142" s="1896"/>
      <c r="J142" s="1896"/>
      <c r="K142" s="1896"/>
      <c r="L142" s="1896"/>
      <c r="M142" s="1866"/>
      <c r="N142" s="1866"/>
      <c r="O142" s="1866"/>
      <c r="P142" s="1866"/>
      <c r="Q142" s="1866"/>
      <c r="R142" s="1866"/>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row>
    <row r="143" spans="1:81" ht="11.25" x14ac:dyDescent="0.2">
      <c r="A143" s="223"/>
      <c r="B143" s="1895" t="s">
        <v>1718</v>
      </c>
      <c r="C143" s="1879"/>
      <c r="D143" s="1880"/>
      <c r="E143" s="1904"/>
      <c r="F143" s="1865"/>
      <c r="G143" s="1865"/>
      <c r="H143" s="1896"/>
      <c r="I143" s="1896"/>
      <c r="J143" s="1896"/>
      <c r="K143" s="1896"/>
      <c r="L143" s="1896"/>
      <c r="M143" s="1866"/>
      <c r="N143" s="1866"/>
      <c r="O143" s="1866"/>
      <c r="P143" s="1866"/>
      <c r="Q143" s="1866"/>
      <c r="R143" s="1866"/>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row>
    <row r="144" spans="1:81" ht="11.25" x14ac:dyDescent="0.2">
      <c r="A144" s="223"/>
      <c r="B144" s="1895" t="s">
        <v>1719</v>
      </c>
      <c r="C144" s="1879"/>
      <c r="D144" s="1880"/>
      <c r="E144" s="1904"/>
      <c r="F144" s="1865"/>
      <c r="G144" s="1865"/>
      <c r="H144" s="1896"/>
      <c r="I144" s="1896"/>
      <c r="J144" s="1896"/>
      <c r="K144" s="1896"/>
      <c r="L144" s="1896"/>
      <c r="M144" s="1866"/>
      <c r="N144" s="1866"/>
      <c r="O144" s="1866"/>
      <c r="P144" s="1866"/>
      <c r="Q144" s="1866"/>
      <c r="R144" s="186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row>
    <row r="145" spans="1:81" ht="11.25" x14ac:dyDescent="0.2">
      <c r="A145" s="223"/>
      <c r="B145" s="1895" t="s">
        <v>1720</v>
      </c>
      <c r="C145" s="1879"/>
      <c r="D145" s="1880"/>
      <c r="E145" s="1904"/>
      <c r="F145" s="1865"/>
      <c r="G145" s="1865"/>
      <c r="H145" s="1896"/>
      <c r="I145" s="1896"/>
      <c r="J145" s="1896"/>
      <c r="K145" s="1896"/>
      <c r="L145" s="1896"/>
      <c r="M145" s="1866"/>
      <c r="N145" s="1866"/>
      <c r="O145" s="1866"/>
      <c r="P145" s="1866"/>
      <c r="Q145" s="1866"/>
      <c r="R145" s="1866"/>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row>
    <row r="146" spans="1:81" ht="11.25" x14ac:dyDescent="0.2">
      <c r="A146" s="223"/>
      <c r="B146" s="1895" t="s">
        <v>1721</v>
      </c>
      <c r="C146" s="1879"/>
      <c r="D146" s="1880"/>
      <c r="E146" s="1904"/>
      <c r="F146" s="1865"/>
      <c r="G146" s="1865"/>
      <c r="H146" s="1896"/>
      <c r="I146" s="1896"/>
      <c r="J146" s="1896"/>
      <c r="K146" s="1896"/>
      <c r="L146" s="1896"/>
      <c r="M146" s="1866"/>
      <c r="N146" s="1866"/>
      <c r="O146" s="1866"/>
      <c r="P146" s="1866"/>
      <c r="Q146" s="1866"/>
      <c r="R146" s="1866"/>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row>
    <row r="147" spans="1:81" ht="11.25" x14ac:dyDescent="0.2">
      <c r="A147" s="223"/>
      <c r="B147" s="1895" t="s">
        <v>1722</v>
      </c>
      <c r="C147" s="1879"/>
      <c r="D147" s="1880"/>
      <c r="E147" s="1904"/>
      <c r="F147" s="1865"/>
      <c r="G147" s="1865"/>
      <c r="H147" s="1896"/>
      <c r="I147" s="1896"/>
      <c r="J147" s="1896"/>
      <c r="K147" s="1896"/>
      <c r="L147" s="1896"/>
      <c r="M147" s="1866"/>
      <c r="N147" s="1866"/>
      <c r="O147" s="1866"/>
      <c r="P147" s="1866"/>
      <c r="Q147" s="1866"/>
      <c r="R147" s="1866"/>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row>
    <row r="148" spans="1:81" ht="11.25" x14ac:dyDescent="0.2">
      <c r="A148" s="223"/>
      <c r="B148" s="1895" t="s">
        <v>1723</v>
      </c>
      <c r="C148" s="1879"/>
      <c r="D148" s="1880"/>
      <c r="E148" s="1904"/>
      <c r="F148" s="1865"/>
      <c r="G148" s="1865"/>
      <c r="H148" s="1896"/>
      <c r="I148" s="1898"/>
      <c r="J148" s="1896"/>
      <c r="K148" s="1896"/>
      <c r="L148" s="1896"/>
      <c r="M148" s="1866"/>
      <c r="N148" s="1866"/>
      <c r="O148" s="1866"/>
      <c r="P148" s="1866"/>
      <c r="Q148" s="1866"/>
      <c r="R148" s="1866"/>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row>
    <row r="149" spans="1:81" ht="11.25" x14ac:dyDescent="0.2">
      <c r="A149" s="223"/>
      <c r="B149" s="1899" t="s">
        <v>1724</v>
      </c>
      <c r="C149" s="1900">
        <v>5.0683858558632864E-3</v>
      </c>
      <c r="D149" s="1880"/>
      <c r="E149" s="1904"/>
      <c r="F149" s="1865"/>
      <c r="G149" s="1865"/>
      <c r="H149" s="1865"/>
      <c r="I149" s="1865"/>
      <c r="J149" s="1865"/>
      <c r="K149" s="1865"/>
      <c r="L149" s="1865"/>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row>
    <row r="150" spans="1:81" ht="11.25" x14ac:dyDescent="0.2">
      <c r="A150" s="223"/>
      <c r="B150" s="1899" t="s">
        <v>1725</v>
      </c>
      <c r="C150" s="1880"/>
      <c r="D150" s="1880"/>
      <c r="E150" s="1904"/>
      <c r="F150" s="1865"/>
      <c r="G150" s="1865"/>
      <c r="H150" s="1865"/>
      <c r="I150" s="1865"/>
      <c r="J150" s="1865"/>
      <c r="K150" s="1865"/>
      <c r="L150" s="1865"/>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row>
    <row r="151" spans="1:81" ht="11.25" x14ac:dyDescent="0.2">
      <c r="A151" s="223"/>
      <c r="B151" s="1916" t="s">
        <v>1726</v>
      </c>
      <c r="C151" s="1917"/>
      <c r="D151" s="1917"/>
      <c r="E151" s="1918"/>
      <c r="F151" s="1865"/>
      <c r="G151" s="1865"/>
      <c r="H151" s="1865"/>
      <c r="I151" s="1865"/>
      <c r="J151" s="1865"/>
      <c r="K151" s="1865"/>
      <c r="L151" s="1865"/>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row>
    <row r="152" spans="1:81" ht="11.25" x14ac:dyDescent="0.2">
      <c r="A152" s="466"/>
      <c r="B152" s="1706"/>
      <c r="C152" s="1707"/>
      <c r="D152" s="1708"/>
      <c r="E152" s="1708"/>
      <c r="F152" s="1708"/>
      <c r="G152" s="1709"/>
      <c r="H152" s="1710"/>
      <c r="I152" s="1711"/>
      <c r="J152" s="1710"/>
      <c r="K152" s="1712"/>
      <c r="L152" s="578"/>
      <c r="M152" s="1712"/>
      <c r="N152" s="578"/>
      <c r="O152" s="578"/>
      <c r="P152" s="578"/>
      <c r="Q152" s="578"/>
      <c r="R152" s="578"/>
      <c r="S152" s="578"/>
      <c r="T152" s="578"/>
      <c r="U152" s="578"/>
    </row>
    <row r="153" spans="1:81" ht="19.5" x14ac:dyDescent="0.4">
      <c r="A153" s="1106"/>
      <c r="B153" s="1919" t="s">
        <v>1728</v>
      </c>
      <c r="C153" s="1920"/>
      <c r="D153" s="1921"/>
      <c r="E153" s="1921"/>
      <c r="F153" s="1921"/>
      <c r="G153" s="1922"/>
      <c r="H153" s="1806"/>
      <c r="I153" s="1807"/>
      <c r="J153" s="1806"/>
      <c r="K153" s="1808"/>
      <c r="L153" s="1809"/>
      <c r="M153" s="1808"/>
      <c r="N153" s="1809"/>
      <c r="O153" s="1809"/>
      <c r="P153" s="1809"/>
      <c r="Q153" s="1809"/>
      <c r="R153" s="1809"/>
      <c r="S153" s="1809"/>
      <c r="T153" s="1809"/>
      <c r="U153" s="1809"/>
      <c r="V153" s="1809"/>
      <c r="W153" s="1809"/>
      <c r="X153" s="1809"/>
      <c r="Y153" s="1809"/>
      <c r="Z153" s="1809"/>
      <c r="AA153" s="1810"/>
      <c r="AH153" s="1623" t="s">
        <v>1729</v>
      </c>
    </row>
    <row r="154" spans="1:81" ht="11.25" x14ac:dyDescent="0.2">
      <c r="A154" s="223"/>
      <c r="B154" s="1923"/>
      <c r="C154" s="1924"/>
      <c r="D154" s="1925"/>
      <c r="E154" s="1926"/>
      <c r="F154" s="1926"/>
      <c r="G154" s="1926"/>
      <c r="H154" s="1926"/>
      <c r="I154" s="1925"/>
      <c r="J154" s="1925"/>
      <c r="K154" s="1927"/>
      <c r="L154" s="1928"/>
      <c r="M154" s="1929" t="s">
        <v>1730</v>
      </c>
      <c r="N154" s="1929"/>
      <c r="O154" s="1930"/>
      <c r="P154" s="1931"/>
      <c r="Q154" s="1932"/>
      <c r="R154" s="1821"/>
      <c r="S154" s="1819" t="s">
        <v>1731</v>
      </c>
      <c r="T154" s="1819"/>
      <c r="U154" s="1819"/>
      <c r="V154" s="1821"/>
      <c r="W154" s="1933"/>
      <c r="X154" s="1926"/>
      <c r="Y154" s="1926"/>
      <c r="Z154" s="1926"/>
      <c r="AA154" s="1934"/>
      <c r="AB154" s="223"/>
      <c r="AC154" s="223"/>
      <c r="AD154" s="223"/>
      <c r="AE154" s="223"/>
      <c r="AF154" s="223"/>
      <c r="AG154" s="223"/>
      <c r="AH154" s="1935" t="s">
        <v>1732</v>
      </c>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row>
    <row r="155" spans="1:81" ht="57.75" x14ac:dyDescent="0.2">
      <c r="A155" s="223"/>
      <c r="B155" s="1936"/>
      <c r="C155" s="1937" t="s">
        <v>1733</v>
      </c>
      <c r="D155" s="1938"/>
      <c r="E155" s="1938" t="s">
        <v>1734</v>
      </c>
      <c r="F155" s="1939"/>
      <c r="G155" s="1938" t="s">
        <v>1735</v>
      </c>
      <c r="H155" s="1939"/>
      <c r="I155" s="1938" t="s">
        <v>1736</v>
      </c>
      <c r="J155" s="1940"/>
      <c r="K155" s="1941" t="s">
        <v>1737</v>
      </c>
      <c r="L155" s="1942"/>
      <c r="M155" s="1817" t="s">
        <v>1738</v>
      </c>
      <c r="N155" s="1817"/>
      <c r="O155" s="1824" t="s">
        <v>1739</v>
      </c>
      <c r="P155" s="1605"/>
      <c r="Q155" s="1941" t="s">
        <v>1740</v>
      </c>
      <c r="R155" s="1942"/>
      <c r="S155" s="1817" t="s">
        <v>1741</v>
      </c>
      <c r="T155" s="1817"/>
      <c r="U155" s="1817" t="s">
        <v>1742</v>
      </c>
      <c r="V155" s="1942"/>
      <c r="W155" s="1824" t="s">
        <v>1743</v>
      </c>
      <c r="X155" s="1943"/>
      <c r="Y155" s="1944"/>
      <c r="Z155" s="1939"/>
      <c r="AA155" s="1945"/>
      <c r="AB155" s="223"/>
      <c r="AC155" s="223"/>
      <c r="AD155" s="223"/>
      <c r="AE155" s="223"/>
      <c r="AF155" s="223"/>
      <c r="AG155" s="223"/>
      <c r="AH155" s="2574" t="s">
        <v>1744</v>
      </c>
      <c r="AI155" s="2575"/>
      <c r="AJ155" s="2575"/>
      <c r="AK155" s="2575"/>
      <c r="AL155" s="2575"/>
      <c r="AM155" s="2575"/>
      <c r="AN155" s="2575"/>
      <c r="AO155" s="224"/>
      <c r="AP155" s="2574" t="s">
        <v>1745</v>
      </c>
      <c r="AQ155" s="2575"/>
      <c r="AR155" s="2575"/>
      <c r="AS155" s="2575"/>
      <c r="AT155" s="224"/>
      <c r="AU155" s="2574" t="s">
        <v>1746</v>
      </c>
      <c r="AV155" s="2575"/>
      <c r="AW155" s="224"/>
      <c r="AX155" s="2574" t="s">
        <v>1747</v>
      </c>
      <c r="AY155" s="2575"/>
      <c r="AZ155" s="224"/>
      <c r="BA155" s="2576" t="s">
        <v>1618</v>
      </c>
      <c r="BB155" s="2504"/>
      <c r="BC155" s="2504"/>
      <c r="BD155" s="2504"/>
      <c r="BE155" s="2504"/>
      <c r="BF155" s="2504"/>
      <c r="BG155" s="466"/>
      <c r="BH155" s="2576" t="s">
        <v>1639</v>
      </c>
      <c r="BI155" s="2504"/>
      <c r="BJ155" s="2504"/>
      <c r="BK155" s="2504"/>
      <c r="BL155" s="2504"/>
      <c r="BM155" s="466"/>
      <c r="BN155" s="2577" t="s">
        <v>1643</v>
      </c>
      <c r="BO155" s="2575"/>
      <c r="BP155" s="1946"/>
      <c r="BQ155" s="2578" t="s">
        <v>1644</v>
      </c>
      <c r="BR155" s="2504"/>
      <c r="BS155" s="2504"/>
      <c r="BT155" s="466"/>
      <c r="BU155" s="2577" t="s">
        <v>1616</v>
      </c>
      <c r="BV155" s="2575"/>
      <c r="BW155" s="2575"/>
      <c r="BX155" s="1946"/>
      <c r="BY155" s="2577" t="s">
        <v>1617</v>
      </c>
      <c r="BZ155" s="2575"/>
      <c r="CA155" s="466"/>
      <c r="CB155" s="2570" t="s">
        <v>1619</v>
      </c>
      <c r="CC155" s="2571"/>
    </row>
    <row r="156" spans="1:81" ht="45" x14ac:dyDescent="0.2">
      <c r="A156" s="223"/>
      <c r="B156" s="1947" t="s">
        <v>1603</v>
      </c>
      <c r="C156" s="1831"/>
      <c r="D156" s="1948"/>
      <c r="E156" s="1515"/>
      <c r="F156" s="1515"/>
      <c r="G156" s="1515"/>
      <c r="H156" s="1515"/>
      <c r="I156" s="1512"/>
      <c r="J156" s="1949"/>
      <c r="K156" s="1512"/>
      <c r="L156" s="1949"/>
      <c r="M156" s="1950"/>
      <c r="N156" s="1950"/>
      <c r="O156" s="1949"/>
      <c r="P156" s="1949"/>
      <c r="Q156" s="1951"/>
      <c r="R156" s="1951"/>
      <c r="S156" s="1952"/>
      <c r="T156" s="1952"/>
      <c r="U156" s="1953"/>
      <c r="V156" s="1954"/>
      <c r="W156" s="1955"/>
      <c r="X156" s="1521"/>
      <c r="Y156" s="1521"/>
      <c r="Z156" s="1521"/>
      <c r="AA156" s="1523"/>
      <c r="AB156" s="223"/>
      <c r="AC156" s="223"/>
      <c r="AD156" s="223"/>
      <c r="AE156" s="223"/>
      <c r="AF156" s="223"/>
      <c r="AG156" s="223"/>
      <c r="AH156" s="1956" t="s">
        <v>1748</v>
      </c>
      <c r="AI156" s="1957" t="s">
        <v>1749</v>
      </c>
      <c r="AJ156" s="1957" t="s">
        <v>1750</v>
      </c>
      <c r="AK156" s="1957" t="s">
        <v>1751</v>
      </c>
      <c r="AL156" s="1957" t="s">
        <v>1752</v>
      </c>
      <c r="AM156" s="1957" t="s">
        <v>1753</v>
      </c>
      <c r="AN156" s="1958" t="s">
        <v>1754</v>
      </c>
      <c r="AO156" s="224"/>
      <c r="AP156" s="1959" t="s">
        <v>1748</v>
      </c>
      <c r="AQ156" s="1957" t="s">
        <v>1755</v>
      </c>
      <c r="AR156" s="1957" t="s">
        <v>1756</v>
      </c>
      <c r="AS156" s="1958" t="s">
        <v>1751</v>
      </c>
      <c r="AT156" s="224"/>
      <c r="AU156" s="1959" t="s">
        <v>1757</v>
      </c>
      <c r="AV156" s="1958" t="s">
        <v>1758</v>
      </c>
      <c r="AW156" s="224"/>
      <c r="AX156" s="1959" t="s">
        <v>1757</v>
      </c>
      <c r="AY156" s="1958" t="s">
        <v>1753</v>
      </c>
      <c r="AZ156" s="224"/>
      <c r="BA156" s="1960" t="s">
        <v>1748</v>
      </c>
      <c r="BB156" s="1957" t="s">
        <v>1753</v>
      </c>
      <c r="BC156" s="1957" t="s">
        <v>1752</v>
      </c>
      <c r="BD156" s="1957" t="s">
        <v>1750</v>
      </c>
      <c r="BE156" s="1957" t="s">
        <v>1749</v>
      </c>
      <c r="BF156" s="1958" t="s">
        <v>1754</v>
      </c>
      <c r="BG156" s="1623"/>
      <c r="BH156" s="1960" t="s">
        <v>1748</v>
      </c>
      <c r="BI156" s="1957" t="s">
        <v>1752</v>
      </c>
      <c r="BJ156" s="1957" t="s">
        <v>1750</v>
      </c>
      <c r="BK156" s="1957" t="s">
        <v>1749</v>
      </c>
      <c r="BL156" s="1958" t="s">
        <v>1759</v>
      </c>
      <c r="BM156" s="1623"/>
      <c r="BN156" s="1959" t="s">
        <v>1760</v>
      </c>
      <c r="BO156" s="1958" t="s">
        <v>1761</v>
      </c>
      <c r="BP156" s="1961"/>
      <c r="BQ156" s="1959" t="s">
        <v>1760</v>
      </c>
      <c r="BR156" s="1962" t="s">
        <v>1761</v>
      </c>
      <c r="BS156" s="1963" t="s">
        <v>1762</v>
      </c>
      <c r="BT156" s="466"/>
      <c r="BU156" s="1956" t="s">
        <v>1748</v>
      </c>
      <c r="BV156" s="1964" t="s">
        <v>1763</v>
      </c>
      <c r="BW156" s="1965" t="s">
        <v>1764</v>
      </c>
      <c r="BX156" s="1966"/>
      <c r="BY156" s="1967" t="s">
        <v>1757</v>
      </c>
      <c r="BZ156" s="1968" t="s">
        <v>1765</v>
      </c>
      <c r="CA156" s="466"/>
      <c r="CB156" s="1959" t="s">
        <v>1757</v>
      </c>
      <c r="CC156" s="1963" t="s">
        <v>1765</v>
      </c>
    </row>
    <row r="157" spans="1:81" ht="12.75" x14ac:dyDescent="0.2">
      <c r="A157" s="223"/>
      <c r="B157" s="1969" t="s">
        <v>1604</v>
      </c>
      <c r="C157" s="1733">
        <v>50</v>
      </c>
      <c r="D157" s="1520"/>
      <c r="E157" s="1521">
        <v>680</v>
      </c>
      <c r="F157" s="1521"/>
      <c r="G157" s="1521">
        <v>0.44</v>
      </c>
      <c r="H157" s="1521"/>
      <c r="I157" s="1543">
        <f t="shared" ref="I157:I158" si="67">C157*E157*G157*365</f>
        <v>5460400</v>
      </c>
      <c r="J157" s="1520"/>
      <c r="K157" s="1543">
        <f t="shared" ref="K157:K158" si="68">(I157*0.2*0.01)/1000</f>
        <v>10.920800000000002</v>
      </c>
      <c r="L157" s="1521"/>
      <c r="M157" s="1880">
        <f>C157*(AI157+AJ157+AL157+AN157)*E157*G157*365</f>
        <v>2676858.7457973151</v>
      </c>
      <c r="N157" s="1521"/>
      <c r="O157" s="1880">
        <f>C157*(AM157)*E157*G157*365</f>
        <v>360170.18037193292</v>
      </c>
      <c r="P157" s="1880"/>
      <c r="Q157" s="1880">
        <f>C157*(AK157)*E157*G157*365</f>
        <v>2423371.0738307517</v>
      </c>
      <c r="R157" s="1880"/>
      <c r="S157" s="1970">
        <f t="shared" ref="S157:S158" si="69">((M157+Q157)*(1-0.2)*0.0125)/1000</f>
        <v>51.002298196280684</v>
      </c>
      <c r="T157" s="1880"/>
      <c r="U157" s="1904">
        <f t="shared" ref="U157:U158" si="70">(O157*0.02)/1000</f>
        <v>7.2034036074386583</v>
      </c>
      <c r="V157" s="1544"/>
      <c r="W157" s="1971">
        <f>K125</f>
        <v>503863.10596800002</v>
      </c>
      <c r="X157" s="1521" t="s">
        <v>1766</v>
      </c>
      <c r="Y157" s="1521"/>
      <c r="Z157" s="1521"/>
      <c r="AA157" s="1523"/>
      <c r="AB157" s="223"/>
      <c r="AC157" s="223"/>
      <c r="AD157" s="223"/>
      <c r="AE157" s="223"/>
      <c r="AF157" s="223"/>
      <c r="AG157" s="223"/>
      <c r="AH157" s="1972" t="s">
        <v>1767</v>
      </c>
      <c r="AI157" s="1973">
        <v>7.6488535055593554E-2</v>
      </c>
      <c r="AJ157" s="1973">
        <v>0.15472472257238745</v>
      </c>
      <c r="AK157" s="1973">
        <v>0.44380834258126728</v>
      </c>
      <c r="AL157" s="1973">
        <v>0.22861605738914034</v>
      </c>
      <c r="AM157" s="1973">
        <v>6.5960402236453913E-2</v>
      </c>
      <c r="AN157" s="1974">
        <v>3.0401940165157418E-2</v>
      </c>
      <c r="AO157" s="224"/>
      <c r="AP157" s="1972" t="s">
        <v>1767</v>
      </c>
      <c r="AQ157" s="1973">
        <f>1-SUM(AR157:AS157)</f>
        <v>0.49023125518227884</v>
      </c>
      <c r="AR157" s="1973">
        <v>6.5960402236453913E-2</v>
      </c>
      <c r="AS157" s="1974">
        <v>0.44380834258126728</v>
      </c>
      <c r="AT157" s="224"/>
      <c r="AU157" s="1972" t="s">
        <v>1767</v>
      </c>
      <c r="AV157" s="1975">
        <v>1</v>
      </c>
      <c r="AW157" s="224"/>
      <c r="AX157" s="1972" t="s">
        <v>1767</v>
      </c>
      <c r="AY157" s="1975">
        <v>1</v>
      </c>
      <c r="AZ157" s="224"/>
      <c r="BA157" s="1972" t="s">
        <v>1767</v>
      </c>
      <c r="BB157" s="1976">
        <v>0.21140679400000001</v>
      </c>
      <c r="BC157" s="1973">
        <v>3.7602905999999998E-2</v>
      </c>
      <c r="BD157" s="1973">
        <v>0.214504853</v>
      </c>
      <c r="BE157" s="1973">
        <v>0.15671048400000001</v>
      </c>
      <c r="BF157" s="1974">
        <v>0.37977496300000002</v>
      </c>
      <c r="BG157" s="466"/>
      <c r="BH157" s="1977" t="s">
        <v>1767</v>
      </c>
      <c r="BI157" s="1973">
        <v>0</v>
      </c>
      <c r="BJ157" s="1973">
        <v>0</v>
      </c>
      <c r="BK157" s="1973">
        <v>0.05</v>
      </c>
      <c r="BL157" s="1974">
        <v>0.95</v>
      </c>
      <c r="BM157" s="223"/>
      <c r="BN157" s="1978" t="s">
        <v>1768</v>
      </c>
      <c r="BO157" s="1979">
        <v>1</v>
      </c>
      <c r="BP157" s="223"/>
      <c r="BQ157" s="1980" t="s">
        <v>1768</v>
      </c>
      <c r="BR157" s="1981">
        <v>0.9</v>
      </c>
      <c r="BS157" s="1982">
        <v>0.1</v>
      </c>
      <c r="BT157" s="223"/>
      <c r="BU157" s="1980" t="s">
        <v>1768</v>
      </c>
      <c r="BV157" s="1983">
        <v>0</v>
      </c>
      <c r="BW157" s="1979">
        <v>1</v>
      </c>
      <c r="BX157" s="223"/>
      <c r="BY157" s="1978" t="s">
        <v>1768</v>
      </c>
      <c r="BZ157" s="1979">
        <v>1</v>
      </c>
      <c r="CA157" s="223"/>
      <c r="CB157" s="1980" t="s">
        <v>1768</v>
      </c>
      <c r="CC157" s="1979">
        <v>1</v>
      </c>
    </row>
    <row r="158" spans="1:81" ht="11.25" x14ac:dyDescent="0.2">
      <c r="A158" s="223"/>
      <c r="B158" s="1895" t="s">
        <v>1605</v>
      </c>
      <c r="C158" s="1733">
        <v>25</v>
      </c>
      <c r="D158" s="1520"/>
      <c r="E158" s="1521">
        <v>476</v>
      </c>
      <c r="F158" s="1521"/>
      <c r="G158" s="1521">
        <v>0.31</v>
      </c>
      <c r="H158" s="1521"/>
      <c r="I158" s="1543">
        <f t="shared" si="67"/>
        <v>1346485</v>
      </c>
      <c r="J158" s="1520"/>
      <c r="K158" s="1543">
        <f t="shared" si="68"/>
        <v>2.6929700000000003</v>
      </c>
      <c r="L158" s="1521"/>
      <c r="M158" s="1880">
        <f>C158*(AQ157)*E158*G158*365</f>
        <v>660089.03163411072</v>
      </c>
      <c r="N158" s="1521"/>
      <c r="O158" s="1880">
        <f>C158*(AR157)*E158*G158*365</f>
        <v>88814.692205351646</v>
      </c>
      <c r="P158" s="1521"/>
      <c r="Q158" s="1880">
        <f>C158*(AK157)*E158*G158*365</f>
        <v>597581.27616053761</v>
      </c>
      <c r="R158" s="1880"/>
      <c r="S158" s="1970">
        <f t="shared" si="69"/>
        <v>12.576703077946483</v>
      </c>
      <c r="T158" s="1880"/>
      <c r="U158" s="1904">
        <f t="shared" si="70"/>
        <v>1.7762938441070331</v>
      </c>
      <c r="V158" s="1544"/>
      <c r="W158" s="1984">
        <f>K124</f>
        <v>22103870.664960001</v>
      </c>
      <c r="X158" s="1906" t="s">
        <v>1769</v>
      </c>
      <c r="Y158" s="1985"/>
      <c r="Z158" s="1906"/>
      <c r="AA158" s="1986"/>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row>
    <row r="159" spans="1:81" ht="11.25" x14ac:dyDescent="0.2">
      <c r="A159" s="223"/>
      <c r="B159" s="1987" t="s">
        <v>1608</v>
      </c>
      <c r="C159" s="1988"/>
      <c r="D159" s="1520"/>
      <c r="E159" s="1521"/>
      <c r="F159" s="1521"/>
      <c r="G159" s="1521"/>
      <c r="H159" s="1521"/>
      <c r="I159" s="1543"/>
      <c r="J159" s="1520"/>
      <c r="K159" s="1543"/>
      <c r="L159" s="1521"/>
      <c r="M159" s="1880"/>
      <c r="N159" s="1521"/>
      <c r="O159" s="1521"/>
      <c r="P159" s="1521"/>
      <c r="Q159" s="1521"/>
      <c r="R159" s="1880"/>
      <c r="S159" s="1970"/>
      <c r="T159" s="1521"/>
      <c r="U159" s="1523"/>
      <c r="V159" s="1544"/>
      <c r="W159" s="1989">
        <f>SUM(W157:W158)/1000*0.3</f>
        <v>6782.3201312783995</v>
      </c>
      <c r="X159" s="1818" t="s">
        <v>1770</v>
      </c>
      <c r="Y159" s="1821"/>
      <c r="Z159" s="1821"/>
      <c r="AA159" s="193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row>
    <row r="160" spans="1:81" ht="11.25" x14ac:dyDescent="0.2">
      <c r="A160" s="223"/>
      <c r="B160" s="1895" t="s">
        <v>1613</v>
      </c>
      <c r="C160" s="1691">
        <v>3.9119999999999999</v>
      </c>
      <c r="D160" s="1520"/>
      <c r="E160" s="1521">
        <v>420</v>
      </c>
      <c r="F160" s="1521"/>
      <c r="G160" s="1521">
        <v>0.3</v>
      </c>
      <c r="H160" s="1521"/>
      <c r="I160" s="1543">
        <f t="shared" ref="I160:I166" si="71">C160*E160*G160*365</f>
        <v>179912.88</v>
      </c>
      <c r="J160" s="1520"/>
      <c r="K160" s="1543">
        <f t="shared" ref="K160:K166" si="72">(I160*0.2*0.01)/1000</f>
        <v>0.35982575999999999</v>
      </c>
      <c r="L160" s="1521"/>
      <c r="M160" s="1880">
        <f>C160*(AV157)*E160*G160*365</f>
        <v>179912.88</v>
      </c>
      <c r="N160" s="1521"/>
      <c r="O160" s="1520" t="s">
        <v>1102</v>
      </c>
      <c r="P160" s="1990"/>
      <c r="Q160" s="1520" t="s">
        <v>1102</v>
      </c>
      <c r="R160" s="1880"/>
      <c r="S160" s="1970">
        <f t="shared" ref="S160:S161" si="73">((M160)*(1-0.2)*0.0125)/1000</f>
        <v>1.7991288000000001</v>
      </c>
      <c r="T160" s="1880"/>
      <c r="U160" s="1910" t="s">
        <v>1102</v>
      </c>
      <c r="V160" s="1991"/>
      <c r="W160" s="1992"/>
      <c r="X160" s="1955"/>
      <c r="Y160" s="1955"/>
      <c r="Z160" s="1955"/>
      <c r="AA160" s="199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row>
    <row r="161" spans="1:81" ht="11.25" x14ac:dyDescent="0.2">
      <c r="A161" s="223"/>
      <c r="B161" s="1895" t="s">
        <v>1614</v>
      </c>
      <c r="C161" s="1691">
        <v>7.3949999999999996</v>
      </c>
      <c r="D161" s="1520"/>
      <c r="E161" s="1521">
        <v>420</v>
      </c>
      <c r="F161" s="1521"/>
      <c r="G161" s="1521">
        <v>0.3</v>
      </c>
      <c r="H161" s="1521"/>
      <c r="I161" s="1543">
        <f t="shared" si="71"/>
        <v>340096.04999999993</v>
      </c>
      <c r="J161" s="1520"/>
      <c r="K161" s="1543">
        <f t="shared" si="72"/>
        <v>0.68019209999999997</v>
      </c>
      <c r="L161" s="1521"/>
      <c r="M161" s="1880">
        <f>C161*AV157*E161*G161*365</f>
        <v>340096.04999999993</v>
      </c>
      <c r="N161" s="1521"/>
      <c r="O161" s="1520" t="s">
        <v>1102</v>
      </c>
      <c r="P161" s="1990"/>
      <c r="Q161" s="1520" t="s">
        <v>1102</v>
      </c>
      <c r="R161" s="1880"/>
      <c r="S161" s="1970">
        <f t="shared" si="73"/>
        <v>3.4009604999999996</v>
      </c>
      <c r="T161" s="1880"/>
      <c r="U161" s="1910" t="s">
        <v>1102</v>
      </c>
      <c r="V161" s="1991"/>
      <c r="W161" s="1984">
        <f>I185</f>
        <v>37138792.048</v>
      </c>
      <c r="X161" s="1906" t="s">
        <v>1771</v>
      </c>
      <c r="Y161" s="1985"/>
      <c r="Z161" s="1906"/>
      <c r="AA161" s="1986"/>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row>
    <row r="162" spans="1:81" ht="11.25" x14ac:dyDescent="0.2">
      <c r="A162" s="223"/>
      <c r="B162" s="1895" t="s">
        <v>1615</v>
      </c>
      <c r="C162" s="1733">
        <v>4</v>
      </c>
      <c r="D162" s="1520"/>
      <c r="E162" s="1521">
        <v>750</v>
      </c>
      <c r="F162" s="1521"/>
      <c r="G162" s="1521">
        <v>0.31</v>
      </c>
      <c r="H162" s="1521"/>
      <c r="I162" s="1543">
        <f t="shared" si="71"/>
        <v>339450</v>
      </c>
      <c r="J162" s="1520"/>
      <c r="K162" s="1543">
        <f t="shared" si="72"/>
        <v>0.67889999999999995</v>
      </c>
      <c r="L162" s="1521"/>
      <c r="M162" s="1543" t="s">
        <v>1102</v>
      </c>
      <c r="N162" s="1521"/>
      <c r="O162" s="1971">
        <f t="shared" ref="O162:O166" si="74">C162*(AY$157)*E162*G162*365</f>
        <v>339450</v>
      </c>
      <c r="P162" s="1990"/>
      <c r="Q162" s="1520" t="s">
        <v>1102</v>
      </c>
      <c r="R162" s="1880"/>
      <c r="S162" s="1543" t="s">
        <v>1102</v>
      </c>
      <c r="T162" s="1880"/>
      <c r="U162" s="1904">
        <f t="shared" ref="U162:U166" si="75">(O162*0.02)/1000</f>
        <v>6.7889999999999997</v>
      </c>
      <c r="V162" s="1544"/>
      <c r="W162" s="1989">
        <f>(W161*(1-0)*0.3)/1000</f>
        <v>11141.637614399999</v>
      </c>
      <c r="X162" s="1818" t="s">
        <v>1772</v>
      </c>
      <c r="Y162" s="1821"/>
      <c r="Z162" s="1821"/>
      <c r="AA162" s="193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row>
    <row r="163" spans="1:81" ht="11.25" x14ac:dyDescent="0.2">
      <c r="A163" s="223"/>
      <c r="B163" s="1895" t="s">
        <v>1633</v>
      </c>
      <c r="C163" s="1733">
        <v>33</v>
      </c>
      <c r="D163" s="1520"/>
      <c r="E163" s="1521">
        <v>118</v>
      </c>
      <c r="F163" s="1521"/>
      <c r="G163" s="1521">
        <v>0.3</v>
      </c>
      <c r="H163" s="1521"/>
      <c r="I163" s="1543">
        <f t="shared" si="71"/>
        <v>426393</v>
      </c>
      <c r="J163" s="1520"/>
      <c r="K163" s="1543">
        <f t="shared" si="72"/>
        <v>0.85278600000000004</v>
      </c>
      <c r="L163" s="1521"/>
      <c r="M163" s="1543" t="s">
        <v>1102</v>
      </c>
      <c r="N163" s="1521"/>
      <c r="O163" s="1971">
        <f t="shared" si="74"/>
        <v>426393</v>
      </c>
      <c r="P163" s="1990"/>
      <c r="Q163" s="1520" t="s">
        <v>1102</v>
      </c>
      <c r="R163" s="1880"/>
      <c r="S163" s="1543" t="s">
        <v>1102</v>
      </c>
      <c r="T163" s="1880"/>
      <c r="U163" s="1904">
        <f t="shared" si="75"/>
        <v>8.5278600000000004</v>
      </c>
      <c r="V163" s="1544"/>
      <c r="W163" s="1994"/>
      <c r="X163" s="1995"/>
      <c r="Y163" s="1996"/>
      <c r="Z163" s="1995"/>
      <c r="AA163" s="1997"/>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row>
    <row r="164" spans="1:81" ht="12.75" x14ac:dyDescent="0.25">
      <c r="A164" s="223"/>
      <c r="B164" s="1895" t="s">
        <v>1609</v>
      </c>
      <c r="C164" s="1733">
        <v>38</v>
      </c>
      <c r="D164" s="1520"/>
      <c r="E164" s="1521">
        <v>533</v>
      </c>
      <c r="F164" s="1521"/>
      <c r="G164" s="1521">
        <v>0.33</v>
      </c>
      <c r="H164" s="1521"/>
      <c r="I164" s="1543">
        <f t="shared" si="71"/>
        <v>2439594.3000000003</v>
      </c>
      <c r="J164" s="1520"/>
      <c r="K164" s="1543">
        <f t="shared" si="72"/>
        <v>4.8791886000000009</v>
      </c>
      <c r="L164" s="1521"/>
      <c r="M164" s="1543" t="s">
        <v>1102</v>
      </c>
      <c r="N164" s="1521"/>
      <c r="O164" s="1971">
        <f t="shared" si="74"/>
        <v>2439594.3000000003</v>
      </c>
      <c r="P164" s="1990"/>
      <c r="Q164" s="1520" t="s">
        <v>1102</v>
      </c>
      <c r="R164" s="1880"/>
      <c r="S164" s="1543" t="s">
        <v>1102</v>
      </c>
      <c r="T164" s="1880"/>
      <c r="U164" s="1904">
        <f t="shared" si="75"/>
        <v>48.791886000000005</v>
      </c>
      <c r="V164" s="1544"/>
      <c r="W164" s="1989">
        <f>SUM(W159,W162)*0.0075</f>
        <v>134.42968309258799</v>
      </c>
      <c r="X164" s="1818" t="s">
        <v>1773</v>
      </c>
      <c r="Y164" s="1821"/>
      <c r="Z164" s="1821"/>
      <c r="AA164" s="193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row>
    <row r="165" spans="1:81" ht="11.25" x14ac:dyDescent="0.2">
      <c r="A165" s="223"/>
      <c r="B165" s="1895" t="s">
        <v>1612</v>
      </c>
      <c r="C165" s="1733">
        <v>15</v>
      </c>
      <c r="D165" s="1520"/>
      <c r="E165" s="1521">
        <v>318</v>
      </c>
      <c r="F165" s="1521"/>
      <c r="G165" s="1521">
        <v>0.31</v>
      </c>
      <c r="H165" s="1521"/>
      <c r="I165" s="1543">
        <f t="shared" si="71"/>
        <v>539725.5</v>
      </c>
      <c r="J165" s="1520"/>
      <c r="K165" s="1543">
        <f t="shared" si="72"/>
        <v>1.0794509999999999</v>
      </c>
      <c r="L165" s="1521"/>
      <c r="M165" s="1543" t="s">
        <v>1102</v>
      </c>
      <c r="N165" s="1521"/>
      <c r="O165" s="1971">
        <f t="shared" si="74"/>
        <v>539725.5</v>
      </c>
      <c r="P165" s="1990"/>
      <c r="Q165" s="1520" t="s">
        <v>1102</v>
      </c>
      <c r="R165" s="1880"/>
      <c r="S165" s="1543" t="s">
        <v>1102</v>
      </c>
      <c r="T165" s="1880"/>
      <c r="U165" s="1904">
        <f t="shared" si="75"/>
        <v>10.794510000000001</v>
      </c>
      <c r="V165" s="1544"/>
      <c r="W165" s="1998"/>
      <c r="X165" s="1999"/>
      <c r="Y165" s="1999"/>
      <c r="Z165" s="1999"/>
      <c r="AA165" s="2000"/>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row>
    <row r="166" spans="1:81" ht="11.25" x14ac:dyDescent="0.2">
      <c r="A166" s="223"/>
      <c r="B166" s="1895" t="s">
        <v>1774</v>
      </c>
      <c r="C166" s="2001">
        <f>18</f>
        <v>18</v>
      </c>
      <c r="D166" s="1520"/>
      <c r="E166" s="1521">
        <v>420</v>
      </c>
      <c r="F166" s="1521"/>
      <c r="G166" s="1521">
        <v>0.31</v>
      </c>
      <c r="H166" s="1521"/>
      <c r="I166" s="1543">
        <f t="shared" si="71"/>
        <v>855414</v>
      </c>
      <c r="J166" s="1520"/>
      <c r="K166" s="1543">
        <f t="shared" si="72"/>
        <v>1.7108280000000002</v>
      </c>
      <c r="L166" s="1521"/>
      <c r="M166" s="1543" t="s">
        <v>1102</v>
      </c>
      <c r="N166" s="1521"/>
      <c r="O166" s="1971">
        <f t="shared" si="74"/>
        <v>855414</v>
      </c>
      <c r="P166" s="1990"/>
      <c r="Q166" s="1520" t="s">
        <v>1102</v>
      </c>
      <c r="R166" s="1880"/>
      <c r="S166" s="1543" t="s">
        <v>1102</v>
      </c>
      <c r="T166" s="1880"/>
      <c r="U166" s="1904">
        <f t="shared" si="75"/>
        <v>17.108280000000001</v>
      </c>
      <c r="V166" s="2002"/>
      <c r="W166" s="200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row>
    <row r="167" spans="1:81" ht="11.25" x14ac:dyDescent="0.2">
      <c r="A167" s="223"/>
      <c r="B167" s="1987" t="s">
        <v>1618</v>
      </c>
      <c r="C167" s="1988"/>
      <c r="D167" s="1520"/>
      <c r="E167" s="1521"/>
      <c r="F167" s="1521"/>
      <c r="G167" s="1521"/>
      <c r="H167" s="1521"/>
      <c r="I167" s="1543"/>
      <c r="J167" s="1520"/>
      <c r="K167" s="1543"/>
      <c r="L167" s="1521"/>
      <c r="M167" s="1521"/>
      <c r="N167" s="1521"/>
      <c r="O167" s="1521"/>
      <c r="P167" s="1521"/>
      <c r="Q167" s="1521"/>
      <c r="R167" s="1880"/>
      <c r="S167" s="1520"/>
      <c r="T167" s="1521"/>
      <c r="U167" s="1523"/>
      <c r="V167" s="2002"/>
      <c r="W167" s="200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row>
    <row r="168" spans="1:81" ht="11.25" x14ac:dyDescent="0.2">
      <c r="A168" s="223"/>
      <c r="B168" s="1895" t="s">
        <v>1634</v>
      </c>
      <c r="C168" s="1733">
        <v>3</v>
      </c>
      <c r="D168" s="1520"/>
      <c r="E168" s="1521">
        <v>198</v>
      </c>
      <c r="F168" s="1521"/>
      <c r="G168" s="1521">
        <v>0.23499999999999999</v>
      </c>
      <c r="H168" s="1521"/>
      <c r="I168" s="1543">
        <f t="shared" ref="I168:I172" si="76">C168*E168*G168*365</f>
        <v>50950.35</v>
      </c>
      <c r="J168" s="1520"/>
      <c r="K168" s="1543">
        <f t="shared" ref="K168:K172" si="77">(I168*0.2*0.01)/1000</f>
        <v>0.1019007</v>
      </c>
      <c r="L168" s="1521"/>
      <c r="M168" s="1880">
        <f>C168*(BC157+BD157+BE157+BF157)*E168*G168*365</f>
        <v>40179.099853322106</v>
      </c>
      <c r="N168" s="1521"/>
      <c r="O168" s="1880">
        <f t="shared" ref="O168:O172" si="78">C168*(BB$157)*E168*G168*365</f>
        <v>10771.250146677901</v>
      </c>
      <c r="P168" s="1521"/>
      <c r="Q168" s="1520" t="s">
        <v>1102</v>
      </c>
      <c r="R168" s="1880"/>
      <c r="S168" s="1970">
        <f t="shared" ref="S168:S172" si="79">((M168)*(1-0.2)*0.0125)/1000</f>
        <v>0.40179099853322109</v>
      </c>
      <c r="T168" s="1880"/>
      <c r="U168" s="1904">
        <f t="shared" ref="U168:U172" si="80">(O168*0.02)/1000</f>
        <v>0.21542500293355804</v>
      </c>
      <c r="V168" s="2004"/>
      <c r="W168" s="200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row>
    <row r="169" spans="1:81" ht="11.25" x14ac:dyDescent="0.2">
      <c r="A169" s="223"/>
      <c r="B169" s="1895" t="s">
        <v>1635</v>
      </c>
      <c r="C169" s="1733">
        <v>7</v>
      </c>
      <c r="D169" s="1520"/>
      <c r="E169" s="1521">
        <v>15.88</v>
      </c>
      <c r="F169" s="1521"/>
      <c r="G169" s="1521">
        <v>0.6</v>
      </c>
      <c r="H169" s="1521"/>
      <c r="I169" s="1543">
        <f t="shared" si="76"/>
        <v>24344.04</v>
      </c>
      <c r="J169" s="1520"/>
      <c r="K169" s="1543">
        <f t="shared" si="77"/>
        <v>4.8688080000000002E-2</v>
      </c>
      <c r="L169" s="1521"/>
      <c r="M169" s="1880">
        <f>C169*(BC157+BD157+BE157+BF157)*E169*G169*365</f>
        <v>19197.544550592243</v>
      </c>
      <c r="N169" s="1521"/>
      <c r="O169" s="1880">
        <f t="shared" si="78"/>
        <v>5146.495449407761</v>
      </c>
      <c r="P169" s="1521"/>
      <c r="Q169" s="1520" t="s">
        <v>1102</v>
      </c>
      <c r="R169" s="1880"/>
      <c r="S169" s="1970">
        <f t="shared" si="79"/>
        <v>0.19197544550592247</v>
      </c>
      <c r="T169" s="1880"/>
      <c r="U169" s="1904">
        <f t="shared" si="80"/>
        <v>0.10292990898815522</v>
      </c>
      <c r="V169" s="2005"/>
      <c r="W169" s="200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row>
    <row r="170" spans="1:81" ht="11.25" x14ac:dyDescent="0.2">
      <c r="A170" s="223"/>
      <c r="B170" s="1895" t="s">
        <v>1636</v>
      </c>
      <c r="C170" s="1745">
        <v>4</v>
      </c>
      <c r="D170" s="1520"/>
      <c r="E170" s="1521">
        <v>40.6</v>
      </c>
      <c r="F170" s="1521"/>
      <c r="G170" s="1521">
        <v>0.42</v>
      </c>
      <c r="H170" s="1521"/>
      <c r="I170" s="1543">
        <f t="shared" si="76"/>
        <v>24895.919999999998</v>
      </c>
      <c r="J170" s="1520"/>
      <c r="K170" s="1543">
        <f t="shared" si="77"/>
        <v>4.9791840000000004E-2</v>
      </c>
      <c r="L170" s="1521"/>
      <c r="M170" s="1880">
        <f>C170*(BC157+BD157+BE157+BF157)*E170*G170*365</f>
        <v>19632.753369119524</v>
      </c>
      <c r="N170" s="1521"/>
      <c r="O170" s="1880">
        <f t="shared" si="78"/>
        <v>5263.1666308804806</v>
      </c>
      <c r="P170" s="1521"/>
      <c r="Q170" s="1520" t="s">
        <v>1102</v>
      </c>
      <c r="R170" s="1880"/>
      <c r="S170" s="1970">
        <f t="shared" si="79"/>
        <v>0.19632753369119527</v>
      </c>
      <c r="T170" s="1880"/>
      <c r="U170" s="1904">
        <f t="shared" si="80"/>
        <v>0.10526333261760962</v>
      </c>
      <c r="V170" s="2004"/>
      <c r="W170" s="200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row>
    <row r="171" spans="1:81" ht="11.25" x14ac:dyDescent="0.2">
      <c r="A171" s="223"/>
      <c r="B171" s="1895" t="s">
        <v>1637</v>
      </c>
      <c r="C171" s="1733">
        <v>3</v>
      </c>
      <c r="D171" s="1520"/>
      <c r="E171" s="1521">
        <v>67.819999999999993</v>
      </c>
      <c r="F171" s="1521"/>
      <c r="G171" s="1521">
        <v>0.42</v>
      </c>
      <c r="H171" s="1521"/>
      <c r="I171" s="1543">
        <f t="shared" si="76"/>
        <v>31190.417999999994</v>
      </c>
      <c r="J171" s="1520"/>
      <c r="K171" s="1543">
        <f t="shared" si="77"/>
        <v>6.2380835999999995E-2</v>
      </c>
      <c r="L171" s="1521"/>
      <c r="M171" s="1880">
        <f>C171*(BC157+BD157+BE157+BF157)*E171*G171*365</f>
        <v>24596.551727100108</v>
      </c>
      <c r="N171" s="1521"/>
      <c r="O171" s="1880">
        <f t="shared" si="78"/>
        <v>6593.8662728998925</v>
      </c>
      <c r="P171" s="1521"/>
      <c r="Q171" s="1520" t="s">
        <v>1102</v>
      </c>
      <c r="R171" s="1880"/>
      <c r="S171" s="1970">
        <f t="shared" si="79"/>
        <v>0.24596551727100108</v>
      </c>
      <c r="T171" s="1880"/>
      <c r="U171" s="1904">
        <f t="shared" si="80"/>
        <v>0.13187732545799785</v>
      </c>
      <c r="V171" s="2002"/>
      <c r="W171" s="200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row>
    <row r="172" spans="1:81" ht="11.25" x14ac:dyDescent="0.2">
      <c r="A172" s="223"/>
      <c r="B172" s="1895" t="s">
        <v>1638</v>
      </c>
      <c r="C172" s="1733">
        <v>4</v>
      </c>
      <c r="D172" s="1520"/>
      <c r="E172" s="1521">
        <v>90.75</v>
      </c>
      <c r="F172" s="1521"/>
      <c r="G172" s="1521">
        <v>0.42</v>
      </c>
      <c r="H172" s="1521"/>
      <c r="I172" s="1543">
        <f t="shared" si="76"/>
        <v>55647.9</v>
      </c>
      <c r="J172" s="1520"/>
      <c r="K172" s="1543">
        <f t="shared" si="77"/>
        <v>0.11129580000000001</v>
      </c>
      <c r="L172" s="1521"/>
      <c r="M172" s="1880">
        <f>C172*(BC157+BD157+BE157+BF157)*E172*G172*365</f>
        <v>43883.555868167401</v>
      </c>
      <c r="N172" s="1521"/>
      <c r="O172" s="1880">
        <f t="shared" si="78"/>
        <v>11764.3441318326</v>
      </c>
      <c r="P172" s="1521"/>
      <c r="Q172" s="1520" t="s">
        <v>1102</v>
      </c>
      <c r="R172" s="1880"/>
      <c r="S172" s="1970">
        <f t="shared" si="79"/>
        <v>0.43883555868167406</v>
      </c>
      <c r="T172" s="1880"/>
      <c r="U172" s="1904">
        <f t="shared" si="80"/>
        <v>0.23528688263665201</v>
      </c>
      <c r="V172" s="2002"/>
      <c r="W172" s="200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row>
    <row r="173" spans="1:81" ht="11.25" x14ac:dyDescent="0.2">
      <c r="A173" s="223"/>
      <c r="B173" s="1987" t="s">
        <v>1593</v>
      </c>
      <c r="C173" s="1988"/>
      <c r="D173" s="1520"/>
      <c r="E173" s="1521"/>
      <c r="F173" s="1521"/>
      <c r="G173" s="1521"/>
      <c r="H173" s="1521"/>
      <c r="I173" s="1543"/>
      <c r="J173" s="1520"/>
      <c r="K173" s="1543"/>
      <c r="L173" s="1521"/>
      <c r="M173" s="1521"/>
      <c r="N173" s="1521"/>
      <c r="O173" s="1521"/>
      <c r="P173" s="1521"/>
      <c r="Q173" s="1521"/>
      <c r="R173" s="1880"/>
      <c r="S173" s="1970"/>
      <c r="T173" s="1521"/>
      <c r="U173" s="1523"/>
      <c r="V173" s="2002"/>
      <c r="W173" s="1865"/>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row>
    <row r="174" spans="1:81" ht="11.25" x14ac:dyDescent="0.2">
      <c r="A174" s="223"/>
      <c r="B174" s="1895" t="s">
        <v>1639</v>
      </c>
      <c r="C174" s="1988"/>
      <c r="D174" s="1520"/>
      <c r="E174" s="1521"/>
      <c r="F174" s="1521"/>
      <c r="G174" s="1521"/>
      <c r="H174" s="1521"/>
      <c r="I174" s="1543"/>
      <c r="J174" s="1520"/>
      <c r="K174" s="1543"/>
      <c r="L174" s="1521"/>
      <c r="M174" s="1521"/>
      <c r="N174" s="1521"/>
      <c r="O174" s="1521"/>
      <c r="P174" s="1521"/>
      <c r="Q174" s="1521"/>
      <c r="R174" s="1880"/>
      <c r="S174" s="1970"/>
      <c r="T174" s="1521"/>
      <c r="U174" s="1523"/>
      <c r="V174" s="2005"/>
      <c r="W174" s="200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row>
    <row r="175" spans="1:81" ht="11.25" x14ac:dyDescent="0.2">
      <c r="A175" s="223"/>
      <c r="B175" s="1895" t="s">
        <v>1640</v>
      </c>
      <c r="C175" s="1733">
        <v>2364</v>
      </c>
      <c r="D175" s="1520"/>
      <c r="E175" s="1521">
        <v>1.8</v>
      </c>
      <c r="F175" s="1521"/>
      <c r="G175" s="1521">
        <v>0.83</v>
      </c>
      <c r="H175" s="1521"/>
      <c r="I175" s="1543">
        <f t="shared" ref="I175:I179" si="81">C175*E175*G175*365</f>
        <v>1289112.8399999999</v>
      </c>
      <c r="J175" s="1520"/>
      <c r="K175" s="1543">
        <f t="shared" ref="K175:K179" si="82">(I175*0.2*0.01)/1000</f>
        <v>2.5782256799999996</v>
      </c>
      <c r="L175" s="1521"/>
      <c r="M175" s="1880">
        <f t="shared" ref="M175:M179" si="83">C175*(BI$157+BJ$157+BK$157+BL$157)*E175*G175*365</f>
        <v>1289112.8399999999</v>
      </c>
      <c r="N175" s="1521"/>
      <c r="O175" s="1520" t="s">
        <v>1102</v>
      </c>
      <c r="P175" s="1521"/>
      <c r="Q175" s="1520" t="s">
        <v>1102</v>
      </c>
      <c r="R175" s="1880"/>
      <c r="S175" s="1970">
        <f t="shared" ref="S175:S176" si="84">((M175)*(1-0.042)*(1-0.2)*0.0125)/1000</f>
        <v>12.349701007199998</v>
      </c>
      <c r="T175" s="1880"/>
      <c r="U175" s="1910" t="s">
        <v>1102</v>
      </c>
      <c r="V175" s="2005"/>
      <c r="W175" s="200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row>
    <row r="176" spans="1:81" ht="11.25" x14ac:dyDescent="0.2">
      <c r="A176" s="223"/>
      <c r="B176" s="1895" t="s">
        <v>1641</v>
      </c>
      <c r="C176" s="1733">
        <v>708</v>
      </c>
      <c r="D176" s="1520"/>
      <c r="E176" s="1521">
        <v>1.8</v>
      </c>
      <c r="F176" s="1521"/>
      <c r="G176" s="1521">
        <v>0.62</v>
      </c>
      <c r="H176" s="1521"/>
      <c r="I176" s="1543">
        <f t="shared" si="81"/>
        <v>288396.72000000003</v>
      </c>
      <c r="J176" s="1520"/>
      <c r="K176" s="1543">
        <f t="shared" si="82"/>
        <v>0.5767934400000001</v>
      </c>
      <c r="L176" s="1521"/>
      <c r="M176" s="1880">
        <f t="shared" si="83"/>
        <v>288396.72000000003</v>
      </c>
      <c r="N176" s="1521"/>
      <c r="O176" s="1520" t="s">
        <v>1102</v>
      </c>
      <c r="P176" s="1521"/>
      <c r="Q176" s="1520" t="s">
        <v>1102</v>
      </c>
      <c r="R176" s="1880"/>
      <c r="S176" s="1970">
        <f t="shared" si="84"/>
        <v>2.7628405776</v>
      </c>
      <c r="T176" s="1880"/>
      <c r="U176" s="1910" t="s">
        <v>1102</v>
      </c>
      <c r="V176" s="2005"/>
      <c r="W176" s="200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row>
    <row r="177" spans="1:81" ht="11.25" x14ac:dyDescent="0.2">
      <c r="A177" s="223"/>
      <c r="B177" s="1895" t="s">
        <v>1642</v>
      </c>
      <c r="C177" s="1733">
        <v>16</v>
      </c>
      <c r="D177" s="1520"/>
      <c r="E177" s="1521">
        <v>1.8</v>
      </c>
      <c r="F177" s="1521"/>
      <c r="G177" s="1521">
        <v>0.83</v>
      </c>
      <c r="H177" s="1521"/>
      <c r="I177" s="1543">
        <f t="shared" si="81"/>
        <v>8724.9599999999991</v>
      </c>
      <c r="J177" s="1520"/>
      <c r="K177" s="1543">
        <f t="shared" si="82"/>
        <v>1.7449919999999997E-2</v>
      </c>
      <c r="L177" s="1521"/>
      <c r="M177" s="1880">
        <f t="shared" si="83"/>
        <v>8724.9599999999991</v>
      </c>
      <c r="N177" s="1521"/>
      <c r="O177" s="1520" t="s">
        <v>1102</v>
      </c>
      <c r="P177" s="1521"/>
      <c r="Q177" s="1520" t="s">
        <v>1102</v>
      </c>
      <c r="R177" s="1880"/>
      <c r="S177" s="1970">
        <f t="shared" ref="S177:S179" si="85">(((M177)*(0.958)*(1-0.2)*0.0125))/1000</f>
        <v>8.3585116800000012E-2</v>
      </c>
      <c r="T177" s="1880"/>
      <c r="U177" s="1910" t="s">
        <v>1102</v>
      </c>
      <c r="V177" s="2005"/>
      <c r="W177" s="200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row>
    <row r="178" spans="1:81" ht="11.25" x14ac:dyDescent="0.2">
      <c r="A178" s="223"/>
      <c r="B178" s="1895" t="s">
        <v>1643</v>
      </c>
      <c r="C178" s="1733">
        <v>52327</v>
      </c>
      <c r="D178" s="1520"/>
      <c r="E178" s="1521">
        <v>0.9</v>
      </c>
      <c r="F178" s="1521"/>
      <c r="G178" s="1521">
        <v>1.1000000000000001</v>
      </c>
      <c r="H178" s="1521"/>
      <c r="I178" s="1543">
        <f t="shared" si="81"/>
        <v>18908361.450000003</v>
      </c>
      <c r="J178" s="1520"/>
      <c r="K178" s="1543">
        <f t="shared" si="82"/>
        <v>37.816722900000009</v>
      </c>
      <c r="L178" s="1521"/>
      <c r="M178" s="1880">
        <f t="shared" si="83"/>
        <v>18908361.450000003</v>
      </c>
      <c r="N178" s="1521"/>
      <c r="O178" s="1520" t="s">
        <v>1102</v>
      </c>
      <c r="P178" s="1521"/>
      <c r="Q178" s="1520" t="s">
        <v>1102</v>
      </c>
      <c r="R178" s="1880"/>
      <c r="S178" s="1970">
        <f t="shared" si="85"/>
        <v>181.14210269100008</v>
      </c>
      <c r="T178" s="1880"/>
      <c r="U178" s="1910" t="s">
        <v>1102</v>
      </c>
      <c r="V178" s="2002"/>
      <c r="W178" s="200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row>
    <row r="179" spans="1:81" ht="11.25" x14ac:dyDescent="0.2">
      <c r="A179" s="223"/>
      <c r="B179" s="1895" t="s">
        <v>1644</v>
      </c>
      <c r="C179" s="1733">
        <v>154</v>
      </c>
      <c r="D179" s="1520"/>
      <c r="E179" s="1521">
        <v>6.8</v>
      </c>
      <c r="F179" s="1521"/>
      <c r="G179" s="1521">
        <v>0.74</v>
      </c>
      <c r="H179" s="1521"/>
      <c r="I179" s="1543">
        <f t="shared" si="81"/>
        <v>282848.71999999997</v>
      </c>
      <c r="J179" s="1520"/>
      <c r="K179" s="1543">
        <f t="shared" si="82"/>
        <v>0.56569744</v>
      </c>
      <c r="L179" s="1521"/>
      <c r="M179" s="1880">
        <f t="shared" si="83"/>
        <v>282848.71999999997</v>
      </c>
      <c r="N179" s="1521"/>
      <c r="O179" s="1543">
        <f>C179*(BS157)*E179*G179*365</f>
        <v>28284.871999999999</v>
      </c>
      <c r="P179" s="1521"/>
      <c r="Q179" s="1520" t="s">
        <v>1102</v>
      </c>
      <c r="R179" s="1880"/>
      <c r="S179" s="1880">
        <f t="shared" si="85"/>
        <v>2.7096907375999999</v>
      </c>
      <c r="T179" s="1880"/>
      <c r="U179" s="1904">
        <f>(O179*0.02)/1000</f>
        <v>0.56569744</v>
      </c>
      <c r="V179" s="2002"/>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row>
    <row r="180" spans="1:81" ht="11.25" x14ac:dyDescent="0.2">
      <c r="A180" s="223"/>
      <c r="B180" s="1987" t="s">
        <v>555</v>
      </c>
      <c r="C180" s="1988"/>
      <c r="D180" s="1520"/>
      <c r="E180" s="1521"/>
      <c r="F180" s="1521"/>
      <c r="G180" s="1521"/>
      <c r="H180" s="1521"/>
      <c r="I180" s="1543"/>
      <c r="J180" s="1520"/>
      <c r="K180" s="1543"/>
      <c r="L180" s="1521"/>
      <c r="M180" s="1521"/>
      <c r="N180" s="1521"/>
      <c r="O180" s="1521"/>
      <c r="P180" s="1521"/>
      <c r="Q180" s="1521"/>
      <c r="R180" s="1880"/>
      <c r="S180" s="1521"/>
      <c r="T180" s="1521"/>
      <c r="U180" s="1523"/>
      <c r="V180" s="2002"/>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row>
    <row r="181" spans="1:81" ht="11.25" x14ac:dyDescent="0.2">
      <c r="A181" s="223"/>
      <c r="B181" s="1895" t="s">
        <v>1645</v>
      </c>
      <c r="C181" s="1733">
        <v>0</v>
      </c>
      <c r="D181" s="1520"/>
      <c r="E181" s="1521">
        <v>25</v>
      </c>
      <c r="F181" s="1521"/>
      <c r="G181" s="1521">
        <v>0.42</v>
      </c>
      <c r="H181" s="1521"/>
      <c r="I181" s="1543">
        <f t="shared" ref="I181:I184" si="86">C181*E181*G181*365</f>
        <v>0</v>
      </c>
      <c r="J181" s="1520"/>
      <c r="K181" s="1543">
        <f t="shared" ref="K181:K184" si="87">(I181*0.2*0.01)/1000</f>
        <v>0</v>
      </c>
      <c r="L181" s="1520"/>
      <c r="M181" s="1880">
        <f>C181*(1-BV157)*E181*G181*365</f>
        <v>0</v>
      </c>
      <c r="N181" s="1520"/>
      <c r="O181" s="1543">
        <f>C181*(BV157)*E181*G181*365</f>
        <v>0</v>
      </c>
      <c r="P181" s="1520"/>
      <c r="Q181" s="1520" t="s">
        <v>1102</v>
      </c>
      <c r="R181" s="1880"/>
      <c r="S181" s="1880">
        <f t="shared" ref="S181:S182" si="88">((M181)*(1-0.2)*0.0125)/1000</f>
        <v>0</v>
      </c>
      <c r="T181" s="1880"/>
      <c r="U181" s="1904">
        <f t="shared" ref="U181:U184" si="89">(O181*0.02)/1000</f>
        <v>0</v>
      </c>
      <c r="V181" s="2002"/>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row>
    <row r="182" spans="1:81" ht="11.25" x14ac:dyDescent="0.2">
      <c r="A182" s="223"/>
      <c r="B182" s="1895" t="s">
        <v>1646</v>
      </c>
      <c r="C182" s="1691">
        <v>12</v>
      </c>
      <c r="D182" s="1520"/>
      <c r="E182" s="1521">
        <v>80</v>
      </c>
      <c r="F182" s="1521"/>
      <c r="G182" s="1521">
        <v>0.42</v>
      </c>
      <c r="H182" s="1521"/>
      <c r="I182" s="1543">
        <f t="shared" si="86"/>
        <v>147168</v>
      </c>
      <c r="J182" s="1520"/>
      <c r="K182" s="1543">
        <f t="shared" si="87"/>
        <v>0.29433599999999999</v>
      </c>
      <c r="L182" s="1520"/>
      <c r="M182" s="1880">
        <f>C182*(1-BW157)*E182*G182*365</f>
        <v>0</v>
      </c>
      <c r="N182" s="1520"/>
      <c r="O182" s="1543">
        <f>C182*(BW157)*E182*G182*365</f>
        <v>147168</v>
      </c>
      <c r="P182" s="1520"/>
      <c r="Q182" s="1520" t="s">
        <v>1102</v>
      </c>
      <c r="R182" s="1880"/>
      <c r="S182" s="1880">
        <f t="shared" si="88"/>
        <v>0</v>
      </c>
      <c r="T182" s="1880"/>
      <c r="U182" s="1904">
        <f t="shared" si="89"/>
        <v>2.9433600000000002</v>
      </c>
      <c r="V182" s="2002"/>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row>
    <row r="183" spans="1:81" ht="11.25" x14ac:dyDescent="0.2">
      <c r="A183" s="223"/>
      <c r="B183" s="1895" t="s">
        <v>1617</v>
      </c>
      <c r="C183" s="1733">
        <v>15</v>
      </c>
      <c r="D183" s="1520"/>
      <c r="E183" s="1521">
        <v>64</v>
      </c>
      <c r="F183" s="1521"/>
      <c r="G183" s="1521">
        <v>0.45</v>
      </c>
      <c r="H183" s="1521"/>
      <c r="I183" s="1543">
        <f t="shared" si="86"/>
        <v>157680</v>
      </c>
      <c r="J183" s="1520"/>
      <c r="K183" s="1543">
        <f t="shared" si="87"/>
        <v>0.31536000000000003</v>
      </c>
      <c r="L183" s="1520"/>
      <c r="M183" s="1543" t="s">
        <v>1102</v>
      </c>
      <c r="N183" s="1520"/>
      <c r="O183" s="1543">
        <f>C183*(BZ157)*E183*G183*365</f>
        <v>157680</v>
      </c>
      <c r="P183" s="1520"/>
      <c r="Q183" s="1520" t="s">
        <v>1102</v>
      </c>
      <c r="R183" s="1880"/>
      <c r="S183" s="1543" t="s">
        <v>1102</v>
      </c>
      <c r="T183" s="1880"/>
      <c r="U183" s="1904">
        <f t="shared" si="89"/>
        <v>3.1536</v>
      </c>
      <c r="V183" s="2002"/>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row>
    <row r="184" spans="1:81" ht="11.25" x14ac:dyDescent="0.2">
      <c r="A184" s="223"/>
      <c r="B184" s="1895" t="s">
        <v>1619</v>
      </c>
      <c r="C184" s="1691">
        <v>80</v>
      </c>
      <c r="D184" s="1520"/>
      <c r="E184" s="1521">
        <v>450</v>
      </c>
      <c r="F184" s="1521"/>
      <c r="G184" s="1521">
        <v>0.3</v>
      </c>
      <c r="H184" s="1521"/>
      <c r="I184" s="1543">
        <f t="shared" si="86"/>
        <v>3942000</v>
      </c>
      <c r="J184" s="1520"/>
      <c r="K184" s="1543">
        <f t="shared" si="87"/>
        <v>7.8840000000000003</v>
      </c>
      <c r="L184" s="1520"/>
      <c r="M184" s="1543" t="s">
        <v>1102</v>
      </c>
      <c r="N184" s="1520"/>
      <c r="O184" s="1543">
        <f>C184*CC157*E184*G184*365</f>
        <v>3942000</v>
      </c>
      <c r="P184" s="1520"/>
      <c r="Q184" s="1520" t="s">
        <v>1102</v>
      </c>
      <c r="R184" s="1880"/>
      <c r="S184" s="1543" t="s">
        <v>1102</v>
      </c>
      <c r="T184" s="1880"/>
      <c r="U184" s="1904">
        <f t="shared" si="89"/>
        <v>78.84</v>
      </c>
      <c r="V184" s="2002"/>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row>
    <row r="185" spans="1:81" ht="11.25" x14ac:dyDescent="0.2">
      <c r="A185" s="223"/>
      <c r="B185" s="1851" t="s">
        <v>1620</v>
      </c>
      <c r="C185" s="2006"/>
      <c r="D185" s="2007"/>
      <c r="E185" s="1853"/>
      <c r="F185" s="1853"/>
      <c r="G185" s="1853"/>
      <c r="H185" s="1853"/>
      <c r="I185" s="2008">
        <f>SUM(I157:I184)</f>
        <v>37138792.048</v>
      </c>
      <c r="J185" s="2007"/>
      <c r="K185" s="2008">
        <f>SUM(K157:K184)</f>
        <v>74.277584096000012</v>
      </c>
      <c r="L185" s="1853"/>
      <c r="M185" s="2008">
        <f>SUM(M157:M184)</f>
        <v>24781890.902799726</v>
      </c>
      <c r="N185" s="2007"/>
      <c r="O185" s="2008">
        <f>SUM(O157:O184)</f>
        <v>9364233.6672089845</v>
      </c>
      <c r="P185" s="1853"/>
      <c r="Q185" s="2008">
        <f>SUM(Q157:Q184)</f>
        <v>3020952.3499912894</v>
      </c>
      <c r="R185" s="2007"/>
      <c r="S185" s="2009">
        <f>SUM(S157:S184)</f>
        <v>269.30190575811025</v>
      </c>
      <c r="T185" s="2008"/>
      <c r="U185" s="2010">
        <f>SUM(U157:U184)</f>
        <v>187.28467334417968</v>
      </c>
      <c r="V185" s="2011"/>
      <c r="W185" s="223"/>
      <c r="X185" s="223"/>
      <c r="Y185" s="1598"/>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row>
    <row r="186" spans="1:81" ht="11.25" x14ac:dyDescent="0.2">
      <c r="A186" s="223"/>
      <c r="B186" s="2012"/>
      <c r="C186" s="2013"/>
      <c r="D186" s="2014"/>
      <c r="E186" s="2015"/>
      <c r="F186" s="2014"/>
      <c r="G186" s="2015"/>
      <c r="H186" s="1995"/>
      <c r="I186" s="1995"/>
      <c r="J186" s="1995"/>
      <c r="K186" s="1995"/>
      <c r="L186" s="1995"/>
      <c r="M186" s="1995"/>
      <c r="N186" s="2016"/>
      <c r="O186" s="223"/>
      <c r="P186" s="223"/>
      <c r="Q186" s="223"/>
      <c r="R186" s="223"/>
      <c r="S186" s="223"/>
      <c r="T186" s="223"/>
      <c r="U186" s="223"/>
      <c r="V186" s="2017"/>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row>
    <row r="187" spans="1:81" ht="11.25" x14ac:dyDescent="0.2">
      <c r="A187" s="223"/>
      <c r="B187" s="2018" t="s">
        <v>1775</v>
      </c>
      <c r="C187" s="2019"/>
      <c r="D187" s="2020"/>
      <c r="E187" s="2020"/>
      <c r="F187" s="2020"/>
      <c r="G187" s="2020"/>
      <c r="H187" s="2020"/>
      <c r="I187" s="2020"/>
      <c r="J187" s="2020"/>
      <c r="K187" s="2020"/>
      <c r="L187" s="2020"/>
      <c r="M187" s="2020"/>
      <c r="N187" s="2020"/>
      <c r="O187" s="2020"/>
      <c r="P187" s="2020"/>
      <c r="Q187" s="2020"/>
      <c r="R187" s="2021"/>
      <c r="S187" s="2022"/>
      <c r="T187" s="1587"/>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row>
    <row r="188" spans="1:81" ht="46.5" x14ac:dyDescent="0.2">
      <c r="A188" s="223"/>
      <c r="B188" s="2023"/>
      <c r="C188" s="2024"/>
      <c r="D188" s="2025"/>
      <c r="E188" s="1955"/>
      <c r="F188" s="2026"/>
      <c r="G188" s="2027" t="s">
        <v>1776</v>
      </c>
      <c r="H188" s="2028"/>
      <c r="I188" s="2027" t="s">
        <v>1777</v>
      </c>
      <c r="J188" s="2028"/>
      <c r="K188" s="2027" t="s">
        <v>1778</v>
      </c>
      <c r="L188" s="2028"/>
      <c r="M188" s="2028"/>
      <c r="N188" s="2029"/>
      <c r="O188" s="2030" t="s">
        <v>1779</v>
      </c>
      <c r="P188" s="2031"/>
      <c r="Q188" s="2030" t="s">
        <v>1780</v>
      </c>
      <c r="R188" s="2032"/>
      <c r="S188" s="2033" t="s">
        <v>1781</v>
      </c>
      <c r="T188" s="1587"/>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row>
    <row r="189" spans="1:81" ht="11.25" x14ac:dyDescent="0.2">
      <c r="A189" s="223"/>
      <c r="B189" s="1878"/>
      <c r="C189" s="2572" t="s">
        <v>1782</v>
      </c>
      <c r="D189" s="2518"/>
      <c r="E189" s="2502"/>
      <c r="F189" s="2034"/>
      <c r="G189" s="2035">
        <f>K185*44/28</f>
        <v>116.72191786514288</v>
      </c>
      <c r="H189" s="2036"/>
      <c r="I189" s="2037">
        <f t="shared" ref="I189:I192" si="90">G189*$Z$8*12/44*10^-6</f>
        <v>8.4358113366171453E-3</v>
      </c>
      <c r="J189" s="2036"/>
      <c r="K189" s="2037">
        <f t="shared" ref="K189:K192" si="91">I189/(12/44)</f>
        <v>3.0931308234262867E-2</v>
      </c>
      <c r="L189" s="1521"/>
      <c r="M189" s="2038"/>
      <c r="N189" s="2039" t="s">
        <v>1783</v>
      </c>
      <c r="O189" s="2035">
        <f>W164*44/28</f>
        <v>211.24664485978113</v>
      </c>
      <c r="P189" s="2038"/>
      <c r="Q189" s="2037">
        <f t="shared" ref="Q189:Q191" si="92">O189*$Z$8*12/44*10^-6</f>
        <v>1.5267371151229635E-2</v>
      </c>
      <c r="R189" s="2038"/>
      <c r="S189" s="2037">
        <f t="shared" ref="S189:S191" si="93">Q189/(12/44)</f>
        <v>5.5980360887842001E-2</v>
      </c>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row>
    <row r="190" spans="1:81" ht="12.75" x14ac:dyDescent="0.25">
      <c r="A190" s="223"/>
      <c r="B190" s="1991"/>
      <c r="C190" s="1845"/>
      <c r="D190" s="1845"/>
      <c r="E190" s="2040" t="s">
        <v>1784</v>
      </c>
      <c r="F190" s="1520"/>
      <c r="G190" s="1543">
        <f>(U185+S185)*44/28</f>
        <v>717.49319573216985</v>
      </c>
      <c r="H190" s="1521"/>
      <c r="I190" s="1887">
        <f t="shared" si="90"/>
        <v>5.1855190055188634E-2</v>
      </c>
      <c r="J190" s="1521"/>
      <c r="K190" s="2041">
        <f t="shared" si="91"/>
        <v>0.19013569686902501</v>
      </c>
      <c r="L190" s="1521"/>
      <c r="M190" s="1521"/>
      <c r="N190" s="2042" t="s">
        <v>1785</v>
      </c>
      <c r="O190" s="1543">
        <f>SUM(W159)*0.0075*44/28</f>
        <v>79.93448726149542</v>
      </c>
      <c r="P190" s="2043"/>
      <c r="Q190" s="1543">
        <f t="shared" si="92"/>
        <v>5.7770833975353507E-3</v>
      </c>
      <c r="R190" s="2043"/>
      <c r="S190" s="1915">
        <f t="shared" si="93"/>
        <v>2.1182639124296288E-2</v>
      </c>
      <c r="T190" s="1587"/>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row>
    <row r="191" spans="1:81" ht="12.75" x14ac:dyDescent="0.25">
      <c r="A191" s="223"/>
      <c r="B191" s="1991"/>
      <c r="C191" s="1845"/>
      <c r="D191" s="1845"/>
      <c r="E191" s="2040" t="s">
        <v>1786</v>
      </c>
      <c r="F191" s="1520"/>
      <c r="G191" s="1543">
        <f>U185*44/28</f>
        <v>294.30448668371093</v>
      </c>
      <c r="H191" s="1521"/>
      <c r="I191" s="1887">
        <f t="shared" si="90"/>
        <v>2.1270187901231835E-2</v>
      </c>
      <c r="J191" s="1521"/>
      <c r="K191" s="2041">
        <f t="shared" si="91"/>
        <v>7.79906889711834E-2</v>
      </c>
      <c r="L191" s="1521"/>
      <c r="M191" s="1521"/>
      <c r="N191" s="2042" t="s">
        <v>1787</v>
      </c>
      <c r="O191" s="1543">
        <f>SUM(W162)*0.0075*44/28</f>
        <v>131.31215759828569</v>
      </c>
      <c r="P191" s="2043"/>
      <c r="Q191" s="1543">
        <f t="shared" si="92"/>
        <v>9.4902877536942824E-3</v>
      </c>
      <c r="R191" s="2043"/>
      <c r="S191" s="1915">
        <f t="shared" si="93"/>
        <v>3.4797721763545703E-2</v>
      </c>
      <c r="T191" s="1587"/>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row>
    <row r="192" spans="1:81" ht="11.25" x14ac:dyDescent="0.2">
      <c r="A192" s="223"/>
      <c r="B192" s="1878"/>
      <c r="C192" s="2572" t="s">
        <v>1788</v>
      </c>
      <c r="D192" s="2518"/>
      <c r="E192" s="2502"/>
      <c r="F192" s="2044"/>
      <c r="G192" s="2035">
        <f>SUM(G190:G191)</f>
        <v>1011.7976824158808</v>
      </c>
      <c r="H192" s="2038"/>
      <c r="I192" s="2037">
        <f t="shared" si="90"/>
        <v>7.3125377956420476E-2</v>
      </c>
      <c r="J192" s="2044"/>
      <c r="K192" s="2037">
        <f t="shared" si="91"/>
        <v>0.26812638584020843</v>
      </c>
      <c r="L192" s="1521"/>
      <c r="M192" s="1520"/>
      <c r="N192" s="2045"/>
      <c r="O192" s="2045"/>
      <c r="P192" s="2046"/>
      <c r="Q192" s="2046"/>
      <c r="R192" s="2043"/>
      <c r="S192" s="2047"/>
      <c r="T192" s="1587"/>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row>
    <row r="193" spans="1:81" ht="11.25" x14ac:dyDescent="0.2">
      <c r="A193" s="223"/>
      <c r="B193" s="2048"/>
      <c r="C193" s="2049"/>
      <c r="D193" s="2049"/>
      <c r="E193" s="2049"/>
      <c r="F193" s="2050"/>
      <c r="G193" s="2051"/>
      <c r="H193" s="1559"/>
      <c r="I193" s="2052"/>
      <c r="J193" s="2050"/>
      <c r="K193" s="2052"/>
      <c r="L193" s="1559"/>
      <c r="M193" s="2050"/>
      <c r="N193" s="2053"/>
      <c r="O193" s="1812"/>
      <c r="P193" s="2054"/>
      <c r="Q193" s="2054"/>
      <c r="R193" s="1812"/>
      <c r="S193" s="1815"/>
      <c r="T193" s="1587"/>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row>
    <row r="194" spans="1:81" ht="11.25" x14ac:dyDescent="0.2">
      <c r="A194" s="223"/>
      <c r="B194" s="2055"/>
      <c r="C194" s="2056"/>
      <c r="D194" s="2056"/>
      <c r="E194" s="2056"/>
      <c r="F194" s="1866"/>
      <c r="G194" s="2057"/>
      <c r="H194" s="223"/>
      <c r="I194" s="2058"/>
      <c r="J194" s="1866"/>
      <c r="K194" s="2058"/>
      <c r="L194" s="223"/>
      <c r="M194" s="1866"/>
      <c r="N194" s="223"/>
      <c r="O194" s="223"/>
      <c r="P194" s="1866"/>
      <c r="Q194" s="1866"/>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row>
    <row r="195" spans="1:81" ht="11.25" x14ac:dyDescent="0.2">
      <c r="A195" s="466"/>
      <c r="B195" s="1706"/>
      <c r="C195" s="1707"/>
      <c r="D195" s="1708"/>
      <c r="E195" s="1708"/>
      <c r="F195" s="1708"/>
      <c r="G195" s="1709"/>
      <c r="H195" s="873"/>
      <c r="I195" s="1704"/>
      <c r="J195" s="873"/>
      <c r="K195" s="1705"/>
      <c r="L195" s="466"/>
      <c r="M195" s="1705"/>
      <c r="N195" s="466"/>
      <c r="O195" s="466"/>
      <c r="P195" s="466"/>
      <c r="Q195" s="466"/>
      <c r="R195" s="466"/>
      <c r="S195" s="466"/>
      <c r="T195" s="466"/>
      <c r="U195" s="466"/>
    </row>
    <row r="196" spans="1:81" ht="21" x14ac:dyDescent="0.4">
      <c r="A196" s="466"/>
      <c r="B196" s="2059" t="s">
        <v>1789</v>
      </c>
      <c r="C196" s="1713"/>
      <c r="D196" s="1714"/>
      <c r="E196" s="1714"/>
      <c r="F196" s="1714"/>
      <c r="G196" s="1715"/>
      <c r="H196" s="1716"/>
      <c r="I196" s="1717"/>
      <c r="J196" s="1716"/>
      <c r="K196" s="1718"/>
      <c r="L196" s="1673"/>
      <c r="M196" s="1718"/>
      <c r="N196" s="1673"/>
      <c r="O196" s="1673"/>
      <c r="P196" s="1673"/>
      <c r="Q196" s="1673"/>
      <c r="R196" s="1673"/>
      <c r="S196" s="1673"/>
      <c r="T196" s="1673"/>
      <c r="U196" s="1673"/>
      <c r="V196" s="1673"/>
      <c r="W196" s="1673"/>
      <c r="X196" s="1673"/>
      <c r="Y196" s="1673"/>
      <c r="Z196" s="1673"/>
      <c r="AA196" s="1673"/>
      <c r="AB196" s="1673"/>
      <c r="AC196" s="2060"/>
      <c r="AD196" s="1767"/>
      <c r="AH196" s="1623" t="s">
        <v>1729</v>
      </c>
    </row>
    <row r="197" spans="1:81" ht="36.75" x14ac:dyDescent="0.25">
      <c r="A197" s="2061"/>
      <c r="B197" s="2062" t="s">
        <v>1790</v>
      </c>
      <c r="C197" s="2063" t="s">
        <v>80</v>
      </c>
      <c r="D197" s="1890"/>
      <c r="E197" s="2064" t="s">
        <v>1791</v>
      </c>
      <c r="F197" s="2064"/>
      <c r="G197" s="2064" t="s">
        <v>1792</v>
      </c>
      <c r="H197" s="1890"/>
      <c r="I197" s="2064" t="s">
        <v>1793</v>
      </c>
      <c r="J197" s="2064"/>
      <c r="K197" s="2064" t="s">
        <v>1794</v>
      </c>
      <c r="L197" s="2065"/>
      <c r="M197" s="2064" t="s">
        <v>1795</v>
      </c>
      <c r="N197" s="2065"/>
      <c r="O197" s="2064" t="s">
        <v>1796</v>
      </c>
      <c r="P197" s="2065"/>
      <c r="Q197" s="2064" t="s">
        <v>1797</v>
      </c>
      <c r="R197" s="1890"/>
      <c r="S197" s="2064" t="s">
        <v>1798</v>
      </c>
      <c r="T197" s="1890"/>
      <c r="U197" s="2066" t="s">
        <v>1799</v>
      </c>
      <c r="V197" s="1890"/>
      <c r="W197" s="2066" t="s">
        <v>1800</v>
      </c>
      <c r="X197" s="1890"/>
      <c r="Y197" s="2064" t="s">
        <v>1801</v>
      </c>
      <c r="Z197" s="1890"/>
      <c r="AA197" s="2064" t="s">
        <v>1802</v>
      </c>
      <c r="AB197" s="2065"/>
      <c r="AC197" s="2067" t="s">
        <v>1803</v>
      </c>
      <c r="AD197" s="1587"/>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row>
    <row r="198" spans="1:81" ht="11.25" x14ac:dyDescent="0.2">
      <c r="A198" s="2061"/>
      <c r="B198" s="1544"/>
      <c r="C198" s="1521"/>
      <c r="D198" s="1521"/>
      <c r="E198" s="1520"/>
      <c r="F198" s="1520"/>
      <c r="G198" s="1521"/>
      <c r="H198" s="1521"/>
      <c r="I198" s="1521"/>
      <c r="J198" s="1521"/>
      <c r="K198" s="1521"/>
      <c r="L198" s="1521"/>
      <c r="M198" s="1521"/>
      <c r="N198" s="1521"/>
      <c r="O198" s="1521"/>
      <c r="P198" s="1521"/>
      <c r="Q198" s="1521"/>
      <c r="R198" s="1521"/>
      <c r="S198" s="1521"/>
      <c r="T198" s="1521"/>
      <c r="U198" s="1880"/>
      <c r="V198" s="1521"/>
      <c r="W198" s="1880"/>
      <c r="X198" s="1521"/>
      <c r="Y198" s="1521"/>
      <c r="Z198" s="1521"/>
      <c r="AA198" s="1521"/>
      <c r="AB198" s="1521"/>
      <c r="AC198" s="2045"/>
      <c r="AD198" s="1587"/>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row>
    <row r="199" spans="1:81" ht="11.25" x14ac:dyDescent="0.2">
      <c r="A199" s="2061"/>
      <c r="B199" s="1895" t="s">
        <v>1804</v>
      </c>
      <c r="C199" s="2068" t="s">
        <v>1677</v>
      </c>
      <c r="D199" s="1521"/>
      <c r="E199" s="2069">
        <v>75440</v>
      </c>
      <c r="F199" s="1520" t="s">
        <v>649</v>
      </c>
      <c r="G199" s="1520">
        <v>2.1772E-2</v>
      </c>
      <c r="H199" s="1521"/>
      <c r="I199" s="1543">
        <f t="shared" ref="I199:I200" si="94">E199*G199*1000</f>
        <v>1642479.68</v>
      </c>
      <c r="J199" s="1520" t="s">
        <v>1002</v>
      </c>
      <c r="K199" s="1846">
        <v>1.2</v>
      </c>
      <c r="L199" s="1520" t="s">
        <v>1002</v>
      </c>
      <c r="M199" s="1553">
        <v>0.03</v>
      </c>
      <c r="N199" s="1520" t="s">
        <v>1002</v>
      </c>
      <c r="O199" s="1520">
        <v>0.93</v>
      </c>
      <c r="P199" s="1520" t="s">
        <v>1002</v>
      </c>
      <c r="Q199" s="2070">
        <v>0.93</v>
      </c>
      <c r="R199" s="1520" t="s">
        <v>1002</v>
      </c>
      <c r="S199" s="2070">
        <v>0.88</v>
      </c>
      <c r="T199" s="1520" t="s">
        <v>649</v>
      </c>
      <c r="U199" s="2071">
        <v>0.44850000000000001</v>
      </c>
      <c r="V199" s="1520" t="s">
        <v>649</v>
      </c>
      <c r="W199" s="1543">
        <f t="shared" ref="W199:W207" si="95">I199*K199*M199*O199*Q199*S199*U199</f>
        <v>20184.292112420371</v>
      </c>
      <c r="X199" s="1520" t="s">
        <v>649</v>
      </c>
      <c r="Y199" s="2072">
        <f t="shared" ref="Y199:Y207" si="96">W199*0.005*(16/12)</f>
        <v>134.56194741613581</v>
      </c>
      <c r="Z199" s="2073" t="s">
        <v>649</v>
      </c>
      <c r="AA199" s="2074">
        <f t="shared" ref="AA199:AA207" si="97">Y199/(10^6)*$Z$7*12/44</f>
        <v>1.0275639620868553E-3</v>
      </c>
      <c r="AB199" s="2073" t="s">
        <v>649</v>
      </c>
      <c r="AC199" s="2075">
        <f t="shared" ref="AC199:AC207" si="98">AA199/(12/44)</f>
        <v>3.7677345276518029E-3</v>
      </c>
      <c r="AD199" s="1587"/>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row>
    <row r="200" spans="1:81" ht="11.25" x14ac:dyDescent="0.2">
      <c r="A200" s="2061"/>
      <c r="B200" s="1895" t="s">
        <v>1805</v>
      </c>
      <c r="C200" s="2068" t="s">
        <v>1677</v>
      </c>
      <c r="D200" s="1521"/>
      <c r="E200" s="2069">
        <v>1911436</v>
      </c>
      <c r="F200" s="1520" t="s">
        <v>649</v>
      </c>
      <c r="G200" s="1520">
        <v>2.5401147108E-2</v>
      </c>
      <c r="H200" s="1521"/>
      <c r="I200" s="1543">
        <f t="shared" si="94"/>
        <v>48552667.023527086</v>
      </c>
      <c r="J200" s="1520" t="s">
        <v>1002</v>
      </c>
      <c r="K200" s="1846">
        <v>1</v>
      </c>
      <c r="L200" s="1520" t="s">
        <v>1002</v>
      </c>
      <c r="M200" s="1553">
        <v>0.03</v>
      </c>
      <c r="N200" s="1520" t="s">
        <v>1002</v>
      </c>
      <c r="O200" s="1520">
        <v>0.91</v>
      </c>
      <c r="P200" s="1520" t="s">
        <v>1002</v>
      </c>
      <c r="Q200" s="2070">
        <v>0.93</v>
      </c>
      <c r="R200" s="1520" t="s">
        <v>1002</v>
      </c>
      <c r="S200" s="2070">
        <v>0.88</v>
      </c>
      <c r="T200" s="1520" t="s">
        <v>649</v>
      </c>
      <c r="U200" s="2071">
        <v>0.44779999999999998</v>
      </c>
      <c r="V200" s="1520" t="s">
        <v>649</v>
      </c>
      <c r="W200" s="1543">
        <f t="shared" si="95"/>
        <v>485764.13628020562</v>
      </c>
      <c r="X200" s="1520" t="s">
        <v>649</v>
      </c>
      <c r="Y200" s="2072">
        <f t="shared" si="96"/>
        <v>3238.4275752013709</v>
      </c>
      <c r="Z200" s="2073" t="s">
        <v>649</v>
      </c>
      <c r="AA200" s="2074">
        <f t="shared" si="97"/>
        <v>2.4729810574265012E-2</v>
      </c>
      <c r="AB200" s="2073" t="s">
        <v>649</v>
      </c>
      <c r="AC200" s="2075">
        <f t="shared" si="98"/>
        <v>9.0675972105638381E-2</v>
      </c>
      <c r="AD200" s="1587"/>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row>
    <row r="201" spans="1:81" ht="11.25" x14ac:dyDescent="0.2">
      <c r="A201" s="2061"/>
      <c r="B201" s="1895" t="s">
        <v>1688</v>
      </c>
      <c r="C201" s="2068" t="s">
        <v>1806</v>
      </c>
      <c r="D201" s="1521"/>
      <c r="E201" s="2069">
        <v>0</v>
      </c>
      <c r="F201" s="1520" t="s">
        <v>649</v>
      </c>
      <c r="G201" s="1520" t="s">
        <v>1102</v>
      </c>
      <c r="H201" s="1521"/>
      <c r="I201" s="1543">
        <f>(E201*1000/2000*0.9072)</f>
        <v>0</v>
      </c>
      <c r="J201" s="1520" t="s">
        <v>1002</v>
      </c>
      <c r="K201" s="1846">
        <v>1</v>
      </c>
      <c r="L201" s="1520" t="s">
        <v>1002</v>
      </c>
      <c r="M201" s="1553">
        <v>0.03</v>
      </c>
      <c r="N201" s="1520" t="s">
        <v>1002</v>
      </c>
      <c r="O201" s="1520">
        <v>0.86</v>
      </c>
      <c r="P201" s="1520" t="s">
        <v>1002</v>
      </c>
      <c r="Q201" s="2070">
        <v>0.93</v>
      </c>
      <c r="R201" s="1520" t="s">
        <v>1002</v>
      </c>
      <c r="S201" s="2070">
        <v>0.88</v>
      </c>
      <c r="T201" s="1520" t="s">
        <v>649</v>
      </c>
      <c r="U201" s="2071">
        <v>0.45</v>
      </c>
      <c r="V201" s="1520" t="s">
        <v>649</v>
      </c>
      <c r="W201" s="1543">
        <f t="shared" si="95"/>
        <v>0</v>
      </c>
      <c r="X201" s="1520" t="s">
        <v>649</v>
      </c>
      <c r="Y201" s="2072">
        <f t="shared" si="96"/>
        <v>0</v>
      </c>
      <c r="Z201" s="2073" t="s">
        <v>649</v>
      </c>
      <c r="AA201" s="2074">
        <f t="shared" si="97"/>
        <v>0</v>
      </c>
      <c r="AB201" s="2073" t="s">
        <v>649</v>
      </c>
      <c r="AC201" s="2075">
        <f t="shared" si="98"/>
        <v>0</v>
      </c>
      <c r="AD201" s="1587"/>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row>
    <row r="202" spans="1:81" ht="11.25" x14ac:dyDescent="0.2">
      <c r="A202" s="2061"/>
      <c r="B202" s="1895" t="s">
        <v>1685</v>
      </c>
      <c r="C202" s="2068" t="s">
        <v>1807</v>
      </c>
      <c r="D202" s="1521"/>
      <c r="E202" s="2069">
        <v>0</v>
      </c>
      <c r="F202" s="1520" t="s">
        <v>649</v>
      </c>
      <c r="G202" s="1520" t="s">
        <v>1102</v>
      </c>
      <c r="H202" s="1521"/>
      <c r="I202" s="1543">
        <v>0</v>
      </c>
      <c r="J202" s="1520" t="s">
        <v>1002</v>
      </c>
      <c r="K202" s="1846">
        <v>1.4</v>
      </c>
      <c r="L202" s="1520" t="s">
        <v>1002</v>
      </c>
      <c r="M202" s="1553">
        <v>0</v>
      </c>
      <c r="N202" s="1520" t="s">
        <v>1002</v>
      </c>
      <c r="O202" s="1520">
        <v>0.91</v>
      </c>
      <c r="P202" s="1520" t="s">
        <v>1002</v>
      </c>
      <c r="Q202" s="2070">
        <v>0.93</v>
      </c>
      <c r="R202" s="1520" t="s">
        <v>1002</v>
      </c>
      <c r="S202" s="2070">
        <v>0.88</v>
      </c>
      <c r="T202" s="1520" t="s">
        <v>649</v>
      </c>
      <c r="U202" s="2071">
        <v>0.38059999999999999</v>
      </c>
      <c r="V202" s="1520" t="s">
        <v>649</v>
      </c>
      <c r="W202" s="1543">
        <f t="shared" si="95"/>
        <v>0</v>
      </c>
      <c r="X202" s="1520" t="s">
        <v>649</v>
      </c>
      <c r="Y202" s="2072">
        <f t="shared" si="96"/>
        <v>0</v>
      </c>
      <c r="Z202" s="2073" t="s">
        <v>649</v>
      </c>
      <c r="AA202" s="2074">
        <f t="shared" si="97"/>
        <v>0</v>
      </c>
      <c r="AB202" s="2073" t="s">
        <v>649</v>
      </c>
      <c r="AC202" s="2075">
        <f t="shared" si="98"/>
        <v>0</v>
      </c>
      <c r="AD202" s="1587"/>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row>
    <row r="203" spans="1:81" ht="11.25" x14ac:dyDescent="0.2">
      <c r="A203" s="2061"/>
      <c r="B203" s="1895" t="s">
        <v>1808</v>
      </c>
      <c r="C203" s="2068" t="s">
        <v>1677</v>
      </c>
      <c r="D203" s="1521"/>
      <c r="E203" s="2069">
        <v>632221</v>
      </c>
      <c r="F203" s="1520" t="s">
        <v>649</v>
      </c>
      <c r="G203" s="1520">
        <v>2.7215692074999999E-2</v>
      </c>
      <c r="H203" s="1521"/>
      <c r="I203" s="1543">
        <f>E203*G203*1000</f>
        <v>17206332.059348572</v>
      </c>
      <c r="J203" s="1520" t="s">
        <v>1002</v>
      </c>
      <c r="K203" s="1846">
        <v>2.1</v>
      </c>
      <c r="L203" s="1520" t="s">
        <v>1002</v>
      </c>
      <c r="M203" s="1553">
        <v>0.03</v>
      </c>
      <c r="N203" s="1520" t="s">
        <v>1002</v>
      </c>
      <c r="O203" s="1520">
        <v>0.87</v>
      </c>
      <c r="P203" s="1520" t="s">
        <v>1002</v>
      </c>
      <c r="Q203" s="2070">
        <v>0.93</v>
      </c>
      <c r="R203" s="1520" t="s">
        <v>1002</v>
      </c>
      <c r="S203" s="2070">
        <v>0.88</v>
      </c>
      <c r="T203" s="1520" t="s">
        <v>649</v>
      </c>
      <c r="U203" s="2071">
        <v>0.45</v>
      </c>
      <c r="V203" s="1520" t="s">
        <v>649</v>
      </c>
      <c r="W203" s="1543">
        <f t="shared" si="95"/>
        <v>347317.15628047386</v>
      </c>
      <c r="X203" s="1520" t="s">
        <v>649</v>
      </c>
      <c r="Y203" s="2072">
        <f t="shared" si="96"/>
        <v>2315.4477085364924</v>
      </c>
      <c r="Z203" s="2073" t="s">
        <v>649</v>
      </c>
      <c r="AA203" s="2074">
        <f t="shared" si="97"/>
        <v>1.7681600683369578E-2</v>
      </c>
      <c r="AB203" s="2073" t="s">
        <v>649</v>
      </c>
      <c r="AC203" s="2075">
        <f t="shared" si="98"/>
        <v>6.4832535839021793E-2</v>
      </c>
      <c r="AD203" s="1587"/>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row>
    <row r="204" spans="1:81" ht="11.25" x14ac:dyDescent="0.2">
      <c r="A204" s="2061"/>
      <c r="B204" s="1895" t="s">
        <v>1809</v>
      </c>
      <c r="C204" s="2068" t="s">
        <v>1674</v>
      </c>
      <c r="D204" s="1521"/>
      <c r="E204" s="2069">
        <v>0</v>
      </c>
      <c r="F204" s="1520" t="s">
        <v>649</v>
      </c>
      <c r="G204" s="1520" t="s">
        <v>1102</v>
      </c>
      <c r="H204" s="1521"/>
      <c r="I204" s="1543">
        <f>E204*0.9072*1000</f>
        <v>0</v>
      </c>
      <c r="J204" s="1520" t="s">
        <v>1002</v>
      </c>
      <c r="K204" s="1846">
        <v>0.2</v>
      </c>
      <c r="L204" s="1520" t="s">
        <v>1002</v>
      </c>
      <c r="M204" s="1553">
        <v>0.03</v>
      </c>
      <c r="N204" s="1520" t="s">
        <v>1002</v>
      </c>
      <c r="O204" s="1520">
        <v>0.62</v>
      </c>
      <c r="P204" s="1520" t="s">
        <v>1002</v>
      </c>
      <c r="Q204" s="2070">
        <v>0.93</v>
      </c>
      <c r="R204" s="1520" t="s">
        <v>1002</v>
      </c>
      <c r="S204" s="2070">
        <v>0.88</v>
      </c>
      <c r="T204" s="1520" t="s">
        <v>649</v>
      </c>
      <c r="U204" s="2071">
        <v>0.42349999999999999</v>
      </c>
      <c r="V204" s="1520" t="s">
        <v>649</v>
      </c>
      <c r="W204" s="1543">
        <f t="shared" si="95"/>
        <v>0</v>
      </c>
      <c r="X204" s="1520" t="s">
        <v>649</v>
      </c>
      <c r="Y204" s="2072">
        <f t="shared" si="96"/>
        <v>0</v>
      </c>
      <c r="Z204" s="2073" t="s">
        <v>649</v>
      </c>
      <c r="AA204" s="2074">
        <f t="shared" si="97"/>
        <v>0</v>
      </c>
      <c r="AB204" s="2073" t="s">
        <v>649</v>
      </c>
      <c r="AC204" s="2075">
        <f t="shared" si="98"/>
        <v>0</v>
      </c>
      <c r="AD204" s="1587"/>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row>
    <row r="205" spans="1:81" ht="11.25" x14ac:dyDescent="0.2">
      <c r="A205" s="2061"/>
      <c r="B205" s="1895" t="s">
        <v>1810</v>
      </c>
      <c r="C205" s="2068" t="s">
        <v>1677</v>
      </c>
      <c r="D205" s="1521"/>
      <c r="E205" s="2069">
        <v>476270</v>
      </c>
      <c r="F205" s="1520" t="s">
        <v>649</v>
      </c>
      <c r="G205" s="1520">
        <v>2.7215442853E-2</v>
      </c>
      <c r="H205" s="1521"/>
      <c r="I205" s="1543">
        <f>E205*G205*1000</f>
        <v>12961898.96759831</v>
      </c>
      <c r="J205" s="1520" t="s">
        <v>1002</v>
      </c>
      <c r="K205" s="1846">
        <v>1.3</v>
      </c>
      <c r="L205" s="1520" t="s">
        <v>1002</v>
      </c>
      <c r="M205" s="1553">
        <v>0.03</v>
      </c>
      <c r="N205" s="1520" t="s">
        <v>1002</v>
      </c>
      <c r="O205" s="1520">
        <v>0.93</v>
      </c>
      <c r="P205" s="1520" t="s">
        <v>1002</v>
      </c>
      <c r="Q205" s="2070">
        <v>0.93</v>
      </c>
      <c r="R205" s="1520" t="s">
        <v>1002</v>
      </c>
      <c r="S205" s="2070">
        <v>0.88</v>
      </c>
      <c r="T205" s="1520" t="s">
        <v>649</v>
      </c>
      <c r="U205" s="2071">
        <v>0.44280000000000003</v>
      </c>
      <c r="V205" s="1520" t="s">
        <v>649</v>
      </c>
      <c r="W205" s="1543">
        <f t="shared" si="95"/>
        <v>170368.54738267325</v>
      </c>
      <c r="X205" s="1520" t="s">
        <v>649</v>
      </c>
      <c r="Y205" s="2072">
        <f t="shared" si="96"/>
        <v>1135.7903158844883</v>
      </c>
      <c r="Z205" s="2073" t="s">
        <v>649</v>
      </c>
      <c r="AA205" s="2074">
        <f t="shared" si="97"/>
        <v>8.6733078667542741E-3</v>
      </c>
      <c r="AB205" s="2073" t="s">
        <v>649</v>
      </c>
      <c r="AC205" s="2075">
        <f t="shared" si="98"/>
        <v>3.1802128844765673E-2</v>
      </c>
      <c r="AD205" s="1587"/>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row>
    <row r="206" spans="1:81" ht="11.25" x14ac:dyDescent="0.2">
      <c r="A206" s="2061"/>
      <c r="B206" s="1895" t="s">
        <v>555</v>
      </c>
      <c r="C206" s="1521" t="s">
        <v>1184</v>
      </c>
      <c r="D206" s="1521"/>
      <c r="E206" s="2069"/>
      <c r="F206" s="1520" t="s">
        <v>649</v>
      </c>
      <c r="G206" s="1520" t="s">
        <v>1102</v>
      </c>
      <c r="H206" s="1521"/>
      <c r="I206" s="1543">
        <f t="shared" ref="I206:I207" si="99">E206</f>
        <v>0</v>
      </c>
      <c r="J206" s="1520" t="s">
        <v>1002</v>
      </c>
      <c r="K206" s="2076"/>
      <c r="L206" s="1520" t="s">
        <v>1002</v>
      </c>
      <c r="M206" s="2077"/>
      <c r="N206" s="1520" t="s">
        <v>1002</v>
      </c>
      <c r="O206" s="2078"/>
      <c r="P206" s="1520" t="s">
        <v>1002</v>
      </c>
      <c r="Q206" s="2079"/>
      <c r="R206" s="1520" t="s">
        <v>1002</v>
      </c>
      <c r="S206" s="2080"/>
      <c r="T206" s="1520" t="s">
        <v>649</v>
      </c>
      <c r="U206" s="2081"/>
      <c r="V206" s="1520" t="s">
        <v>649</v>
      </c>
      <c r="W206" s="1543">
        <f t="shared" si="95"/>
        <v>0</v>
      </c>
      <c r="X206" s="1520" t="s">
        <v>649</v>
      </c>
      <c r="Y206" s="2072">
        <f t="shared" si="96"/>
        <v>0</v>
      </c>
      <c r="Z206" s="2073" t="s">
        <v>649</v>
      </c>
      <c r="AA206" s="2074">
        <f t="shared" si="97"/>
        <v>0</v>
      </c>
      <c r="AB206" s="2073" t="s">
        <v>649</v>
      </c>
      <c r="AC206" s="2075">
        <f t="shared" si="98"/>
        <v>0</v>
      </c>
      <c r="AD206" s="1587"/>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row>
    <row r="207" spans="1:81" ht="11.25" x14ac:dyDescent="0.2">
      <c r="A207" s="2061"/>
      <c r="B207" s="1895"/>
      <c r="C207" s="1521" t="s">
        <v>1184</v>
      </c>
      <c r="D207" s="1521"/>
      <c r="E207" s="2069"/>
      <c r="F207" s="1520" t="s">
        <v>649</v>
      </c>
      <c r="G207" s="1520" t="s">
        <v>1102</v>
      </c>
      <c r="H207" s="1521"/>
      <c r="I207" s="1543">
        <f t="shared" si="99"/>
        <v>0</v>
      </c>
      <c r="J207" s="1520" t="s">
        <v>1002</v>
      </c>
      <c r="K207" s="2076"/>
      <c r="L207" s="1520" t="s">
        <v>1002</v>
      </c>
      <c r="M207" s="2077"/>
      <c r="N207" s="1520" t="s">
        <v>1002</v>
      </c>
      <c r="O207" s="2078"/>
      <c r="P207" s="1520" t="s">
        <v>1002</v>
      </c>
      <c r="Q207" s="2079"/>
      <c r="R207" s="1520" t="s">
        <v>1002</v>
      </c>
      <c r="S207" s="2080"/>
      <c r="T207" s="1520" t="s">
        <v>649</v>
      </c>
      <c r="U207" s="2081"/>
      <c r="V207" s="1520" t="s">
        <v>649</v>
      </c>
      <c r="W207" s="1543">
        <f t="shared" si="95"/>
        <v>0</v>
      </c>
      <c r="X207" s="1520" t="s">
        <v>649</v>
      </c>
      <c r="Y207" s="2072">
        <f t="shared" si="96"/>
        <v>0</v>
      </c>
      <c r="Z207" s="2073" t="s">
        <v>649</v>
      </c>
      <c r="AA207" s="2074">
        <f t="shared" si="97"/>
        <v>0</v>
      </c>
      <c r="AB207" s="2073" t="s">
        <v>649</v>
      </c>
      <c r="AC207" s="2075">
        <f t="shared" si="98"/>
        <v>0</v>
      </c>
      <c r="AD207" s="1587"/>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row>
    <row r="208" spans="1:81" ht="11.25" x14ac:dyDescent="0.2">
      <c r="A208" s="2061"/>
      <c r="B208" s="1987"/>
      <c r="C208" s="1845"/>
      <c r="D208" s="1521"/>
      <c r="E208" s="1970"/>
      <c r="F208" s="1520"/>
      <c r="G208" s="1521"/>
      <c r="H208" s="1521"/>
      <c r="I208" s="1520"/>
      <c r="J208" s="1520"/>
      <c r="K208" s="1880"/>
      <c r="L208" s="1520"/>
      <c r="M208" s="1840"/>
      <c r="N208" s="1520"/>
      <c r="O208" s="2070"/>
      <c r="P208" s="1521"/>
      <c r="Q208" s="1521"/>
      <c r="R208" s="1521"/>
      <c r="S208" s="1521"/>
      <c r="T208" s="1521"/>
      <c r="U208" s="1880"/>
      <c r="V208" s="1521"/>
      <c r="W208" s="1880"/>
      <c r="X208" s="1521"/>
      <c r="Y208" s="1521"/>
      <c r="Z208" s="1521"/>
      <c r="AA208" s="1521"/>
      <c r="AB208" s="1521"/>
      <c r="AC208" s="2045"/>
      <c r="AD208" s="1587"/>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row>
    <row r="209" spans="1:81" ht="11.25" x14ac:dyDescent="0.2">
      <c r="A209" s="2061"/>
      <c r="B209" s="1851" t="s">
        <v>1620</v>
      </c>
      <c r="C209" s="1852"/>
      <c r="D209" s="1853"/>
      <c r="E209" s="2007"/>
      <c r="F209" s="2007"/>
      <c r="G209" s="1853"/>
      <c r="H209" s="1853"/>
      <c r="I209" s="2007"/>
      <c r="J209" s="2007"/>
      <c r="K209" s="2082"/>
      <c r="L209" s="2083"/>
      <c r="M209" s="2082"/>
      <c r="N209" s="2083"/>
      <c r="O209" s="2084"/>
      <c r="P209" s="1853"/>
      <c r="Q209" s="2084"/>
      <c r="R209" s="1853"/>
      <c r="S209" s="2084"/>
      <c r="T209" s="1853"/>
      <c r="U209" s="2082"/>
      <c r="V209" s="1853"/>
      <c r="W209" s="2082">
        <f>SUM(W199:W207)</f>
        <v>1023634.1320557732</v>
      </c>
      <c r="X209" s="1853"/>
      <c r="Y209" s="2084">
        <f>SUM(Y199:Y207)</f>
        <v>6824.2275470384875</v>
      </c>
      <c r="Z209" s="1853"/>
      <c r="AA209" s="2084">
        <f>SUM(AA199:AA207)</f>
        <v>5.2112283086475725E-2</v>
      </c>
      <c r="AB209" s="1853"/>
      <c r="AC209" s="2085">
        <f>SUM(AC199:AC207)</f>
        <v>0.19107837131707767</v>
      </c>
      <c r="AD209" s="1587"/>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row>
    <row r="210" spans="1:81" ht="11.25" x14ac:dyDescent="0.2">
      <c r="A210" s="466"/>
      <c r="B210" s="1702"/>
      <c r="C210" s="977"/>
      <c r="D210" s="1119"/>
      <c r="E210" s="1119"/>
      <c r="F210" s="1119"/>
      <c r="G210" s="1703"/>
      <c r="H210" s="873"/>
      <c r="I210" s="1704"/>
      <c r="J210" s="873"/>
      <c r="K210" s="1705"/>
      <c r="L210" s="466"/>
      <c r="M210" s="1705"/>
      <c r="N210" s="466"/>
      <c r="O210" s="466"/>
      <c r="P210" s="466"/>
      <c r="Q210" s="466"/>
      <c r="R210" s="466"/>
      <c r="S210" s="466"/>
      <c r="T210" s="466"/>
      <c r="U210" s="466"/>
    </row>
    <row r="211" spans="1:81" ht="21" x14ac:dyDescent="0.4">
      <c r="A211" s="1106"/>
      <c r="B211" s="2086" t="s">
        <v>1811</v>
      </c>
      <c r="C211" s="1713"/>
      <c r="D211" s="1714"/>
      <c r="E211" s="1714"/>
      <c r="F211" s="1714"/>
      <c r="G211" s="1715"/>
      <c r="H211" s="1716"/>
      <c r="I211" s="1717"/>
      <c r="J211" s="1716"/>
      <c r="K211" s="1718"/>
      <c r="L211" s="1673"/>
      <c r="M211" s="1718"/>
      <c r="N211" s="1673"/>
      <c r="O211" s="1673"/>
      <c r="P211" s="1673"/>
      <c r="Q211" s="1673"/>
      <c r="R211" s="1673"/>
      <c r="S211" s="1673"/>
      <c r="T211" s="1673"/>
      <c r="U211" s="1673"/>
      <c r="V211" s="1673"/>
      <c r="W211" s="1673"/>
      <c r="X211" s="1673"/>
      <c r="Y211" s="1673"/>
      <c r="Z211" s="1673"/>
      <c r="AA211" s="1673"/>
      <c r="AB211" s="1673"/>
      <c r="AC211" s="1674"/>
      <c r="AD211" s="2087"/>
      <c r="AH211" s="1623" t="s">
        <v>1729</v>
      </c>
    </row>
    <row r="212" spans="1:81" ht="36.75" x14ac:dyDescent="0.25">
      <c r="A212" s="2088"/>
      <c r="B212" s="2089" t="s">
        <v>1790</v>
      </c>
      <c r="C212" s="2063" t="s">
        <v>80</v>
      </c>
      <c r="D212" s="1890"/>
      <c r="E212" s="2064" t="s">
        <v>1791</v>
      </c>
      <c r="F212" s="2064"/>
      <c r="G212" s="1890" t="s">
        <v>1792</v>
      </c>
      <c r="H212" s="1890"/>
      <c r="I212" s="2064" t="s">
        <v>1793</v>
      </c>
      <c r="J212" s="2064"/>
      <c r="K212" s="2064" t="s">
        <v>1794</v>
      </c>
      <c r="L212" s="2065"/>
      <c r="M212" s="2064" t="s">
        <v>1812</v>
      </c>
      <c r="N212" s="2065"/>
      <c r="O212" s="2064" t="s">
        <v>1796</v>
      </c>
      <c r="P212" s="2065"/>
      <c r="Q212" s="2064" t="s">
        <v>1797</v>
      </c>
      <c r="R212" s="1890"/>
      <c r="S212" s="2064" t="s">
        <v>1798</v>
      </c>
      <c r="T212" s="1890"/>
      <c r="U212" s="2066" t="s">
        <v>1813</v>
      </c>
      <c r="V212" s="1890"/>
      <c r="W212" s="2064" t="s">
        <v>1814</v>
      </c>
      <c r="X212" s="1890"/>
      <c r="Y212" s="2064" t="s">
        <v>1815</v>
      </c>
      <c r="Z212" s="1890"/>
      <c r="AA212" s="2064" t="s">
        <v>1816</v>
      </c>
      <c r="AB212" s="1890"/>
      <c r="AC212" s="2090" t="s">
        <v>1817</v>
      </c>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row>
    <row r="213" spans="1:81" ht="11.25" x14ac:dyDescent="0.2">
      <c r="A213" s="2088"/>
      <c r="B213" s="2091"/>
      <c r="C213" s="1521"/>
      <c r="D213" s="1521"/>
      <c r="E213" s="1520"/>
      <c r="F213" s="1520"/>
      <c r="G213" s="1521"/>
      <c r="H213" s="1521"/>
      <c r="I213" s="1521"/>
      <c r="J213" s="1521"/>
      <c r="K213" s="1521"/>
      <c r="L213" s="1521"/>
      <c r="M213" s="1521"/>
      <c r="N213" s="1521"/>
      <c r="O213" s="1521"/>
      <c r="P213" s="1521"/>
      <c r="Q213" s="1521"/>
      <c r="R213" s="1521"/>
      <c r="S213" s="1521"/>
      <c r="T213" s="1521"/>
      <c r="U213" s="1880"/>
      <c r="V213" s="1521"/>
      <c r="W213" s="1521"/>
      <c r="X213" s="1521"/>
      <c r="Y213" s="1521"/>
      <c r="Z213" s="1521"/>
      <c r="AA213" s="1521"/>
      <c r="AB213" s="1521"/>
      <c r="AC213" s="15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row>
    <row r="214" spans="1:81" ht="11.25" x14ac:dyDescent="0.2">
      <c r="A214" s="2088"/>
      <c r="B214" s="2092" t="s">
        <v>1804</v>
      </c>
      <c r="C214" s="2068" t="s">
        <v>1677</v>
      </c>
      <c r="D214" s="1521"/>
      <c r="E214" s="2093">
        <v>75440</v>
      </c>
      <c r="F214" s="1520" t="s">
        <v>649</v>
      </c>
      <c r="G214" s="1520">
        <v>2.1772E-2</v>
      </c>
      <c r="H214" s="1521"/>
      <c r="I214" s="1543">
        <f t="shared" ref="I214:I215" si="100">E214*G214*1000</f>
        <v>1642479.68</v>
      </c>
      <c r="J214" s="1520" t="s">
        <v>1002</v>
      </c>
      <c r="K214" s="1846">
        <v>1.2</v>
      </c>
      <c r="L214" s="1520" t="s">
        <v>1002</v>
      </c>
      <c r="M214" s="1553">
        <v>0.03</v>
      </c>
      <c r="N214" s="1520" t="s">
        <v>1002</v>
      </c>
      <c r="O214" s="1520">
        <v>0.93</v>
      </c>
      <c r="P214" s="1520" t="s">
        <v>1002</v>
      </c>
      <c r="Q214" s="2070">
        <v>0.93</v>
      </c>
      <c r="R214" s="1520" t="s">
        <v>1002</v>
      </c>
      <c r="S214" s="2070">
        <v>0.88</v>
      </c>
      <c r="T214" s="1520" t="s">
        <v>649</v>
      </c>
      <c r="U214" s="2071">
        <v>7.7000000000000002E-3</v>
      </c>
      <c r="V214" s="1520" t="s">
        <v>649</v>
      </c>
      <c r="W214" s="1553">
        <f t="shared" ref="W214:W222" si="101">I214*K214*M214*O214*Q214*S214*U214</f>
        <v>346.53076759339319</v>
      </c>
      <c r="X214" s="1520" t="s">
        <v>649</v>
      </c>
      <c r="Y214" s="2094">
        <f t="shared" ref="Y214:Y222" si="102">W214*0.007*(44/28)</f>
        <v>3.8118384435273249</v>
      </c>
      <c r="Z214" s="1520" t="s">
        <v>649</v>
      </c>
      <c r="AA214" s="2095">
        <f t="shared" ref="AA214:AA222" si="103">Y214/(10^6)*$Z$8*12/44</f>
        <v>2.7549196023674759E-4</v>
      </c>
      <c r="AB214" s="1520" t="s">
        <v>649</v>
      </c>
      <c r="AC214" s="2096">
        <f t="shared" ref="AC214:AC222" si="104">AA214/(12/44)</f>
        <v>1.0101371875347411E-3</v>
      </c>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row>
    <row r="215" spans="1:81" ht="11.25" x14ac:dyDescent="0.2">
      <c r="A215" s="2088"/>
      <c r="B215" s="2092" t="s">
        <v>1805</v>
      </c>
      <c r="C215" s="2068" t="s">
        <v>1677</v>
      </c>
      <c r="D215" s="1521"/>
      <c r="E215" s="2093">
        <v>1911436</v>
      </c>
      <c r="F215" s="1520" t="s">
        <v>649</v>
      </c>
      <c r="G215" s="1520">
        <v>2.5401147108E-2</v>
      </c>
      <c r="H215" s="1521"/>
      <c r="I215" s="1543">
        <f t="shared" si="100"/>
        <v>48552667.023527086</v>
      </c>
      <c r="J215" s="1520" t="s">
        <v>1002</v>
      </c>
      <c r="K215" s="1846">
        <v>1</v>
      </c>
      <c r="L215" s="1520" t="s">
        <v>1002</v>
      </c>
      <c r="M215" s="1553">
        <v>0.03</v>
      </c>
      <c r="N215" s="1520" t="s">
        <v>1002</v>
      </c>
      <c r="O215" s="1520">
        <v>0.91</v>
      </c>
      <c r="P215" s="1520" t="s">
        <v>1002</v>
      </c>
      <c r="Q215" s="2070">
        <v>0.93</v>
      </c>
      <c r="R215" s="1520" t="s">
        <v>1002</v>
      </c>
      <c r="S215" s="2070">
        <v>0.88</v>
      </c>
      <c r="T215" s="1520" t="s">
        <v>649</v>
      </c>
      <c r="U215" s="2071">
        <v>5.7999999999999996E-3</v>
      </c>
      <c r="V215" s="1520" t="s">
        <v>649</v>
      </c>
      <c r="W215" s="1553">
        <f t="shared" si="101"/>
        <v>6291.7194962599206</v>
      </c>
      <c r="X215" s="1520" t="s">
        <v>649</v>
      </c>
      <c r="Y215" s="2094">
        <f t="shared" si="102"/>
        <v>69.208914458859127</v>
      </c>
      <c r="Z215" s="1520" t="s">
        <v>649</v>
      </c>
      <c r="AA215" s="2095">
        <f t="shared" si="103"/>
        <v>5.0019169995266372E-3</v>
      </c>
      <c r="AB215" s="1520" t="s">
        <v>649</v>
      </c>
      <c r="AC215" s="2096">
        <f t="shared" si="104"/>
        <v>1.8340362331597672E-2</v>
      </c>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row>
    <row r="216" spans="1:81" ht="11.25" x14ac:dyDescent="0.2">
      <c r="A216" s="2088"/>
      <c r="B216" s="2092" t="s">
        <v>1688</v>
      </c>
      <c r="C216" s="2068" t="s">
        <v>1806</v>
      </c>
      <c r="D216" s="1521"/>
      <c r="E216" s="2097">
        <v>0</v>
      </c>
      <c r="F216" s="1520" t="s">
        <v>649</v>
      </c>
      <c r="G216" s="1520" t="s">
        <v>1102</v>
      </c>
      <c r="H216" s="1521"/>
      <c r="I216" s="1543">
        <f>(E216*1000/2000*0.9072)</f>
        <v>0</v>
      </c>
      <c r="J216" s="1520" t="s">
        <v>1002</v>
      </c>
      <c r="K216" s="1846">
        <v>1</v>
      </c>
      <c r="L216" s="1520" t="s">
        <v>1002</v>
      </c>
      <c r="M216" s="1553">
        <v>0.03</v>
      </c>
      <c r="N216" s="1520" t="s">
        <v>1002</v>
      </c>
      <c r="O216" s="1520">
        <v>0.86</v>
      </c>
      <c r="P216" s="1520" t="s">
        <v>1002</v>
      </c>
      <c r="Q216" s="2070">
        <v>0.93</v>
      </c>
      <c r="R216" s="1520" t="s">
        <v>1002</v>
      </c>
      <c r="S216" s="2070">
        <v>0.88</v>
      </c>
      <c r="T216" s="1520" t="s">
        <v>649</v>
      </c>
      <c r="U216" s="2071">
        <v>1.06E-2</v>
      </c>
      <c r="V216" s="1520" t="s">
        <v>649</v>
      </c>
      <c r="W216" s="1553">
        <f t="shared" si="101"/>
        <v>0</v>
      </c>
      <c r="X216" s="1520" t="s">
        <v>649</v>
      </c>
      <c r="Y216" s="2094">
        <f t="shared" si="102"/>
        <v>0</v>
      </c>
      <c r="Z216" s="1520" t="s">
        <v>649</v>
      </c>
      <c r="AA216" s="2095">
        <f t="shared" si="103"/>
        <v>0</v>
      </c>
      <c r="AB216" s="1520" t="s">
        <v>649</v>
      </c>
      <c r="AC216" s="2096">
        <f t="shared" si="104"/>
        <v>0</v>
      </c>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row>
    <row r="217" spans="1:81" ht="11.25" x14ac:dyDescent="0.2">
      <c r="A217" s="2088"/>
      <c r="B217" s="2092" t="s">
        <v>1685</v>
      </c>
      <c r="C217" s="2068" t="s">
        <v>1807</v>
      </c>
      <c r="D217" s="1521"/>
      <c r="E217" s="2097">
        <v>0</v>
      </c>
      <c r="F217" s="1520" t="s">
        <v>649</v>
      </c>
      <c r="G217" s="1520" t="s">
        <v>1102</v>
      </c>
      <c r="H217" s="1521"/>
      <c r="I217" s="1543">
        <v>0</v>
      </c>
      <c r="J217" s="1520" t="s">
        <v>1002</v>
      </c>
      <c r="K217" s="1846">
        <v>1.4</v>
      </c>
      <c r="L217" s="1520" t="s">
        <v>1002</v>
      </c>
      <c r="M217" s="1553">
        <v>0</v>
      </c>
      <c r="N217" s="1520" t="s">
        <v>1002</v>
      </c>
      <c r="O217" s="1520">
        <v>0.91</v>
      </c>
      <c r="P217" s="1520" t="s">
        <v>1002</v>
      </c>
      <c r="Q217" s="2070">
        <v>0.93</v>
      </c>
      <c r="R217" s="1520" t="s">
        <v>1002</v>
      </c>
      <c r="S217" s="2070">
        <v>0.88</v>
      </c>
      <c r="T217" s="1520" t="s">
        <v>649</v>
      </c>
      <c r="U217" s="2071">
        <v>7.1999999999999998E-3</v>
      </c>
      <c r="V217" s="1520" t="s">
        <v>649</v>
      </c>
      <c r="W217" s="1553">
        <f t="shared" si="101"/>
        <v>0</v>
      </c>
      <c r="X217" s="1520" t="s">
        <v>649</v>
      </c>
      <c r="Y217" s="2094">
        <f t="shared" si="102"/>
        <v>0</v>
      </c>
      <c r="Z217" s="1520" t="s">
        <v>649</v>
      </c>
      <c r="AA217" s="2095">
        <f t="shared" si="103"/>
        <v>0</v>
      </c>
      <c r="AB217" s="1520" t="s">
        <v>649</v>
      </c>
      <c r="AC217" s="2096">
        <f t="shared" si="104"/>
        <v>0</v>
      </c>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row>
    <row r="218" spans="1:81" ht="11.25" x14ac:dyDescent="0.2">
      <c r="A218" s="2088"/>
      <c r="B218" s="2092" t="s">
        <v>1808</v>
      </c>
      <c r="C218" s="2068" t="s">
        <v>1677</v>
      </c>
      <c r="D218" s="1521"/>
      <c r="E218" s="2093">
        <v>632221</v>
      </c>
      <c r="F218" s="1520" t="s">
        <v>649</v>
      </c>
      <c r="G218" s="1520">
        <v>2.7215692074999999E-2</v>
      </c>
      <c r="H218" s="1521"/>
      <c r="I218" s="1543">
        <f>E218*G218*1000</f>
        <v>17206332.059348572</v>
      </c>
      <c r="J218" s="1520" t="s">
        <v>1002</v>
      </c>
      <c r="K218" s="1846">
        <v>2.1</v>
      </c>
      <c r="L218" s="1520" t="s">
        <v>1002</v>
      </c>
      <c r="M218" s="1553">
        <v>0.03</v>
      </c>
      <c r="N218" s="1520" t="s">
        <v>1002</v>
      </c>
      <c r="O218" s="1520">
        <v>0.87</v>
      </c>
      <c r="P218" s="1520" t="s">
        <v>1002</v>
      </c>
      <c r="Q218" s="2070">
        <v>0.93</v>
      </c>
      <c r="R218" s="1520" t="s">
        <v>1002</v>
      </c>
      <c r="S218" s="2070">
        <v>0.88</v>
      </c>
      <c r="T218" s="1520" t="s">
        <v>649</v>
      </c>
      <c r="U218" s="2071">
        <v>2.3E-2</v>
      </c>
      <c r="V218" s="1520" t="s">
        <v>649</v>
      </c>
      <c r="W218" s="1553">
        <f t="shared" si="101"/>
        <v>17751.765765446442</v>
      </c>
      <c r="X218" s="1520" t="s">
        <v>649</v>
      </c>
      <c r="Y218" s="2094">
        <f t="shared" si="102"/>
        <v>195.26942341991085</v>
      </c>
      <c r="Z218" s="1520" t="s">
        <v>649</v>
      </c>
      <c r="AA218" s="2095">
        <f t="shared" si="103"/>
        <v>1.4112653783529917E-2</v>
      </c>
      <c r="AB218" s="1520" t="s">
        <v>649</v>
      </c>
      <c r="AC218" s="2096">
        <f t="shared" si="104"/>
        <v>5.1746397206276371E-2</v>
      </c>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row>
    <row r="219" spans="1:81" ht="11.25" x14ac:dyDescent="0.2">
      <c r="A219" s="2088"/>
      <c r="B219" s="2092" t="s">
        <v>1809</v>
      </c>
      <c r="C219" s="2068" t="s">
        <v>1674</v>
      </c>
      <c r="D219" s="1521"/>
      <c r="E219" s="2097">
        <v>0</v>
      </c>
      <c r="F219" s="1520" t="s">
        <v>649</v>
      </c>
      <c r="G219" s="1520" t="s">
        <v>1102</v>
      </c>
      <c r="H219" s="1521"/>
      <c r="I219" s="1543">
        <f>E219*0.9072*1000</f>
        <v>0</v>
      </c>
      <c r="J219" s="1520" t="s">
        <v>1002</v>
      </c>
      <c r="K219" s="1846">
        <v>0.2</v>
      </c>
      <c r="L219" s="1520" t="s">
        <v>1002</v>
      </c>
      <c r="M219" s="1553">
        <v>0.03</v>
      </c>
      <c r="N219" s="1520" t="s">
        <v>1002</v>
      </c>
      <c r="O219" s="1520">
        <v>0.62</v>
      </c>
      <c r="P219" s="1520" t="s">
        <v>1002</v>
      </c>
      <c r="Q219" s="2070">
        <v>0.93</v>
      </c>
      <c r="R219" s="1520" t="s">
        <v>1002</v>
      </c>
      <c r="S219" s="2070">
        <v>0.88</v>
      </c>
      <c r="T219" s="1520" t="s">
        <v>649</v>
      </c>
      <c r="U219" s="2071">
        <v>4.0000000000000001E-3</v>
      </c>
      <c r="V219" s="1520" t="s">
        <v>649</v>
      </c>
      <c r="W219" s="1553">
        <f t="shared" si="101"/>
        <v>0</v>
      </c>
      <c r="X219" s="1520" t="s">
        <v>649</v>
      </c>
      <c r="Y219" s="2094">
        <f t="shared" si="102"/>
        <v>0</v>
      </c>
      <c r="Z219" s="1520" t="s">
        <v>649</v>
      </c>
      <c r="AA219" s="2095">
        <f t="shared" si="103"/>
        <v>0</v>
      </c>
      <c r="AB219" s="1520" t="s">
        <v>649</v>
      </c>
      <c r="AC219" s="2096">
        <f t="shared" si="104"/>
        <v>0</v>
      </c>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row>
    <row r="220" spans="1:81" ht="11.25" x14ac:dyDescent="0.2">
      <c r="A220" s="2088"/>
      <c r="B220" s="2092" t="s">
        <v>1810</v>
      </c>
      <c r="C220" s="2068" t="s">
        <v>1677</v>
      </c>
      <c r="D220" s="1521"/>
      <c r="E220" s="2093">
        <v>476270</v>
      </c>
      <c r="F220" s="1520" t="s">
        <v>649</v>
      </c>
      <c r="G220" s="1520">
        <v>2.7215442853E-2</v>
      </c>
      <c r="H220" s="1521"/>
      <c r="I220" s="1543">
        <f>E220*G220*1000</f>
        <v>12961898.96759831</v>
      </c>
      <c r="J220" s="1520" t="s">
        <v>1002</v>
      </c>
      <c r="K220" s="1846">
        <v>1.3</v>
      </c>
      <c r="L220" s="1520" t="s">
        <v>1002</v>
      </c>
      <c r="M220" s="1553">
        <v>0.03</v>
      </c>
      <c r="N220" s="1520" t="s">
        <v>1002</v>
      </c>
      <c r="O220" s="1520">
        <v>0.93</v>
      </c>
      <c r="P220" s="1520" t="s">
        <v>1002</v>
      </c>
      <c r="Q220" s="2070">
        <v>0.93</v>
      </c>
      <c r="R220" s="1520" t="s">
        <v>1002</v>
      </c>
      <c r="S220" s="2070">
        <v>0.88</v>
      </c>
      <c r="T220" s="1520" t="s">
        <v>649</v>
      </c>
      <c r="U220" s="2071">
        <v>6.1999999999999998E-3</v>
      </c>
      <c r="V220" s="1520" t="s">
        <v>649</v>
      </c>
      <c r="W220" s="1553">
        <f t="shared" si="101"/>
        <v>2385.4674656110524</v>
      </c>
      <c r="X220" s="1520" t="s">
        <v>649</v>
      </c>
      <c r="Y220" s="2094">
        <f t="shared" si="102"/>
        <v>26.240142121721576</v>
      </c>
      <c r="Z220" s="1520" t="s">
        <v>649</v>
      </c>
      <c r="AA220" s="2095">
        <f t="shared" si="103"/>
        <v>1.8964466351607868E-3</v>
      </c>
      <c r="AB220" s="1520" t="s">
        <v>649</v>
      </c>
      <c r="AC220" s="2096">
        <f t="shared" si="104"/>
        <v>6.953637662256219E-3</v>
      </c>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row>
    <row r="221" spans="1:81" ht="11.25" x14ac:dyDescent="0.2">
      <c r="A221" s="2088"/>
      <c r="B221" s="2092" t="s">
        <v>555</v>
      </c>
      <c r="C221" s="1521"/>
      <c r="D221" s="1521"/>
      <c r="E221" s="2097">
        <v>0</v>
      </c>
      <c r="F221" s="1520" t="s">
        <v>649</v>
      </c>
      <c r="G221" s="1520" t="s">
        <v>1102</v>
      </c>
      <c r="H221" s="1521"/>
      <c r="I221" s="1543">
        <f t="shared" ref="I221:I222" si="105">E221</f>
        <v>0</v>
      </c>
      <c r="J221" s="1520" t="s">
        <v>1002</v>
      </c>
      <c r="K221" s="2076"/>
      <c r="L221" s="1520" t="s">
        <v>1002</v>
      </c>
      <c r="M221" s="2077"/>
      <c r="N221" s="1520" t="s">
        <v>1002</v>
      </c>
      <c r="O221" s="2078"/>
      <c r="P221" s="1520" t="s">
        <v>1002</v>
      </c>
      <c r="Q221" s="2079"/>
      <c r="R221" s="1520" t="s">
        <v>1002</v>
      </c>
      <c r="S221" s="2080"/>
      <c r="T221" s="1520" t="s">
        <v>649</v>
      </c>
      <c r="U221" s="2081"/>
      <c r="V221" s="1520" t="s">
        <v>649</v>
      </c>
      <c r="W221" s="1553">
        <f t="shared" si="101"/>
        <v>0</v>
      </c>
      <c r="X221" s="1520" t="s">
        <v>649</v>
      </c>
      <c r="Y221" s="2094">
        <f t="shared" si="102"/>
        <v>0</v>
      </c>
      <c r="Z221" s="1520" t="s">
        <v>649</v>
      </c>
      <c r="AA221" s="2095">
        <f t="shared" si="103"/>
        <v>0</v>
      </c>
      <c r="AB221" s="1520" t="s">
        <v>649</v>
      </c>
      <c r="AC221" s="2096">
        <f t="shared" si="104"/>
        <v>0</v>
      </c>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row>
    <row r="222" spans="1:81" ht="11.25" x14ac:dyDescent="0.2">
      <c r="A222" s="2088"/>
      <c r="B222" s="2091"/>
      <c r="C222" s="1521"/>
      <c r="D222" s="1521"/>
      <c r="E222" s="2097">
        <v>0</v>
      </c>
      <c r="F222" s="1520" t="s">
        <v>649</v>
      </c>
      <c r="G222" s="1520" t="s">
        <v>1102</v>
      </c>
      <c r="H222" s="1521"/>
      <c r="I222" s="1543">
        <f t="shared" si="105"/>
        <v>0</v>
      </c>
      <c r="J222" s="1520" t="s">
        <v>1002</v>
      </c>
      <c r="K222" s="2076"/>
      <c r="L222" s="1520" t="s">
        <v>1002</v>
      </c>
      <c r="M222" s="2077"/>
      <c r="N222" s="1520" t="s">
        <v>1002</v>
      </c>
      <c r="O222" s="2078"/>
      <c r="P222" s="1520" t="s">
        <v>1002</v>
      </c>
      <c r="Q222" s="2079"/>
      <c r="R222" s="1520" t="s">
        <v>1002</v>
      </c>
      <c r="S222" s="2080"/>
      <c r="T222" s="1520" t="s">
        <v>649</v>
      </c>
      <c r="U222" s="2081"/>
      <c r="V222" s="1520" t="s">
        <v>649</v>
      </c>
      <c r="W222" s="1553">
        <f t="shared" si="101"/>
        <v>0</v>
      </c>
      <c r="X222" s="1520" t="s">
        <v>649</v>
      </c>
      <c r="Y222" s="2094">
        <f t="shared" si="102"/>
        <v>0</v>
      </c>
      <c r="Z222" s="1520" t="s">
        <v>649</v>
      </c>
      <c r="AA222" s="2095">
        <f t="shared" si="103"/>
        <v>0</v>
      </c>
      <c r="AB222" s="1520" t="s">
        <v>649</v>
      </c>
      <c r="AC222" s="2096">
        <f t="shared" si="104"/>
        <v>0</v>
      </c>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row>
    <row r="223" spans="1:81" ht="11.25" x14ac:dyDescent="0.2">
      <c r="A223" s="2088"/>
      <c r="B223" s="2098"/>
      <c r="C223" s="1845"/>
      <c r="D223" s="1521"/>
      <c r="E223" s="1970"/>
      <c r="F223" s="1520"/>
      <c r="G223" s="1521"/>
      <c r="H223" s="1521"/>
      <c r="I223" s="1520"/>
      <c r="J223" s="1520"/>
      <c r="K223" s="1880"/>
      <c r="L223" s="1520"/>
      <c r="M223" s="1840"/>
      <c r="N223" s="1520"/>
      <c r="O223" s="2070"/>
      <c r="P223" s="1521"/>
      <c r="Q223" s="1521"/>
      <c r="R223" s="1521"/>
      <c r="S223" s="1521"/>
      <c r="T223" s="1521"/>
      <c r="U223" s="1521"/>
      <c r="V223" s="1521"/>
      <c r="W223" s="1553"/>
      <c r="X223" s="1521"/>
      <c r="Y223" s="2099"/>
      <c r="Z223" s="1521"/>
      <c r="AA223" s="1521"/>
      <c r="AB223" s="1521"/>
      <c r="AC223" s="15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row>
    <row r="224" spans="1:81" ht="11.25" x14ac:dyDescent="0.2">
      <c r="A224" s="2088"/>
      <c r="B224" s="2100" t="s">
        <v>1620</v>
      </c>
      <c r="C224" s="2065"/>
      <c r="D224" s="1890"/>
      <c r="E224" s="2101"/>
      <c r="F224" s="2101"/>
      <c r="G224" s="1890"/>
      <c r="H224" s="1890"/>
      <c r="I224" s="2101"/>
      <c r="J224" s="2101"/>
      <c r="K224" s="2102"/>
      <c r="L224" s="2063"/>
      <c r="M224" s="2102"/>
      <c r="N224" s="2063"/>
      <c r="O224" s="2103"/>
      <c r="P224" s="1890"/>
      <c r="Q224" s="2103"/>
      <c r="R224" s="1890"/>
      <c r="S224" s="1890"/>
      <c r="T224" s="1890"/>
      <c r="U224" s="2103"/>
      <c r="V224" s="1890"/>
      <c r="W224" s="2104">
        <f>SUM(W214:W222)</f>
        <v>26775.483494910804</v>
      </c>
      <c r="X224" s="1890"/>
      <c r="Y224" s="2105">
        <f>SUM(Y214:Y222)</f>
        <v>294.53031844401886</v>
      </c>
      <c r="Z224" s="1890"/>
      <c r="AA224" s="2106">
        <f>SUM(AA214:AA222)</f>
        <v>2.128650937845409E-2</v>
      </c>
      <c r="AB224" s="1890"/>
      <c r="AC224" s="2107">
        <f>SUM(AC214:AC222)</f>
        <v>7.8050534387665002E-2</v>
      </c>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row>
    <row r="225" spans="1:34" ht="11.25" x14ac:dyDescent="0.2">
      <c r="A225" s="1106"/>
      <c r="B225" s="2108"/>
      <c r="C225" s="1795"/>
      <c r="D225" s="1796"/>
      <c r="E225" s="1796"/>
      <c r="F225" s="1796"/>
      <c r="G225" s="1797"/>
      <c r="H225" s="1798"/>
      <c r="I225" s="1799"/>
      <c r="J225" s="1798"/>
      <c r="K225" s="1800"/>
      <c r="L225" s="581"/>
      <c r="M225" s="1800"/>
      <c r="N225" s="581"/>
      <c r="O225" s="581"/>
      <c r="P225" s="581"/>
      <c r="Q225" s="581"/>
      <c r="R225" s="581"/>
      <c r="S225" s="581"/>
      <c r="T225" s="581"/>
      <c r="U225" s="581"/>
      <c r="V225" s="581"/>
      <c r="W225" s="581"/>
      <c r="X225" s="581"/>
      <c r="Y225" s="581"/>
      <c r="Z225" s="581"/>
      <c r="AA225" s="581"/>
      <c r="AB225" s="581"/>
      <c r="AC225" s="830"/>
    </row>
    <row r="226" spans="1:34" ht="11.25" x14ac:dyDescent="0.2">
      <c r="A226" s="466"/>
      <c r="B226" s="1702"/>
      <c r="C226" s="977"/>
      <c r="D226" s="1119"/>
      <c r="E226" s="1119"/>
      <c r="F226" s="1119"/>
      <c r="G226" s="1703"/>
      <c r="H226" s="873"/>
      <c r="I226" s="1704"/>
      <c r="J226" s="873"/>
      <c r="K226" s="1705"/>
      <c r="L226" s="466"/>
      <c r="M226" s="1705"/>
      <c r="N226" s="466"/>
      <c r="O226" s="466"/>
      <c r="P226" s="466"/>
      <c r="Q226" s="466"/>
      <c r="R226" s="466"/>
      <c r="S226" s="466"/>
      <c r="T226" s="466"/>
      <c r="U226" s="466"/>
      <c r="V226" s="466"/>
      <c r="W226" s="466"/>
      <c r="X226" s="466"/>
      <c r="Y226" s="466"/>
      <c r="Z226" s="466"/>
      <c r="AA226" s="466"/>
      <c r="AB226" s="466"/>
      <c r="AC226" s="466"/>
    </row>
    <row r="227" spans="1:34" ht="11.25" x14ac:dyDescent="0.2">
      <c r="A227" s="466"/>
      <c r="B227" s="1702"/>
      <c r="C227" s="977"/>
      <c r="D227" s="1119"/>
      <c r="E227" s="1119"/>
      <c r="F227" s="1119"/>
      <c r="G227" s="1703"/>
      <c r="H227" s="873"/>
      <c r="I227" s="1704"/>
      <c r="J227" s="873"/>
      <c r="K227" s="1705"/>
      <c r="L227" s="466"/>
      <c r="M227" s="1705"/>
      <c r="N227" s="466"/>
      <c r="O227" s="466"/>
      <c r="P227" s="466"/>
      <c r="Q227" s="466"/>
      <c r="R227" s="466"/>
      <c r="S227" s="466"/>
      <c r="T227" s="466"/>
      <c r="U227" s="466"/>
      <c r="V227" s="466"/>
      <c r="W227" s="466"/>
      <c r="X227" s="466"/>
      <c r="Y227" s="466"/>
      <c r="Z227" s="466"/>
      <c r="AA227" s="466"/>
      <c r="AB227" s="466"/>
      <c r="AC227" s="466"/>
    </row>
    <row r="228" spans="1:34" ht="12" x14ac:dyDescent="0.2">
      <c r="A228" s="1093"/>
      <c r="B228" s="2109" t="s">
        <v>1818</v>
      </c>
      <c r="C228" s="2110"/>
      <c r="D228" s="2110"/>
      <c r="E228" s="2111"/>
      <c r="F228" s="1119"/>
      <c r="G228" s="1703"/>
      <c r="H228" s="873"/>
      <c r="I228" s="1704"/>
      <c r="J228" s="873"/>
      <c r="K228" s="1705"/>
      <c r="M228" s="1705"/>
      <c r="AH228" s="1623" t="s">
        <v>1729</v>
      </c>
    </row>
    <row r="229" spans="1:34" ht="12" x14ac:dyDescent="0.2">
      <c r="A229" s="1093"/>
      <c r="B229" s="1093"/>
      <c r="C229" s="1093"/>
      <c r="D229" s="1093"/>
      <c r="E229" s="1093"/>
    </row>
    <row r="230" spans="1:34" ht="25.5" x14ac:dyDescent="0.25">
      <c r="A230" s="1093"/>
      <c r="B230" s="2112" t="s">
        <v>1819</v>
      </c>
      <c r="C230" s="2113">
        <v>2014</v>
      </c>
      <c r="D230" s="2114"/>
      <c r="E230" s="2115" t="s">
        <v>1820</v>
      </c>
    </row>
    <row r="231" spans="1:34" ht="12" x14ac:dyDescent="0.2">
      <c r="A231" s="1093"/>
      <c r="B231" s="2116" t="s">
        <v>45</v>
      </c>
      <c r="C231" s="2117">
        <f>M25</f>
        <v>0.45063142516294497</v>
      </c>
      <c r="D231" s="2118"/>
      <c r="E231" s="2119">
        <f t="shared" ref="E231:E236" si="106">C231</f>
        <v>0.45063142516294497</v>
      </c>
    </row>
    <row r="232" spans="1:34" ht="12" x14ac:dyDescent="0.2">
      <c r="A232" s="1093"/>
      <c r="B232" s="2116" t="s">
        <v>46</v>
      </c>
      <c r="C232" s="2117">
        <f>W61+U89</f>
        <v>0.31731595827887277</v>
      </c>
      <c r="D232" s="2120"/>
      <c r="E232" s="2119">
        <f t="shared" si="106"/>
        <v>0.31731595827887277</v>
      </c>
    </row>
    <row r="233" spans="1:34" ht="12" x14ac:dyDescent="0.2">
      <c r="A233" s="1093"/>
      <c r="B233" s="2116" t="s">
        <v>1821</v>
      </c>
      <c r="C233" s="2117">
        <f>C262*$Z$8/1000000</f>
        <v>0.8495411564968367</v>
      </c>
      <c r="D233" s="2120"/>
      <c r="E233" s="2119">
        <f t="shared" si="106"/>
        <v>0.8495411564968367</v>
      </c>
      <c r="G233" s="582"/>
    </row>
    <row r="234" spans="1:34" ht="12" x14ac:dyDescent="0.2">
      <c r="A234" s="1093"/>
      <c r="B234" s="2116" t="s">
        <v>1822</v>
      </c>
      <c r="C234" s="2120">
        <v>0</v>
      </c>
      <c r="D234" s="2120"/>
      <c r="E234" s="2119">
        <f t="shared" si="106"/>
        <v>0</v>
      </c>
    </row>
    <row r="235" spans="1:34" ht="12" x14ac:dyDescent="0.2">
      <c r="A235" s="1093"/>
      <c r="B235" s="2116" t="s">
        <v>1823</v>
      </c>
      <c r="C235" s="2117">
        <f>AC209+AC224</f>
        <v>0.26912890570474268</v>
      </c>
      <c r="D235" s="2120"/>
      <c r="E235" s="2119">
        <f t="shared" si="106"/>
        <v>0.26912890570474268</v>
      </c>
    </row>
    <row r="236" spans="1:34" ht="12" x14ac:dyDescent="0.2">
      <c r="A236" s="1093"/>
      <c r="B236" s="2121" t="s">
        <v>1620</v>
      </c>
      <c r="C236" s="2122">
        <f>SUM(C231:C235)</f>
        <v>1.8866174456433971</v>
      </c>
      <c r="D236" s="2122"/>
      <c r="E236" s="2123">
        <f t="shared" si="106"/>
        <v>1.8866174456433971</v>
      </c>
    </row>
    <row r="237" spans="1:34" ht="12" x14ac:dyDescent="0.2">
      <c r="A237" s="1093"/>
      <c r="B237" s="2124"/>
      <c r="C237" s="2125"/>
      <c r="D237" s="2125"/>
      <c r="E237" s="2126"/>
    </row>
    <row r="238" spans="1:34" ht="25.5" x14ac:dyDescent="0.25">
      <c r="A238" s="1093"/>
      <c r="B238" s="2127" t="s">
        <v>1824</v>
      </c>
      <c r="C238" s="2128">
        <v>2014</v>
      </c>
      <c r="D238" s="2128"/>
      <c r="E238" s="2129" t="s">
        <v>1825</v>
      </c>
    </row>
    <row r="239" spans="1:34" ht="12" x14ac:dyDescent="0.2">
      <c r="A239" s="1093"/>
      <c r="B239" s="2124" t="s">
        <v>1826</v>
      </c>
      <c r="C239" s="2130">
        <f>SUM(C240:C243)</f>
        <v>2.7221916443310568E-2</v>
      </c>
      <c r="D239" s="2130"/>
      <c r="E239" s="2131">
        <f t="shared" ref="E239:E243" si="107">C239*$Z$7</f>
        <v>0.76221366041269589</v>
      </c>
    </row>
    <row r="240" spans="1:34" ht="12" x14ac:dyDescent="0.2">
      <c r="A240" s="1093"/>
      <c r="B240" s="2132" t="s">
        <v>45</v>
      </c>
      <c r="C240" s="2120">
        <f>I25</f>
        <v>1.6093979470105178E-2</v>
      </c>
      <c r="D240" s="2120"/>
      <c r="E240" s="2119">
        <f t="shared" si="107"/>
        <v>0.45063142516294497</v>
      </c>
    </row>
    <row r="241" spans="1:5" ht="12" x14ac:dyDescent="0.2">
      <c r="A241" s="1093"/>
      <c r="B241" s="2132" t="s">
        <v>46</v>
      </c>
      <c r="C241" s="2120">
        <f>S61</f>
        <v>4.3037094261668997E-3</v>
      </c>
      <c r="D241" s="2120"/>
      <c r="E241" s="2119">
        <f t="shared" si="107"/>
        <v>0.12050386393267319</v>
      </c>
    </row>
    <row r="242" spans="1:5" ht="12" x14ac:dyDescent="0.2">
      <c r="A242" s="1093"/>
      <c r="B242" s="2132" t="s">
        <v>1822</v>
      </c>
      <c r="C242" s="2120">
        <v>0</v>
      </c>
      <c r="D242" s="2120"/>
      <c r="E242" s="2119">
        <f t="shared" si="107"/>
        <v>0</v>
      </c>
    </row>
    <row r="243" spans="1:5" ht="12" x14ac:dyDescent="0.2">
      <c r="A243" s="1093"/>
      <c r="B243" s="2132" t="s">
        <v>1823</v>
      </c>
      <c r="C243" s="2120">
        <f>Y209/1000000</f>
        <v>6.8242275470384878E-3</v>
      </c>
      <c r="D243" s="2120"/>
      <c r="E243" s="2119">
        <f t="shared" si="107"/>
        <v>0.19107837131707767</v>
      </c>
    </row>
    <row r="244" spans="1:5" ht="12" x14ac:dyDescent="0.2">
      <c r="A244" s="1093"/>
      <c r="B244" s="2133" t="s">
        <v>1827</v>
      </c>
      <c r="C244" s="2130">
        <f>SUM(C245:C247)</f>
        <v>4.2430331518139661E-3</v>
      </c>
      <c r="D244" s="2130"/>
      <c r="E244" s="2131">
        <f t="shared" ref="E244:E247" si="108">C244*$Z$8</f>
        <v>1.1244037852307009</v>
      </c>
    </row>
    <row r="245" spans="1:5" ht="12" x14ac:dyDescent="0.2">
      <c r="A245" s="1093"/>
      <c r="B245" s="2132" t="s">
        <v>46</v>
      </c>
      <c r="C245" s="2120">
        <f>O89*0.000000001</f>
        <v>7.4268714847622471E-4</v>
      </c>
      <c r="D245" s="2120"/>
      <c r="E245" s="2119">
        <f t="shared" si="108"/>
        <v>0.19681209434619953</v>
      </c>
    </row>
    <row r="246" spans="1:5" ht="12" x14ac:dyDescent="0.2">
      <c r="A246" s="1093"/>
      <c r="B246" s="2132" t="s">
        <v>1821</v>
      </c>
      <c r="C246" s="2120">
        <f>(AA96+AA97+O124+Q124+G189+G192+O189)*0.000001</f>
        <v>3.2058156848937228E-3</v>
      </c>
      <c r="D246" s="2120"/>
      <c r="E246" s="2119">
        <f t="shared" si="108"/>
        <v>0.84954115649683659</v>
      </c>
    </row>
    <row r="247" spans="1:5" ht="12" x14ac:dyDescent="0.2">
      <c r="A247" s="1093"/>
      <c r="B247" s="2132" t="s">
        <v>1823</v>
      </c>
      <c r="C247" s="2120">
        <f>Y224*0.000001</f>
        <v>2.9453031844401886E-4</v>
      </c>
      <c r="D247" s="2120"/>
      <c r="E247" s="2119">
        <f t="shared" si="108"/>
        <v>7.8050534387665002E-2</v>
      </c>
    </row>
    <row r="248" spans="1:5" ht="12" x14ac:dyDescent="0.2">
      <c r="A248" s="1093"/>
      <c r="B248" s="2116"/>
      <c r="C248" s="2125"/>
      <c r="D248" s="2125"/>
      <c r="E248" s="2134"/>
    </row>
    <row r="249" spans="1:5" ht="25.5" x14ac:dyDescent="0.25">
      <c r="A249" s="1093"/>
      <c r="B249" s="2127" t="s">
        <v>1828</v>
      </c>
      <c r="C249" s="2128">
        <v>2014</v>
      </c>
      <c r="D249" s="2128"/>
      <c r="E249" s="2135"/>
    </row>
    <row r="250" spans="1:5" ht="12" x14ac:dyDescent="0.2">
      <c r="A250" s="1093"/>
      <c r="B250" s="2124" t="s">
        <v>1829</v>
      </c>
      <c r="C250" s="2136">
        <f>SUM(C251:C255)</f>
        <v>2797.3101824920614</v>
      </c>
      <c r="D250" s="2136"/>
      <c r="E250" s="2137"/>
    </row>
    <row r="251" spans="1:5" ht="12" x14ac:dyDescent="0.2">
      <c r="A251" s="1093"/>
      <c r="B251" s="2132" t="s">
        <v>1830</v>
      </c>
      <c r="C251" s="1099">
        <f>O124</f>
        <v>355.26438782886862</v>
      </c>
      <c r="D251" s="1099"/>
      <c r="E251" s="1111"/>
    </row>
    <row r="252" spans="1:5" ht="12" x14ac:dyDescent="0.2">
      <c r="A252" s="1093"/>
      <c r="B252" s="2132" t="s">
        <v>1831</v>
      </c>
      <c r="C252" s="1099">
        <f t="shared" ref="C252:C253" si="109">AA96</f>
        <v>578.06661517835255</v>
      </c>
      <c r="D252" s="1099"/>
      <c r="E252" s="2138"/>
    </row>
    <row r="253" spans="1:5" ht="12" x14ac:dyDescent="0.2">
      <c r="A253" s="1093"/>
      <c r="B253" s="2132" t="s">
        <v>1832</v>
      </c>
      <c r="C253" s="1099">
        <f t="shared" si="109"/>
        <v>852.18149706895929</v>
      </c>
      <c r="D253" s="1099"/>
      <c r="E253" s="2138"/>
    </row>
    <row r="254" spans="1:5" ht="12" x14ac:dyDescent="0.2">
      <c r="A254" s="1093"/>
      <c r="B254" s="2132" t="s">
        <v>1833</v>
      </c>
      <c r="C254" s="1099">
        <v>0</v>
      </c>
      <c r="D254" s="1099"/>
      <c r="E254" s="1111"/>
    </row>
    <row r="255" spans="1:5" ht="12" x14ac:dyDescent="0.2">
      <c r="A255" s="1093"/>
      <c r="B255" s="2132" t="s">
        <v>1834</v>
      </c>
      <c r="C255" s="1099">
        <f>G192</f>
        <v>1011.7976824158808</v>
      </c>
      <c r="D255" s="1099"/>
      <c r="E255" s="1111"/>
    </row>
    <row r="256" spans="1:5" ht="12" x14ac:dyDescent="0.2">
      <c r="A256" s="1093"/>
      <c r="B256" s="2124" t="s">
        <v>1835</v>
      </c>
      <c r="C256" s="2136">
        <f>SUM(C257:C259)</f>
        <v>408.50550240166183</v>
      </c>
      <c r="D256" s="2136"/>
      <c r="E256" s="2137"/>
    </row>
    <row r="257" spans="1:5" ht="12" x14ac:dyDescent="0.2">
      <c r="A257" s="1093"/>
      <c r="B257" s="2132" t="s">
        <v>1830</v>
      </c>
      <c r="C257" s="1099">
        <f>Q124</f>
        <v>80.53693967673783</v>
      </c>
      <c r="D257" s="1099"/>
      <c r="E257" s="1111"/>
    </row>
    <row r="258" spans="1:5" ht="12" x14ac:dyDescent="0.2">
      <c r="A258" s="1093"/>
      <c r="B258" s="2132" t="s">
        <v>1834</v>
      </c>
      <c r="C258" s="1099">
        <f>G189</f>
        <v>116.72191786514288</v>
      </c>
      <c r="D258" s="1099"/>
      <c r="E258" s="1111"/>
    </row>
    <row r="259" spans="1:5" ht="12" x14ac:dyDescent="0.2">
      <c r="A259" s="1093"/>
      <c r="B259" s="2132" t="s">
        <v>1836</v>
      </c>
      <c r="C259" s="1099">
        <f>+O189</f>
        <v>211.24664485978113</v>
      </c>
      <c r="D259" s="1099"/>
      <c r="E259" s="1111"/>
    </row>
    <row r="260" spans="1:5" ht="12" x14ac:dyDescent="0.2">
      <c r="A260" s="1093"/>
      <c r="B260" s="2139" t="s">
        <v>1785</v>
      </c>
      <c r="C260" s="1099">
        <f t="shared" ref="C260:C261" si="110">O190</f>
        <v>79.93448726149542</v>
      </c>
      <c r="D260" s="1099"/>
      <c r="E260" s="1111"/>
    </row>
    <row r="261" spans="1:5" ht="12" x14ac:dyDescent="0.2">
      <c r="A261" s="1093"/>
      <c r="B261" s="2139" t="s">
        <v>1787</v>
      </c>
      <c r="C261" s="1099">
        <f t="shared" si="110"/>
        <v>131.31215759828569</v>
      </c>
      <c r="D261" s="1099"/>
      <c r="E261" s="1111"/>
    </row>
    <row r="262" spans="1:5" ht="12" x14ac:dyDescent="0.2">
      <c r="A262" s="1093"/>
      <c r="B262" s="2140" t="s">
        <v>1620</v>
      </c>
      <c r="C262" s="2141">
        <f>C256+C250</f>
        <v>3205.8156848937233</v>
      </c>
      <c r="D262" s="2142"/>
      <c r="E262" s="2143"/>
    </row>
    <row r="263" spans="1:5" ht="12" x14ac:dyDescent="0.2">
      <c r="A263" s="1093"/>
      <c r="B263" s="1093"/>
      <c r="C263" s="1093"/>
      <c r="D263" s="1093"/>
      <c r="E263" s="1093"/>
    </row>
  </sheetData>
  <sheetProtection algorithmName="SHA-512" hashValue="pSbnC3goMs/kpFUd9PpDEGYYK5GmfVWy+dYB3aonYDUFEjdYiaTZYci3nWs31mmNJ7hIczidsj5h+n6aHwEHiA==" saltValue="EAchO4G1dHyy+BXv/Y94cQ==" spinCount="100000" sheet="1" objects="1" scenarios="1"/>
  <mergeCells count="15">
    <mergeCell ref="CB155:CC155"/>
    <mergeCell ref="C189:E189"/>
    <mergeCell ref="C192:E192"/>
    <mergeCell ref="B2:S2"/>
    <mergeCell ref="Y4:Z4"/>
    <mergeCell ref="AH155:AN155"/>
    <mergeCell ref="AP155:AS155"/>
    <mergeCell ref="AU155:AV155"/>
    <mergeCell ref="AX155:AY155"/>
    <mergeCell ref="BA155:BF155"/>
    <mergeCell ref="BH155:BL155"/>
    <mergeCell ref="BN155:BO155"/>
    <mergeCell ref="BQ155:BS155"/>
    <mergeCell ref="BU155:BW155"/>
    <mergeCell ref="BY155:BZ155"/>
  </mergeCells>
  <printOptions gridLines="1"/>
  <pageMargins left="0.28000000000000003" right="0.25" top="0.26" bottom="0.5" header="0" footer="0"/>
  <pageSetup paperSize="5" orientation="landscape"/>
  <rowBreaks count="7" manualBreakCount="7">
    <brk id="194" man="1"/>
    <brk id="227" man="1"/>
    <brk id="120" man="1"/>
    <brk id="152" man="1"/>
    <brk id="28" man="1"/>
    <brk id="92" man="1"/>
    <brk id="63" man="1"/>
  </rowBreaks>
  <colBreaks count="1" manualBreakCount="1">
    <brk id="24" man="1"/>
  </colBreaks>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1000"/>
  <sheetViews>
    <sheetView workbookViewId="0"/>
  </sheetViews>
  <sheetFormatPr defaultColWidth="16.83203125" defaultRowHeight="15" customHeight="1" x14ac:dyDescent="0.2"/>
  <cols>
    <col min="1" max="2" width="3.83203125" customWidth="1"/>
    <col min="3" max="3" width="49.1640625" customWidth="1"/>
    <col min="4" max="4" width="15.33203125" customWidth="1"/>
    <col min="5" max="5" width="14.6640625" customWidth="1"/>
    <col min="6" max="6" width="15.1640625" customWidth="1"/>
    <col min="7" max="7" width="14.5" customWidth="1"/>
    <col min="8" max="8" width="15.1640625" customWidth="1"/>
    <col min="9" max="9" width="14.5" customWidth="1"/>
    <col min="10" max="10" width="16.33203125" customWidth="1"/>
    <col min="11" max="11" width="15.33203125" customWidth="1"/>
    <col min="12" max="12" width="13" customWidth="1"/>
    <col min="13" max="13" width="14.33203125" customWidth="1"/>
    <col min="14" max="14" width="15" customWidth="1"/>
    <col min="15" max="15" width="15.33203125" customWidth="1"/>
    <col min="16" max="17" width="15.83203125" customWidth="1"/>
    <col min="18" max="19" width="14.83203125" customWidth="1"/>
    <col min="22" max="22" width="12.6640625" customWidth="1"/>
    <col min="23" max="23" width="13.33203125" customWidth="1"/>
    <col min="24" max="24" width="13.5" customWidth="1"/>
    <col min="25" max="25" width="13" customWidth="1"/>
    <col min="26" max="28" width="14" customWidth="1"/>
  </cols>
  <sheetData>
    <row r="1" spans="1:28" ht="11.25" customHeight="1" x14ac:dyDescent="0.45">
      <c r="A1" s="2144" t="s">
        <v>1837</v>
      </c>
      <c r="B1" s="466"/>
      <c r="C1" s="466"/>
      <c r="D1" s="466"/>
      <c r="E1" s="466"/>
      <c r="F1" s="466"/>
      <c r="G1" s="466"/>
      <c r="H1" s="466"/>
      <c r="I1" s="466"/>
      <c r="J1" s="466"/>
      <c r="K1" s="482"/>
      <c r="L1" s="466"/>
      <c r="M1" s="466"/>
      <c r="N1" s="466"/>
      <c r="O1" s="466"/>
      <c r="P1" s="466"/>
    </row>
    <row r="2" spans="1:28" ht="257.25"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ht="15.75" customHeight="1" x14ac:dyDescent="0.25">
      <c r="A3" s="10"/>
      <c r="B3" s="10"/>
      <c r="C3" s="2145" t="s">
        <v>1838</v>
      </c>
      <c r="D3" s="653"/>
      <c r="E3" s="653"/>
      <c r="F3" s="653"/>
      <c r="G3" s="653"/>
      <c r="H3" s="653"/>
      <c r="I3" s="653"/>
      <c r="J3" s="653"/>
      <c r="K3" s="653"/>
      <c r="L3" s="653"/>
      <c r="M3" s="653"/>
      <c r="N3" s="653"/>
      <c r="O3" s="653"/>
      <c r="P3" s="653"/>
      <c r="Q3" s="653"/>
      <c r="R3" s="653"/>
      <c r="S3" s="653"/>
      <c r="T3" s="653"/>
      <c r="U3" s="653"/>
      <c r="V3" s="653"/>
      <c r="W3" s="653"/>
      <c r="X3" s="653"/>
      <c r="Y3" s="2146"/>
      <c r="Z3" s="2146"/>
      <c r="AA3" s="2146"/>
      <c r="AB3" s="2147"/>
    </row>
    <row r="4" spans="1:28" ht="11.25" customHeight="1" x14ac:dyDescent="0.2">
      <c r="A4" s="10"/>
      <c r="B4" s="10"/>
      <c r="C4" s="2148"/>
      <c r="D4" s="181">
        <v>1990</v>
      </c>
      <c r="E4" s="2149">
        <v>1991</v>
      </c>
      <c r="F4" s="2149">
        <v>1992</v>
      </c>
      <c r="G4" s="181">
        <v>1993</v>
      </c>
      <c r="H4" s="181">
        <v>1994</v>
      </c>
      <c r="I4" s="181">
        <v>1995</v>
      </c>
      <c r="J4" s="181">
        <v>1996</v>
      </c>
      <c r="K4" s="181">
        <v>1997</v>
      </c>
      <c r="L4" s="181">
        <v>1998</v>
      </c>
      <c r="M4" s="181">
        <v>1999</v>
      </c>
      <c r="N4" s="181">
        <v>2000</v>
      </c>
      <c r="O4" s="181">
        <v>2001</v>
      </c>
      <c r="P4" s="181">
        <v>2002</v>
      </c>
      <c r="Q4" s="181">
        <v>2003</v>
      </c>
      <c r="R4" s="181">
        <v>2004</v>
      </c>
      <c r="S4" s="181">
        <v>2005</v>
      </c>
      <c r="T4" s="181">
        <v>2006</v>
      </c>
      <c r="U4" s="181">
        <v>2007</v>
      </c>
      <c r="V4" s="181">
        <v>2008</v>
      </c>
      <c r="W4" s="181">
        <v>2009</v>
      </c>
      <c r="X4" s="181">
        <v>2010</v>
      </c>
      <c r="Y4" s="181">
        <v>2011</v>
      </c>
      <c r="Z4" s="181">
        <v>2012</v>
      </c>
      <c r="AA4" s="181">
        <v>2013</v>
      </c>
      <c r="AB4" s="2150">
        <v>2014</v>
      </c>
    </row>
    <row r="5" spans="1:28" ht="11.25" customHeight="1" x14ac:dyDescent="0.2">
      <c r="A5" s="10"/>
      <c r="B5" s="10"/>
      <c r="C5" s="2151" t="s">
        <v>1839</v>
      </c>
      <c r="D5" s="2152">
        <v>-1.3786016094899192</v>
      </c>
      <c r="E5" s="2152">
        <v>-1.3786016094898481</v>
      </c>
      <c r="F5" s="2152">
        <v>-1.378601609489861</v>
      </c>
      <c r="G5" s="2152">
        <v>-1.4529442632555916</v>
      </c>
      <c r="H5" s="2152">
        <v>-1.452944263255572</v>
      </c>
      <c r="I5" s="2152">
        <v>-1.4529442632555851</v>
      </c>
      <c r="J5" s="2152">
        <v>-1.4529442632555787</v>
      </c>
      <c r="K5" s="2152">
        <v>-1.4529442632555851</v>
      </c>
      <c r="L5" s="2152">
        <v>-1.4529442632555851</v>
      </c>
      <c r="M5" s="2152">
        <v>-4.8763551966630923</v>
      </c>
      <c r="N5" s="2152">
        <v>-10.497998270281999</v>
      </c>
      <c r="O5" s="2152">
        <v>-10.497998270282093</v>
      </c>
      <c r="P5" s="2152">
        <v>-10.497998270282045</v>
      </c>
      <c r="Q5" s="2152">
        <v>-10.497998270282059</v>
      </c>
      <c r="R5" s="2152">
        <v>-10.497998270282098</v>
      </c>
      <c r="S5" s="2152">
        <v>-10.497998270282032</v>
      </c>
      <c r="T5" s="2152">
        <v>-10.497998270282098</v>
      </c>
      <c r="U5" s="2153">
        <v>-10.497998270282098</v>
      </c>
      <c r="V5" s="2152">
        <v>-10.497998270282098</v>
      </c>
      <c r="W5" s="2152">
        <v>-10.497998270282098</v>
      </c>
      <c r="X5" s="2152">
        <v>-10.497998270282098</v>
      </c>
      <c r="Y5" s="2154">
        <v>-10.497998270282098</v>
      </c>
      <c r="Z5" s="2155">
        <v>-10.497998270282098</v>
      </c>
      <c r="AA5" s="2152">
        <v>-10.497998270282098</v>
      </c>
      <c r="AB5" s="2156">
        <v>-10.497998270282098</v>
      </c>
    </row>
    <row r="6" spans="1:28" ht="11.25" customHeight="1" x14ac:dyDescent="0.2">
      <c r="A6" s="10"/>
      <c r="B6" s="10"/>
      <c r="C6" s="2157" t="s">
        <v>1840</v>
      </c>
      <c r="D6" s="2158">
        <v>-1.1893409441380904</v>
      </c>
      <c r="E6" s="2158">
        <v>-1.1893409441380385</v>
      </c>
      <c r="F6" s="2158">
        <v>-1.1893409441380385</v>
      </c>
      <c r="G6" s="2158">
        <v>-1.1893409441380385</v>
      </c>
      <c r="H6" s="2158">
        <v>-1.1893409441380904</v>
      </c>
      <c r="I6" s="2158">
        <v>-1.1893409441380385</v>
      </c>
      <c r="J6" s="2158">
        <v>-1.1893409441380385</v>
      </c>
      <c r="K6" s="2158">
        <v>-1.1893409441380385</v>
      </c>
      <c r="L6" s="2158">
        <v>-1.1893409441380385</v>
      </c>
      <c r="M6" s="2158">
        <v>-3.5713489374136125</v>
      </c>
      <c r="N6" s="2158">
        <v>-7.4828859971418584</v>
      </c>
      <c r="O6" s="2158">
        <v>-7.4828859971419632</v>
      </c>
      <c r="P6" s="2158">
        <v>-7.4828859971419108</v>
      </c>
      <c r="Q6" s="2158">
        <v>-7.4828859971419108</v>
      </c>
      <c r="R6" s="2158">
        <v>-7.4828859971419632</v>
      </c>
      <c r="S6" s="2158">
        <v>-7.4828859971419108</v>
      </c>
      <c r="T6" s="2158">
        <v>-7.4828859971419632</v>
      </c>
      <c r="U6" s="2159">
        <v>-7.4828859971419632</v>
      </c>
      <c r="V6" s="2158">
        <v>-7.4828859971419632</v>
      </c>
      <c r="W6" s="2158">
        <v>-7.4828859971419632</v>
      </c>
      <c r="X6" s="2158">
        <v>-7.4828859971419632</v>
      </c>
      <c r="Y6" s="2160">
        <v>-7.4828859971419632</v>
      </c>
      <c r="Z6" s="2161">
        <v>-7.4828859971419632</v>
      </c>
      <c r="AA6" s="2158">
        <v>-7.4828859971419632</v>
      </c>
      <c r="AB6" s="2162">
        <v>-7.4828859971419632</v>
      </c>
    </row>
    <row r="7" spans="1:28" ht="11.25" customHeight="1" x14ac:dyDescent="0.2">
      <c r="A7" s="10"/>
      <c r="B7" s="10"/>
      <c r="C7" s="2157" t="s">
        <v>1841</v>
      </c>
      <c r="D7" s="2158">
        <v>-0.22520706970959853</v>
      </c>
      <c r="E7" s="2158">
        <v>-0.22520706970959203</v>
      </c>
      <c r="F7" s="2158">
        <v>-0.22520706970959203</v>
      </c>
      <c r="G7" s="2158">
        <v>-0.22520706970959853</v>
      </c>
      <c r="H7" s="2158">
        <v>-0.22520706970959203</v>
      </c>
      <c r="I7" s="2158">
        <v>-0.22520706970959203</v>
      </c>
      <c r="J7" s="2158">
        <v>-0.22520706970959203</v>
      </c>
      <c r="K7" s="2158">
        <v>-0.22520706970959853</v>
      </c>
      <c r="L7" s="2158">
        <v>-0.22520706970959203</v>
      </c>
      <c r="M7" s="2158">
        <v>-0.67819876681679081</v>
      </c>
      <c r="N7" s="2158">
        <v>-1.4220643692774915</v>
      </c>
      <c r="O7" s="2158">
        <v>-1.4220643692774655</v>
      </c>
      <c r="P7" s="2158">
        <v>-1.4220643692774786</v>
      </c>
      <c r="Q7" s="2158">
        <v>-1.4220643692774915</v>
      </c>
      <c r="R7" s="2158">
        <v>-1.4220643692774786</v>
      </c>
      <c r="S7" s="2158">
        <v>-1.4220643692774655</v>
      </c>
      <c r="T7" s="2158">
        <v>-1.4220643692774786</v>
      </c>
      <c r="U7" s="2159">
        <v>-1.4220643692774786</v>
      </c>
      <c r="V7" s="2158">
        <v>-1.4220643692774786</v>
      </c>
      <c r="W7" s="2158">
        <v>-1.4220643692774786</v>
      </c>
      <c r="X7" s="2158">
        <v>-1.4220643692774786</v>
      </c>
      <c r="Y7" s="2160">
        <v>-1.4220643692774786</v>
      </c>
      <c r="Z7" s="2161">
        <v>-1.4220643692774786</v>
      </c>
      <c r="AA7" s="2158">
        <v>-1.4220643692774786</v>
      </c>
      <c r="AB7" s="2162">
        <v>-1.4220643692774786</v>
      </c>
    </row>
    <row r="8" spans="1:28" ht="11.25" customHeight="1" x14ac:dyDescent="0.2">
      <c r="A8" s="10"/>
      <c r="B8" s="10"/>
      <c r="C8" s="2157" t="s">
        <v>1842</v>
      </c>
      <c r="D8" s="2158">
        <v>-9.9749329396212019E-2</v>
      </c>
      <c r="E8" s="2158">
        <v>-9.9749329396198988E-2</v>
      </c>
      <c r="F8" s="2158">
        <v>-9.9749329396212019E-2</v>
      </c>
      <c r="G8" s="2158">
        <v>-9.9749329396212019E-2</v>
      </c>
      <c r="H8" s="2158">
        <v>-9.9749329396198988E-2</v>
      </c>
      <c r="I8" s="2158">
        <v>-9.9749329396212019E-2</v>
      </c>
      <c r="J8" s="2158">
        <v>-9.9749329396205511E-2</v>
      </c>
      <c r="K8" s="2158">
        <v>-9.9749329396205511E-2</v>
      </c>
      <c r="L8" s="2158">
        <v>-9.9749329396212019E-2</v>
      </c>
      <c r="M8" s="2158">
        <v>-0.28332848191679949</v>
      </c>
      <c r="N8" s="2158">
        <v>-0.58478702466936561</v>
      </c>
      <c r="O8" s="2158">
        <v>-0.58478702466937205</v>
      </c>
      <c r="P8" s="2158">
        <v>-0.58478702466937205</v>
      </c>
      <c r="Q8" s="2158">
        <v>-0.58478702466937205</v>
      </c>
      <c r="R8" s="2158">
        <v>-0.58478702466937205</v>
      </c>
      <c r="S8" s="2158">
        <v>-0.58478702466937205</v>
      </c>
      <c r="T8" s="2158">
        <v>-0.58478702466937205</v>
      </c>
      <c r="U8" s="2159">
        <v>-0.58478702466937205</v>
      </c>
      <c r="V8" s="2158">
        <v>-0.58478702466937205</v>
      </c>
      <c r="W8" s="2158">
        <v>-0.58478702466937205</v>
      </c>
      <c r="X8" s="2158">
        <v>-0.58478702466937205</v>
      </c>
      <c r="Y8" s="2160">
        <v>-0.58478702466937205</v>
      </c>
      <c r="Z8" s="2161">
        <v>-0.58478702466937205</v>
      </c>
      <c r="AA8" s="2158">
        <v>-0.58478702466937205</v>
      </c>
      <c r="AB8" s="2162">
        <v>-0.58478702466937205</v>
      </c>
    </row>
    <row r="9" spans="1:28" ht="11.25" customHeight="1" x14ac:dyDescent="0.2">
      <c r="A9" s="10"/>
      <c r="B9" s="10"/>
      <c r="C9" s="2157" t="s">
        <v>1761</v>
      </c>
      <c r="D9" s="2158">
        <v>0.18749263985187525</v>
      </c>
      <c r="E9" s="2158">
        <v>0.18749263985187525</v>
      </c>
      <c r="F9" s="2158">
        <v>0.18749263985187525</v>
      </c>
      <c r="G9" s="2158">
        <v>0.18749263985187525</v>
      </c>
      <c r="H9" s="2158">
        <v>0.18749263985187525</v>
      </c>
      <c r="I9" s="2158">
        <v>0.18749263985187525</v>
      </c>
      <c r="J9" s="2158">
        <v>0.18749263985187525</v>
      </c>
      <c r="K9" s="2158">
        <v>0.18749263985187525</v>
      </c>
      <c r="L9" s="2158">
        <v>0.18749263985187525</v>
      </c>
      <c r="M9" s="2158">
        <v>2.8708282540942893E-2</v>
      </c>
      <c r="N9" s="2158">
        <v>-0.23203429258065059</v>
      </c>
      <c r="O9" s="2158">
        <v>-0.23203429258065711</v>
      </c>
      <c r="P9" s="2158">
        <v>-0.23203429258065059</v>
      </c>
      <c r="Q9" s="2158">
        <v>-0.23203429258065059</v>
      </c>
      <c r="R9" s="2158">
        <v>-0.23203429258065059</v>
      </c>
      <c r="S9" s="2158">
        <v>-0.23203429258065059</v>
      </c>
      <c r="T9" s="2158">
        <v>-0.23203429258065059</v>
      </c>
      <c r="U9" s="2159">
        <v>-0.23203429258065059</v>
      </c>
      <c r="V9" s="2158">
        <v>-0.23203429258065059</v>
      </c>
      <c r="W9" s="2158">
        <v>-0.23203429258065059</v>
      </c>
      <c r="X9" s="2158">
        <v>-0.23203429258065059</v>
      </c>
      <c r="Y9" s="2160">
        <v>-0.23203429258065059</v>
      </c>
      <c r="Z9" s="2161">
        <v>-0.23203429258065059</v>
      </c>
      <c r="AA9" s="2158">
        <v>-0.23203429258065059</v>
      </c>
      <c r="AB9" s="2162">
        <v>-0.23203429258065059</v>
      </c>
    </row>
    <row r="10" spans="1:28" ht="11.25" customHeight="1" x14ac:dyDescent="0.2">
      <c r="A10" s="10"/>
      <c r="B10" s="10"/>
      <c r="C10" s="2163" t="s">
        <v>1843</v>
      </c>
      <c r="D10" s="2164">
        <v>0.59866658180080867</v>
      </c>
      <c r="E10" s="2164">
        <v>0.59866658180080867</v>
      </c>
      <c r="F10" s="2164">
        <v>0.59866658180080867</v>
      </c>
      <c r="G10" s="2164">
        <v>0.59866658180080867</v>
      </c>
      <c r="H10" s="2164">
        <v>0.59866658180086074</v>
      </c>
      <c r="I10" s="2164">
        <v>0.59866658180080867</v>
      </c>
      <c r="J10" s="2164">
        <v>0.59866658180080867</v>
      </c>
      <c r="K10" s="2164">
        <v>0.59866658180080867</v>
      </c>
      <c r="L10" s="2164">
        <v>0.59866658180080867</v>
      </c>
      <c r="M10" s="2164">
        <v>0.35261884860759568</v>
      </c>
      <c r="N10" s="2164">
        <v>-5.1420444948206523E-2</v>
      </c>
      <c r="O10" s="2164">
        <v>-5.1420444948206523E-2</v>
      </c>
      <c r="P10" s="2164">
        <v>-5.1420444948206523E-2</v>
      </c>
      <c r="Q10" s="2164">
        <v>-5.1420444948206523E-2</v>
      </c>
      <c r="R10" s="2164">
        <v>-5.1420444948206523E-2</v>
      </c>
      <c r="S10" s="2164">
        <v>-5.1420444948206523E-2</v>
      </c>
      <c r="T10" s="2164">
        <v>-5.1420444948206523E-2</v>
      </c>
      <c r="U10" s="2165">
        <v>-5.1420444948206523E-2</v>
      </c>
      <c r="V10" s="2164">
        <v>-5.1420444948206523E-2</v>
      </c>
      <c r="W10" s="2164">
        <v>-5.1420444948206523E-2</v>
      </c>
      <c r="X10" s="2164">
        <v>-5.1420444948206523E-2</v>
      </c>
      <c r="Y10" s="2164">
        <v>-5.1420444948206523E-2</v>
      </c>
      <c r="Z10" s="2166">
        <v>-5.1420444948206523E-2</v>
      </c>
      <c r="AA10" s="2164">
        <v>-5.1420444948206523E-2</v>
      </c>
      <c r="AB10" s="2167">
        <v>-5.1420444948206523E-2</v>
      </c>
    </row>
    <row r="11" spans="1:28" ht="11.25" customHeight="1" x14ac:dyDescent="0.2">
      <c r="A11" s="10"/>
      <c r="B11" s="10"/>
      <c r="C11" s="2168" t="s">
        <v>1844</v>
      </c>
      <c r="D11" s="2158">
        <v>-0.65046348789870234</v>
      </c>
      <c r="E11" s="2158">
        <v>-0.65046348789870234</v>
      </c>
      <c r="F11" s="2158">
        <v>-0.65046348789870234</v>
      </c>
      <c r="G11" s="2158">
        <v>-0.72480614166442658</v>
      </c>
      <c r="H11" s="2158">
        <v>-0.72480614166442658</v>
      </c>
      <c r="I11" s="2158">
        <v>-0.72480614166442658</v>
      </c>
      <c r="J11" s="2158">
        <v>-0.72480614166442658</v>
      </c>
      <c r="K11" s="2158">
        <v>-0.72480614166442658</v>
      </c>
      <c r="L11" s="2158">
        <v>-0.72480614166442658</v>
      </c>
      <c r="M11" s="2158">
        <v>-0.72480614166442658</v>
      </c>
      <c r="N11" s="2158">
        <v>-0.72480614166442658</v>
      </c>
      <c r="O11" s="2158">
        <v>-0.72480614166442658</v>
      </c>
      <c r="P11" s="2158">
        <v>-0.72480614166442658</v>
      </c>
      <c r="Q11" s="2158">
        <v>-0.72480614166442658</v>
      </c>
      <c r="R11" s="2158">
        <v>-0.72480614166442658</v>
      </c>
      <c r="S11" s="2158">
        <v>-0.72480614166442658</v>
      </c>
      <c r="T11" s="2158">
        <v>-0.72480614166442658</v>
      </c>
      <c r="U11" s="2159">
        <v>-0.72480614166442658</v>
      </c>
      <c r="V11" s="2158">
        <v>-0.72480614166442658</v>
      </c>
      <c r="W11" s="2158">
        <v>-0.72480614166442658</v>
      </c>
      <c r="X11" s="2158">
        <v>-0.72480614166442658</v>
      </c>
      <c r="Y11" s="2160">
        <v>-0.72480614166442658</v>
      </c>
      <c r="Z11" s="2161">
        <v>-0.72480614166442658</v>
      </c>
      <c r="AA11" s="2158">
        <v>-0.72480614166442658</v>
      </c>
      <c r="AB11" s="2162">
        <v>-0.72480614166442658</v>
      </c>
    </row>
    <row r="12" spans="1:28" ht="11.25" customHeight="1" x14ac:dyDescent="0.2">
      <c r="A12" s="10"/>
      <c r="B12" s="10"/>
      <c r="C12" s="2169" t="s">
        <v>1845</v>
      </c>
      <c r="D12" s="2158">
        <v>0</v>
      </c>
      <c r="E12" s="2158">
        <v>0</v>
      </c>
      <c r="F12" s="2158">
        <v>0</v>
      </c>
      <c r="G12" s="2158">
        <v>0</v>
      </c>
      <c r="H12" s="2158">
        <v>0</v>
      </c>
      <c r="I12" s="2158">
        <v>0</v>
      </c>
      <c r="J12" s="2158">
        <v>0</v>
      </c>
      <c r="K12" s="2158">
        <v>0</v>
      </c>
      <c r="L12" s="2158">
        <v>0</v>
      </c>
      <c r="M12" s="2158">
        <v>0</v>
      </c>
      <c r="N12" s="2158">
        <v>0</v>
      </c>
      <c r="O12" s="2158">
        <v>0</v>
      </c>
      <c r="P12" s="2158">
        <v>0</v>
      </c>
      <c r="Q12" s="2158">
        <v>0</v>
      </c>
      <c r="R12" s="2158">
        <v>0</v>
      </c>
      <c r="S12" s="2158">
        <v>0</v>
      </c>
      <c r="T12" s="2158">
        <v>0</v>
      </c>
      <c r="U12" s="2159">
        <v>0</v>
      </c>
      <c r="V12" s="2158">
        <v>0</v>
      </c>
      <c r="W12" s="2158">
        <v>0</v>
      </c>
      <c r="X12" s="2158">
        <v>0</v>
      </c>
      <c r="Y12" s="2158">
        <v>3.0113599999999994E-2</v>
      </c>
      <c r="Z12" s="2170">
        <v>0</v>
      </c>
      <c r="AA12" s="2171">
        <v>0</v>
      </c>
      <c r="AB12" s="2162">
        <f>AB13+AB14</f>
        <v>3.0866439999999998E-2</v>
      </c>
    </row>
    <row r="13" spans="1:28" ht="11.25" customHeight="1" x14ac:dyDescent="0.2">
      <c r="A13" s="10"/>
      <c r="B13" s="10"/>
      <c r="C13" s="2172" t="s">
        <v>1121</v>
      </c>
      <c r="D13" s="2158">
        <v>0</v>
      </c>
      <c r="E13" s="2158">
        <v>0</v>
      </c>
      <c r="F13" s="2158">
        <v>0</v>
      </c>
      <c r="G13" s="2158">
        <v>0</v>
      </c>
      <c r="H13" s="2158">
        <v>0</v>
      </c>
      <c r="I13" s="2158">
        <v>0</v>
      </c>
      <c r="J13" s="2158">
        <v>0</v>
      </c>
      <c r="K13" s="2158">
        <v>0</v>
      </c>
      <c r="L13" s="2158">
        <v>0</v>
      </c>
      <c r="M13" s="2158">
        <v>0</v>
      </c>
      <c r="N13" s="2158">
        <v>0</v>
      </c>
      <c r="O13" s="2158">
        <v>0</v>
      </c>
      <c r="P13" s="2158">
        <v>0</v>
      </c>
      <c r="Q13" s="2158">
        <v>0</v>
      </c>
      <c r="R13" s="2158">
        <v>0</v>
      </c>
      <c r="S13" s="2158">
        <v>0</v>
      </c>
      <c r="T13" s="2158">
        <v>0</v>
      </c>
      <c r="U13" s="2159">
        <v>0</v>
      </c>
      <c r="V13" s="2158">
        <v>0</v>
      </c>
      <c r="W13" s="2158">
        <v>0</v>
      </c>
      <c r="X13" s="2158">
        <v>0</v>
      </c>
      <c r="Y13" s="2158">
        <v>3.0113599999999994E-2</v>
      </c>
      <c r="Z13" s="2170">
        <v>0</v>
      </c>
      <c r="AA13" s="2171">
        <v>0</v>
      </c>
      <c r="AB13" s="2162">
        <v>3.0866439999999998E-2</v>
      </c>
    </row>
    <row r="14" spans="1:28" ht="11.25" customHeight="1" x14ac:dyDescent="0.2">
      <c r="A14" s="10"/>
      <c r="B14" s="10"/>
      <c r="C14" s="2172" t="s">
        <v>1122</v>
      </c>
      <c r="D14" s="2158">
        <v>0</v>
      </c>
      <c r="E14" s="2158">
        <v>0</v>
      </c>
      <c r="F14" s="2158">
        <v>0</v>
      </c>
      <c r="G14" s="2158">
        <v>0</v>
      </c>
      <c r="H14" s="2158">
        <v>0</v>
      </c>
      <c r="I14" s="2158">
        <v>0</v>
      </c>
      <c r="J14" s="2158">
        <v>0</v>
      </c>
      <c r="K14" s="2158">
        <v>0</v>
      </c>
      <c r="L14" s="2158">
        <v>0</v>
      </c>
      <c r="M14" s="2158">
        <v>0</v>
      </c>
      <c r="N14" s="2158">
        <v>0</v>
      </c>
      <c r="O14" s="2158">
        <v>0</v>
      </c>
      <c r="P14" s="2158">
        <v>0</v>
      </c>
      <c r="Q14" s="2158">
        <v>0</v>
      </c>
      <c r="R14" s="2158">
        <v>0</v>
      </c>
      <c r="S14" s="2158">
        <v>0</v>
      </c>
      <c r="T14" s="2158">
        <v>0</v>
      </c>
      <c r="U14" s="2159">
        <v>0</v>
      </c>
      <c r="V14" s="2158">
        <v>0</v>
      </c>
      <c r="W14" s="2158">
        <v>0</v>
      </c>
      <c r="X14" s="2158">
        <v>0</v>
      </c>
      <c r="Y14" s="2158">
        <v>0</v>
      </c>
      <c r="Z14" s="2170">
        <v>0</v>
      </c>
      <c r="AA14" s="2171">
        <v>0</v>
      </c>
      <c r="AB14" s="2162">
        <v>0</v>
      </c>
    </row>
    <row r="15" spans="1:28" ht="11.25" customHeight="1" x14ac:dyDescent="0.2">
      <c r="A15" s="10"/>
      <c r="B15" s="10"/>
      <c r="C15" s="2173" t="s">
        <v>1846</v>
      </c>
      <c r="D15" s="2174">
        <v>4.5533313979860286E-3</v>
      </c>
      <c r="E15" s="2174">
        <v>6.2814607033777857E-3</v>
      </c>
      <c r="F15" s="2174">
        <v>6.6705218784964757E-3</v>
      </c>
      <c r="G15" s="2174">
        <v>6.2737115727720819E-3</v>
      </c>
      <c r="H15" s="2174">
        <v>6.9904755511203849E-3</v>
      </c>
      <c r="I15" s="2174">
        <v>5.7743596722005493E-3</v>
      </c>
      <c r="J15" s="2174">
        <v>6.6635404759744768E-3</v>
      </c>
      <c r="K15" s="2174">
        <v>8.1949637424778479E-3</v>
      </c>
      <c r="L15" s="2174">
        <v>7.6812272521092264E-3</v>
      </c>
      <c r="M15" s="2174">
        <v>7.9880350781698865E-3</v>
      </c>
      <c r="N15" s="2174">
        <v>9.5535736792766637E-3</v>
      </c>
      <c r="O15" s="2174">
        <v>8.213225558680334E-3</v>
      </c>
      <c r="P15" s="2174">
        <v>8.2133998608969125E-3</v>
      </c>
      <c r="Q15" s="2174">
        <v>7.5342492364450083E-3</v>
      </c>
      <c r="R15" s="2174">
        <v>1.0193971997943693E-2</v>
      </c>
      <c r="S15" s="2174">
        <v>6.6942203271946532E-3</v>
      </c>
      <c r="T15" s="2174">
        <v>5.1482567963954153E-3</v>
      </c>
      <c r="U15" s="2175">
        <v>4.547456758956802E-3</v>
      </c>
      <c r="V15" s="2174">
        <v>7.0509437842087757E-3</v>
      </c>
      <c r="W15" s="2174">
        <v>7.0509437842087757E-3</v>
      </c>
      <c r="X15" s="2174">
        <v>7.0509437842087757E-3</v>
      </c>
      <c r="Y15" s="2176">
        <v>2.4899797999999994E-2</v>
      </c>
      <c r="Z15" s="2177">
        <v>7.3514581012256233E-3</v>
      </c>
      <c r="AA15" s="2174">
        <v>7.3514581012256233E-3</v>
      </c>
      <c r="AB15" s="2178">
        <v>1.8010571329999999E-2</v>
      </c>
    </row>
    <row r="16" spans="1:28" ht="11.25" customHeight="1" x14ac:dyDescent="0.2">
      <c r="A16" s="10"/>
      <c r="B16" s="10"/>
      <c r="C16" s="2179" t="s">
        <v>1847</v>
      </c>
      <c r="D16" s="2180">
        <v>-1.269896023</v>
      </c>
      <c r="E16" s="2180">
        <v>-1.2963562886999997</v>
      </c>
      <c r="F16" s="2180">
        <v>-1.3228165543999999</v>
      </c>
      <c r="G16" s="2180">
        <v>-1.3492768200999998</v>
      </c>
      <c r="H16" s="2180">
        <v>-1.3757370857999998</v>
      </c>
      <c r="I16" s="2180">
        <v>-1.4021973514999995</v>
      </c>
      <c r="J16" s="2180">
        <v>-1.4286576171999996</v>
      </c>
      <c r="K16" s="2180">
        <v>-1.4551178828999993</v>
      </c>
      <c r="L16" s="2180">
        <v>-1.4815781485999997</v>
      </c>
      <c r="M16" s="2180">
        <v>-1.5080384142999992</v>
      </c>
      <c r="N16" s="2180">
        <v>-1.5344986799999998</v>
      </c>
      <c r="O16" s="2180">
        <v>-1.5609589457000037</v>
      </c>
      <c r="P16" s="2180">
        <v>-1.5874192114000076</v>
      </c>
      <c r="Q16" s="2180">
        <v>-1.613879477100002</v>
      </c>
      <c r="R16" s="2180">
        <v>-1.6403397428000059</v>
      </c>
      <c r="S16" s="2180">
        <v>-1.6668000084999999</v>
      </c>
      <c r="T16" s="2180">
        <v>-1.1694595733333335</v>
      </c>
      <c r="U16" s="2181">
        <v>-1.7197205399000073</v>
      </c>
      <c r="V16" s="2180">
        <v>-1.2040305200000001</v>
      </c>
      <c r="W16" s="2180">
        <v>-1.2040305200000001</v>
      </c>
      <c r="X16" s="2180">
        <v>-1.2040305200000001</v>
      </c>
      <c r="Y16" s="2182">
        <v>-1.2578329866666667</v>
      </c>
      <c r="Z16" s="2183">
        <v>-1.2216594133333336</v>
      </c>
      <c r="AA16" s="2180">
        <v>-1.2216594133333336</v>
      </c>
      <c r="AB16" s="2184">
        <v>-1.0929227026699999</v>
      </c>
    </row>
    <row r="17" spans="1:28" ht="11.25" customHeight="1" x14ac:dyDescent="0.2">
      <c r="A17" s="10"/>
      <c r="B17" s="10"/>
      <c r="C17" s="2185" t="s">
        <v>1848</v>
      </c>
      <c r="D17" s="2186">
        <v>-0.45749848141087734</v>
      </c>
      <c r="E17" s="2186">
        <v>-0.43364243245915407</v>
      </c>
      <c r="F17" s="2186">
        <v>-0.42685899692008078</v>
      </c>
      <c r="G17" s="2186">
        <v>-0.37186678024305642</v>
      </c>
      <c r="H17" s="2186">
        <v>-0.32704599092527553</v>
      </c>
      <c r="I17" s="2186">
        <v>-0.26898025396719133</v>
      </c>
      <c r="J17" s="2186">
        <v>-0.21992671139543396</v>
      </c>
      <c r="K17" s="2186">
        <v>-0.23260303177156461</v>
      </c>
      <c r="L17" s="2186">
        <v>-0.22923912671305591</v>
      </c>
      <c r="M17" s="2186">
        <v>-0.21234060426161178</v>
      </c>
      <c r="N17" s="2186">
        <v>-0.21231676947693673</v>
      </c>
      <c r="O17" s="2186">
        <v>-0.21802405505873565</v>
      </c>
      <c r="P17" s="2186">
        <v>-0.22263432394918187</v>
      </c>
      <c r="Q17" s="2186">
        <v>-0.19197427112010765</v>
      </c>
      <c r="R17" s="2186">
        <v>-0.18744340397737064</v>
      </c>
      <c r="S17" s="2186">
        <v>-0.18674581868934073</v>
      </c>
      <c r="T17" s="2186">
        <v>-0.18467683894012488</v>
      </c>
      <c r="U17" s="2187">
        <v>-0.16284073022072465</v>
      </c>
      <c r="V17" s="2186">
        <v>5.0852245124945156E-2</v>
      </c>
      <c r="W17" s="2186">
        <v>5.0852245124945156E-2</v>
      </c>
      <c r="X17" s="2186">
        <v>5.0852245124945156E-2</v>
      </c>
      <c r="Y17" s="2188">
        <v>-0.21822819744427552</v>
      </c>
      <c r="Z17" s="2189">
        <v>5.0837553556935658E-2</v>
      </c>
      <c r="AA17" s="2186">
        <v>5.0837553556935658E-2</v>
      </c>
      <c r="AB17" s="2190">
        <f>AB18+AB19+AB20+AB21</f>
        <v>-0.18595409998000001</v>
      </c>
    </row>
    <row r="18" spans="1:28" ht="11.25" customHeight="1" x14ac:dyDescent="0.2">
      <c r="A18" s="10"/>
      <c r="B18" s="10"/>
      <c r="C18" s="2168" t="s">
        <v>1849</v>
      </c>
      <c r="D18" s="2158">
        <v>-3.7476700839395673E-2</v>
      </c>
      <c r="E18" s="2158">
        <v>-3.4907486993188359E-2</v>
      </c>
      <c r="F18" s="2158">
        <v>-3.3956433101933331E-2</v>
      </c>
      <c r="G18" s="2158">
        <v>-2.6768294538661811E-2</v>
      </c>
      <c r="H18" s="2158">
        <v>-2.1634723729736641E-2</v>
      </c>
      <c r="I18" s="2158">
        <v>-1.5251642043051579E-2</v>
      </c>
      <c r="J18" s="2158">
        <v>-9.7205305233770221E-3</v>
      </c>
      <c r="K18" s="2158">
        <v>-9.6416153842099929E-3</v>
      </c>
      <c r="L18" s="2158">
        <v>-9.8250129492662552E-3</v>
      </c>
      <c r="M18" s="2158">
        <v>-8.4139027294219196E-3</v>
      </c>
      <c r="N18" s="2158">
        <v>-8.262806853943306E-3</v>
      </c>
      <c r="O18" s="2158">
        <v>-9.8924974622418057E-3</v>
      </c>
      <c r="P18" s="2158">
        <v>-1.1141026710961115E-2</v>
      </c>
      <c r="Q18" s="2158">
        <v>-7.7906107871290632E-3</v>
      </c>
      <c r="R18" s="2158">
        <v>-6.5853399756642065E-3</v>
      </c>
      <c r="S18" s="2158">
        <v>-7.6898202626143565E-3</v>
      </c>
      <c r="T18" s="2158">
        <v>-8.4802520728281365E-3</v>
      </c>
      <c r="U18" s="2159">
        <v>-8.376949107391226E-3</v>
      </c>
      <c r="V18" s="2158">
        <v>8.4185061070533689E-3</v>
      </c>
      <c r="W18" s="2158">
        <v>8.4185061070533689E-3</v>
      </c>
      <c r="X18" s="2158">
        <v>8.4185061070533689E-3</v>
      </c>
      <c r="Y18" s="2158">
        <v>-1.2684842167839765E-2</v>
      </c>
      <c r="Z18" s="2161">
        <v>7.3287352336071192E-3</v>
      </c>
      <c r="AA18" s="2158">
        <v>7.3287352336071192E-3</v>
      </c>
      <c r="AB18" s="2162">
        <v>-1.061836128E-2</v>
      </c>
    </row>
    <row r="19" spans="1:28" ht="11.25" customHeight="1" x14ac:dyDescent="0.2">
      <c r="A19" s="10"/>
      <c r="B19" s="10"/>
      <c r="C19" s="2168" t="s">
        <v>1850</v>
      </c>
      <c r="D19" s="2158">
        <v>-0.18775413189431356</v>
      </c>
      <c r="E19" s="2158">
        <v>-0.18022086497482728</v>
      </c>
      <c r="F19" s="2158">
        <v>-0.17725456687430405</v>
      </c>
      <c r="G19" s="2158">
        <v>-0.15457553207368552</v>
      </c>
      <c r="H19" s="2158">
        <v>-0.1370890806126181</v>
      </c>
      <c r="I19" s="2158">
        <v>-0.11490029065098975</v>
      </c>
      <c r="J19" s="2158">
        <v>-9.4437431702286481E-2</v>
      </c>
      <c r="K19" s="2158">
        <v>-9.0327202862476114E-2</v>
      </c>
      <c r="L19" s="2158">
        <v>-8.7314694700182285E-2</v>
      </c>
      <c r="M19" s="2158">
        <v>-7.9610900883203689E-2</v>
      </c>
      <c r="N19" s="2158">
        <v>-7.5857996251008739E-2</v>
      </c>
      <c r="O19" s="2158">
        <v>-7.7904726685860848E-2</v>
      </c>
      <c r="P19" s="2158">
        <v>-7.9271780263166489E-2</v>
      </c>
      <c r="Q19" s="2158">
        <v>-6.6647250455588614E-2</v>
      </c>
      <c r="R19" s="2158">
        <v>-6.0326814607326244E-2</v>
      </c>
      <c r="S19" s="2158">
        <v>-6.1632909805335728E-2</v>
      </c>
      <c r="T19" s="2158">
        <v>-6.1942198859260007E-2</v>
      </c>
      <c r="U19" s="2159">
        <v>-5.8310081401474693E-2</v>
      </c>
      <c r="V19" s="2158">
        <v>3.4326132013239918E-2</v>
      </c>
      <c r="W19" s="2158">
        <v>3.4326132013239918E-2</v>
      </c>
      <c r="X19" s="2158">
        <v>3.4326132013239918E-2</v>
      </c>
      <c r="Y19" s="2158">
        <v>-7.0873721137987705E-2</v>
      </c>
      <c r="Z19" s="2161">
        <v>3.3156857943058823E-2</v>
      </c>
      <c r="AA19" s="2158">
        <v>3.3156857943058823E-2</v>
      </c>
      <c r="AB19" s="2162">
        <v>-5.6721999869999998E-2</v>
      </c>
    </row>
    <row r="20" spans="1:28" ht="11.25" customHeight="1" x14ac:dyDescent="0.2">
      <c r="A20" s="10"/>
      <c r="B20" s="10"/>
      <c r="C20" s="2168" t="s">
        <v>1851</v>
      </c>
      <c r="D20" s="2158">
        <v>-0.18694640365122364</v>
      </c>
      <c r="E20" s="2158">
        <v>-0.17896310951941205</v>
      </c>
      <c r="F20" s="2158">
        <v>-0.17570136813684348</v>
      </c>
      <c r="G20" s="2158">
        <v>-0.15213572116687116</v>
      </c>
      <c r="H20" s="2158">
        <v>-0.13396072119164659</v>
      </c>
      <c r="I20" s="2158">
        <v>-0.11097178454709297</v>
      </c>
      <c r="J20" s="2158">
        <v>-8.9799974989547685E-2</v>
      </c>
      <c r="K20" s="2158">
        <v>-8.5513503357103518E-2</v>
      </c>
      <c r="L20" s="2158">
        <v>-8.236667140618352E-2</v>
      </c>
      <c r="M20" s="2158">
        <v>-7.4392552342463808E-2</v>
      </c>
      <c r="N20" s="2158">
        <v>-7.0503599926044672E-2</v>
      </c>
      <c r="O20" s="2158">
        <v>-7.259815664929449E-2</v>
      </c>
      <c r="P20" s="2158">
        <v>-7.3990353815439516E-2</v>
      </c>
      <c r="Q20" s="2158">
        <v>-6.0964628330083773E-2</v>
      </c>
      <c r="R20" s="2158">
        <v>-5.4456453367069189E-2</v>
      </c>
      <c r="S20" s="2158">
        <v>-5.5714975515899441E-2</v>
      </c>
      <c r="T20" s="2158">
        <v>-5.6039595623909609E-2</v>
      </c>
      <c r="U20" s="2159">
        <v>-5.2671991717843709E-2</v>
      </c>
      <c r="V20" s="2158">
        <v>2.9728709270938528E-2</v>
      </c>
      <c r="W20" s="2158">
        <v>2.9728709270938528E-2</v>
      </c>
      <c r="X20" s="2158">
        <v>2.9728709270938528E-2</v>
      </c>
      <c r="Y20" s="2158">
        <v>-6.4577261430635649E-2</v>
      </c>
      <c r="Z20" s="2161">
        <v>2.8850093130142869E-2</v>
      </c>
      <c r="AA20" s="2158">
        <v>2.8850093130142869E-2</v>
      </c>
      <c r="AB20" s="2162">
        <v>-5.1412480519999998E-2</v>
      </c>
    </row>
    <row r="21" spans="1:28" ht="11.25" customHeight="1" x14ac:dyDescent="0.2">
      <c r="A21" s="10"/>
      <c r="B21" s="10"/>
      <c r="C21" s="2168" t="s">
        <v>1852</v>
      </c>
      <c r="D21" s="2158">
        <v>-4.5321245025944507E-2</v>
      </c>
      <c r="E21" s="2158">
        <v>-3.9550970971726385E-2</v>
      </c>
      <c r="F21" s="2158">
        <v>-3.9946628806999944E-2</v>
      </c>
      <c r="G21" s="2158">
        <v>-3.8387232463837885E-2</v>
      </c>
      <c r="H21" s="2158">
        <v>-3.4361465391274236E-2</v>
      </c>
      <c r="I21" s="2158">
        <v>-2.7856536726057032E-2</v>
      </c>
      <c r="J21" s="2158">
        <v>-2.596877418022274E-2</v>
      </c>
      <c r="K21" s="2158">
        <v>-4.7120710167774971E-2</v>
      </c>
      <c r="L21" s="2158">
        <v>-4.9732747657423845E-2</v>
      </c>
      <c r="M21" s="2158">
        <v>-4.9923248306522353E-2</v>
      </c>
      <c r="N21" s="2158">
        <v>-5.7692366445940002E-2</v>
      </c>
      <c r="O21" s="2158">
        <v>-5.7628674261338532E-2</v>
      </c>
      <c r="P21" s="2158">
        <v>-5.8231163159614727E-2</v>
      </c>
      <c r="Q21" s="2158">
        <v>-5.6571781547306216E-2</v>
      </c>
      <c r="R21" s="2158">
        <v>-6.6074796027310992E-2</v>
      </c>
      <c r="S21" s="2158">
        <v>-6.1708113105491215E-2</v>
      </c>
      <c r="T21" s="2158">
        <v>-5.821479238412712E-2</v>
      </c>
      <c r="U21" s="2159">
        <v>-4.3481707994015018E-2</v>
      </c>
      <c r="V21" s="2158">
        <v>-2.1621102266286659E-2</v>
      </c>
      <c r="W21" s="2158">
        <v>-2.1621102266286659E-2</v>
      </c>
      <c r="X21" s="2158">
        <v>-2.1621102266286659E-2</v>
      </c>
      <c r="Y21" s="2158">
        <v>-7.0092372707812392E-2</v>
      </c>
      <c r="Z21" s="2161">
        <v>-1.849813274987315E-2</v>
      </c>
      <c r="AA21" s="2158">
        <v>-1.849813274987315E-2</v>
      </c>
      <c r="AB21" s="2162">
        <v>-6.7201258309999998E-2</v>
      </c>
    </row>
    <row r="22" spans="1:28" ht="11.25" customHeight="1" x14ac:dyDescent="0.2">
      <c r="A22" s="10"/>
      <c r="B22" s="10"/>
      <c r="C22" s="2191" t="s">
        <v>60</v>
      </c>
      <c r="D22" s="2192">
        <v>0</v>
      </c>
      <c r="E22" s="2192">
        <v>0</v>
      </c>
      <c r="F22" s="2192">
        <v>0</v>
      </c>
      <c r="G22" s="2192">
        <v>0</v>
      </c>
      <c r="H22" s="2192">
        <v>0</v>
      </c>
      <c r="I22" s="2192">
        <v>0</v>
      </c>
      <c r="J22" s="2192">
        <v>0</v>
      </c>
      <c r="K22" s="2192">
        <v>0</v>
      </c>
      <c r="L22" s="2192">
        <v>0</v>
      </c>
      <c r="M22" s="2192">
        <v>0</v>
      </c>
      <c r="N22" s="2192">
        <v>0</v>
      </c>
      <c r="O22" s="2192">
        <v>0</v>
      </c>
      <c r="P22" s="2192">
        <v>0</v>
      </c>
      <c r="Q22" s="2192">
        <v>0</v>
      </c>
      <c r="R22" s="2192">
        <v>0</v>
      </c>
      <c r="S22" s="2192">
        <v>0</v>
      </c>
      <c r="T22" s="2193">
        <v>3.8968192977155994E-2</v>
      </c>
      <c r="U22" s="2194">
        <v>0</v>
      </c>
      <c r="V22" s="2193">
        <v>3.8958247501919986E-2</v>
      </c>
      <c r="W22" s="2193">
        <v>3.8958247501919986E-2</v>
      </c>
      <c r="X22" s="2193">
        <v>3.8958247501919986E-2</v>
      </c>
      <c r="Y22" s="2195">
        <v>5.3720414448695991E-2</v>
      </c>
      <c r="Z22" s="2196">
        <v>3.8958247501919986E-2</v>
      </c>
      <c r="AA22" s="2193">
        <v>3.8958247501919986E-2</v>
      </c>
      <c r="AB22" s="2197">
        <f>AB23+AB24</f>
        <v>4.8496098330000001E-2</v>
      </c>
    </row>
    <row r="23" spans="1:28" ht="11.25" customHeight="1" x14ac:dyDescent="0.25">
      <c r="A23" s="10"/>
      <c r="B23" s="10"/>
      <c r="C23" s="2168" t="s">
        <v>1853</v>
      </c>
      <c r="D23" s="2171">
        <v>0</v>
      </c>
      <c r="E23" s="2171">
        <v>0</v>
      </c>
      <c r="F23" s="2171">
        <v>0</v>
      </c>
      <c r="G23" s="2171">
        <v>0</v>
      </c>
      <c r="H23" s="2171">
        <v>0</v>
      </c>
      <c r="I23" s="2171">
        <v>0</v>
      </c>
      <c r="J23" s="2171">
        <v>0</v>
      </c>
      <c r="K23" s="2171">
        <v>0</v>
      </c>
      <c r="L23" s="2171">
        <v>0</v>
      </c>
      <c r="M23" s="2171">
        <v>0</v>
      </c>
      <c r="N23" s="2171">
        <v>0</v>
      </c>
      <c r="O23" s="2171">
        <v>0</v>
      </c>
      <c r="P23" s="2171">
        <v>0</v>
      </c>
      <c r="Q23" s="2171">
        <v>0</v>
      </c>
      <c r="R23" s="2171">
        <v>0</v>
      </c>
      <c r="S23" s="2171">
        <v>0</v>
      </c>
      <c r="T23" s="2158">
        <v>3.2460771916817996E-2</v>
      </c>
      <c r="U23" s="2198">
        <v>0</v>
      </c>
      <c r="V23" s="2158">
        <v>3.245248726775999E-2</v>
      </c>
      <c r="W23" s="2158">
        <v>3.245248726775999E-2</v>
      </c>
      <c r="X23" s="2158">
        <v>3.245248726775999E-2</v>
      </c>
      <c r="Y23" s="2158">
        <v>4.4749473544187991E-2</v>
      </c>
      <c r="Z23" s="2161">
        <v>3.245248726775999E-2</v>
      </c>
      <c r="AA23" s="2158">
        <v>3.245248726775999E-2</v>
      </c>
      <c r="AB23" s="2162">
        <v>4.03975824E-2</v>
      </c>
    </row>
    <row r="24" spans="1:28" ht="11.25" customHeight="1" x14ac:dyDescent="0.25">
      <c r="A24" s="10"/>
      <c r="B24" s="10"/>
      <c r="C24" s="2168" t="s">
        <v>1854</v>
      </c>
      <c r="D24" s="2171">
        <v>0</v>
      </c>
      <c r="E24" s="2171">
        <v>0</v>
      </c>
      <c r="F24" s="2171">
        <v>0</v>
      </c>
      <c r="G24" s="2171">
        <v>0</v>
      </c>
      <c r="H24" s="2171">
        <v>0</v>
      </c>
      <c r="I24" s="2171">
        <v>0</v>
      </c>
      <c r="J24" s="2171">
        <v>0</v>
      </c>
      <c r="K24" s="2171">
        <v>0</v>
      </c>
      <c r="L24" s="2171">
        <v>0</v>
      </c>
      <c r="M24" s="2171">
        <v>0</v>
      </c>
      <c r="N24" s="2171">
        <v>0</v>
      </c>
      <c r="O24" s="2171">
        <v>0</v>
      </c>
      <c r="P24" s="2171">
        <v>0</v>
      </c>
      <c r="Q24" s="2171">
        <v>0</v>
      </c>
      <c r="R24" s="2171">
        <v>0</v>
      </c>
      <c r="S24" s="2171">
        <v>0</v>
      </c>
      <c r="T24" s="2158">
        <v>6.5074210603380004E-3</v>
      </c>
      <c r="U24" s="2198">
        <v>0</v>
      </c>
      <c r="V24" s="2158">
        <v>6.505760234159998E-3</v>
      </c>
      <c r="W24" s="2158">
        <v>6.505760234159998E-3</v>
      </c>
      <c r="X24" s="2158">
        <v>6.505760234159998E-3</v>
      </c>
      <c r="Y24" s="2158">
        <v>8.9709409045079999E-3</v>
      </c>
      <c r="Z24" s="2161">
        <v>6.505760234159998E-3</v>
      </c>
      <c r="AA24" s="2158">
        <v>6.505760234159998E-3</v>
      </c>
      <c r="AB24" s="2162">
        <v>8.0985159299999995E-3</v>
      </c>
    </row>
    <row r="25" spans="1:28" ht="11.25" customHeight="1" x14ac:dyDescent="0.25">
      <c r="A25" s="10"/>
      <c r="B25" s="10"/>
      <c r="C25" s="2199" t="s">
        <v>1855</v>
      </c>
      <c r="D25" s="2200">
        <v>1.9783789823906425E-2</v>
      </c>
      <c r="E25" s="2200">
        <v>2.5933501356201878E-2</v>
      </c>
      <c r="F25" s="2200">
        <v>2.8432903490202228E-2</v>
      </c>
      <c r="G25" s="2200">
        <v>2.4807276177968685E-2</v>
      </c>
      <c r="H25" s="2200">
        <v>2.5803540784425909E-2</v>
      </c>
      <c r="I25" s="2200">
        <v>2.8939266253370604E-2</v>
      </c>
      <c r="J25" s="2200">
        <v>2.8793086704347243E-2</v>
      </c>
      <c r="K25" s="2200">
        <v>2.8052291604399277E-2</v>
      </c>
      <c r="L25" s="2200">
        <v>2.4168959729723268E-2</v>
      </c>
      <c r="M25" s="2200">
        <v>2.8899390906263811E-2</v>
      </c>
      <c r="N25" s="2200">
        <v>3.6480713801147209E-2</v>
      </c>
      <c r="O25" s="2200">
        <v>2.7940909919462423E-2</v>
      </c>
      <c r="P25" s="2200">
        <v>2.632568221373403E-2</v>
      </c>
      <c r="Q25" s="2200">
        <v>2.561344176463216E-2</v>
      </c>
      <c r="R25" s="2200">
        <v>3.4700340638404853E-2</v>
      </c>
      <c r="S25" s="2200">
        <v>2.8962586863582555E-2</v>
      </c>
      <c r="T25" s="2200">
        <v>2.2827269974381791E-2</v>
      </c>
      <c r="U25" s="2201">
        <v>2.4288595517778181E-2</v>
      </c>
      <c r="V25" s="2200">
        <v>2.3428057188102296E-2</v>
      </c>
      <c r="W25" s="2200">
        <v>1.2020663292894702E-2</v>
      </c>
      <c r="X25" s="2200">
        <v>1.9783789823906425E-2</v>
      </c>
      <c r="Y25" s="2202">
        <v>4.2341482857142849E-2</v>
      </c>
      <c r="Z25" s="2203">
        <v>1.9783789823906425E-2</v>
      </c>
      <c r="AA25" s="2200">
        <v>1.9783789823906425E-2</v>
      </c>
      <c r="AB25" s="2204">
        <v>7.8010034141978296E-2</v>
      </c>
    </row>
    <row r="26" spans="1:28" ht="11.25" customHeight="1" x14ac:dyDescent="0.2">
      <c r="A26" s="10"/>
      <c r="B26" s="10"/>
      <c r="C26" s="2205" t="s">
        <v>393</v>
      </c>
      <c r="D26" s="2206">
        <v>-3.0816589926789044</v>
      </c>
      <c r="E26" s="2206">
        <v>-3.0763853685894222</v>
      </c>
      <c r="F26" s="2206">
        <v>-3.0931737354412432</v>
      </c>
      <c r="G26" s="2206">
        <v>-3.1430068758479068</v>
      </c>
      <c r="H26" s="2206">
        <v>-3.122933323645301</v>
      </c>
      <c r="I26" s="2206">
        <v>-3.0894082427972047</v>
      </c>
      <c r="J26" s="2206">
        <v>-3.0660719646706909</v>
      </c>
      <c r="K26" s="2206">
        <v>-3.1044179225802719</v>
      </c>
      <c r="L26" s="2206">
        <v>-3.1319113515868082</v>
      </c>
      <c r="M26" s="2206">
        <v>-6.5598467892402699</v>
      </c>
      <c r="N26" s="2206">
        <v>-12.198779432278512</v>
      </c>
      <c r="O26" s="2206">
        <v>-12.240827135562689</v>
      </c>
      <c r="P26" s="2206">
        <v>-12.273512723556603</v>
      </c>
      <c r="Q26" s="2206">
        <v>-12.270704327501091</v>
      </c>
      <c r="R26" s="2206">
        <v>-12.280887104423126</v>
      </c>
      <c r="S26" s="2206">
        <v>-12.315887290280596</v>
      </c>
      <c r="T26" s="2206">
        <v>-11.785190962807624</v>
      </c>
      <c r="U26" s="2207">
        <v>-12.351723488126094</v>
      </c>
      <c r="V26" s="2206">
        <f t="shared" ref="V26:X26" si="0">V12+V15+V25+V16+V17+V22+V5</f>
        <v>-11.581739296682922</v>
      </c>
      <c r="W26" s="2206">
        <f t="shared" si="0"/>
        <v>-11.593146690578129</v>
      </c>
      <c r="X26" s="2206">
        <f t="shared" si="0"/>
        <v>-11.585383564047119</v>
      </c>
      <c r="Y26" s="2208">
        <f>Y5+Y16+Y17-Y12-Y15-Y22-Y25</f>
        <v>-12.12513474969888</v>
      </c>
      <c r="Z26" s="2209">
        <f t="shared" ref="Z26:AB26" si="1">Z12+Z15+Z25+Z16+Z17+Z22+Z5</f>
        <v>-11.602726634631445</v>
      </c>
      <c r="AA26" s="2206">
        <f t="shared" si="1"/>
        <v>-11.602726634631445</v>
      </c>
      <c r="AB26" s="2210">
        <f t="shared" si="1"/>
        <v>-11.60149192913012</v>
      </c>
    </row>
    <row r="27" spans="1:28" ht="11.25" customHeight="1" x14ac:dyDescent="0.2">
      <c r="A27" s="10"/>
      <c r="B27" s="10"/>
      <c r="C27" s="2169" t="s">
        <v>1856</v>
      </c>
      <c r="D27" s="2211"/>
      <c r="E27" s="746"/>
      <c r="F27" s="746"/>
      <c r="G27" s="746"/>
      <c r="H27" s="746"/>
      <c r="I27" s="746"/>
      <c r="J27" s="746"/>
      <c r="K27" s="746"/>
      <c r="L27" s="746"/>
      <c r="M27" s="746"/>
      <c r="N27" s="746"/>
      <c r="O27" s="746"/>
      <c r="P27" s="746"/>
      <c r="Q27" s="746"/>
      <c r="R27" s="746"/>
      <c r="S27" s="746"/>
      <c r="T27" s="746"/>
      <c r="U27" s="746"/>
      <c r="V27" s="746"/>
      <c r="W27" s="746"/>
      <c r="X27" s="746"/>
      <c r="Y27" s="746"/>
      <c r="Z27" s="746"/>
      <c r="AA27" s="746"/>
      <c r="AB27" s="123"/>
    </row>
    <row r="28" spans="1:28" ht="11.25" customHeight="1" x14ac:dyDescent="0.2">
      <c r="A28" s="10"/>
      <c r="B28" s="10"/>
      <c r="C28" s="2212"/>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132"/>
    </row>
    <row r="29" spans="1:28" ht="11.25" customHeight="1" x14ac:dyDescent="0.2"/>
    <row r="30" spans="1:28" ht="11.25" customHeight="1" x14ac:dyDescent="0.25">
      <c r="C30" s="2168" t="s">
        <v>1857</v>
      </c>
      <c r="D30" s="2171">
        <f t="shared" ref="D30:AB30" si="2">(D23/25)*$F$40</f>
        <v>0</v>
      </c>
      <c r="E30" s="2171">
        <f t="shared" si="2"/>
        <v>0</v>
      </c>
      <c r="F30" s="2171">
        <f t="shared" si="2"/>
        <v>0</v>
      </c>
      <c r="G30" s="2171">
        <f t="shared" si="2"/>
        <v>0</v>
      </c>
      <c r="H30" s="2171">
        <f t="shared" si="2"/>
        <v>0</v>
      </c>
      <c r="I30" s="2171">
        <f t="shared" si="2"/>
        <v>0</v>
      </c>
      <c r="J30" s="2171">
        <f t="shared" si="2"/>
        <v>0</v>
      </c>
      <c r="K30" s="2171">
        <f t="shared" si="2"/>
        <v>0</v>
      </c>
      <c r="L30" s="2171">
        <f t="shared" si="2"/>
        <v>0</v>
      </c>
      <c r="M30" s="2171">
        <f t="shared" si="2"/>
        <v>0</v>
      </c>
      <c r="N30" s="2171">
        <f t="shared" si="2"/>
        <v>0</v>
      </c>
      <c r="O30" s="2171">
        <f t="shared" si="2"/>
        <v>0</v>
      </c>
      <c r="P30" s="2171">
        <f t="shared" si="2"/>
        <v>0</v>
      </c>
      <c r="Q30" s="2171">
        <f t="shared" si="2"/>
        <v>0</v>
      </c>
      <c r="R30" s="2171">
        <f t="shared" si="2"/>
        <v>0</v>
      </c>
      <c r="S30" s="2171">
        <f t="shared" si="2"/>
        <v>0</v>
      </c>
      <c r="T30" s="2171">
        <f t="shared" si="2"/>
        <v>3.6356064546836153E-2</v>
      </c>
      <c r="U30" s="2171">
        <f t="shared" si="2"/>
        <v>0</v>
      </c>
      <c r="V30" s="2171">
        <f t="shared" si="2"/>
        <v>3.6346785739891189E-2</v>
      </c>
      <c r="W30" s="2171">
        <f t="shared" si="2"/>
        <v>3.6346785739891189E-2</v>
      </c>
      <c r="X30" s="2171">
        <f t="shared" si="2"/>
        <v>3.6346785739891189E-2</v>
      </c>
      <c r="Y30" s="2171">
        <f t="shared" si="2"/>
        <v>5.0119410369490552E-2</v>
      </c>
      <c r="Z30" s="2171">
        <f t="shared" si="2"/>
        <v>3.6346785739891189E-2</v>
      </c>
      <c r="AA30" s="2171">
        <f t="shared" si="2"/>
        <v>3.6346785739891189E-2</v>
      </c>
      <c r="AB30" s="2171">
        <f t="shared" si="2"/>
        <v>4.5245292287999998E-2</v>
      </c>
    </row>
    <row r="31" spans="1:28" ht="11.25" customHeight="1" x14ac:dyDescent="0.25">
      <c r="C31" s="2168" t="s">
        <v>1858</v>
      </c>
      <c r="D31" s="2171">
        <f t="shared" ref="D31:AB31" si="3">(D24/298)*$F$41</f>
        <v>0</v>
      </c>
      <c r="E31" s="2171">
        <f t="shared" si="3"/>
        <v>0</v>
      </c>
      <c r="F31" s="2171">
        <f t="shared" si="3"/>
        <v>0</v>
      </c>
      <c r="G31" s="2171">
        <f t="shared" si="3"/>
        <v>0</v>
      </c>
      <c r="H31" s="2171">
        <f t="shared" si="3"/>
        <v>0</v>
      </c>
      <c r="I31" s="2171">
        <f t="shared" si="3"/>
        <v>0</v>
      </c>
      <c r="J31" s="2171">
        <f t="shared" si="3"/>
        <v>0</v>
      </c>
      <c r="K31" s="2171">
        <f t="shared" si="3"/>
        <v>0</v>
      </c>
      <c r="L31" s="2171">
        <f t="shared" si="3"/>
        <v>0</v>
      </c>
      <c r="M31" s="2171">
        <f t="shared" si="3"/>
        <v>0</v>
      </c>
      <c r="N31" s="2171">
        <f t="shared" si="3"/>
        <v>0</v>
      </c>
      <c r="O31" s="2171">
        <f t="shared" si="3"/>
        <v>0</v>
      </c>
      <c r="P31" s="2171">
        <f t="shared" si="3"/>
        <v>0</v>
      </c>
      <c r="Q31" s="2171">
        <f t="shared" si="3"/>
        <v>0</v>
      </c>
      <c r="R31" s="2171">
        <f t="shared" si="3"/>
        <v>0</v>
      </c>
      <c r="S31" s="2171">
        <f t="shared" si="3"/>
        <v>0</v>
      </c>
      <c r="T31" s="2171">
        <f t="shared" si="3"/>
        <v>5.7868006073475507E-3</v>
      </c>
      <c r="U31" s="2171">
        <f t="shared" si="3"/>
        <v>0</v>
      </c>
      <c r="V31" s="2171">
        <f t="shared" si="3"/>
        <v>5.7853236981624144E-3</v>
      </c>
      <c r="W31" s="2171">
        <f t="shared" si="3"/>
        <v>5.7853236981624144E-3</v>
      </c>
      <c r="X31" s="2171">
        <f t="shared" si="3"/>
        <v>5.7853236981624144E-3</v>
      </c>
      <c r="Y31" s="2171">
        <f t="shared" si="3"/>
        <v>7.9775145627336234E-3</v>
      </c>
      <c r="Z31" s="2171">
        <f t="shared" si="3"/>
        <v>5.7853236981624144E-3</v>
      </c>
      <c r="AA31" s="2171">
        <f t="shared" si="3"/>
        <v>5.7853236981624144E-3</v>
      </c>
      <c r="AB31" s="2171">
        <f t="shared" si="3"/>
        <v>7.2017004075503356E-3</v>
      </c>
    </row>
    <row r="32" spans="1:28" ht="11.25" customHeight="1" x14ac:dyDescent="0.25">
      <c r="C32" s="2199" t="s">
        <v>1859</v>
      </c>
      <c r="D32" s="2200">
        <f t="shared" ref="D32:AB32" si="4">(D25/298)*$F$41</f>
        <v>1.7592967460856385E-2</v>
      </c>
      <c r="E32" s="2200">
        <f t="shared" si="4"/>
        <v>2.3061670669105694E-2</v>
      </c>
      <c r="F32" s="2200">
        <f t="shared" si="4"/>
        <v>2.5284293372159698E-2</v>
      </c>
      <c r="G32" s="2200">
        <f t="shared" si="4"/>
        <v>2.2060161701884903E-2</v>
      </c>
      <c r="H32" s="2200">
        <f t="shared" si="4"/>
        <v>2.294610170427136E-2</v>
      </c>
      <c r="I32" s="2200">
        <f t="shared" si="4"/>
        <v>2.573458240652084E-2</v>
      </c>
      <c r="J32" s="2200">
        <f t="shared" si="4"/>
        <v>2.5604590525677918E-2</v>
      </c>
      <c r="K32" s="2200">
        <f t="shared" si="4"/>
        <v>2.4945829782435602E-2</v>
      </c>
      <c r="L32" s="2200">
        <f t="shared" si="4"/>
        <v>2.1492531303277402E-2</v>
      </c>
      <c r="M32" s="2200">
        <f t="shared" si="4"/>
        <v>2.5699122785771508E-2</v>
      </c>
      <c r="N32" s="2200">
        <f t="shared" si="4"/>
        <v>3.244090321242956E-2</v>
      </c>
      <c r="O32" s="2200">
        <f t="shared" si="4"/>
        <v>2.4846782310931348E-2</v>
      </c>
      <c r="P32" s="2200">
        <f t="shared" si="4"/>
        <v>2.3410422102817175E-2</v>
      </c>
      <c r="Q32" s="2200">
        <f t="shared" si="4"/>
        <v>2.2777053918213164E-2</v>
      </c>
      <c r="R32" s="2200">
        <f t="shared" si="4"/>
        <v>3.0857685467037873E-2</v>
      </c>
      <c r="S32" s="2200">
        <f t="shared" si="4"/>
        <v>2.5755320533051598E-2</v>
      </c>
      <c r="T32" s="2200">
        <f t="shared" si="4"/>
        <v>2.0299417930238841E-2</v>
      </c>
      <c r="U32" s="2200">
        <f t="shared" si="4"/>
        <v>2.1598918832923548E-2</v>
      </c>
      <c r="V32" s="2200">
        <f t="shared" si="4"/>
        <v>2.0833675016265464E-2</v>
      </c>
      <c r="W32" s="2200">
        <f t="shared" si="4"/>
        <v>1.0689516015493611E-2</v>
      </c>
      <c r="X32" s="2200">
        <f t="shared" si="4"/>
        <v>1.7592967460856385E-2</v>
      </c>
      <c r="Y32" s="2200">
        <f t="shared" si="4"/>
        <v>3.7652660930009581E-2</v>
      </c>
      <c r="Z32" s="2200">
        <f t="shared" si="4"/>
        <v>1.7592967460856385E-2</v>
      </c>
      <c r="AA32" s="2200">
        <f t="shared" si="4"/>
        <v>1.7592967460856385E-2</v>
      </c>
      <c r="AB32" s="2200">
        <f t="shared" si="4"/>
        <v>6.9371339085987402E-2</v>
      </c>
    </row>
    <row r="33" spans="5:6" ht="11.25" customHeight="1" x14ac:dyDescent="0.2"/>
    <row r="34" spans="5:6" ht="11.25" customHeight="1" x14ac:dyDescent="0.2"/>
    <row r="35" spans="5:6" ht="11.25" customHeight="1" x14ac:dyDescent="0.2"/>
    <row r="36" spans="5:6" ht="11.25" customHeight="1" x14ac:dyDescent="0.2"/>
    <row r="37" spans="5:6" ht="11.25" customHeight="1" x14ac:dyDescent="0.2">
      <c r="E37" s="2501" t="s">
        <v>0</v>
      </c>
      <c r="F37" s="2502"/>
    </row>
    <row r="38" spans="5:6" ht="11.25" customHeight="1" x14ac:dyDescent="0.2">
      <c r="E38" s="1382"/>
      <c r="F38" s="1382"/>
    </row>
    <row r="39" spans="5:6" ht="11.25" customHeight="1" x14ac:dyDescent="0.2">
      <c r="E39" s="1383" t="s">
        <v>4</v>
      </c>
      <c r="F39" s="1384">
        <f>'Summ GHG Rpt Expanded'!$G4</f>
        <v>1</v>
      </c>
    </row>
    <row r="40" spans="5:6" ht="11.25" customHeight="1" x14ac:dyDescent="0.2">
      <c r="E40" s="1383" t="s">
        <v>5</v>
      </c>
      <c r="F40" s="1384">
        <f>'Summ GHG Rpt Expanded'!$G5</f>
        <v>28</v>
      </c>
    </row>
    <row r="41" spans="5:6" ht="11.25" customHeight="1" x14ac:dyDescent="0.2">
      <c r="E41" s="1383" t="s">
        <v>6</v>
      </c>
      <c r="F41" s="1384">
        <f>'Summ GHG Rpt Expanded'!$G6</f>
        <v>265</v>
      </c>
    </row>
    <row r="42" spans="5:6" ht="11.25" customHeight="1" x14ac:dyDescent="0.2">
      <c r="E42" s="1383" t="s">
        <v>7</v>
      </c>
      <c r="F42" s="202">
        <f>'Summ GHG Rpt Expanded'!$G7</f>
        <v>23500</v>
      </c>
    </row>
    <row r="43" spans="5:6" ht="11.25" customHeight="1" x14ac:dyDescent="0.2">
      <c r="E43" s="1383" t="s">
        <v>8</v>
      </c>
      <c r="F43" s="202">
        <f>'Summ GHG Rpt Expanded'!$G8</f>
        <v>11100</v>
      </c>
    </row>
    <row r="44" spans="5:6" ht="11.25" customHeight="1" x14ac:dyDescent="0.2"/>
    <row r="45" spans="5:6" ht="11.25" customHeight="1" x14ac:dyDescent="0.2"/>
    <row r="46" spans="5:6" ht="11.25" customHeight="1" x14ac:dyDescent="0.2"/>
    <row r="47" spans="5:6" ht="11.25" customHeight="1" x14ac:dyDescent="0.2"/>
    <row r="48" spans="5:6"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lTE4MmtEFwByfie9Zb8NLGxcBfaTUsnI41g58VH+d/UC7inJre6/hIBvC077wReu4Bb4AU7IeVhkg6bO9H0KiA==" saltValue="FiF/OwiHDYHsh4W0IZV/wA==" spinCount="100000" sheet="1" objects="1" scenarios="1"/>
  <mergeCells count="1">
    <mergeCell ref="E37:F37"/>
  </mergeCells>
  <pageMargins left="0.75" right="0.75" top="1" bottom="1"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1000"/>
  <sheetViews>
    <sheetView workbookViewId="0"/>
  </sheetViews>
  <sheetFormatPr defaultColWidth="16.83203125" defaultRowHeight="15" customHeight="1" x14ac:dyDescent="0.2"/>
  <cols>
    <col min="1" max="1" width="3.83203125" customWidth="1"/>
    <col min="2" max="2" width="14.33203125" customWidth="1"/>
    <col min="3" max="3" width="38" customWidth="1"/>
    <col min="4" max="4" width="37.33203125" customWidth="1"/>
    <col min="5" max="5" width="17.33203125" customWidth="1"/>
    <col min="6" max="6" width="17.83203125" customWidth="1"/>
    <col min="7" max="7" width="13.5" customWidth="1"/>
    <col min="8" max="8" width="12.33203125" customWidth="1"/>
    <col min="9" max="9" width="24.6640625" customWidth="1"/>
    <col min="10" max="10" width="17.6640625" customWidth="1"/>
    <col min="11" max="11" width="21.33203125" customWidth="1"/>
    <col min="12" max="12" width="19.1640625" customWidth="1"/>
    <col min="13" max="13" width="19.33203125" customWidth="1"/>
    <col min="14" max="14" width="12.1640625" customWidth="1"/>
    <col min="15" max="15" width="20.33203125" customWidth="1"/>
    <col min="16" max="16" width="20" customWidth="1"/>
    <col min="17" max="17" width="18.83203125" customWidth="1"/>
    <col min="18" max="18" width="20.6640625" customWidth="1"/>
    <col min="19" max="19" width="19.6640625" customWidth="1"/>
    <col min="20" max="39" width="8.83203125" customWidth="1"/>
  </cols>
  <sheetData>
    <row r="1" spans="1:39" ht="11.25" customHeight="1" x14ac:dyDescent="0.2"/>
    <row r="2" spans="1:39" ht="11.25"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223"/>
      <c r="AL2" s="223"/>
      <c r="AM2" s="223"/>
    </row>
    <row r="3" spans="1:39" ht="11.25" customHeight="1" x14ac:dyDescent="0.25">
      <c r="A3" s="224"/>
      <c r="B3" s="225" t="s">
        <v>69</v>
      </c>
      <c r="C3" s="226" t="s">
        <v>70</v>
      </c>
      <c r="D3" s="226" t="s">
        <v>71</v>
      </c>
      <c r="E3" s="226" t="s">
        <v>72</v>
      </c>
      <c r="F3" s="226" t="s">
        <v>73</v>
      </c>
      <c r="G3" s="226" t="s">
        <v>73</v>
      </c>
      <c r="H3" s="226" t="s">
        <v>74</v>
      </c>
      <c r="I3" s="226" t="s">
        <v>75</v>
      </c>
      <c r="J3" s="227" t="s">
        <v>76</v>
      </c>
      <c r="K3" s="226" t="s">
        <v>421</v>
      </c>
      <c r="L3" s="226" t="s">
        <v>422</v>
      </c>
      <c r="M3" s="228" t="s">
        <v>423</v>
      </c>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39" ht="11.25" customHeight="1" x14ac:dyDescent="0.2">
      <c r="A4" s="224"/>
      <c r="B4" s="229"/>
      <c r="C4" s="230"/>
      <c r="D4" s="230"/>
      <c r="E4" s="230"/>
      <c r="F4" s="230"/>
      <c r="G4" s="230" t="s">
        <v>80</v>
      </c>
      <c r="H4" s="230" t="s">
        <v>81</v>
      </c>
      <c r="I4" s="230" t="s">
        <v>82</v>
      </c>
      <c r="J4" s="230" t="s">
        <v>83</v>
      </c>
      <c r="K4" s="230" t="s">
        <v>84</v>
      </c>
      <c r="L4" s="230" t="s">
        <v>84</v>
      </c>
      <c r="M4" s="231" t="s">
        <v>84</v>
      </c>
      <c r="N4" s="224"/>
      <c r="O4" s="224"/>
      <c r="P4" s="224"/>
      <c r="Q4" s="224"/>
      <c r="R4" s="224"/>
      <c r="S4" s="224"/>
      <c r="T4" s="224"/>
      <c r="U4" s="224"/>
      <c r="V4" s="224"/>
      <c r="W4" s="224"/>
      <c r="X4" s="224"/>
      <c r="Y4" s="224"/>
      <c r="Z4" s="224"/>
      <c r="AA4" s="224"/>
      <c r="AB4" s="224"/>
      <c r="AC4" s="224"/>
      <c r="AD4" s="224"/>
      <c r="AE4" s="224"/>
      <c r="AF4" s="224"/>
      <c r="AG4" s="224"/>
      <c r="AH4" s="224"/>
      <c r="AI4" s="224"/>
      <c r="AJ4" s="224"/>
    </row>
    <row r="5" spans="1:39" ht="11.25" customHeight="1" x14ac:dyDescent="0.2">
      <c r="A5" s="224"/>
      <c r="B5" s="232"/>
      <c r="C5" s="233"/>
      <c r="D5" s="233"/>
      <c r="E5" s="233"/>
      <c r="F5" s="233"/>
      <c r="G5" s="233"/>
      <c r="H5" s="233"/>
      <c r="I5" s="233"/>
      <c r="J5" s="233"/>
      <c r="K5" s="234"/>
      <c r="L5" s="233"/>
      <c r="M5" s="235"/>
      <c r="N5" s="224"/>
      <c r="O5" s="224"/>
      <c r="P5" s="224"/>
      <c r="Q5" s="224"/>
      <c r="R5" s="224"/>
      <c r="S5" s="224"/>
      <c r="T5" s="224"/>
      <c r="U5" s="224"/>
      <c r="V5" s="224"/>
      <c r="W5" s="224"/>
      <c r="X5" s="224"/>
      <c r="Y5" s="224"/>
      <c r="Z5" s="224"/>
      <c r="AA5" s="224"/>
      <c r="AB5" s="224"/>
      <c r="AC5" s="224"/>
      <c r="AD5" s="224"/>
      <c r="AE5" s="224"/>
      <c r="AF5" s="224"/>
      <c r="AG5" s="224"/>
      <c r="AH5" s="224"/>
      <c r="AI5" s="224"/>
      <c r="AJ5" s="224"/>
    </row>
    <row r="6" spans="1:39" ht="11.25" customHeight="1" x14ac:dyDescent="0.2">
      <c r="A6" s="224"/>
      <c r="B6" s="236" t="s">
        <v>85</v>
      </c>
      <c r="C6" s="237" t="s">
        <v>86</v>
      </c>
      <c r="D6" s="238"/>
      <c r="E6" s="238"/>
      <c r="F6" s="239"/>
      <c r="G6" s="238"/>
      <c r="H6" s="238"/>
      <c r="I6" s="238"/>
      <c r="J6" s="238"/>
      <c r="K6" s="240"/>
      <c r="L6" s="238"/>
      <c r="M6" s="241"/>
      <c r="N6" s="224"/>
      <c r="O6" s="224"/>
      <c r="P6" s="224"/>
      <c r="Q6" s="224"/>
      <c r="R6" s="224"/>
      <c r="S6" s="224"/>
      <c r="T6" s="224"/>
      <c r="U6" s="224"/>
      <c r="V6" s="224"/>
      <c r="W6" s="224"/>
      <c r="X6" s="224"/>
      <c r="Y6" s="224"/>
      <c r="Z6" s="224"/>
      <c r="AA6" s="224"/>
      <c r="AB6" s="224"/>
      <c r="AC6" s="224"/>
      <c r="AD6" s="224"/>
      <c r="AE6" s="224"/>
      <c r="AF6" s="224"/>
      <c r="AG6" s="224"/>
      <c r="AH6" s="224"/>
      <c r="AI6" s="224"/>
      <c r="AJ6" s="224"/>
    </row>
    <row r="7" spans="1:39" ht="11.25" customHeight="1" x14ac:dyDescent="0.2">
      <c r="A7" s="224"/>
      <c r="B7" s="232"/>
      <c r="C7" s="233" t="s">
        <v>87</v>
      </c>
      <c r="D7" s="233" t="s">
        <v>88</v>
      </c>
      <c r="E7" s="233" t="s">
        <v>89</v>
      </c>
      <c r="F7" s="234">
        <v>644453</v>
      </c>
      <c r="G7" s="233" t="s">
        <v>90</v>
      </c>
      <c r="H7" s="242">
        <v>10777</v>
      </c>
      <c r="I7" s="233" t="s">
        <v>91</v>
      </c>
      <c r="J7" s="234">
        <v>14615569</v>
      </c>
      <c r="K7" s="243">
        <f>+J7/(J7+J8)*K9</f>
        <v>1496167.2380759774</v>
      </c>
      <c r="L7" s="244">
        <f>+J7/(J7+J8)*L9</f>
        <v>176.96781822588017</v>
      </c>
      <c r="M7" s="244">
        <f>+J7/(J7+J8)*M9</f>
        <v>25.750209859724261</v>
      </c>
      <c r="N7" s="224"/>
      <c r="O7" s="224"/>
      <c r="P7" s="224"/>
      <c r="Q7" s="224"/>
      <c r="R7" s="224"/>
      <c r="S7" s="224"/>
      <c r="T7" s="224"/>
      <c r="U7" s="224"/>
      <c r="V7" s="224"/>
      <c r="W7" s="224"/>
      <c r="X7" s="224"/>
      <c r="Y7" s="224"/>
      <c r="Z7" s="224"/>
      <c r="AA7" s="224"/>
      <c r="AB7" s="224"/>
      <c r="AC7" s="224"/>
      <c r="AD7" s="224"/>
      <c r="AE7" s="224"/>
      <c r="AF7" s="224"/>
      <c r="AG7" s="224"/>
      <c r="AH7" s="224"/>
      <c r="AI7" s="224"/>
      <c r="AJ7" s="224"/>
    </row>
    <row r="8" spans="1:39" ht="11.25" customHeight="1" x14ac:dyDescent="0.2">
      <c r="A8" s="224"/>
      <c r="B8" s="232"/>
      <c r="C8" s="233" t="s">
        <v>87</v>
      </c>
      <c r="D8" s="233" t="s">
        <v>88</v>
      </c>
      <c r="E8" s="233" t="s">
        <v>141</v>
      </c>
      <c r="F8" s="234">
        <v>201860</v>
      </c>
      <c r="G8" s="233" t="s">
        <v>142</v>
      </c>
      <c r="H8" s="242">
        <v>140000</v>
      </c>
      <c r="I8" s="233" t="s">
        <v>143</v>
      </c>
      <c r="J8" s="245">
        <f>(F8*H8)/1000000</f>
        <v>28260.400000000001</v>
      </c>
      <c r="K8" s="243">
        <f>+J8/(J8+J7)*K9</f>
        <v>2892.9619240224147</v>
      </c>
      <c r="L8" s="244">
        <f>+J8/(J8+J7)*L9</f>
        <v>0.34218177411982142</v>
      </c>
      <c r="M8" s="244">
        <f>+J8/(J8+J7)*M9</f>
        <v>4.9790140275739629E-2</v>
      </c>
      <c r="N8" s="224"/>
      <c r="O8" s="224"/>
      <c r="P8" s="224"/>
      <c r="Q8" s="224"/>
      <c r="R8" s="224"/>
      <c r="S8" s="224"/>
      <c r="T8" s="224"/>
      <c r="U8" s="224"/>
      <c r="V8" s="224"/>
      <c r="W8" s="224"/>
      <c r="X8" s="224"/>
      <c r="Y8" s="224"/>
      <c r="Z8" s="224"/>
      <c r="AA8" s="224"/>
      <c r="AB8" s="224"/>
      <c r="AC8" s="224"/>
      <c r="AD8" s="224"/>
      <c r="AE8" s="224"/>
      <c r="AF8" s="224"/>
      <c r="AG8" s="224"/>
      <c r="AH8" s="224"/>
      <c r="AI8" s="224"/>
      <c r="AJ8" s="224"/>
    </row>
    <row r="9" spans="1:39" ht="11.25" customHeight="1" x14ac:dyDescent="0.2">
      <c r="A9" s="224"/>
      <c r="B9" s="232"/>
      <c r="C9" s="233"/>
      <c r="D9" s="233"/>
      <c r="E9" s="233"/>
      <c r="F9" s="234"/>
      <c r="G9" s="233"/>
      <c r="H9" s="242"/>
      <c r="I9" s="233"/>
      <c r="J9" s="246">
        <f>SUM(J7:J8)</f>
        <v>14643829.4</v>
      </c>
      <c r="K9" s="247">
        <v>1499060.2</v>
      </c>
      <c r="L9" s="248">
        <v>177.31</v>
      </c>
      <c r="M9" s="249">
        <v>25.8</v>
      </c>
      <c r="N9" s="224"/>
      <c r="O9" s="224"/>
      <c r="P9" s="224"/>
      <c r="Q9" s="224"/>
      <c r="R9" s="224"/>
      <c r="S9" s="224"/>
      <c r="T9" s="224"/>
      <c r="U9" s="224"/>
      <c r="V9" s="224"/>
      <c r="W9" s="224"/>
      <c r="X9" s="224"/>
      <c r="Y9" s="224"/>
      <c r="Z9" s="224"/>
      <c r="AA9" s="224"/>
      <c r="AB9" s="224"/>
      <c r="AC9" s="224"/>
      <c r="AD9" s="224"/>
      <c r="AE9" s="224"/>
      <c r="AF9" s="224"/>
      <c r="AG9" s="224"/>
      <c r="AH9" s="224"/>
      <c r="AI9" s="224"/>
      <c r="AJ9" s="224"/>
    </row>
    <row r="10" spans="1:39" ht="11.25" customHeight="1" x14ac:dyDescent="0.2">
      <c r="A10" s="224"/>
      <c r="B10" s="232"/>
      <c r="C10" s="233"/>
      <c r="D10" s="233"/>
      <c r="E10" s="233"/>
      <c r="F10" s="234"/>
      <c r="G10" s="233"/>
      <c r="H10" s="242"/>
      <c r="I10" s="233"/>
      <c r="J10" s="233"/>
      <c r="K10" s="243"/>
      <c r="L10" s="244"/>
      <c r="M10" s="250"/>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row>
    <row r="11" spans="1:39" ht="11.25" customHeight="1" x14ac:dyDescent="0.2">
      <c r="A11" s="224"/>
      <c r="B11" s="232"/>
      <c r="C11" s="233" t="s">
        <v>144</v>
      </c>
      <c r="D11" s="233" t="s">
        <v>145</v>
      </c>
      <c r="E11" s="233" t="s">
        <v>141</v>
      </c>
      <c r="F11" s="234">
        <v>620</v>
      </c>
      <c r="G11" s="233" t="s">
        <v>142</v>
      </c>
      <c r="H11" s="242">
        <v>140000</v>
      </c>
      <c r="I11" s="233" t="s">
        <v>143</v>
      </c>
      <c r="J11" s="251">
        <f>(F11*H11)/1000000</f>
        <v>86.8</v>
      </c>
      <c r="K11" s="252">
        <v>6.98</v>
      </c>
      <c r="L11" s="253">
        <v>0</v>
      </c>
      <c r="M11" s="249">
        <v>0</v>
      </c>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row>
    <row r="12" spans="1:39" ht="11.25" customHeight="1" x14ac:dyDescent="0.2">
      <c r="A12" s="224"/>
      <c r="B12" s="232"/>
      <c r="C12" s="233"/>
      <c r="D12" s="233"/>
      <c r="E12" s="233"/>
      <c r="F12" s="233"/>
      <c r="G12" s="233"/>
      <c r="H12" s="233"/>
      <c r="I12" s="233"/>
      <c r="J12" s="233"/>
      <c r="K12" s="233"/>
      <c r="L12" s="254"/>
      <c r="M12" s="249"/>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row>
    <row r="13" spans="1:39" ht="11.25" customHeight="1" x14ac:dyDescent="0.2">
      <c r="A13" s="224"/>
      <c r="B13" s="232"/>
      <c r="C13" s="233" t="s">
        <v>329</v>
      </c>
      <c r="D13" s="233" t="s">
        <v>330</v>
      </c>
      <c r="E13" s="233" t="s">
        <v>331</v>
      </c>
      <c r="F13" s="234">
        <v>2627700</v>
      </c>
      <c r="G13" s="233" t="s">
        <v>332</v>
      </c>
      <c r="H13" s="242">
        <v>1020</v>
      </c>
      <c r="I13" s="233" t="s">
        <v>333</v>
      </c>
      <c r="J13" s="255">
        <f>(F13*H13)/1000000</f>
        <v>2680.2539999999999</v>
      </c>
      <c r="K13" s="252">
        <v>157.87</v>
      </c>
      <c r="L13" s="253">
        <v>0</v>
      </c>
      <c r="M13" s="249">
        <v>0</v>
      </c>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row>
    <row r="14" spans="1:39" ht="11.25" customHeight="1" x14ac:dyDescent="0.2">
      <c r="A14" s="224"/>
      <c r="B14" s="256"/>
      <c r="C14" s="257"/>
      <c r="D14" s="257"/>
      <c r="E14" s="257"/>
      <c r="F14" s="258"/>
      <c r="G14" s="257"/>
      <c r="H14" s="259"/>
      <c r="I14" s="257"/>
      <c r="J14" s="260"/>
      <c r="K14" s="261"/>
      <c r="L14" s="262"/>
      <c r="M14" s="263"/>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4"/>
    </row>
    <row r="15" spans="1:39" ht="11.25" customHeight="1" x14ac:dyDescent="0.2">
      <c r="A15" s="224"/>
      <c r="B15" s="232"/>
      <c r="C15" s="233"/>
      <c r="D15" s="233"/>
      <c r="E15" s="233"/>
      <c r="F15" s="242"/>
      <c r="G15" s="233"/>
      <c r="H15" s="242"/>
      <c r="I15" s="233"/>
      <c r="J15" s="242"/>
      <c r="K15" s="242"/>
      <c r="L15" s="264"/>
      <c r="M15" s="235"/>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row>
    <row r="16" spans="1:39" ht="11.25" customHeight="1" x14ac:dyDescent="0.2">
      <c r="A16" s="224"/>
      <c r="B16" s="232" t="s">
        <v>92</v>
      </c>
      <c r="C16" s="265" t="s">
        <v>93</v>
      </c>
      <c r="D16" s="233"/>
      <c r="E16" s="233"/>
      <c r="F16" s="242"/>
      <c r="G16" s="233"/>
      <c r="H16" s="242"/>
      <c r="I16" s="233"/>
      <c r="J16" s="233"/>
      <c r="K16" s="242"/>
      <c r="L16" s="264"/>
      <c r="M16" s="235"/>
      <c r="N16" s="224"/>
      <c r="O16" s="266" t="s">
        <v>424</v>
      </c>
      <c r="P16" s="224"/>
      <c r="Q16" s="224"/>
      <c r="R16" s="224"/>
      <c r="S16" s="224"/>
      <c r="T16" s="224"/>
      <c r="U16" s="224"/>
      <c r="V16" s="224"/>
      <c r="W16" s="224"/>
      <c r="X16" s="224"/>
      <c r="Y16" s="224"/>
      <c r="Z16" s="224"/>
      <c r="AA16" s="224"/>
      <c r="AB16" s="224"/>
      <c r="AC16" s="224"/>
      <c r="AD16" s="224"/>
      <c r="AE16" s="224"/>
      <c r="AF16" s="224"/>
      <c r="AG16" s="224"/>
      <c r="AH16" s="224"/>
      <c r="AI16" s="224"/>
      <c r="AJ16" s="224"/>
    </row>
    <row r="17" spans="1:37" ht="11.25" customHeight="1" x14ac:dyDescent="0.2">
      <c r="A17" s="224"/>
      <c r="B17" s="232"/>
      <c r="C17" s="265"/>
      <c r="D17" s="233"/>
      <c r="E17" s="233"/>
      <c r="F17" s="242"/>
      <c r="G17" s="233"/>
      <c r="H17" s="242"/>
      <c r="I17" s="233"/>
      <c r="J17" s="233"/>
      <c r="K17" s="267"/>
      <c r="L17" s="264"/>
      <c r="M17" s="235"/>
      <c r="N17" s="224"/>
      <c r="O17" s="224" t="s">
        <v>425</v>
      </c>
      <c r="P17" s="224" t="s">
        <v>426</v>
      </c>
      <c r="Q17" s="224"/>
      <c r="R17" s="224"/>
      <c r="S17" s="224"/>
      <c r="T17" s="224"/>
      <c r="U17" s="224"/>
      <c r="V17" s="224"/>
      <c r="W17" s="224"/>
      <c r="X17" s="224"/>
      <c r="Y17" s="224"/>
      <c r="Z17" s="224"/>
      <c r="AA17" s="224"/>
      <c r="AB17" s="224"/>
      <c r="AC17" s="224"/>
      <c r="AD17" s="224"/>
      <c r="AE17" s="224"/>
      <c r="AF17" s="224"/>
      <c r="AG17" s="224"/>
      <c r="AH17" s="224"/>
      <c r="AI17" s="224"/>
      <c r="AJ17" s="224"/>
    </row>
    <row r="18" spans="1:37" ht="11.25" customHeight="1" x14ac:dyDescent="0.2">
      <c r="A18" s="224"/>
      <c r="B18" s="232"/>
      <c r="C18" s="233" t="s">
        <v>94</v>
      </c>
      <c r="D18" s="268" t="s">
        <v>95</v>
      </c>
      <c r="E18" s="233" t="s">
        <v>146</v>
      </c>
      <c r="F18" s="234">
        <v>973350</v>
      </c>
      <c r="G18" s="233" t="s">
        <v>142</v>
      </c>
      <c r="H18" s="269">
        <v>0.13700000000000001</v>
      </c>
      <c r="I18" s="233" t="s">
        <v>147</v>
      </c>
      <c r="J18" s="270">
        <f>F18*H18</f>
        <v>133348.95000000001</v>
      </c>
      <c r="K18" s="271">
        <f>(+J18/(J18+J19))*K20</f>
        <v>14035.041117413279</v>
      </c>
      <c r="L18" s="272">
        <v>0.44</v>
      </c>
      <c r="M18" s="273">
        <v>8.7999999999999995E-2</v>
      </c>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row>
    <row r="19" spans="1:37" ht="11.25" customHeight="1" x14ac:dyDescent="0.3">
      <c r="A19" s="224"/>
      <c r="B19" s="232"/>
      <c r="C19" s="233"/>
      <c r="D19" s="268" t="s">
        <v>95</v>
      </c>
      <c r="E19" s="233" t="s">
        <v>96</v>
      </c>
      <c r="F19" s="234">
        <v>1067574</v>
      </c>
      <c r="G19" s="233" t="s">
        <v>90</v>
      </c>
      <c r="H19" s="264">
        <v>25.91</v>
      </c>
      <c r="I19" s="233" t="s">
        <v>97</v>
      </c>
      <c r="J19" s="234">
        <f>(F19*H19)</f>
        <v>27660842.34</v>
      </c>
      <c r="K19" s="271">
        <f>(+J19/(J18+J19))*K20</f>
        <v>2911316.958882587</v>
      </c>
      <c r="L19" s="272">
        <v>30.4</v>
      </c>
      <c r="M19" s="273">
        <v>48.68</v>
      </c>
      <c r="N19" s="224"/>
      <c r="O19" s="274"/>
      <c r="P19" s="224" t="s">
        <v>427</v>
      </c>
      <c r="Q19" s="224" t="s">
        <v>428</v>
      </c>
      <c r="R19" s="224"/>
      <c r="S19" s="224"/>
      <c r="T19" s="224"/>
      <c r="U19" s="224"/>
      <c r="V19" s="224"/>
      <c r="W19" s="224"/>
      <c r="X19" s="224"/>
      <c r="Y19" s="224"/>
      <c r="Z19" s="224"/>
      <c r="AA19" s="224"/>
      <c r="AB19" s="224"/>
      <c r="AC19" s="224"/>
      <c r="AD19" s="224"/>
      <c r="AE19" s="224"/>
      <c r="AF19" s="224"/>
      <c r="AG19" s="224"/>
      <c r="AH19" s="224"/>
      <c r="AI19" s="224"/>
      <c r="AJ19" s="224"/>
      <c r="AK19" s="224"/>
    </row>
    <row r="20" spans="1:37" ht="11.25" customHeight="1" x14ac:dyDescent="0.2">
      <c r="A20" s="224"/>
      <c r="B20" s="232"/>
      <c r="C20" s="233"/>
      <c r="D20" s="268"/>
      <c r="E20" s="233"/>
      <c r="F20" s="242"/>
      <c r="G20" s="233"/>
      <c r="H20" s="242"/>
      <c r="I20" s="233"/>
      <c r="J20" s="243">
        <f>J18+J19</f>
        <v>27794191.289999999</v>
      </c>
      <c r="K20" s="247">
        <v>2925352</v>
      </c>
      <c r="L20" s="275">
        <f t="shared" ref="L20:M20" si="0">L18+L19</f>
        <v>30.84</v>
      </c>
      <c r="M20" s="276">
        <f t="shared" si="0"/>
        <v>48.768000000000001</v>
      </c>
      <c r="N20" s="224"/>
      <c r="O20" s="224" t="s">
        <v>89</v>
      </c>
      <c r="P20" s="277">
        <v>2.2000000000000001E-3</v>
      </c>
      <c r="Q20" s="277">
        <v>3.5200000000000001E-3</v>
      </c>
      <c r="R20" s="224"/>
      <c r="S20" s="224"/>
      <c r="T20" s="224"/>
      <c r="U20" s="224"/>
      <c r="V20" s="224"/>
      <c r="W20" s="224"/>
      <c r="X20" s="224"/>
      <c r="Y20" s="224"/>
      <c r="Z20" s="224"/>
      <c r="AA20" s="224"/>
      <c r="AB20" s="224"/>
      <c r="AC20" s="224"/>
      <c r="AD20" s="224"/>
      <c r="AE20" s="224"/>
      <c r="AF20" s="224"/>
      <c r="AG20" s="224"/>
      <c r="AH20" s="224"/>
      <c r="AI20" s="224"/>
      <c r="AJ20" s="224"/>
      <c r="AK20" s="224"/>
    </row>
    <row r="21" spans="1:37" ht="11.25" customHeight="1" x14ac:dyDescent="0.2">
      <c r="A21" s="224"/>
      <c r="B21" s="232"/>
      <c r="C21" s="233"/>
      <c r="D21" s="268"/>
      <c r="E21" s="233"/>
      <c r="F21" s="242"/>
      <c r="G21" s="233"/>
      <c r="H21" s="242"/>
      <c r="I21" s="233"/>
      <c r="J21" s="243"/>
      <c r="K21" s="247"/>
      <c r="L21" s="252"/>
      <c r="M21" s="273"/>
      <c r="N21" s="224"/>
      <c r="O21" s="224" t="s">
        <v>198</v>
      </c>
      <c r="P21" s="277">
        <v>6.6E-3</v>
      </c>
      <c r="Q21" s="277">
        <v>1.32E-3</v>
      </c>
      <c r="R21" s="224"/>
      <c r="S21" s="224"/>
      <c r="T21" s="224"/>
      <c r="U21" s="224"/>
      <c r="V21" s="224"/>
      <c r="W21" s="224"/>
      <c r="X21" s="224"/>
      <c r="Y21" s="224"/>
      <c r="Z21" s="224"/>
      <c r="AA21" s="224"/>
      <c r="AB21" s="224"/>
      <c r="AC21" s="224"/>
      <c r="AD21" s="224"/>
      <c r="AE21" s="224"/>
      <c r="AF21" s="224"/>
      <c r="AG21" s="224"/>
      <c r="AH21" s="224"/>
      <c r="AI21" s="224"/>
      <c r="AJ21" s="224"/>
      <c r="AK21" s="224"/>
    </row>
    <row r="22" spans="1:37" ht="11.25" customHeight="1" x14ac:dyDescent="0.2">
      <c r="A22" s="224"/>
      <c r="B22" s="232"/>
      <c r="C22" s="233" t="s">
        <v>98</v>
      </c>
      <c r="D22" s="268" t="s">
        <v>99</v>
      </c>
      <c r="E22" s="233" t="s">
        <v>146</v>
      </c>
      <c r="F22" s="234">
        <v>1295070</v>
      </c>
      <c r="G22" s="233" t="s">
        <v>142</v>
      </c>
      <c r="H22" s="267">
        <v>0.13700000000000001</v>
      </c>
      <c r="I22" s="233" t="s">
        <v>147</v>
      </c>
      <c r="J22" s="270">
        <f t="shared" ref="J22:J23" si="1">F22*H22</f>
        <v>177424.59000000003</v>
      </c>
      <c r="K22" s="243">
        <f t="shared" ref="K22:K23" si="2">(J22/(J$23+J$22))*K$24</f>
        <v>19199.366700235161</v>
      </c>
      <c r="L22" s="270">
        <v>0.58599999999999997</v>
      </c>
      <c r="M22" s="273">
        <v>0.11700000000000001</v>
      </c>
      <c r="N22" s="224"/>
      <c r="O22" s="224" t="s">
        <v>322</v>
      </c>
      <c r="P22" s="277">
        <v>6.6E-3</v>
      </c>
      <c r="Q22" s="277">
        <v>1.32E-3</v>
      </c>
      <c r="R22" s="224"/>
      <c r="S22" s="224"/>
      <c r="T22" s="224"/>
      <c r="U22" s="224"/>
      <c r="V22" s="224"/>
      <c r="W22" s="224"/>
      <c r="X22" s="224"/>
      <c r="Y22" s="224"/>
      <c r="Z22" s="224"/>
      <c r="AA22" s="224"/>
      <c r="AB22" s="224"/>
      <c r="AC22" s="224"/>
      <c r="AD22" s="224"/>
      <c r="AE22" s="224"/>
      <c r="AF22" s="224"/>
      <c r="AG22" s="224"/>
      <c r="AH22" s="224"/>
      <c r="AI22" s="224"/>
      <c r="AJ22" s="224"/>
      <c r="AK22" s="224"/>
    </row>
    <row r="23" spans="1:37" ht="11.25" customHeight="1" x14ac:dyDescent="0.2">
      <c r="A23" s="224"/>
      <c r="B23" s="232"/>
      <c r="C23" s="233"/>
      <c r="D23" s="268" t="s">
        <v>99</v>
      </c>
      <c r="E23" s="233" t="s">
        <v>96</v>
      </c>
      <c r="F23" s="234">
        <v>946129</v>
      </c>
      <c r="G23" s="233" t="s">
        <v>90</v>
      </c>
      <c r="H23" s="264">
        <v>25.91</v>
      </c>
      <c r="I23" s="233" t="s">
        <v>97</v>
      </c>
      <c r="J23" s="234">
        <f t="shared" si="1"/>
        <v>24514202.390000001</v>
      </c>
      <c r="K23" s="243">
        <f t="shared" si="2"/>
        <v>2652716.6332997652</v>
      </c>
      <c r="L23" s="270">
        <v>27</v>
      </c>
      <c r="M23" s="273">
        <v>43.14</v>
      </c>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row>
    <row r="24" spans="1:37" ht="11.25" customHeight="1" x14ac:dyDescent="0.2">
      <c r="A24" s="224"/>
      <c r="B24" s="232"/>
      <c r="C24" s="233"/>
      <c r="D24" s="268"/>
      <c r="E24" s="233"/>
      <c r="F24" s="242"/>
      <c r="G24" s="233"/>
      <c r="H24" s="242"/>
      <c r="I24" s="233"/>
      <c r="J24" s="243">
        <f>J22+J23</f>
        <v>24691626.98</v>
      </c>
      <c r="K24" s="247">
        <v>2671916</v>
      </c>
      <c r="L24" s="275">
        <f t="shared" ref="L24:M24" si="3">L22+L23</f>
        <v>27.585999999999999</v>
      </c>
      <c r="M24" s="278">
        <f t="shared" si="3"/>
        <v>43.256999999999998</v>
      </c>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row>
    <row r="25" spans="1:37" ht="11.25" customHeight="1" x14ac:dyDescent="0.2">
      <c r="A25" s="224"/>
      <c r="B25" s="232"/>
      <c r="C25" s="233"/>
      <c r="D25" s="268"/>
      <c r="E25" s="233"/>
      <c r="F25" s="242"/>
      <c r="G25" s="233"/>
      <c r="H25" s="242"/>
      <c r="I25" s="233"/>
      <c r="J25" s="233"/>
      <c r="K25" s="242"/>
      <c r="L25" s="264"/>
      <c r="M25" s="235"/>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row>
    <row r="26" spans="1:37" ht="11.25" customHeight="1" x14ac:dyDescent="0.2">
      <c r="A26" s="224"/>
      <c r="B26" s="236"/>
      <c r="C26" s="238"/>
      <c r="D26" s="279"/>
      <c r="E26" s="238"/>
      <c r="F26" s="239"/>
      <c r="G26" s="238"/>
      <c r="H26" s="239"/>
      <c r="I26" s="238"/>
      <c r="J26" s="238"/>
      <c r="K26" s="239"/>
      <c r="L26" s="280"/>
      <c r="M26" s="241"/>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row>
    <row r="27" spans="1:37" ht="11.25" customHeight="1" x14ac:dyDescent="0.2">
      <c r="A27" s="224"/>
      <c r="B27" s="232" t="s">
        <v>100</v>
      </c>
      <c r="C27" s="265" t="s">
        <v>101</v>
      </c>
      <c r="D27" s="268"/>
      <c r="E27" s="233"/>
      <c r="F27" s="242"/>
      <c r="G27" s="233"/>
      <c r="H27" s="242"/>
      <c r="I27" s="233"/>
      <c r="J27" s="233"/>
      <c r="K27" s="242"/>
      <c r="L27" s="264"/>
      <c r="M27" s="235"/>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row>
    <row r="28" spans="1:37" ht="11.25" customHeight="1" x14ac:dyDescent="0.2">
      <c r="A28" s="224"/>
      <c r="B28" s="232"/>
      <c r="C28" s="233" t="s">
        <v>102</v>
      </c>
      <c r="D28" s="268" t="s">
        <v>103</v>
      </c>
      <c r="E28" s="233" t="s">
        <v>334</v>
      </c>
      <c r="F28" s="234">
        <v>25595000</v>
      </c>
      <c r="G28" s="233" t="s">
        <v>332</v>
      </c>
      <c r="H28" s="242">
        <v>1082</v>
      </c>
      <c r="I28" s="233" t="s">
        <v>335</v>
      </c>
      <c r="J28" s="234">
        <f>(F28*H28)/1000000</f>
        <v>27693.79</v>
      </c>
      <c r="K28" s="242">
        <f>(+J28/(J28+J29+J30))*K31</f>
        <v>2890.3648630452653</v>
      </c>
      <c r="L28" s="264">
        <v>0.03</v>
      </c>
      <c r="M28" s="235">
        <v>3.0000000000000001E-3</v>
      </c>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row>
    <row r="29" spans="1:37" ht="11.25" customHeight="1" x14ac:dyDescent="0.2">
      <c r="A29" s="224"/>
      <c r="B29" s="232"/>
      <c r="C29" s="233"/>
      <c r="D29" s="268" t="s">
        <v>103</v>
      </c>
      <c r="E29" s="233" t="s">
        <v>104</v>
      </c>
      <c r="F29" s="234">
        <v>3300</v>
      </c>
      <c r="G29" s="233" t="s">
        <v>90</v>
      </c>
      <c r="H29" s="264">
        <v>26.12</v>
      </c>
      <c r="I29" s="233" t="s">
        <v>105</v>
      </c>
      <c r="J29" s="234">
        <f t="shared" ref="J29:J30" si="4">F29*H29</f>
        <v>86196</v>
      </c>
      <c r="K29" s="242">
        <f>(+J29/(J28+J29+J30))*K31</f>
        <v>8996.1644735173377</v>
      </c>
      <c r="L29" s="264">
        <v>9.5000000000000001E-2</v>
      </c>
      <c r="M29" s="235">
        <v>0.152</v>
      </c>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row>
    <row r="30" spans="1:37" ht="11.25" customHeight="1" x14ac:dyDescent="0.2">
      <c r="A30" s="224"/>
      <c r="B30" s="232"/>
      <c r="C30" s="233"/>
      <c r="D30" s="268" t="s">
        <v>103</v>
      </c>
      <c r="E30" s="233" t="s">
        <v>106</v>
      </c>
      <c r="F30" s="234">
        <v>115044</v>
      </c>
      <c r="G30" s="233" t="s">
        <v>90</v>
      </c>
      <c r="H30" s="264">
        <v>17.8</v>
      </c>
      <c r="I30" s="233" t="s">
        <v>105</v>
      </c>
      <c r="J30" s="234">
        <f t="shared" si="4"/>
        <v>2047783.2000000002</v>
      </c>
      <c r="K30" s="242">
        <f>(+J30/(J28+J29+J30))*K31</f>
        <v>213724.47066343739</v>
      </c>
      <c r="L30" s="264">
        <v>2.2530000000000001</v>
      </c>
      <c r="M30" s="235">
        <v>3.6040000000000001</v>
      </c>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row>
    <row r="31" spans="1:37" ht="11.25" customHeight="1" x14ac:dyDescent="0.2">
      <c r="A31" s="224"/>
      <c r="B31" s="232"/>
      <c r="C31" s="233"/>
      <c r="D31" s="268"/>
      <c r="E31" s="233"/>
      <c r="F31" s="242"/>
      <c r="G31" s="233"/>
      <c r="H31" s="242"/>
      <c r="I31" s="233"/>
      <c r="J31" s="243">
        <f>SUM(J28:J30)</f>
        <v>2161672.9900000002</v>
      </c>
      <c r="K31" s="247">
        <v>225611</v>
      </c>
      <c r="L31" s="281">
        <f t="shared" ref="L31:M31" si="5">SUM(L28:L30)</f>
        <v>2.3780000000000001</v>
      </c>
      <c r="M31" s="278">
        <f t="shared" si="5"/>
        <v>3.7589999999999999</v>
      </c>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row>
    <row r="32" spans="1:37" ht="11.25" customHeight="1" x14ac:dyDescent="0.2">
      <c r="A32" s="224"/>
      <c r="B32" s="232"/>
      <c r="C32" s="233"/>
      <c r="D32" s="268"/>
      <c r="E32" s="233"/>
      <c r="F32" s="242"/>
      <c r="G32" s="233"/>
      <c r="H32" s="242"/>
      <c r="I32" s="233"/>
      <c r="J32" s="243"/>
      <c r="K32" s="233"/>
      <c r="L32" s="233"/>
      <c r="M32" s="235"/>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row>
    <row r="33" spans="1:39" ht="11.25" customHeight="1" x14ac:dyDescent="0.2">
      <c r="A33" s="224"/>
      <c r="B33" s="232"/>
      <c r="C33" s="233" t="s">
        <v>107</v>
      </c>
      <c r="D33" s="268" t="s">
        <v>108</v>
      </c>
      <c r="E33" s="233" t="s">
        <v>334</v>
      </c>
      <c r="F33" s="234">
        <v>39774000</v>
      </c>
      <c r="G33" s="233" t="s">
        <v>332</v>
      </c>
      <c r="H33" s="242">
        <v>1079</v>
      </c>
      <c r="I33" s="233" t="s">
        <v>335</v>
      </c>
      <c r="J33" s="234">
        <f>(F33*H33)/1000000</f>
        <v>42916.146000000001</v>
      </c>
      <c r="K33" s="242">
        <f>(+J33/(J33+J34+J35))*K36</f>
        <v>5156.1121205803584</v>
      </c>
      <c r="L33" s="264">
        <v>4.7E-2</v>
      </c>
      <c r="M33" s="235">
        <v>5.0000000000000001E-3</v>
      </c>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row>
    <row r="34" spans="1:39" ht="11.25" customHeight="1" x14ac:dyDescent="0.2">
      <c r="A34" s="224"/>
      <c r="B34" s="232"/>
      <c r="C34" s="233"/>
      <c r="D34" s="268"/>
      <c r="E34" s="233" t="s">
        <v>104</v>
      </c>
      <c r="F34" s="234">
        <v>11562</v>
      </c>
      <c r="G34" s="233"/>
      <c r="H34" s="264">
        <v>26.12</v>
      </c>
      <c r="I34" s="233" t="s">
        <v>105</v>
      </c>
      <c r="J34" s="234">
        <f t="shared" ref="J34:J35" si="6">F34*H34</f>
        <v>301999.44</v>
      </c>
      <c r="K34" s="242">
        <f>(+J34/(J33+J34+J35))*K36</f>
        <v>36283.383251433639</v>
      </c>
      <c r="L34" s="264">
        <v>0.33200000000000002</v>
      </c>
      <c r="M34" s="235">
        <v>0.53200000000000003</v>
      </c>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row>
    <row r="35" spans="1:39" ht="11.25" customHeight="1" x14ac:dyDescent="0.2">
      <c r="A35" s="224"/>
      <c r="B35" s="232"/>
      <c r="C35" s="233"/>
      <c r="D35" s="268" t="s">
        <v>108</v>
      </c>
      <c r="E35" s="233" t="s">
        <v>106</v>
      </c>
      <c r="F35" s="234">
        <v>180195</v>
      </c>
      <c r="G35" s="233" t="s">
        <v>90</v>
      </c>
      <c r="H35" s="264">
        <v>17.79</v>
      </c>
      <c r="I35" s="233" t="s">
        <v>105</v>
      </c>
      <c r="J35" s="234">
        <f t="shared" si="6"/>
        <v>3205669.05</v>
      </c>
      <c r="K35" s="242">
        <f>(+J35/(J33+J34+J35))*K36</f>
        <v>385141.504627986</v>
      </c>
      <c r="L35" s="264">
        <v>3.5259999999999998</v>
      </c>
      <c r="M35" s="235">
        <v>5.6420000000000003</v>
      </c>
      <c r="N35" s="224"/>
      <c r="O35" s="266" t="s">
        <v>424</v>
      </c>
      <c r="P35" s="224" t="s">
        <v>429</v>
      </c>
      <c r="Q35" s="224"/>
      <c r="R35" s="224"/>
      <c r="S35" s="224"/>
      <c r="T35" s="224"/>
      <c r="U35" s="224"/>
      <c r="V35" s="224"/>
      <c r="W35" s="224"/>
      <c r="X35" s="224"/>
      <c r="Y35" s="224"/>
      <c r="Z35" s="224"/>
      <c r="AA35" s="224"/>
      <c r="AB35" s="224"/>
      <c r="AC35" s="224"/>
      <c r="AD35" s="224"/>
      <c r="AE35" s="224"/>
      <c r="AF35" s="224"/>
      <c r="AG35" s="224"/>
      <c r="AH35" s="224"/>
      <c r="AI35" s="224"/>
      <c r="AJ35" s="224"/>
      <c r="AK35" s="224"/>
    </row>
    <row r="36" spans="1:39" ht="11.25" customHeight="1" x14ac:dyDescent="0.2">
      <c r="A36" s="224"/>
      <c r="B36" s="232"/>
      <c r="C36" s="233"/>
      <c r="D36" s="268"/>
      <c r="E36" s="233"/>
      <c r="F36" s="242"/>
      <c r="G36" s="233"/>
      <c r="H36" s="242"/>
      <c r="I36" s="233"/>
      <c r="J36" s="243">
        <f>SUM(J33:J35)</f>
        <v>3550584.6359999999</v>
      </c>
      <c r="K36" s="247">
        <v>426581</v>
      </c>
      <c r="L36" s="281">
        <f t="shared" ref="L36:M36" si="7">SUM(L33:L35)</f>
        <v>3.9049999999999998</v>
      </c>
      <c r="M36" s="278">
        <f t="shared" si="7"/>
        <v>6.1790000000000003</v>
      </c>
      <c r="N36" s="224"/>
      <c r="O36" s="224" t="s">
        <v>425</v>
      </c>
      <c r="P36" s="224" t="s">
        <v>430</v>
      </c>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row>
    <row r="37" spans="1:39" ht="11.25" customHeight="1" x14ac:dyDescent="0.2">
      <c r="A37" s="224"/>
      <c r="B37" s="232"/>
      <c r="C37" s="233"/>
      <c r="D37" s="268"/>
      <c r="E37" s="233"/>
      <c r="F37" s="242"/>
      <c r="G37" s="233"/>
      <c r="H37" s="242"/>
      <c r="I37" s="233"/>
      <c r="J37" s="243"/>
      <c r="K37" s="243"/>
      <c r="L37" s="252"/>
      <c r="M37" s="235"/>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row>
    <row r="38" spans="1:39" ht="11.25" customHeight="1" x14ac:dyDescent="0.2">
      <c r="A38" s="224"/>
      <c r="B38" s="232"/>
      <c r="C38" s="233" t="s">
        <v>148</v>
      </c>
      <c r="D38" s="268" t="s">
        <v>149</v>
      </c>
      <c r="E38" s="233" t="s">
        <v>146</v>
      </c>
      <c r="F38" s="234">
        <v>137930</v>
      </c>
      <c r="G38" s="233" t="s">
        <v>142</v>
      </c>
      <c r="H38" s="242">
        <v>139</v>
      </c>
      <c r="I38" s="233" t="s">
        <v>150</v>
      </c>
      <c r="J38" s="243">
        <f>(F38*H38)/1000</f>
        <v>19172.27</v>
      </c>
      <c r="K38" s="247">
        <v>1403</v>
      </c>
      <c r="L38" s="281">
        <v>6.4000000000000001E-2</v>
      </c>
      <c r="M38" s="278">
        <v>1.2999999999999999E-2</v>
      </c>
      <c r="N38" s="224"/>
      <c r="O38" s="224" t="s">
        <v>431</v>
      </c>
      <c r="P38" s="266" t="s">
        <v>424</v>
      </c>
      <c r="Q38" s="224" t="s">
        <v>426</v>
      </c>
      <c r="R38" s="266" t="s">
        <v>424</v>
      </c>
      <c r="S38" s="266" t="s">
        <v>424</v>
      </c>
      <c r="T38" s="224"/>
      <c r="U38" s="224"/>
      <c r="V38" s="224"/>
      <c r="W38" s="224"/>
      <c r="X38" s="224"/>
      <c r="Y38" s="224"/>
      <c r="Z38" s="224"/>
      <c r="AA38" s="224"/>
      <c r="AB38" s="224"/>
      <c r="AC38" s="224"/>
      <c r="AD38" s="224"/>
      <c r="AE38" s="224"/>
      <c r="AF38" s="224"/>
      <c r="AG38" s="224"/>
      <c r="AH38" s="224"/>
      <c r="AI38" s="224"/>
      <c r="AJ38" s="224"/>
      <c r="AK38" s="224"/>
      <c r="AL38" s="224"/>
      <c r="AM38" s="224"/>
    </row>
    <row r="39" spans="1:39" ht="11.25" customHeight="1" x14ac:dyDescent="0.2">
      <c r="A39" s="224"/>
      <c r="B39" s="232"/>
      <c r="C39" s="233"/>
      <c r="D39" s="268"/>
      <c r="E39" s="233"/>
      <c r="F39" s="242"/>
      <c r="G39" s="233"/>
      <c r="H39" s="242"/>
      <c r="I39" s="233"/>
      <c r="J39" s="242"/>
      <c r="K39" s="233"/>
      <c r="L39" s="267"/>
      <c r="M39" s="282"/>
      <c r="N39" s="224"/>
      <c r="O39" s="224"/>
      <c r="P39" s="224" t="s">
        <v>425</v>
      </c>
      <c r="Q39" s="224"/>
      <c r="R39" s="224" t="s">
        <v>432</v>
      </c>
      <c r="S39" s="224" t="s">
        <v>433</v>
      </c>
      <c r="T39" s="224"/>
      <c r="U39" s="224"/>
      <c r="V39" s="224"/>
      <c r="W39" s="224"/>
      <c r="X39" s="224"/>
      <c r="Y39" s="224"/>
      <c r="Z39" s="224"/>
      <c r="AA39" s="224"/>
      <c r="AB39" s="224"/>
      <c r="AC39" s="224"/>
      <c r="AD39" s="224"/>
      <c r="AE39" s="224"/>
      <c r="AF39" s="224"/>
      <c r="AG39" s="224"/>
      <c r="AH39" s="224"/>
      <c r="AI39" s="224"/>
      <c r="AJ39" s="224"/>
      <c r="AK39" s="224"/>
      <c r="AL39" s="224"/>
      <c r="AM39" s="224"/>
    </row>
    <row r="40" spans="1:39" ht="11.25" customHeight="1" x14ac:dyDescent="0.2">
      <c r="A40" s="224"/>
      <c r="B40" s="232"/>
      <c r="C40" s="233" t="s">
        <v>151</v>
      </c>
      <c r="D40" s="268" t="s">
        <v>152</v>
      </c>
      <c r="E40" s="233" t="s">
        <v>146</v>
      </c>
      <c r="F40" s="234">
        <v>100730</v>
      </c>
      <c r="G40" s="233" t="s">
        <v>142</v>
      </c>
      <c r="H40" s="242">
        <v>139</v>
      </c>
      <c r="I40" s="233" t="s">
        <v>150</v>
      </c>
      <c r="J40" s="243">
        <f>(F40*H40)/1000</f>
        <v>14001.47</v>
      </c>
      <c r="K40" s="247">
        <v>1015</v>
      </c>
      <c r="L40" s="275">
        <v>4.5999999999999999E-2</v>
      </c>
      <c r="M40" s="283">
        <v>8.9999999999999993E-3</v>
      </c>
      <c r="N40" s="224"/>
      <c r="O40" s="224" t="s">
        <v>431</v>
      </c>
      <c r="P40" s="224"/>
      <c r="Q40" s="224" t="s">
        <v>336</v>
      </c>
      <c r="R40" s="224">
        <v>2.2000000000000001E-3</v>
      </c>
      <c r="S40" s="224">
        <v>2.2000000000000001E-4</v>
      </c>
      <c r="T40" s="224"/>
      <c r="U40" s="224"/>
      <c r="V40" s="224"/>
      <c r="W40" s="224"/>
      <c r="X40" s="224"/>
      <c r="Y40" s="224"/>
      <c r="Z40" s="224"/>
      <c r="AA40" s="224"/>
      <c r="AB40" s="224"/>
      <c r="AC40" s="224"/>
      <c r="AD40" s="224"/>
      <c r="AE40" s="224"/>
      <c r="AF40" s="224"/>
      <c r="AG40" s="224"/>
      <c r="AH40" s="224"/>
      <c r="AI40" s="224"/>
      <c r="AJ40" s="224"/>
      <c r="AK40" s="224"/>
      <c r="AL40" s="224"/>
      <c r="AM40" s="224"/>
    </row>
    <row r="41" spans="1:39" ht="11.25" customHeight="1" x14ac:dyDescent="0.2">
      <c r="A41" s="224"/>
      <c r="B41" s="232"/>
      <c r="C41" s="233"/>
      <c r="D41" s="268"/>
      <c r="E41" s="233"/>
      <c r="F41" s="234"/>
      <c r="G41" s="233"/>
      <c r="H41" s="242"/>
      <c r="I41" s="233"/>
      <c r="J41" s="242"/>
      <c r="K41" s="233"/>
      <c r="L41" s="233"/>
      <c r="M41" s="282"/>
      <c r="N41" s="224"/>
      <c r="O41" s="224"/>
      <c r="P41" s="284" t="s">
        <v>434</v>
      </c>
      <c r="Q41" s="224" t="s">
        <v>104</v>
      </c>
      <c r="R41" s="224">
        <v>2.2000000000000001E-3</v>
      </c>
      <c r="S41" s="224">
        <v>3.5200000000000001E-3</v>
      </c>
      <c r="T41" s="224"/>
      <c r="U41" s="224"/>
      <c r="V41" s="224"/>
      <c r="W41" s="224"/>
      <c r="X41" s="224"/>
      <c r="Y41" s="224"/>
      <c r="Z41" s="224"/>
      <c r="AA41" s="224"/>
      <c r="AB41" s="224"/>
      <c r="AC41" s="224"/>
      <c r="AD41" s="224"/>
      <c r="AE41" s="224"/>
      <c r="AF41" s="224"/>
      <c r="AG41" s="224"/>
      <c r="AH41" s="224"/>
      <c r="AI41" s="224"/>
      <c r="AJ41" s="224"/>
      <c r="AK41" s="224"/>
      <c r="AL41" s="224"/>
      <c r="AM41" s="224"/>
    </row>
    <row r="42" spans="1:39" ht="11.25" customHeight="1" x14ac:dyDescent="0.2">
      <c r="A42" s="224"/>
      <c r="B42" s="232"/>
      <c r="C42" s="233" t="s">
        <v>153</v>
      </c>
      <c r="D42" s="268" t="s">
        <v>154</v>
      </c>
      <c r="E42" s="233" t="s">
        <v>146</v>
      </c>
      <c r="F42" s="234">
        <v>349138</v>
      </c>
      <c r="G42" s="233" t="s">
        <v>142</v>
      </c>
      <c r="H42" s="242">
        <v>139</v>
      </c>
      <c r="I42" s="233" t="s">
        <v>150</v>
      </c>
      <c r="J42" s="243">
        <f>(F42*H42)/1000</f>
        <v>48530.182000000001</v>
      </c>
      <c r="K42" s="247">
        <v>3517</v>
      </c>
      <c r="L42" s="275">
        <v>0.154</v>
      </c>
      <c r="M42" s="283">
        <v>3.2000000000000001E-2</v>
      </c>
      <c r="N42" s="224"/>
      <c r="O42" s="224" t="s">
        <v>431</v>
      </c>
      <c r="P42" s="224"/>
      <c r="Q42" s="224" t="s">
        <v>435</v>
      </c>
      <c r="R42" s="224">
        <v>2.2000000000000001E-3</v>
      </c>
      <c r="S42" s="224">
        <v>3.5200000000000001E-3</v>
      </c>
      <c r="T42" s="224"/>
      <c r="U42" s="224"/>
      <c r="V42" s="224"/>
      <c r="W42" s="224"/>
      <c r="X42" s="224"/>
      <c r="Y42" s="224"/>
      <c r="Z42" s="224"/>
      <c r="AA42" s="224"/>
      <c r="AB42" s="224"/>
      <c r="AC42" s="224"/>
      <c r="AD42" s="224"/>
      <c r="AE42" s="224"/>
      <c r="AF42" s="224"/>
      <c r="AG42" s="224"/>
      <c r="AH42" s="224"/>
      <c r="AI42" s="224"/>
      <c r="AJ42" s="224"/>
      <c r="AK42" s="224"/>
      <c r="AL42" s="224"/>
      <c r="AM42" s="224"/>
    </row>
    <row r="43" spans="1:39" ht="11.25" customHeight="1" x14ac:dyDescent="0.2">
      <c r="A43" s="224"/>
      <c r="B43" s="232"/>
      <c r="C43" s="233"/>
      <c r="D43" s="233"/>
      <c r="E43" s="233"/>
      <c r="F43" s="242"/>
      <c r="G43" s="233"/>
      <c r="H43" s="242"/>
      <c r="I43" s="233"/>
      <c r="J43" s="242"/>
      <c r="K43" s="242"/>
      <c r="L43" s="264"/>
      <c r="M43" s="235"/>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row>
    <row r="44" spans="1:39" ht="11.25" customHeight="1" x14ac:dyDescent="0.2">
      <c r="A44" s="224"/>
      <c r="B44" s="236"/>
      <c r="C44" s="237"/>
      <c r="D44" s="238"/>
      <c r="E44" s="238"/>
      <c r="F44" s="239"/>
      <c r="G44" s="238"/>
      <c r="H44" s="239"/>
      <c r="I44" s="238"/>
      <c r="J44" s="239"/>
      <c r="K44" s="239"/>
      <c r="L44" s="280"/>
      <c r="M44" s="241"/>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row>
    <row r="45" spans="1:39" ht="11.25" customHeight="1" x14ac:dyDescent="0.2">
      <c r="A45" s="224"/>
      <c r="B45" s="232" t="s">
        <v>109</v>
      </c>
      <c r="C45" s="265" t="s">
        <v>110</v>
      </c>
      <c r="D45" s="233"/>
      <c r="E45" s="233"/>
      <c r="F45" s="242"/>
      <c r="G45" s="233"/>
      <c r="H45" s="242"/>
      <c r="I45" s="233"/>
      <c r="J45" s="242"/>
      <c r="K45" s="242"/>
      <c r="L45" s="264"/>
      <c r="M45" s="285"/>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row>
    <row r="46" spans="1:39" ht="11.25" customHeight="1" x14ac:dyDescent="0.2">
      <c r="A46" s="224"/>
      <c r="B46" s="232"/>
      <c r="C46" s="233" t="s">
        <v>111</v>
      </c>
      <c r="D46" s="268" t="s">
        <v>95</v>
      </c>
      <c r="E46" s="233" t="s">
        <v>89</v>
      </c>
      <c r="F46" s="234">
        <v>497291</v>
      </c>
      <c r="G46" s="233" t="s">
        <v>90</v>
      </c>
      <c r="H46" s="242">
        <v>12871</v>
      </c>
      <c r="I46" s="233" t="s">
        <v>112</v>
      </c>
      <c r="J46" s="242">
        <f>(F46*H46*2000)/1000000</f>
        <v>12801264.922</v>
      </c>
      <c r="K46" s="242">
        <f>(J46/(J$46+J$47+J$48+J$49))*K$50</f>
        <v>1360379.0915007901</v>
      </c>
      <c r="L46" s="242">
        <f>J46*Q56*0.001102</f>
        <v>155.17693338448399</v>
      </c>
      <c r="M46" s="250">
        <f>J46*R57*0.001102</f>
        <v>22.571190310470399</v>
      </c>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row>
    <row r="47" spans="1:39" ht="11.25" customHeight="1" x14ac:dyDescent="0.2">
      <c r="A47" s="224"/>
      <c r="B47" s="232"/>
      <c r="C47" s="233"/>
      <c r="D47" s="233"/>
      <c r="E47" s="233" t="s">
        <v>155</v>
      </c>
      <c r="F47" s="234">
        <v>308618</v>
      </c>
      <c r="G47" s="233" t="s">
        <v>142</v>
      </c>
      <c r="H47" s="242">
        <v>136269</v>
      </c>
      <c r="I47" s="233" t="s">
        <v>143</v>
      </c>
      <c r="J47" s="242">
        <f t="shared" ref="J47:J48" si="8">(F47*H47)/1000000</f>
        <v>42055.066242000001</v>
      </c>
      <c r="K47" s="242">
        <f>(J47/(J$46+J$47+$J48+J$49))*K$50</f>
        <v>4469.154662128436</v>
      </c>
      <c r="L47" s="264">
        <f>J47*Q59*0.001102</f>
        <v>0.13903404899605198</v>
      </c>
      <c r="M47" s="250">
        <f>J47*R59*0.001102</f>
        <v>2.7806809799210398E-2</v>
      </c>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row>
    <row r="48" spans="1:39" ht="11.25" customHeight="1" x14ac:dyDescent="0.2">
      <c r="A48" s="224"/>
      <c r="B48" s="232"/>
      <c r="C48" s="233"/>
      <c r="D48" s="233"/>
      <c r="E48" s="233" t="s">
        <v>317</v>
      </c>
      <c r="F48" s="234">
        <v>8068</v>
      </c>
      <c r="G48" s="233" t="s">
        <v>142</v>
      </c>
      <c r="H48" s="242">
        <v>152312</v>
      </c>
      <c r="I48" s="233" t="s">
        <v>143</v>
      </c>
      <c r="J48" s="242">
        <f t="shared" si="8"/>
        <v>1228.853216</v>
      </c>
      <c r="K48" s="242">
        <f>(J48/(J$46+J$47+$J48+J$49))*K$50</f>
        <v>130.5891434757313</v>
      </c>
      <c r="L48" s="264">
        <f>J48*Q64*0.001102</f>
        <v>4.0625887320959991E-3</v>
      </c>
      <c r="M48" s="250">
        <f>J48*R64*0.001102</f>
        <v>8.1251774641919979E-4</v>
      </c>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row>
    <row r="49" spans="1:39" ht="11.25" customHeight="1" x14ac:dyDescent="0.2">
      <c r="A49" s="224"/>
      <c r="B49" s="232"/>
      <c r="C49" s="233"/>
      <c r="D49" s="233"/>
      <c r="E49" s="233" t="s">
        <v>336</v>
      </c>
      <c r="F49" s="234">
        <v>43540</v>
      </c>
      <c r="G49" s="233" t="s">
        <v>332</v>
      </c>
      <c r="H49" s="242">
        <v>1060</v>
      </c>
      <c r="I49" s="233" t="s">
        <v>335</v>
      </c>
      <c r="J49" s="242">
        <f>(F49*H49)/1000</f>
        <v>46152.4</v>
      </c>
      <c r="K49" s="242">
        <f>(J49/(J$46+J$47+$J48+J$49))*K$50</f>
        <v>4904.5746936055066</v>
      </c>
      <c r="L49" s="264">
        <f>J49*Q58*0.001102</f>
        <v>5.0859944799999994E-2</v>
      </c>
      <c r="M49" s="250">
        <f>J49*R58*0.001102</f>
        <v>5.0859944799999997E-3</v>
      </c>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row>
    <row r="50" spans="1:39" ht="11.25" customHeight="1" x14ac:dyDescent="0.2">
      <c r="A50" s="224"/>
      <c r="B50" s="232"/>
      <c r="C50" s="233"/>
      <c r="D50" s="233"/>
      <c r="E50" s="233"/>
      <c r="F50" s="242"/>
      <c r="G50" s="233"/>
      <c r="H50" s="242"/>
      <c r="I50" s="233"/>
      <c r="J50" s="243">
        <f>SUM(J46:J49)</f>
        <v>12890701.241458001</v>
      </c>
      <c r="K50" s="247">
        <v>1369883.41</v>
      </c>
      <c r="L50" s="275">
        <f t="shared" ref="L50:M50" si="9">SUM(L46:L49)</f>
        <v>155.37088996701215</v>
      </c>
      <c r="M50" s="249">
        <f t="shared" si="9"/>
        <v>22.604895632496028</v>
      </c>
      <c r="N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row>
    <row r="51" spans="1:39" ht="11.25" customHeight="1" x14ac:dyDescent="0.2">
      <c r="A51" s="224"/>
      <c r="B51" s="232"/>
      <c r="C51" s="233"/>
      <c r="D51" s="233"/>
      <c r="E51" s="233"/>
      <c r="F51" s="242"/>
      <c r="G51" s="233"/>
      <c r="H51" s="242"/>
      <c r="I51" s="233"/>
      <c r="J51" s="243"/>
      <c r="K51" s="247"/>
      <c r="L51" s="275"/>
      <c r="M51" s="250"/>
      <c r="N51" s="224"/>
      <c r="O51" s="266"/>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row>
    <row r="52" spans="1:39" ht="11.25" customHeight="1" x14ac:dyDescent="0.2">
      <c r="A52" s="224"/>
      <c r="B52" s="232"/>
      <c r="C52" s="233" t="s">
        <v>113</v>
      </c>
      <c r="D52" s="268" t="s">
        <v>99</v>
      </c>
      <c r="E52" s="233" t="s">
        <v>89</v>
      </c>
      <c r="F52" s="234">
        <v>547259</v>
      </c>
      <c r="G52" s="233" t="s">
        <v>90</v>
      </c>
      <c r="H52" s="242">
        <v>12855</v>
      </c>
      <c r="I52" s="233" t="s">
        <v>112</v>
      </c>
      <c r="J52" s="242">
        <f>(F52*H52*2000)/1000000</f>
        <v>14070028.890000001</v>
      </c>
      <c r="K52" s="242">
        <f t="shared" ref="K52:K53" si="10">(J52/(J$52+J$53+J$54+J$55))*K$56</f>
        <v>1559573.2339340833</v>
      </c>
      <c r="L52" s="264">
        <f>J52*Q57*0.001102</f>
        <v>170.55689020457999</v>
      </c>
      <c r="M52" s="250">
        <f>J52*R57*0.0011023</f>
        <v>24.815028552715201</v>
      </c>
      <c r="N52" s="224"/>
      <c r="O52" s="266" t="s">
        <v>436</v>
      </c>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row>
    <row r="53" spans="1:39" ht="11.25" customHeight="1" x14ac:dyDescent="0.2">
      <c r="A53" s="224"/>
      <c r="B53" s="232"/>
      <c r="C53" s="233"/>
      <c r="D53" s="268"/>
      <c r="E53" s="233" t="s">
        <v>155</v>
      </c>
      <c r="F53" s="234">
        <v>501774</v>
      </c>
      <c r="G53" s="233" t="s">
        <v>142</v>
      </c>
      <c r="H53" s="242">
        <v>136306</v>
      </c>
      <c r="I53" s="233" t="s">
        <v>143</v>
      </c>
      <c r="J53" s="242">
        <f t="shared" ref="J53:J54" si="11">(F53*H53)/1000000</f>
        <v>68394.806844000006</v>
      </c>
      <c r="K53" s="242">
        <f t="shared" si="10"/>
        <v>7581.1294296492415</v>
      </c>
      <c r="L53" s="264">
        <f>J53*Q59*0.001102</f>
        <v>0.22611323142626399</v>
      </c>
      <c r="M53" s="250">
        <f>J53*R59*0.001102</f>
        <v>4.5222646285252799E-2</v>
      </c>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row>
    <row r="54" spans="1:39" ht="11.25" customHeight="1" x14ac:dyDescent="0.2">
      <c r="A54" s="224"/>
      <c r="B54" s="232"/>
      <c r="C54" s="233"/>
      <c r="D54" s="268"/>
      <c r="E54" s="233" t="s">
        <v>317</v>
      </c>
      <c r="F54" s="234">
        <v>8068</v>
      </c>
      <c r="G54" s="233" t="s">
        <v>142</v>
      </c>
      <c r="H54" s="242">
        <v>140366</v>
      </c>
      <c r="I54" s="233" t="s">
        <v>143</v>
      </c>
      <c r="J54" s="242">
        <f t="shared" si="11"/>
        <v>1132.472888</v>
      </c>
      <c r="K54" s="242">
        <f>(J54/(J$52+J$54+$J54+J$55))*K$56</f>
        <v>126.11460133466296</v>
      </c>
      <c r="L54" s="264">
        <f>J54*Q64*0.001102</f>
        <v>3.7439553677279997E-3</v>
      </c>
      <c r="M54" s="250">
        <f>J54*R64*0.001102</f>
        <v>7.487910735455999E-4</v>
      </c>
      <c r="N54" s="224"/>
      <c r="O54" s="286" t="s">
        <v>437</v>
      </c>
      <c r="P54" s="287" t="s">
        <v>438</v>
      </c>
      <c r="Q54" s="287"/>
      <c r="R54" s="288"/>
      <c r="S54" s="224"/>
      <c r="T54" s="224"/>
      <c r="U54" s="224"/>
      <c r="V54" s="224"/>
      <c r="W54" s="224"/>
      <c r="X54" s="224"/>
      <c r="Y54" s="224"/>
      <c r="Z54" s="224"/>
      <c r="AA54" s="224"/>
      <c r="AB54" s="224"/>
      <c r="AC54" s="224"/>
      <c r="AD54" s="224"/>
      <c r="AE54" s="224"/>
      <c r="AF54" s="224"/>
      <c r="AG54" s="224"/>
      <c r="AH54" s="224"/>
      <c r="AI54" s="224"/>
      <c r="AJ54" s="224"/>
      <c r="AK54" s="224"/>
      <c r="AL54" s="224"/>
      <c r="AM54" s="224"/>
    </row>
    <row r="55" spans="1:39" ht="11.25" customHeight="1" x14ac:dyDescent="0.25">
      <c r="A55" s="224"/>
      <c r="B55" s="232"/>
      <c r="C55" s="233"/>
      <c r="D55" s="268"/>
      <c r="E55" s="233" t="s">
        <v>336</v>
      </c>
      <c r="F55" s="234">
        <v>287710</v>
      </c>
      <c r="G55" s="233" t="s">
        <v>332</v>
      </c>
      <c r="H55" s="242">
        <v>1067</v>
      </c>
      <c r="I55" s="233" t="s">
        <v>335</v>
      </c>
      <c r="J55" s="242">
        <f>(F55*H55)/1000</f>
        <v>306986.57</v>
      </c>
      <c r="K55" s="242">
        <f>(J55/(J$52+J$53+J$55))*K$56</f>
        <v>34030.176863160646</v>
      </c>
      <c r="L55" s="264">
        <f>J55*Q58*0.001102</f>
        <v>0.33829920013999998</v>
      </c>
      <c r="M55" s="250">
        <f>J55*R58*0.0011023</f>
        <v>3.38391296111E-2</v>
      </c>
      <c r="N55" s="224"/>
      <c r="O55" s="289"/>
      <c r="P55" s="290" t="s">
        <v>439</v>
      </c>
      <c r="Q55" s="290" t="s">
        <v>440</v>
      </c>
      <c r="R55" s="291" t="s">
        <v>441</v>
      </c>
      <c r="S55" s="224"/>
      <c r="T55" s="224"/>
      <c r="U55" s="224"/>
      <c r="V55" s="224"/>
      <c r="W55" s="224"/>
      <c r="X55" s="224"/>
      <c r="Y55" s="224"/>
      <c r="Z55" s="224"/>
      <c r="AA55" s="224"/>
      <c r="AB55" s="224"/>
      <c r="AC55" s="224"/>
      <c r="AD55" s="224"/>
      <c r="AE55" s="224"/>
      <c r="AF55" s="224"/>
      <c r="AG55" s="224"/>
      <c r="AH55" s="224"/>
      <c r="AI55" s="224"/>
      <c r="AJ55" s="224"/>
      <c r="AK55" s="224"/>
      <c r="AL55" s="224"/>
      <c r="AM55" s="224"/>
    </row>
    <row r="56" spans="1:39" ht="11.25" customHeight="1" x14ac:dyDescent="0.2">
      <c r="A56" s="224"/>
      <c r="B56" s="232"/>
      <c r="C56" s="233"/>
      <c r="D56" s="268"/>
      <c r="E56" s="233"/>
      <c r="F56" s="242"/>
      <c r="G56" s="233"/>
      <c r="H56" s="242"/>
      <c r="I56" s="233"/>
      <c r="J56" s="243">
        <f>SUM(J52:J55)</f>
        <v>14446542.739732001</v>
      </c>
      <c r="K56" s="247">
        <v>1601307.4</v>
      </c>
      <c r="L56" s="275">
        <f t="shared" ref="L56:M56" si="12">SUM(L52:L55)</f>
        <v>171.12504659151398</v>
      </c>
      <c r="M56" s="249">
        <f t="shared" si="12"/>
        <v>24.894839119685098</v>
      </c>
      <c r="N56" s="224"/>
      <c r="O56" s="292" t="s">
        <v>442</v>
      </c>
      <c r="P56" s="293">
        <v>93.28</v>
      </c>
      <c r="Q56" s="294">
        <v>1.0999999999999999E-2</v>
      </c>
      <c r="R56" s="295">
        <v>1.6000000000000001E-3</v>
      </c>
      <c r="S56" s="224"/>
      <c r="T56" s="224"/>
      <c r="U56" s="224"/>
      <c r="V56" s="224"/>
      <c r="W56" s="224"/>
      <c r="X56" s="224"/>
      <c r="Y56" s="224"/>
      <c r="Z56" s="224"/>
      <c r="AA56" s="224"/>
      <c r="AB56" s="224"/>
      <c r="AC56" s="224"/>
      <c r="AD56" s="224"/>
      <c r="AE56" s="224"/>
      <c r="AF56" s="224"/>
      <c r="AG56" s="224"/>
      <c r="AH56" s="224"/>
      <c r="AI56" s="224"/>
      <c r="AJ56" s="224"/>
      <c r="AK56" s="224"/>
      <c r="AL56" s="224"/>
      <c r="AM56" s="224"/>
    </row>
    <row r="57" spans="1:39" ht="11.25" customHeight="1" x14ac:dyDescent="0.2">
      <c r="A57" s="224"/>
      <c r="B57" s="232"/>
      <c r="C57" s="233"/>
      <c r="D57" s="268"/>
      <c r="E57" s="233"/>
      <c r="F57" s="242"/>
      <c r="G57" s="233"/>
      <c r="H57" s="242"/>
      <c r="I57" s="233"/>
      <c r="J57" s="242"/>
      <c r="K57" s="242"/>
      <c r="L57" s="264"/>
      <c r="M57" s="250"/>
      <c r="N57" s="224"/>
      <c r="O57" s="296" t="s">
        <v>443</v>
      </c>
      <c r="P57" s="274">
        <v>97.14</v>
      </c>
      <c r="Q57" s="277">
        <v>1.0999999999999999E-2</v>
      </c>
      <c r="R57" s="297">
        <v>1.6000000000000001E-3</v>
      </c>
      <c r="S57" s="224"/>
      <c r="T57" s="224"/>
      <c r="U57" s="224"/>
      <c r="V57" s="224"/>
      <c r="W57" s="224"/>
      <c r="X57" s="224"/>
      <c r="Y57" s="224"/>
      <c r="Z57" s="224"/>
      <c r="AA57" s="224"/>
      <c r="AB57" s="224"/>
      <c r="AC57" s="224"/>
      <c r="AD57" s="224"/>
      <c r="AE57" s="224"/>
      <c r="AF57" s="224"/>
      <c r="AG57" s="224"/>
      <c r="AH57" s="224"/>
      <c r="AI57" s="224"/>
      <c r="AJ57" s="224"/>
      <c r="AK57" s="224"/>
      <c r="AL57" s="224"/>
      <c r="AM57" s="224"/>
    </row>
    <row r="58" spans="1:39" ht="11.25" customHeight="1" x14ac:dyDescent="0.2">
      <c r="A58" s="224"/>
      <c r="B58" s="232"/>
      <c r="C58" s="233" t="s">
        <v>114</v>
      </c>
      <c r="D58" s="268" t="s">
        <v>115</v>
      </c>
      <c r="E58" s="233" t="s">
        <v>89</v>
      </c>
      <c r="F58" s="234">
        <v>2757</v>
      </c>
      <c r="G58" s="233" t="s">
        <v>90</v>
      </c>
      <c r="H58" s="242">
        <v>12865</v>
      </c>
      <c r="I58" s="233" t="s">
        <v>112</v>
      </c>
      <c r="J58" s="242">
        <f>(F58*H58*2000)/1000000</f>
        <v>70937.61</v>
      </c>
      <c r="K58" s="242">
        <f t="shared" ref="K58:K60" si="13">(J58/(J$58+J$59+J$60))*K$61</f>
        <v>3950.2586876140026</v>
      </c>
      <c r="L58" s="264">
        <f>J58*Q57*0.0011023</f>
        <v>0.86013980253300004</v>
      </c>
      <c r="M58" s="250">
        <f>J58*R57*0.001102</f>
        <v>0.12507719395200001</v>
      </c>
      <c r="N58" s="224"/>
      <c r="O58" s="296" t="s">
        <v>331</v>
      </c>
      <c r="P58" s="274">
        <v>53.06</v>
      </c>
      <c r="Q58" s="277">
        <v>1E-3</v>
      </c>
      <c r="R58" s="297">
        <v>1E-4</v>
      </c>
      <c r="S58" s="224"/>
      <c r="T58" s="224"/>
      <c r="U58" s="224"/>
      <c r="V58" s="224"/>
      <c r="W58" s="224"/>
      <c r="X58" s="224"/>
      <c r="Y58" s="224"/>
      <c r="Z58" s="224"/>
      <c r="AA58" s="224"/>
      <c r="AB58" s="224"/>
      <c r="AC58" s="224"/>
      <c r="AD58" s="224"/>
      <c r="AE58" s="224"/>
      <c r="AF58" s="224"/>
      <c r="AG58" s="224"/>
      <c r="AH58" s="224"/>
      <c r="AI58" s="224"/>
      <c r="AJ58" s="224"/>
      <c r="AK58" s="224"/>
      <c r="AL58" s="224"/>
      <c r="AM58" s="224"/>
    </row>
    <row r="59" spans="1:39" ht="11.25" customHeight="1" x14ac:dyDescent="0.2">
      <c r="A59" s="224"/>
      <c r="B59" s="232"/>
      <c r="C59" s="233"/>
      <c r="D59" s="268"/>
      <c r="E59" s="233" t="s">
        <v>155</v>
      </c>
      <c r="F59" s="234">
        <v>54180</v>
      </c>
      <c r="G59" s="233" t="s">
        <v>142</v>
      </c>
      <c r="H59" s="242">
        <v>135811</v>
      </c>
      <c r="I59" s="233" t="s">
        <v>143</v>
      </c>
      <c r="J59" s="242">
        <f>(F59*H59)/1000000</f>
        <v>7358.2399800000003</v>
      </c>
      <c r="K59" s="242">
        <f t="shared" si="13"/>
        <v>409.75374567234064</v>
      </c>
      <c r="L59" s="264">
        <f>J59*Q59*0.001102</f>
        <v>2.4326341373879998E-2</v>
      </c>
      <c r="M59" s="250">
        <f>J59*R59*0.001102</f>
        <v>4.8652682747759995E-3</v>
      </c>
      <c r="N59" s="224"/>
      <c r="O59" s="296" t="s">
        <v>444</v>
      </c>
      <c r="P59" s="274">
        <v>73.959999999999994</v>
      </c>
      <c r="Q59" s="277">
        <v>3.0000000000000001E-3</v>
      </c>
      <c r="R59" s="297">
        <v>5.9999999999999995E-4</v>
      </c>
      <c r="S59" s="224"/>
      <c r="T59" s="224"/>
      <c r="U59" s="224"/>
      <c r="V59" s="224"/>
      <c r="W59" s="224"/>
      <c r="X59" s="224"/>
      <c r="Y59" s="224"/>
      <c r="Z59" s="224"/>
      <c r="AA59" s="224"/>
      <c r="AB59" s="224"/>
      <c r="AC59" s="224"/>
      <c r="AD59" s="224"/>
      <c r="AE59" s="224"/>
      <c r="AF59" s="224"/>
      <c r="AG59" s="224"/>
      <c r="AH59" s="224"/>
      <c r="AI59" s="224"/>
      <c r="AJ59" s="224"/>
      <c r="AK59" s="224"/>
      <c r="AL59" s="224"/>
      <c r="AM59" s="224"/>
    </row>
    <row r="60" spans="1:39" ht="11.25" customHeight="1" x14ac:dyDescent="0.2">
      <c r="A60" s="224"/>
      <c r="B60" s="232"/>
      <c r="C60" s="233"/>
      <c r="D60" s="268"/>
      <c r="E60" s="233" t="s">
        <v>336</v>
      </c>
      <c r="F60" s="234">
        <v>2610880</v>
      </c>
      <c r="G60" s="233" t="s">
        <v>332</v>
      </c>
      <c r="H60" s="242">
        <v>1064.175</v>
      </c>
      <c r="I60" s="233" t="s">
        <v>335</v>
      </c>
      <c r="J60" s="242">
        <f>(F60*H60)/1000</f>
        <v>2778433.2239999999</v>
      </c>
      <c r="K60" s="242">
        <f t="shared" si="13"/>
        <v>154720.88756671365</v>
      </c>
      <c r="L60" s="264">
        <f>J60*Q58*0.001102</f>
        <v>3.0618334128479994</v>
      </c>
      <c r="M60" s="250">
        <f>J60*R58*0.001102</f>
        <v>0.30618334128480001</v>
      </c>
      <c r="N60" s="224"/>
      <c r="O60" s="296" t="s">
        <v>445</v>
      </c>
      <c r="P60" s="274">
        <v>75.099999999999994</v>
      </c>
      <c r="Q60" s="277">
        <v>3.0000000000000001E-3</v>
      </c>
      <c r="R60" s="297">
        <v>5.9999999999999995E-4</v>
      </c>
      <c r="S60" s="224"/>
      <c r="T60" s="224"/>
      <c r="U60" s="224"/>
      <c r="V60" s="224"/>
      <c r="W60" s="224"/>
      <c r="X60" s="224"/>
      <c r="Y60" s="224"/>
      <c r="Z60" s="224"/>
      <c r="AA60" s="224"/>
      <c r="AB60" s="224"/>
      <c r="AC60" s="224"/>
      <c r="AD60" s="224"/>
      <c r="AE60" s="224"/>
      <c r="AF60" s="224"/>
      <c r="AG60" s="224"/>
      <c r="AH60" s="224"/>
      <c r="AI60" s="224"/>
      <c r="AJ60" s="224"/>
      <c r="AK60" s="224"/>
      <c r="AL60" s="224"/>
      <c r="AM60" s="224"/>
    </row>
    <row r="61" spans="1:39" ht="11.25" customHeight="1" x14ac:dyDescent="0.2">
      <c r="A61" s="224"/>
      <c r="B61" s="232"/>
      <c r="C61" s="233"/>
      <c r="D61" s="268"/>
      <c r="E61" s="233"/>
      <c r="F61" s="242"/>
      <c r="G61" s="233"/>
      <c r="H61" s="242"/>
      <c r="I61" s="233"/>
      <c r="J61" s="243">
        <f>SUM(J58:J60)</f>
        <v>2856729.0739799999</v>
      </c>
      <c r="K61" s="247">
        <v>159080.9</v>
      </c>
      <c r="L61" s="275">
        <f t="shared" ref="L61:M61" si="14">SUM(L58:L60)</f>
        <v>3.9462995567548793</v>
      </c>
      <c r="M61" s="249">
        <f t="shared" si="14"/>
        <v>0.43612580351157604</v>
      </c>
      <c r="N61" s="224"/>
      <c r="O61" s="296" t="s">
        <v>446</v>
      </c>
      <c r="P61" s="274">
        <v>75.2</v>
      </c>
      <c r="Q61" s="277">
        <v>3.0000000000000001E-3</v>
      </c>
      <c r="R61" s="297">
        <v>5.9999999999999995E-4</v>
      </c>
      <c r="S61" s="224"/>
      <c r="T61" s="224"/>
      <c r="U61" s="224"/>
      <c r="V61" s="224"/>
      <c r="W61" s="224"/>
      <c r="X61" s="224"/>
      <c r="Y61" s="224"/>
      <c r="Z61" s="224"/>
      <c r="AA61" s="224"/>
      <c r="AB61" s="224"/>
      <c r="AC61" s="224"/>
      <c r="AD61" s="224"/>
      <c r="AE61" s="224"/>
      <c r="AF61" s="224"/>
      <c r="AG61" s="224"/>
      <c r="AH61" s="224"/>
      <c r="AI61" s="224"/>
      <c r="AJ61" s="224"/>
      <c r="AK61" s="224"/>
      <c r="AL61" s="224"/>
      <c r="AM61" s="224"/>
    </row>
    <row r="62" spans="1:39" ht="11.25" customHeight="1" x14ac:dyDescent="0.2">
      <c r="A62" s="224"/>
      <c r="B62" s="232"/>
      <c r="C62" s="233"/>
      <c r="D62" s="268"/>
      <c r="E62" s="233"/>
      <c r="F62" s="242"/>
      <c r="G62" s="233"/>
      <c r="H62" s="242"/>
      <c r="I62" s="233"/>
      <c r="J62" s="242"/>
      <c r="K62" s="242"/>
      <c r="L62" s="264"/>
      <c r="M62" s="250"/>
      <c r="N62" s="224"/>
      <c r="O62" s="296" t="s">
        <v>447</v>
      </c>
      <c r="P62" s="274">
        <v>62.87</v>
      </c>
      <c r="Q62" s="277">
        <v>3.0000000000000001E-3</v>
      </c>
      <c r="R62" s="297">
        <v>5.9999999999999995E-4</v>
      </c>
      <c r="S62" s="224"/>
      <c r="T62" s="224"/>
      <c r="U62" s="224"/>
      <c r="V62" s="224"/>
      <c r="W62" s="224"/>
      <c r="X62" s="224"/>
      <c r="Y62" s="224"/>
      <c r="Z62" s="224"/>
      <c r="AA62" s="224"/>
      <c r="AB62" s="224"/>
      <c r="AC62" s="224"/>
      <c r="AD62" s="224"/>
      <c r="AE62" s="224"/>
      <c r="AF62" s="224"/>
      <c r="AG62" s="224"/>
      <c r="AH62" s="224"/>
      <c r="AI62" s="224"/>
      <c r="AJ62" s="224"/>
      <c r="AK62" s="224"/>
      <c r="AL62" s="224"/>
      <c r="AM62" s="224"/>
    </row>
    <row r="63" spans="1:39" ht="11.25" customHeight="1" x14ac:dyDescent="0.2">
      <c r="A63" s="224"/>
      <c r="B63" s="232"/>
      <c r="C63" s="233" t="s">
        <v>116</v>
      </c>
      <c r="D63" s="268" t="s">
        <v>117</v>
      </c>
      <c r="E63" s="233" t="s">
        <v>89</v>
      </c>
      <c r="F63" s="234">
        <v>2399</v>
      </c>
      <c r="G63" s="233" t="s">
        <v>90</v>
      </c>
      <c r="H63" s="242">
        <v>12865</v>
      </c>
      <c r="I63" s="233" t="s">
        <v>112</v>
      </c>
      <c r="J63" s="242">
        <f>(F63*H63*2000)/1000000</f>
        <v>61726.27</v>
      </c>
      <c r="K63" s="242">
        <f t="shared" ref="K63:K65" si="15">(J63/(J$63+J$64+J$65))*K$66</f>
        <v>3685.1145177804701</v>
      </c>
      <c r="L63" s="264">
        <f>J63*Q57*0.001102</f>
        <v>0.74824584493999979</v>
      </c>
      <c r="M63" s="250">
        <f>J63*R57*0.001102</f>
        <v>0.10883575926399999</v>
      </c>
      <c r="N63" s="224"/>
      <c r="O63" s="296" t="s">
        <v>448</v>
      </c>
      <c r="P63" s="274">
        <v>66.88</v>
      </c>
      <c r="Q63" s="277">
        <v>3.0000000000000001E-3</v>
      </c>
      <c r="R63" s="297">
        <v>5.9999999999999995E-4</v>
      </c>
      <c r="S63" s="224"/>
      <c r="T63" s="224"/>
      <c r="U63" s="224"/>
      <c r="V63" s="224"/>
      <c r="W63" s="224"/>
      <c r="X63" s="224"/>
      <c r="Y63" s="224"/>
      <c r="Z63" s="224"/>
      <c r="AA63" s="224"/>
      <c r="AB63" s="224"/>
      <c r="AC63" s="224"/>
      <c r="AD63" s="224"/>
      <c r="AE63" s="224"/>
      <c r="AF63" s="224"/>
      <c r="AG63" s="224"/>
      <c r="AH63" s="224"/>
      <c r="AI63" s="224"/>
      <c r="AJ63" s="224"/>
      <c r="AK63" s="224"/>
      <c r="AL63" s="224"/>
      <c r="AM63" s="224"/>
    </row>
    <row r="64" spans="1:39" ht="11.25" customHeight="1" x14ac:dyDescent="0.2">
      <c r="A64" s="224"/>
      <c r="B64" s="232"/>
      <c r="C64" s="233"/>
      <c r="D64" s="268"/>
      <c r="E64" s="233" t="s">
        <v>155</v>
      </c>
      <c r="F64" s="234">
        <v>70660</v>
      </c>
      <c r="G64" s="233" t="s">
        <v>142</v>
      </c>
      <c r="H64" s="242">
        <v>135444</v>
      </c>
      <c r="I64" s="233" t="s">
        <v>143</v>
      </c>
      <c r="J64" s="242">
        <f>(F64*H64)/1000000</f>
        <v>9570.4730400000008</v>
      </c>
      <c r="K64" s="242">
        <f t="shared" si="15"/>
        <v>571.3659539403659</v>
      </c>
      <c r="L64" s="264">
        <f>J64*Q59*0.001102</f>
        <v>3.1639983870240002E-2</v>
      </c>
      <c r="M64" s="250">
        <f>J64*R59*0.001102</f>
        <v>6.327996774048E-3</v>
      </c>
      <c r="N64" s="224"/>
      <c r="O64" s="289" t="s">
        <v>317</v>
      </c>
      <c r="P64" s="298">
        <v>74</v>
      </c>
      <c r="Q64" s="299">
        <v>3.0000000000000001E-3</v>
      </c>
      <c r="R64" s="300">
        <v>5.9999999999999995E-4</v>
      </c>
      <c r="S64" s="224"/>
      <c r="T64" s="224"/>
      <c r="U64" s="224"/>
      <c r="V64" s="224"/>
      <c r="W64" s="224"/>
      <c r="X64" s="224"/>
      <c r="Y64" s="224"/>
      <c r="Z64" s="224"/>
      <c r="AA64" s="224"/>
      <c r="AB64" s="224"/>
      <c r="AC64" s="224"/>
      <c r="AD64" s="224"/>
      <c r="AE64" s="224"/>
      <c r="AF64" s="224"/>
      <c r="AG64" s="224"/>
      <c r="AH64" s="224"/>
      <c r="AI64" s="224"/>
      <c r="AJ64" s="224"/>
      <c r="AK64" s="224"/>
      <c r="AL64" s="224"/>
      <c r="AM64" s="224"/>
    </row>
    <row r="65" spans="1:39" ht="11.25" customHeight="1" x14ac:dyDescent="0.2">
      <c r="A65" s="224"/>
      <c r="B65" s="232"/>
      <c r="C65" s="233"/>
      <c r="D65" s="268"/>
      <c r="E65" s="233" t="s">
        <v>336</v>
      </c>
      <c r="F65" s="234">
        <v>2095750</v>
      </c>
      <c r="G65" s="233" t="s">
        <v>332</v>
      </c>
      <c r="H65" s="242">
        <v>1068</v>
      </c>
      <c r="I65" s="233" t="s">
        <v>335</v>
      </c>
      <c r="J65" s="242">
        <f>(F65*H65)/1000</f>
        <v>2238261</v>
      </c>
      <c r="K65" s="242">
        <f t="shared" si="15"/>
        <v>133626.21952827918</v>
      </c>
      <c r="L65" s="264">
        <f>J65*Q58*0.001102</f>
        <v>2.4665636219999998</v>
      </c>
      <c r="M65" s="250">
        <f>J65*R58*0.001102</f>
        <v>0.24665636219999998</v>
      </c>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row>
    <row r="66" spans="1:39" ht="11.25" customHeight="1" x14ac:dyDescent="0.2">
      <c r="A66" s="224"/>
      <c r="B66" s="232"/>
      <c r="C66" s="233"/>
      <c r="D66" s="268"/>
      <c r="E66" s="233"/>
      <c r="F66" s="242"/>
      <c r="G66" s="233"/>
      <c r="H66" s="242"/>
      <c r="I66" s="233"/>
      <c r="J66" s="243">
        <f>SUM(J63:J65)</f>
        <v>2309557.7430400001</v>
      </c>
      <c r="K66" s="247">
        <v>137882.70000000001</v>
      </c>
      <c r="L66" s="275">
        <f t="shared" ref="L66:M66" si="16">SUM(L63:L65)</f>
        <v>3.2464494508102395</v>
      </c>
      <c r="M66" s="249">
        <f t="shared" si="16"/>
        <v>0.36182011823804794</v>
      </c>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row>
    <row r="67" spans="1:39" ht="11.25" customHeight="1" x14ac:dyDescent="0.2">
      <c r="A67" s="224"/>
      <c r="B67" s="232"/>
      <c r="C67" s="233"/>
      <c r="D67" s="268"/>
      <c r="E67" s="233"/>
      <c r="F67" s="242"/>
      <c r="G67" s="233"/>
      <c r="H67" s="242"/>
      <c r="I67" s="233"/>
      <c r="J67" s="243"/>
      <c r="K67" s="242"/>
      <c r="L67" s="264"/>
      <c r="M67" s="250"/>
      <c r="N67" s="224"/>
      <c r="O67" s="2503" t="s">
        <v>449</v>
      </c>
      <c r="P67" s="2504"/>
      <c r="Q67" s="2504"/>
      <c r="R67" s="224"/>
      <c r="S67" s="224"/>
      <c r="T67" s="224"/>
      <c r="U67" s="224"/>
      <c r="V67" s="224"/>
      <c r="W67" s="224"/>
      <c r="X67" s="224"/>
      <c r="Y67" s="224"/>
      <c r="Z67" s="224"/>
      <c r="AA67" s="224"/>
      <c r="AB67" s="224"/>
      <c r="AC67" s="224"/>
      <c r="AD67" s="224"/>
      <c r="AE67" s="224"/>
      <c r="AF67" s="224"/>
      <c r="AG67" s="224"/>
      <c r="AH67" s="224"/>
      <c r="AI67" s="224"/>
      <c r="AJ67" s="224"/>
      <c r="AK67" s="224"/>
      <c r="AL67" s="224"/>
      <c r="AM67" s="224"/>
    </row>
    <row r="68" spans="1:39" ht="11.25" customHeight="1" x14ac:dyDescent="0.3">
      <c r="A68" s="224"/>
      <c r="B68" s="232"/>
      <c r="C68" s="233" t="s">
        <v>156</v>
      </c>
      <c r="D68" s="301" t="s">
        <v>157</v>
      </c>
      <c r="E68" s="233" t="s">
        <v>155</v>
      </c>
      <c r="F68" s="234">
        <v>202020</v>
      </c>
      <c r="G68" s="233" t="s">
        <v>142</v>
      </c>
      <c r="H68" s="242">
        <v>136306</v>
      </c>
      <c r="I68" s="233" t="s">
        <v>143</v>
      </c>
      <c r="J68" s="243">
        <f>(F68*H68)/1000000</f>
        <v>27536.538120000001</v>
      </c>
      <c r="K68" s="247">
        <v>2244.9699999999998</v>
      </c>
      <c r="L68" s="302">
        <f>J68*Q59*0.001102</f>
        <v>9.1035795024720007E-2</v>
      </c>
      <c r="M68" s="249">
        <f>J68*R59*0.001102</f>
        <v>1.8207159004943997E-2</v>
      </c>
      <c r="N68" s="224"/>
      <c r="O68" s="303" t="s">
        <v>450</v>
      </c>
      <c r="P68" s="303">
        <v>1</v>
      </c>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row>
    <row r="69" spans="1:39" ht="11.25" customHeight="1" x14ac:dyDescent="0.3">
      <c r="A69" s="224"/>
      <c r="B69" s="232"/>
      <c r="C69" s="233"/>
      <c r="D69" s="268"/>
      <c r="E69" s="233"/>
      <c r="F69" s="242"/>
      <c r="G69" s="233"/>
      <c r="H69" s="242"/>
      <c r="I69" s="233"/>
      <c r="J69" s="242"/>
      <c r="K69" s="242"/>
      <c r="L69" s="264"/>
      <c r="M69" s="250"/>
      <c r="N69" s="224"/>
      <c r="O69" s="303" t="s">
        <v>451</v>
      </c>
      <c r="P69" s="303">
        <v>21</v>
      </c>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row>
    <row r="70" spans="1:39" ht="11.25" customHeight="1" x14ac:dyDescent="0.3">
      <c r="A70" s="224"/>
      <c r="B70" s="232"/>
      <c r="C70" s="233" t="s">
        <v>158</v>
      </c>
      <c r="D70" s="268" t="s">
        <v>159</v>
      </c>
      <c r="E70" s="233" t="s">
        <v>155</v>
      </c>
      <c r="F70" s="234">
        <v>227840</v>
      </c>
      <c r="G70" s="233" t="s">
        <v>142</v>
      </c>
      <c r="H70" s="242">
        <v>136306</v>
      </c>
      <c r="I70" s="233" t="s">
        <v>143</v>
      </c>
      <c r="J70" s="243">
        <v>10527</v>
      </c>
      <c r="K70" s="247">
        <v>2467.3000000000002</v>
      </c>
      <c r="L70" s="302">
        <f>J70*Q59*0.001102</f>
        <v>3.4802261999999994E-2</v>
      </c>
      <c r="M70" s="249">
        <f>J70*R59*0.001102</f>
        <v>6.9604523999999991E-3</v>
      </c>
      <c r="N70" s="224"/>
      <c r="O70" s="303" t="s">
        <v>452</v>
      </c>
      <c r="P70" s="303">
        <v>310</v>
      </c>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row>
    <row r="71" spans="1:39" ht="11.25" customHeight="1" x14ac:dyDescent="0.2">
      <c r="A71" s="224"/>
      <c r="B71" s="232"/>
      <c r="C71" s="233"/>
      <c r="D71" s="268"/>
      <c r="E71" s="233"/>
      <c r="F71" s="242"/>
      <c r="G71" s="233"/>
      <c r="H71" s="242"/>
      <c r="I71" s="233"/>
      <c r="J71" s="242"/>
      <c r="K71" s="242"/>
      <c r="L71" s="264"/>
      <c r="M71" s="250"/>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row>
    <row r="72" spans="1:39" ht="11.25" customHeight="1" x14ac:dyDescent="0.2">
      <c r="A72" s="224"/>
      <c r="B72" s="232"/>
      <c r="C72" s="233" t="s">
        <v>160</v>
      </c>
      <c r="D72" s="301" t="s">
        <v>161</v>
      </c>
      <c r="E72" s="233" t="s">
        <v>155</v>
      </c>
      <c r="F72" s="234">
        <v>901320</v>
      </c>
      <c r="G72" s="233" t="s">
        <v>142</v>
      </c>
      <c r="H72" s="242">
        <v>136306</v>
      </c>
      <c r="I72" s="233" t="s">
        <v>143</v>
      </c>
      <c r="J72" s="242">
        <f>(F72*H72)/1000000</f>
        <v>122855.32392</v>
      </c>
      <c r="K72" s="243">
        <f t="shared" ref="K72:K73" si="17">(J72/(J$72+J$73))*K$74</f>
        <v>9966.4848386597823</v>
      </c>
      <c r="L72" s="264">
        <f>J72*Q59*0.001102</f>
        <v>0.40615970087951991</v>
      </c>
      <c r="M72" s="250">
        <f>J72*R59*0.001102</f>
        <v>8.1231940175903974E-2</v>
      </c>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row>
    <row r="73" spans="1:39" ht="11.25" customHeight="1" x14ac:dyDescent="0.2">
      <c r="A73" s="224"/>
      <c r="B73" s="232"/>
      <c r="C73" s="233"/>
      <c r="D73" s="268"/>
      <c r="E73" s="233" t="s">
        <v>336</v>
      </c>
      <c r="F73" s="234">
        <v>28104</v>
      </c>
      <c r="G73" s="233" t="s">
        <v>332</v>
      </c>
      <c r="H73" s="242">
        <v>1069</v>
      </c>
      <c r="I73" s="233" t="s">
        <v>335</v>
      </c>
      <c r="J73" s="242">
        <f>(F73*H73)/1000</f>
        <v>30043.175999999999</v>
      </c>
      <c r="K73" s="243">
        <f t="shared" si="17"/>
        <v>2437.2151613402175</v>
      </c>
      <c r="L73" s="264">
        <f>J73*Q58*0.001102</f>
        <v>3.3107579951999998E-2</v>
      </c>
      <c r="M73" s="250">
        <f>J73*R58*0.001102</f>
        <v>3.3107579951999998E-3</v>
      </c>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row>
    <row r="74" spans="1:39" ht="11.25" customHeight="1" x14ac:dyDescent="0.2">
      <c r="A74" s="224"/>
      <c r="B74" s="232"/>
      <c r="C74" s="233"/>
      <c r="D74" s="268"/>
      <c r="E74" s="233"/>
      <c r="F74" s="242"/>
      <c r="G74" s="233"/>
      <c r="H74" s="242"/>
      <c r="I74" s="233"/>
      <c r="J74" s="243">
        <f>SUM(J72:J73)</f>
        <v>152898.49992</v>
      </c>
      <c r="K74" s="247">
        <v>12403.7</v>
      </c>
      <c r="L74" s="275">
        <f t="shared" ref="L74:M74" si="18">SUM(L72:L73)</f>
        <v>0.43926728083151989</v>
      </c>
      <c r="M74" s="249">
        <f t="shared" si="18"/>
        <v>8.4542698171103978E-2</v>
      </c>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row>
    <row r="75" spans="1:39" ht="11.25" customHeight="1" x14ac:dyDescent="0.2">
      <c r="A75" s="224"/>
      <c r="B75" s="232"/>
      <c r="C75" s="233"/>
      <c r="D75" s="268"/>
      <c r="E75" s="233"/>
      <c r="F75" s="242"/>
      <c r="G75" s="233"/>
      <c r="H75" s="242"/>
      <c r="I75" s="233"/>
      <c r="J75" s="243"/>
      <c r="K75" s="243"/>
      <c r="L75" s="252"/>
      <c r="M75" s="250"/>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row>
    <row r="76" spans="1:39" ht="11.25" customHeight="1" x14ac:dyDescent="0.2">
      <c r="A76" s="224"/>
      <c r="B76" s="232"/>
      <c r="C76" s="233" t="s">
        <v>162</v>
      </c>
      <c r="D76" s="301" t="s">
        <v>163</v>
      </c>
      <c r="E76" s="233" t="s">
        <v>155</v>
      </c>
      <c r="F76" s="234">
        <v>204227</v>
      </c>
      <c r="G76" s="233" t="s">
        <v>142</v>
      </c>
      <c r="H76" s="242">
        <v>136306</v>
      </c>
      <c r="I76" s="233" t="s">
        <v>143</v>
      </c>
      <c r="J76" s="242">
        <f>(F76*H76)/1000000</f>
        <v>27837.365462000002</v>
      </c>
      <c r="K76" s="243">
        <f t="shared" ref="K76:K77" si="19">(J76/(J$76+J$77))*K$78</f>
        <v>1933.0026849959586</v>
      </c>
      <c r="L76" s="264">
        <f>J76*Q59*0.001102</f>
        <v>9.2030330217372003E-2</v>
      </c>
      <c r="M76" s="250">
        <f>J76*R59*0.001102</f>
        <v>1.84060660434744E-2</v>
      </c>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row>
    <row r="77" spans="1:39" ht="11.25" customHeight="1" x14ac:dyDescent="0.2">
      <c r="A77" s="224"/>
      <c r="B77" s="232"/>
      <c r="C77" s="233"/>
      <c r="D77" s="268"/>
      <c r="E77" s="233" t="s">
        <v>336</v>
      </c>
      <c r="F77" s="234">
        <v>36128</v>
      </c>
      <c r="G77" s="233" t="s">
        <v>332</v>
      </c>
      <c r="H77" s="242">
        <v>1069</v>
      </c>
      <c r="I77" s="233" t="s">
        <v>335</v>
      </c>
      <c r="J77" s="242">
        <f>(F77*H77)/1000</f>
        <v>38620.832000000002</v>
      </c>
      <c r="K77" s="243">
        <f t="shared" si="19"/>
        <v>2681.7973150040411</v>
      </c>
      <c r="L77" s="264">
        <f>J77*Q58*0.001102</f>
        <v>4.2560156863999998E-2</v>
      </c>
      <c r="M77" s="250">
        <f>J77*R58*0.001102</f>
        <v>4.2560156863999995E-3</v>
      </c>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row>
    <row r="78" spans="1:39" ht="11.25" customHeight="1" x14ac:dyDescent="0.2">
      <c r="A78" s="224"/>
      <c r="B78" s="232"/>
      <c r="C78" s="233"/>
      <c r="D78" s="268"/>
      <c r="E78" s="233"/>
      <c r="F78" s="234"/>
      <c r="G78" s="233"/>
      <c r="H78" s="242"/>
      <c r="I78" s="233"/>
      <c r="J78" s="243">
        <f>SUM(J76:J77)</f>
        <v>66458.197462000011</v>
      </c>
      <c r="K78" s="247">
        <v>4614.8</v>
      </c>
      <c r="L78" s="275">
        <f t="shared" ref="L78:M78" si="20">SUM(L76:L77)</f>
        <v>0.134590487081372</v>
      </c>
      <c r="M78" s="249">
        <f t="shared" si="20"/>
        <v>2.2662081729874398E-2</v>
      </c>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row>
    <row r="79" spans="1:39" ht="11.25" customHeight="1" x14ac:dyDescent="0.2">
      <c r="A79" s="224"/>
      <c r="B79" s="232"/>
      <c r="C79" s="233"/>
      <c r="D79" s="268"/>
      <c r="E79" s="233"/>
      <c r="F79" s="234"/>
      <c r="G79" s="233"/>
      <c r="H79" s="242"/>
      <c r="I79" s="233"/>
      <c r="J79" s="243"/>
      <c r="K79" s="243"/>
      <c r="L79" s="252"/>
      <c r="M79" s="250"/>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row>
    <row r="80" spans="1:39" ht="11.25" customHeight="1" x14ac:dyDescent="0.2">
      <c r="A80" s="224"/>
      <c r="B80" s="232"/>
      <c r="C80" s="233"/>
      <c r="D80" s="301" t="s">
        <v>164</v>
      </c>
      <c r="E80" s="233" t="s">
        <v>155</v>
      </c>
      <c r="F80" s="234">
        <v>1208420</v>
      </c>
      <c r="G80" s="233" t="s">
        <v>142</v>
      </c>
      <c r="H80" s="242">
        <v>136306</v>
      </c>
      <c r="I80" s="233" t="s">
        <v>143</v>
      </c>
      <c r="J80" s="242">
        <f>(F80*H80)/1000000</f>
        <v>164714.89652000001</v>
      </c>
      <c r="K80" s="243">
        <f t="shared" ref="K80:K81" si="21">(J80/(J$76+J$77))*K$78</f>
        <v>11437.660566931972</v>
      </c>
      <c r="L80" s="264">
        <f>J80*Q59*0.001102</f>
        <v>0.54454744789512</v>
      </c>
      <c r="M80" s="250">
        <f>J80*R59*0.001102</f>
        <v>0.10890948957902399</v>
      </c>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row>
    <row r="81" spans="1:39" ht="11.25" customHeight="1" x14ac:dyDescent="0.2">
      <c r="A81" s="224"/>
      <c r="B81" s="232"/>
      <c r="C81" s="233"/>
      <c r="D81" s="268"/>
      <c r="E81" s="233" t="s">
        <v>336</v>
      </c>
      <c r="F81" s="234">
        <v>45011</v>
      </c>
      <c r="G81" s="233" t="s">
        <v>332</v>
      </c>
      <c r="H81" s="242">
        <v>1069</v>
      </c>
      <c r="I81" s="233" t="s">
        <v>335</v>
      </c>
      <c r="J81" s="242">
        <f>(F81*H81)/1000</f>
        <v>48116.758999999998</v>
      </c>
      <c r="K81" s="243">
        <f t="shared" si="21"/>
        <v>3341.1863082829627</v>
      </c>
      <c r="L81" s="264">
        <f>J81*Q58*0.001102</f>
        <v>5.3024668418E-2</v>
      </c>
      <c r="M81" s="250">
        <f>J81*R58*0.001102</f>
        <v>5.3024668417999991E-3</v>
      </c>
      <c r="N81" s="224"/>
      <c r="O81" s="224"/>
      <c r="P81" s="224"/>
      <c r="Q81" s="224"/>
      <c r="R81" s="224"/>
      <c r="S81" s="224"/>
      <c r="T81" s="224"/>
      <c r="U81" s="224"/>
      <c r="V81" s="224"/>
      <c r="W81" s="224"/>
      <c r="X81" s="224"/>
      <c r="Y81" s="224"/>
      <c r="Z81" s="224"/>
      <c r="AA81" s="224"/>
      <c r="AB81" s="224"/>
      <c r="AC81" s="224"/>
      <c r="AD81" s="224"/>
      <c r="AE81" s="224"/>
      <c r="AF81" s="224"/>
      <c r="AG81" s="224"/>
      <c r="AH81" s="224"/>
      <c r="AI81" s="224"/>
      <c r="AJ81" s="224"/>
      <c r="AK81" s="224"/>
      <c r="AL81" s="224"/>
      <c r="AM81" s="224"/>
    </row>
    <row r="82" spans="1:39" ht="11.25" customHeight="1" x14ac:dyDescent="0.2">
      <c r="A82" s="224"/>
      <c r="B82" s="232"/>
      <c r="C82" s="233"/>
      <c r="D82" s="268"/>
      <c r="E82" s="233"/>
      <c r="F82" s="234"/>
      <c r="G82" s="233"/>
      <c r="H82" s="242"/>
      <c r="I82" s="233"/>
      <c r="J82" s="243">
        <f>SUM(J80:J81)</f>
        <v>212831.65552</v>
      </c>
      <c r="K82" s="247">
        <v>16168</v>
      </c>
      <c r="L82" s="275">
        <f t="shared" ref="L82:M82" si="22">SUM(L80:L81)</f>
        <v>0.59757211631312002</v>
      </c>
      <c r="M82" s="249">
        <f t="shared" si="22"/>
        <v>0.11421195642082399</v>
      </c>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row>
    <row r="83" spans="1:39" ht="11.25" customHeight="1" x14ac:dyDescent="0.2">
      <c r="A83" s="224"/>
      <c r="B83" s="232"/>
      <c r="C83" s="233"/>
      <c r="D83" s="268"/>
      <c r="E83" s="233"/>
      <c r="F83" s="242"/>
      <c r="G83" s="233"/>
      <c r="H83" s="242"/>
      <c r="I83" s="233"/>
      <c r="J83" s="243"/>
      <c r="K83" s="243"/>
      <c r="L83" s="252"/>
      <c r="M83" s="250"/>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row>
    <row r="84" spans="1:39" ht="11.25" customHeight="1" x14ac:dyDescent="0.2">
      <c r="A84" s="224"/>
      <c r="B84" s="232"/>
      <c r="C84" s="233" t="s">
        <v>165</v>
      </c>
      <c r="D84" s="301" t="s">
        <v>166</v>
      </c>
      <c r="E84" s="233" t="s">
        <v>155</v>
      </c>
      <c r="F84" s="234">
        <v>916689</v>
      </c>
      <c r="G84" s="233" t="s">
        <v>142</v>
      </c>
      <c r="H84" s="242">
        <v>136306</v>
      </c>
      <c r="I84" s="233" t="s">
        <v>143</v>
      </c>
      <c r="J84" s="242">
        <f>(F84*H84)/1000000</f>
        <v>124950.210834</v>
      </c>
      <c r="K84" s="243">
        <f t="shared" ref="K84:K85" si="23">(J84/(J$84+J$85))*K$86</f>
        <v>9242.4067769236335</v>
      </c>
      <c r="L84" s="264">
        <f>J84*Q59*0.001102</f>
        <v>0.41308539701720398</v>
      </c>
      <c r="M84" s="250">
        <f>J84*R59*0.001102</f>
        <v>8.2617079403440777E-2</v>
      </c>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row>
    <row r="85" spans="1:39" ht="11.25" customHeight="1" x14ac:dyDescent="0.2">
      <c r="A85" s="224"/>
      <c r="B85" s="232"/>
      <c r="C85" s="233"/>
      <c r="D85" s="233"/>
      <c r="E85" s="233" t="s">
        <v>336</v>
      </c>
      <c r="F85" s="234">
        <v>50900</v>
      </c>
      <c r="G85" s="233" t="s">
        <v>332</v>
      </c>
      <c r="H85" s="242">
        <v>1069</v>
      </c>
      <c r="I85" s="233" t="s">
        <v>335</v>
      </c>
      <c r="J85" s="242">
        <f>(F85*H85)/1000</f>
        <v>54412.1</v>
      </c>
      <c r="K85" s="243">
        <f t="shared" si="23"/>
        <v>4024.7932230763668</v>
      </c>
      <c r="L85" s="264">
        <f t="shared" ref="L85:M85" si="24">J85*Q58*0.001102</f>
        <v>5.9962134199999996E-2</v>
      </c>
      <c r="M85" s="250">
        <f t="shared" si="24"/>
        <v>4.4353221318301563E-4</v>
      </c>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row>
    <row r="86" spans="1:39" ht="11.25" customHeight="1" x14ac:dyDescent="0.2">
      <c r="A86" s="224"/>
      <c r="B86" s="232"/>
      <c r="C86" s="233"/>
      <c r="D86" s="268"/>
      <c r="E86" s="233"/>
      <c r="F86" s="242"/>
      <c r="G86" s="233"/>
      <c r="H86" s="242"/>
      <c r="I86" s="233"/>
      <c r="J86" s="243">
        <f>SUM(J84:J85)</f>
        <v>179362.310834</v>
      </c>
      <c r="K86" s="247">
        <v>13267.2</v>
      </c>
      <c r="L86" s="275">
        <f t="shared" ref="L86:M86" si="25">SUM(L84:L85)</f>
        <v>0.473047531217204</v>
      </c>
      <c r="M86" s="249">
        <f t="shared" si="25"/>
        <v>8.3060611616623786E-2</v>
      </c>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row>
    <row r="87" spans="1:39" ht="11.25" customHeight="1" x14ac:dyDescent="0.2">
      <c r="A87" s="224"/>
      <c r="B87" s="232"/>
      <c r="C87" s="233"/>
      <c r="D87" s="268"/>
      <c r="E87" s="233"/>
      <c r="F87" s="242"/>
      <c r="G87" s="233"/>
      <c r="H87" s="242"/>
      <c r="I87" s="233"/>
      <c r="J87" s="243"/>
      <c r="K87" s="242"/>
      <c r="L87" s="264"/>
      <c r="M87" s="250"/>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row>
    <row r="88" spans="1:39" ht="11.25" customHeight="1" x14ac:dyDescent="0.2">
      <c r="A88" s="224"/>
      <c r="B88" s="232"/>
      <c r="C88" s="233" t="s">
        <v>167</v>
      </c>
      <c r="D88" s="268" t="s">
        <v>168</v>
      </c>
      <c r="E88" s="233" t="s">
        <v>155</v>
      </c>
      <c r="F88" s="234">
        <v>183788</v>
      </c>
      <c r="G88" s="233" t="s">
        <v>142</v>
      </c>
      <c r="H88" s="242">
        <v>136306</v>
      </c>
      <c r="I88" s="233" t="s">
        <v>143</v>
      </c>
      <c r="J88" s="243">
        <f t="shared" ref="J88:J90" si="26">(F88*H88)/1000000</f>
        <v>25051.407127999999</v>
      </c>
      <c r="K88" s="247">
        <v>2042.37</v>
      </c>
      <c r="L88" s="275">
        <f>J88*Q59*0.001102</f>
        <v>8.281995196516799E-2</v>
      </c>
      <c r="M88" s="249">
        <f>J88*R59*0.001102</f>
        <v>1.6563990393033596E-2</v>
      </c>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row>
    <row r="89" spans="1:39" ht="11.25" customHeight="1" x14ac:dyDescent="0.2">
      <c r="A89" s="224"/>
      <c r="B89" s="232"/>
      <c r="C89" s="233" t="s">
        <v>169</v>
      </c>
      <c r="D89" s="268" t="s">
        <v>170</v>
      </c>
      <c r="E89" s="233" t="s">
        <v>155</v>
      </c>
      <c r="F89" s="234">
        <v>181738</v>
      </c>
      <c r="G89" s="233" t="s">
        <v>142</v>
      </c>
      <c r="H89" s="242">
        <v>136306</v>
      </c>
      <c r="I89" s="233" t="s">
        <v>143</v>
      </c>
      <c r="J89" s="243">
        <f t="shared" si="26"/>
        <v>24771.979828</v>
      </c>
      <c r="K89" s="247">
        <v>2019</v>
      </c>
      <c r="L89" s="275">
        <f>J89*Q59*0.001102</f>
        <v>8.1896165311367994E-2</v>
      </c>
      <c r="M89" s="249">
        <f>J89*R59*0.001102</f>
        <v>1.6379233062273596E-2</v>
      </c>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row>
    <row r="90" spans="1:39" ht="11.25" customHeight="1" x14ac:dyDescent="0.2">
      <c r="A90" s="224"/>
      <c r="B90" s="232"/>
      <c r="C90" s="233" t="s">
        <v>171</v>
      </c>
      <c r="D90" s="268" t="s">
        <v>172</v>
      </c>
      <c r="E90" s="233" t="s">
        <v>155</v>
      </c>
      <c r="F90" s="234">
        <v>196838</v>
      </c>
      <c r="G90" s="233" t="s">
        <v>142</v>
      </c>
      <c r="H90" s="242">
        <v>136306</v>
      </c>
      <c r="I90" s="233" t="s">
        <v>143</v>
      </c>
      <c r="J90" s="243">
        <f t="shared" si="26"/>
        <v>26830.200428</v>
      </c>
      <c r="K90" s="247">
        <v>2187.39</v>
      </c>
      <c r="L90" s="275">
        <f>J90*Q59*0.001102</f>
        <v>8.8700642614968003E-2</v>
      </c>
      <c r="M90" s="249">
        <f>J90*R59*0.001102</f>
        <v>1.7740128522993597E-2</v>
      </c>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row>
    <row r="91" spans="1:39" ht="11.25" customHeight="1" x14ac:dyDescent="0.2">
      <c r="A91" s="224"/>
      <c r="B91" s="232"/>
      <c r="C91" s="233"/>
      <c r="D91" s="233"/>
      <c r="E91" s="233"/>
      <c r="F91" s="242"/>
      <c r="G91" s="233"/>
      <c r="H91" s="242"/>
      <c r="I91" s="233"/>
      <c r="J91" s="242"/>
      <c r="K91" s="242"/>
      <c r="L91" s="264"/>
      <c r="M91" s="235"/>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row>
    <row r="92" spans="1:39" ht="11.25" customHeight="1" x14ac:dyDescent="0.2">
      <c r="A92" s="224"/>
      <c r="B92" s="236"/>
      <c r="C92" s="238"/>
      <c r="D92" s="238"/>
      <c r="E92" s="238"/>
      <c r="F92" s="239"/>
      <c r="G92" s="238"/>
      <c r="H92" s="239"/>
      <c r="I92" s="238"/>
      <c r="J92" s="239"/>
      <c r="K92" s="239"/>
      <c r="L92" s="280"/>
      <c r="M92" s="241"/>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row>
    <row r="93" spans="1:39" ht="11.25" customHeight="1" x14ac:dyDescent="0.2">
      <c r="A93" s="224"/>
      <c r="B93" s="232"/>
      <c r="C93" s="233"/>
      <c r="D93" s="233"/>
      <c r="E93" s="233"/>
      <c r="F93" s="242"/>
      <c r="G93" s="233"/>
      <c r="H93" s="242"/>
      <c r="I93" s="233"/>
      <c r="J93" s="242"/>
      <c r="K93" s="242"/>
      <c r="L93" s="264"/>
      <c r="M93" s="235"/>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row>
    <row r="94" spans="1:39" ht="11.25" customHeight="1" x14ac:dyDescent="0.2">
      <c r="A94" s="224"/>
      <c r="B94" s="232" t="s">
        <v>173</v>
      </c>
      <c r="C94" s="265" t="s">
        <v>174</v>
      </c>
      <c r="D94" s="233"/>
      <c r="E94" s="233"/>
      <c r="F94" s="242"/>
      <c r="G94" s="233"/>
      <c r="H94" s="242"/>
      <c r="I94" s="233"/>
      <c r="J94" s="242"/>
      <c r="K94" s="242"/>
      <c r="L94" s="264"/>
      <c r="M94" s="235"/>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row>
    <row r="95" spans="1:39" ht="11.25" customHeight="1" x14ac:dyDescent="0.2">
      <c r="A95" s="224"/>
      <c r="B95" s="232"/>
      <c r="C95" s="233" t="s">
        <v>175</v>
      </c>
      <c r="D95" s="233" t="s">
        <v>176</v>
      </c>
      <c r="E95" s="233" t="s">
        <v>336</v>
      </c>
      <c r="F95" s="234">
        <v>31680</v>
      </c>
      <c r="G95" s="233" t="s">
        <v>332</v>
      </c>
      <c r="H95" s="242">
        <v>1060.4000000000001</v>
      </c>
      <c r="I95" s="233" t="s">
        <v>333</v>
      </c>
      <c r="J95" s="242">
        <f>(F95*H95)/1000</f>
        <v>33593.472000000002</v>
      </c>
      <c r="K95" s="234">
        <f t="shared" ref="K95:K96" si="27">+J95/(J$95+J$96)*K$97</f>
        <v>2552.6570986794945</v>
      </c>
      <c r="L95" s="270">
        <f t="shared" ref="L95:L96" si="28">J95*Q58*0.001102</f>
        <v>3.7020006144000001E-2</v>
      </c>
      <c r="M95" s="304">
        <f t="shared" ref="M95:M96" si="29">J95*R58*0.001102</f>
        <v>3.7020006144000001E-3</v>
      </c>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row>
    <row r="96" spans="1:39" ht="11.25" customHeight="1" x14ac:dyDescent="0.2">
      <c r="A96" s="224"/>
      <c r="B96" s="232"/>
      <c r="C96" s="233"/>
      <c r="D96" s="233"/>
      <c r="E96" s="233" t="s">
        <v>155</v>
      </c>
      <c r="F96" s="234">
        <v>876185</v>
      </c>
      <c r="G96" s="233" t="s">
        <v>142</v>
      </c>
      <c r="H96" s="242">
        <v>136821.28</v>
      </c>
      <c r="I96" s="233" t="s">
        <v>143</v>
      </c>
      <c r="J96" s="242">
        <f>(F96*H96)/1000000</f>
        <v>119880.7532168</v>
      </c>
      <c r="K96" s="234">
        <f t="shared" si="27"/>
        <v>9109.3429013205059</v>
      </c>
      <c r="L96" s="270">
        <f t="shared" si="28"/>
        <v>0.3963257701347408</v>
      </c>
      <c r="M96" s="304">
        <f t="shared" si="29"/>
        <v>7.9265154026948156E-2</v>
      </c>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row>
    <row r="97" spans="1:39" ht="11.25" customHeight="1" x14ac:dyDescent="0.2">
      <c r="A97" s="224"/>
      <c r="B97" s="232"/>
      <c r="C97" s="233"/>
      <c r="D97" s="233"/>
      <c r="E97" s="233"/>
      <c r="F97" s="234"/>
      <c r="G97" s="233"/>
      <c r="H97" s="242"/>
      <c r="I97" s="233"/>
      <c r="J97" s="243">
        <f>SUM(J95:J96)</f>
        <v>153474.2252168</v>
      </c>
      <c r="K97" s="247">
        <v>11662</v>
      </c>
      <c r="L97" s="275">
        <f t="shared" ref="L97:M97" si="30">SUM(L95:L96)</f>
        <v>0.43334577627874082</v>
      </c>
      <c r="M97" s="249">
        <f t="shared" si="30"/>
        <v>8.2967154641348156E-2</v>
      </c>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row>
    <row r="98" spans="1:39" ht="11.25" customHeight="1" x14ac:dyDescent="0.2">
      <c r="A98" s="224"/>
      <c r="B98" s="232"/>
      <c r="C98" s="233"/>
      <c r="D98" s="233"/>
      <c r="E98" s="233"/>
      <c r="F98" s="234"/>
      <c r="G98" s="233"/>
      <c r="H98" s="242"/>
      <c r="I98" s="233"/>
      <c r="J98" s="233"/>
      <c r="K98" s="233"/>
      <c r="L98" s="233"/>
      <c r="M98" s="235"/>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row>
    <row r="99" spans="1:39" ht="11.25" customHeight="1" x14ac:dyDescent="0.2">
      <c r="A99" s="224"/>
      <c r="B99" s="236"/>
      <c r="C99" s="238"/>
      <c r="D99" s="238"/>
      <c r="E99" s="238"/>
      <c r="F99" s="240"/>
      <c r="G99" s="238"/>
      <c r="H99" s="239"/>
      <c r="I99" s="238"/>
      <c r="J99" s="238"/>
      <c r="K99" s="238"/>
      <c r="L99" s="238"/>
      <c r="M99" s="241"/>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row>
    <row r="100" spans="1:39" ht="11.25" customHeight="1" x14ac:dyDescent="0.2">
      <c r="A100" s="224"/>
      <c r="B100" s="232"/>
      <c r="C100" s="233"/>
      <c r="D100" s="233"/>
      <c r="E100" s="233"/>
      <c r="F100" s="242"/>
      <c r="G100" s="233"/>
      <c r="H100" s="242"/>
      <c r="I100" s="233"/>
      <c r="J100" s="233"/>
      <c r="K100" s="233"/>
      <c r="L100" s="233"/>
      <c r="M100" s="235"/>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24"/>
      <c r="AL100" s="224"/>
      <c r="AM100" s="224"/>
    </row>
    <row r="101" spans="1:39" ht="11.25" customHeight="1" x14ac:dyDescent="0.2">
      <c r="A101" s="224"/>
      <c r="B101" s="232" t="s">
        <v>118</v>
      </c>
      <c r="C101" s="265" t="s">
        <v>119</v>
      </c>
      <c r="D101" s="233"/>
      <c r="E101" s="233"/>
      <c r="F101" s="242"/>
      <c r="G101" s="233"/>
      <c r="H101" s="242"/>
      <c r="I101" s="233"/>
      <c r="J101" s="242"/>
      <c r="K101" s="242"/>
      <c r="L101" s="264"/>
      <c r="M101" s="235"/>
      <c r="N101" s="224"/>
      <c r="O101" s="266" t="s">
        <v>424</v>
      </c>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row>
    <row r="102" spans="1:39" ht="11.25" customHeight="1" x14ac:dyDescent="0.2">
      <c r="A102" s="224"/>
      <c r="B102" s="232"/>
      <c r="C102" s="233" t="s">
        <v>318</v>
      </c>
      <c r="D102" s="233" t="s">
        <v>95</v>
      </c>
      <c r="E102" s="233" t="s">
        <v>336</v>
      </c>
      <c r="F102" s="234">
        <v>178220</v>
      </c>
      <c r="G102" s="233" t="s">
        <v>337</v>
      </c>
      <c r="H102" s="305">
        <v>1.083</v>
      </c>
      <c r="I102" s="233" t="s">
        <v>338</v>
      </c>
      <c r="J102" s="270">
        <f t="shared" ref="J102:J103" si="31">F102*H102</f>
        <v>193012.25999999998</v>
      </c>
      <c r="K102" s="271">
        <f>(+J102/(J102+J103))*K104</f>
        <v>12712.204138561281</v>
      </c>
      <c r="L102" s="305">
        <v>0.21199999999999999</v>
      </c>
      <c r="M102" s="306">
        <v>2.1000000000000001E-2</v>
      </c>
      <c r="N102" s="224"/>
      <c r="O102" s="224" t="s">
        <v>425</v>
      </c>
      <c r="P102" s="224" t="s">
        <v>426</v>
      </c>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row>
    <row r="103" spans="1:39" ht="11.25" customHeight="1" x14ac:dyDescent="0.2">
      <c r="A103" s="224"/>
      <c r="B103" s="232"/>
      <c r="C103" s="233"/>
      <c r="D103" s="233" t="s">
        <v>95</v>
      </c>
      <c r="E103" s="233" t="s">
        <v>319</v>
      </c>
      <c r="F103" s="234">
        <v>2016252</v>
      </c>
      <c r="G103" s="233" t="s">
        <v>142</v>
      </c>
      <c r="H103" s="305">
        <v>0.152</v>
      </c>
      <c r="I103" s="233" t="s">
        <v>180</v>
      </c>
      <c r="J103" s="270">
        <f t="shared" si="31"/>
        <v>306470.304</v>
      </c>
      <c r="K103" s="271">
        <f>(+J103/(J103+J104))*K104</f>
        <v>12509.358786335381</v>
      </c>
      <c r="L103" s="305">
        <v>1.0109999999999999</v>
      </c>
      <c r="M103" s="306">
        <v>0.2</v>
      </c>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row>
    <row r="104" spans="1:39" ht="11.25" customHeight="1" x14ac:dyDescent="0.3">
      <c r="A104" s="224"/>
      <c r="B104" s="232"/>
      <c r="C104" s="233"/>
      <c r="D104" s="233"/>
      <c r="E104" s="233"/>
      <c r="F104" s="242"/>
      <c r="G104" s="233"/>
      <c r="H104" s="242"/>
      <c r="I104" s="233"/>
      <c r="J104" s="243">
        <f>J102+J103</f>
        <v>499482.56400000001</v>
      </c>
      <c r="K104" s="247">
        <v>32897</v>
      </c>
      <c r="L104" s="275">
        <f t="shared" ref="L104:M104" si="32">L102+L103</f>
        <v>1.2229999999999999</v>
      </c>
      <c r="M104" s="278">
        <f t="shared" si="32"/>
        <v>0.221</v>
      </c>
      <c r="N104" s="224"/>
      <c r="O104" s="274"/>
      <c r="P104" s="224" t="s">
        <v>453</v>
      </c>
      <c r="Q104" s="224" t="s">
        <v>454</v>
      </c>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row>
    <row r="105" spans="1:39" ht="11.25" customHeight="1" x14ac:dyDescent="0.2">
      <c r="A105" s="224"/>
      <c r="B105" s="232"/>
      <c r="C105" s="233"/>
      <c r="D105" s="233"/>
      <c r="E105" s="233"/>
      <c r="F105" s="242"/>
      <c r="G105" s="233"/>
      <c r="H105" s="242"/>
      <c r="I105" s="233"/>
      <c r="J105" s="243"/>
      <c r="K105" s="247"/>
      <c r="L105" s="252"/>
      <c r="M105" s="235"/>
      <c r="N105" s="224"/>
      <c r="O105" s="224" t="s">
        <v>89</v>
      </c>
      <c r="P105" s="277">
        <v>2.2000000000000001E-3</v>
      </c>
      <c r="Q105" s="277">
        <v>3.5200000000000001E-3</v>
      </c>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row>
    <row r="106" spans="1:39" ht="11.25" customHeight="1" x14ac:dyDescent="0.2">
      <c r="A106" s="224"/>
      <c r="B106" s="232"/>
      <c r="C106" s="233" t="s">
        <v>120</v>
      </c>
      <c r="D106" s="233" t="s">
        <v>99</v>
      </c>
      <c r="E106" s="233" t="s">
        <v>334</v>
      </c>
      <c r="F106" s="234">
        <v>52838</v>
      </c>
      <c r="G106" s="233" t="s">
        <v>337</v>
      </c>
      <c r="H106" s="233">
        <v>1.079</v>
      </c>
      <c r="I106" s="233" t="s">
        <v>338</v>
      </c>
      <c r="J106" s="234">
        <f t="shared" ref="J106:J107" si="33">(F106*H106)</f>
        <v>57012.201999999997</v>
      </c>
      <c r="K106" s="243">
        <f t="shared" ref="K106:K107" si="34">(J106/(J$106+J$107))*K$108</f>
        <v>6401.7548727885769</v>
      </c>
      <c r="L106" s="270">
        <v>6.3E-2</v>
      </c>
      <c r="M106" s="306">
        <v>6.0000000000000001E-3</v>
      </c>
      <c r="N106" s="224"/>
      <c r="O106" s="224" t="s">
        <v>198</v>
      </c>
      <c r="P106" s="277">
        <v>6.6E-3</v>
      </c>
      <c r="Q106" s="277">
        <v>1.32E-3</v>
      </c>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4"/>
    </row>
    <row r="107" spans="1:39" ht="11.25" customHeight="1" x14ac:dyDescent="0.2">
      <c r="A107" s="224"/>
      <c r="B107" s="232"/>
      <c r="C107" s="233"/>
      <c r="D107" s="233" t="s">
        <v>99</v>
      </c>
      <c r="E107" s="233" t="s">
        <v>96</v>
      </c>
      <c r="F107" s="234">
        <v>105869</v>
      </c>
      <c r="G107" s="233" t="s">
        <v>90</v>
      </c>
      <c r="H107" s="233">
        <v>24</v>
      </c>
      <c r="I107" s="233" t="s">
        <v>121</v>
      </c>
      <c r="J107" s="234">
        <f t="shared" si="33"/>
        <v>2540856</v>
      </c>
      <c r="K107" s="243">
        <f t="shared" si="34"/>
        <v>285306.24512721144</v>
      </c>
      <c r="L107" s="270">
        <v>2.8</v>
      </c>
      <c r="M107" s="306">
        <v>4.47</v>
      </c>
      <c r="N107" s="224"/>
      <c r="O107" s="224" t="s">
        <v>322</v>
      </c>
      <c r="P107" s="277">
        <v>6.6E-3</v>
      </c>
      <c r="Q107" s="277">
        <v>1.32E-3</v>
      </c>
      <c r="R107" s="224"/>
      <c r="S107" s="224"/>
      <c r="T107" s="224"/>
      <c r="U107" s="224"/>
      <c r="V107" s="224"/>
      <c r="W107" s="224"/>
      <c r="X107" s="224"/>
      <c r="Y107" s="224"/>
      <c r="Z107" s="224"/>
      <c r="AA107" s="224"/>
      <c r="AB107" s="224"/>
      <c r="AC107" s="224"/>
      <c r="AD107" s="224"/>
      <c r="AE107" s="224"/>
      <c r="AF107" s="224"/>
      <c r="AG107" s="224"/>
      <c r="AH107" s="224"/>
      <c r="AI107" s="224"/>
      <c r="AJ107" s="224"/>
      <c r="AK107" s="224"/>
      <c r="AL107" s="224"/>
      <c r="AM107" s="224"/>
    </row>
    <row r="108" spans="1:39" ht="11.25" customHeight="1" x14ac:dyDescent="0.2">
      <c r="A108" s="224"/>
      <c r="B108" s="232"/>
      <c r="C108" s="233"/>
      <c r="D108" s="233"/>
      <c r="E108" s="233"/>
      <c r="F108" s="242"/>
      <c r="G108" s="233"/>
      <c r="H108" s="242"/>
      <c r="I108" s="233"/>
      <c r="J108" s="243">
        <f>J106+J107</f>
        <v>2597868.202</v>
      </c>
      <c r="K108" s="247">
        <v>291708</v>
      </c>
      <c r="L108" s="275">
        <f t="shared" ref="L108:M108" si="35">L106+L107</f>
        <v>2.863</v>
      </c>
      <c r="M108" s="278">
        <f t="shared" si="35"/>
        <v>4.476</v>
      </c>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24"/>
      <c r="AL108" s="224"/>
      <c r="AM108" s="224"/>
    </row>
    <row r="109" spans="1:39" ht="11.25" customHeight="1" x14ac:dyDescent="0.2">
      <c r="A109" s="224"/>
      <c r="B109" s="232"/>
      <c r="C109" s="233"/>
      <c r="D109" s="233"/>
      <c r="E109" s="233"/>
      <c r="F109" s="242"/>
      <c r="G109" s="233"/>
      <c r="H109" s="242"/>
      <c r="I109" s="233"/>
      <c r="J109" s="243"/>
      <c r="K109" s="247"/>
      <c r="L109" s="252"/>
      <c r="M109" s="235"/>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c r="AJ109" s="224"/>
      <c r="AK109" s="224"/>
      <c r="AL109" s="224"/>
      <c r="AM109" s="224"/>
    </row>
    <row r="110" spans="1:39" ht="11.25" customHeight="1" x14ac:dyDescent="0.2">
      <c r="A110" s="224"/>
      <c r="B110" s="232"/>
      <c r="C110" s="233" t="s">
        <v>122</v>
      </c>
      <c r="D110" s="233" t="s">
        <v>115</v>
      </c>
      <c r="E110" s="233" t="s">
        <v>334</v>
      </c>
      <c r="F110" s="234">
        <v>31308</v>
      </c>
      <c r="G110" s="233" t="s">
        <v>337</v>
      </c>
      <c r="H110" s="305">
        <v>1.0780000000000001</v>
      </c>
      <c r="I110" s="233" t="s">
        <v>338</v>
      </c>
      <c r="J110" s="234">
        <f t="shared" ref="J110:J111" si="36">(F110*H110)</f>
        <v>33750.024000000005</v>
      </c>
      <c r="K110" s="243">
        <f t="shared" ref="K110:K111" si="37">J110/(J$110+J$111)*K$112</f>
        <v>3538.4751955776001</v>
      </c>
      <c r="L110" s="305">
        <v>3.6999999999999998E-2</v>
      </c>
      <c r="M110" s="306">
        <v>3.7100000000000002E-3</v>
      </c>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row>
    <row r="111" spans="1:39" ht="11.25" customHeight="1" x14ac:dyDescent="0.2">
      <c r="A111" s="224"/>
      <c r="B111" s="232"/>
      <c r="C111" s="233"/>
      <c r="D111" s="233" t="s">
        <v>115</v>
      </c>
      <c r="E111" s="233" t="s">
        <v>96</v>
      </c>
      <c r="F111" s="234">
        <v>422531</v>
      </c>
      <c r="G111" s="233" t="s">
        <v>90</v>
      </c>
      <c r="H111" s="270">
        <v>23.8</v>
      </c>
      <c r="I111" s="233" t="s">
        <v>121</v>
      </c>
      <c r="J111" s="234">
        <f t="shared" si="36"/>
        <v>10056237.800000001</v>
      </c>
      <c r="K111" s="243">
        <f t="shared" si="37"/>
        <v>1054332.5248044224</v>
      </c>
      <c r="L111" s="307">
        <v>11.1</v>
      </c>
      <c r="M111" s="306">
        <v>17.7</v>
      </c>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row>
    <row r="112" spans="1:39" ht="11.25" customHeight="1" x14ac:dyDescent="0.2">
      <c r="A112" s="224"/>
      <c r="B112" s="232"/>
      <c r="C112" s="233"/>
      <c r="D112" s="233"/>
      <c r="E112" s="233"/>
      <c r="F112" s="242"/>
      <c r="G112" s="233"/>
      <c r="H112" s="242"/>
      <c r="I112" s="233"/>
      <c r="J112" s="243">
        <f>J110+J111</f>
        <v>10089987.824000001</v>
      </c>
      <c r="K112" s="247">
        <v>1057871</v>
      </c>
      <c r="L112" s="275">
        <f t="shared" ref="L112:M112" si="38">L110+L111</f>
        <v>11.137</v>
      </c>
      <c r="M112" s="278">
        <f t="shared" si="38"/>
        <v>17.703710000000001</v>
      </c>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c r="AJ112" s="224"/>
      <c r="AK112" s="224"/>
      <c r="AL112" s="224"/>
      <c r="AM112" s="224"/>
    </row>
    <row r="113" spans="1:39" ht="11.25" customHeight="1" x14ac:dyDescent="0.2">
      <c r="A113" s="224"/>
      <c r="B113" s="232"/>
      <c r="C113" s="233"/>
      <c r="D113" s="233"/>
      <c r="E113" s="233"/>
      <c r="F113" s="242"/>
      <c r="G113" s="233"/>
      <c r="H113" s="242"/>
      <c r="I113" s="233"/>
      <c r="J113" s="243"/>
      <c r="K113" s="247"/>
      <c r="L113" s="252"/>
      <c r="M113" s="235"/>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224"/>
      <c r="AM113" s="224"/>
    </row>
    <row r="114" spans="1:39" ht="11.25" customHeight="1" x14ac:dyDescent="0.2">
      <c r="A114" s="224"/>
      <c r="B114" s="232"/>
      <c r="C114" s="233" t="s">
        <v>302</v>
      </c>
      <c r="D114" s="233" t="s">
        <v>320</v>
      </c>
      <c r="E114" s="233" t="s">
        <v>334</v>
      </c>
      <c r="F114" s="234">
        <v>22551</v>
      </c>
      <c r="G114" s="233" t="s">
        <v>337</v>
      </c>
      <c r="H114" s="305">
        <v>1.0880000000000001</v>
      </c>
      <c r="I114" s="233" t="s">
        <v>338</v>
      </c>
      <c r="J114" s="234">
        <f t="shared" ref="J114:J115" si="39">(F114*H114)</f>
        <v>24535.488000000001</v>
      </c>
      <c r="K114" s="308">
        <f>(J114/(J114+J115))*K116</f>
        <v>2090.3890693004023</v>
      </c>
      <c r="L114" s="305">
        <v>2.7E-2</v>
      </c>
      <c r="M114" s="306">
        <v>2.7000000000000001E-3</v>
      </c>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row>
    <row r="115" spans="1:39" ht="11.25" customHeight="1" x14ac:dyDescent="0.2">
      <c r="A115" s="224"/>
      <c r="B115" s="232"/>
      <c r="C115" s="233"/>
      <c r="D115" s="233" t="s">
        <v>320</v>
      </c>
      <c r="E115" s="233" t="s">
        <v>319</v>
      </c>
      <c r="F115" s="234">
        <v>6804042</v>
      </c>
      <c r="G115" s="233" t="s">
        <v>142</v>
      </c>
      <c r="H115" s="305">
        <v>0.152</v>
      </c>
      <c r="I115" s="233" t="s">
        <v>321</v>
      </c>
      <c r="J115" s="234">
        <f t="shared" si="39"/>
        <v>1034214.384</v>
      </c>
      <c r="K115" s="242">
        <f>(J115/(J114+J115))*K116</f>
        <v>88113.610930699593</v>
      </c>
      <c r="L115" s="270">
        <v>3.4129999999999998</v>
      </c>
      <c r="M115" s="306">
        <v>0.68</v>
      </c>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row>
    <row r="116" spans="1:39" ht="11.25" customHeight="1" x14ac:dyDescent="0.2">
      <c r="A116" s="224"/>
      <c r="B116" s="232"/>
      <c r="C116" s="233"/>
      <c r="D116" s="233"/>
      <c r="E116" s="233"/>
      <c r="F116" s="242"/>
      <c r="G116" s="233"/>
      <c r="H116" s="242"/>
      <c r="I116" s="233"/>
      <c r="J116" s="243">
        <f>J114+J115</f>
        <v>1058749.872</v>
      </c>
      <c r="K116" s="247">
        <v>90204</v>
      </c>
      <c r="L116" s="275">
        <f t="shared" ref="L116:M116" si="40">L114+L115</f>
        <v>3.44</v>
      </c>
      <c r="M116" s="278">
        <f t="shared" si="40"/>
        <v>0.68270000000000008</v>
      </c>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c r="AJ116" s="224"/>
      <c r="AK116" s="224"/>
      <c r="AL116" s="224"/>
      <c r="AM116" s="224"/>
    </row>
    <row r="117" spans="1:39" ht="11.25" customHeight="1" x14ac:dyDescent="0.2">
      <c r="A117" s="224"/>
      <c r="B117" s="232"/>
      <c r="C117" s="233"/>
      <c r="D117" s="233"/>
      <c r="E117" s="233"/>
      <c r="F117" s="242"/>
      <c r="G117" s="233"/>
      <c r="H117" s="242"/>
      <c r="I117" s="233"/>
      <c r="J117" s="242"/>
      <c r="K117" s="242"/>
      <c r="L117" s="264"/>
      <c r="M117" s="285"/>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c r="AJ117" s="224"/>
      <c r="AK117" s="224"/>
      <c r="AL117" s="224"/>
      <c r="AM117" s="224"/>
    </row>
    <row r="118" spans="1:39" ht="11.25" customHeight="1" x14ac:dyDescent="0.2">
      <c r="A118" s="224"/>
      <c r="B118" s="232"/>
      <c r="C118" s="233" t="s">
        <v>177</v>
      </c>
      <c r="D118" s="233" t="s">
        <v>178</v>
      </c>
      <c r="E118" s="233" t="s">
        <v>179</v>
      </c>
      <c r="F118" s="234">
        <v>277368</v>
      </c>
      <c r="G118" s="233" t="s">
        <v>142</v>
      </c>
      <c r="H118" s="305">
        <v>0.13700000000000001</v>
      </c>
      <c r="I118" s="233" t="s">
        <v>180</v>
      </c>
      <c r="J118" s="243">
        <f>F118*H118</f>
        <v>37999.416000000005</v>
      </c>
      <c r="K118" s="247">
        <v>3098</v>
      </c>
      <c r="L118" s="309">
        <v>0.121</v>
      </c>
      <c r="M118" s="278">
        <v>2.5000000000000001E-2</v>
      </c>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row>
    <row r="119" spans="1:39" ht="11.25" customHeight="1" x14ac:dyDescent="0.2">
      <c r="A119" s="224"/>
      <c r="B119" s="232"/>
      <c r="C119" s="233"/>
      <c r="D119" s="233"/>
      <c r="E119" s="233"/>
      <c r="F119" s="234"/>
      <c r="G119" s="233"/>
      <c r="H119" s="305"/>
      <c r="I119" s="233"/>
      <c r="J119" s="243"/>
      <c r="K119" s="247"/>
      <c r="L119" s="309"/>
      <c r="M119" s="235"/>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row>
    <row r="120" spans="1:39" ht="11.25" customHeight="1" x14ac:dyDescent="0.2">
      <c r="A120" s="224"/>
      <c r="B120" s="236"/>
      <c r="C120" s="238"/>
      <c r="D120" s="238"/>
      <c r="E120" s="238"/>
      <c r="F120" s="240"/>
      <c r="G120" s="238"/>
      <c r="H120" s="310"/>
      <c r="I120" s="238"/>
      <c r="J120" s="311"/>
      <c r="K120" s="312"/>
      <c r="L120" s="313"/>
      <c r="M120" s="241"/>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row>
    <row r="121" spans="1:39" ht="11.25" customHeight="1" x14ac:dyDescent="0.2">
      <c r="A121" s="224"/>
      <c r="B121" s="232"/>
      <c r="C121" s="233"/>
      <c r="D121" s="233"/>
      <c r="E121" s="233"/>
      <c r="F121" s="242"/>
      <c r="G121" s="233"/>
      <c r="H121" s="242"/>
      <c r="I121" s="233"/>
      <c r="J121" s="233"/>
      <c r="K121" s="242"/>
      <c r="L121" s="264"/>
      <c r="M121" s="235"/>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row>
    <row r="122" spans="1:39" ht="11.25" customHeight="1" x14ac:dyDescent="0.2">
      <c r="A122" s="224"/>
      <c r="B122" s="232" t="s">
        <v>181</v>
      </c>
      <c r="C122" s="265" t="s">
        <v>182</v>
      </c>
      <c r="D122" s="233"/>
      <c r="E122" s="233"/>
      <c r="F122" s="242"/>
      <c r="G122" s="233"/>
      <c r="H122" s="242"/>
      <c r="I122" s="233"/>
      <c r="J122" s="242"/>
      <c r="K122" s="242"/>
      <c r="L122" s="264"/>
      <c r="M122" s="235"/>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row>
    <row r="123" spans="1:39" ht="11.25" customHeight="1" x14ac:dyDescent="0.2">
      <c r="A123" s="224"/>
      <c r="B123" s="232"/>
      <c r="C123" s="233" t="s">
        <v>183</v>
      </c>
      <c r="D123" s="233" t="s">
        <v>184</v>
      </c>
      <c r="E123" s="233" t="s">
        <v>336</v>
      </c>
      <c r="F123" s="234">
        <f>544*1000000</f>
        <v>544000000</v>
      </c>
      <c r="G123" s="233" t="s">
        <v>332</v>
      </c>
      <c r="H123" s="242">
        <v>1040</v>
      </c>
      <c r="I123" s="233" t="s">
        <v>339</v>
      </c>
      <c r="J123" s="242">
        <f>(F123*H123)/1000000</f>
        <v>565760</v>
      </c>
      <c r="K123" s="243">
        <f t="shared" ref="K123:K124" si="41">(+J123/(J$123+J$124))*K$125</f>
        <v>35570.074131192938</v>
      </c>
      <c r="L123" s="252">
        <f t="shared" ref="L123:L124" si="42">(+J123/(J$123+J$124))*L$125</f>
        <v>0.31728010374861992</v>
      </c>
      <c r="M123" s="314">
        <f t="shared" ref="M123:M124" si="43">(+J123/(J$123+J$124))*M$125</f>
        <v>3.4702511347505308E-2</v>
      </c>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c r="AJ123" s="224"/>
      <c r="AK123" s="224"/>
      <c r="AL123" s="224"/>
      <c r="AM123" s="224"/>
    </row>
    <row r="124" spans="1:39" ht="11.25" customHeight="1" x14ac:dyDescent="0.2">
      <c r="A124" s="224"/>
      <c r="B124" s="232"/>
      <c r="C124" s="233"/>
      <c r="D124" s="233" t="s">
        <v>184</v>
      </c>
      <c r="E124" s="233" t="s">
        <v>179</v>
      </c>
      <c r="F124" s="234">
        <f>4170*1000</f>
        <v>4170000</v>
      </c>
      <c r="G124" s="233" t="s">
        <v>142</v>
      </c>
      <c r="H124" s="242">
        <v>138</v>
      </c>
      <c r="I124" s="233" t="s">
        <v>185</v>
      </c>
      <c r="J124" s="242">
        <f>(F124*H124)/1000</f>
        <v>575460</v>
      </c>
      <c r="K124" s="243">
        <f t="shared" si="41"/>
        <v>36179.925868807069</v>
      </c>
      <c r="L124" s="252">
        <f t="shared" si="42"/>
        <v>0.32271989625138015</v>
      </c>
      <c r="M124" s="314">
        <f t="shared" si="43"/>
        <v>3.5297488652494706E-2</v>
      </c>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row>
    <row r="125" spans="1:39" ht="11.25" customHeight="1" x14ac:dyDescent="0.2">
      <c r="A125" s="224"/>
      <c r="B125" s="232"/>
      <c r="C125" s="233"/>
      <c r="D125" s="233"/>
      <c r="E125" s="233"/>
      <c r="F125" s="234"/>
      <c r="G125" s="233"/>
      <c r="H125" s="242"/>
      <c r="I125" s="233"/>
      <c r="J125" s="243">
        <f>J123+J124</f>
        <v>1141220</v>
      </c>
      <c r="K125" s="247">
        <v>71750</v>
      </c>
      <c r="L125" s="275">
        <v>0.64</v>
      </c>
      <c r="M125" s="283">
        <v>7.0000000000000007E-2</v>
      </c>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row>
    <row r="126" spans="1:39" ht="11.25" customHeight="1" x14ac:dyDescent="0.2">
      <c r="A126" s="224"/>
      <c r="B126" s="232"/>
      <c r="C126" s="233"/>
      <c r="D126" s="233"/>
      <c r="E126" s="233"/>
      <c r="F126" s="234"/>
      <c r="G126" s="233"/>
      <c r="H126" s="242"/>
      <c r="I126" s="233"/>
      <c r="J126" s="242"/>
      <c r="K126" s="242"/>
      <c r="L126" s="264"/>
      <c r="M126" s="285"/>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row>
    <row r="127" spans="1:39" ht="11.25" customHeight="1" x14ac:dyDescent="0.2">
      <c r="A127" s="224"/>
      <c r="B127" s="232"/>
      <c r="C127" s="233" t="s">
        <v>186</v>
      </c>
      <c r="D127" s="233" t="s">
        <v>187</v>
      </c>
      <c r="E127" s="233" t="s">
        <v>179</v>
      </c>
      <c r="F127" s="234">
        <f>568*1000</f>
        <v>568000</v>
      </c>
      <c r="G127" s="233" t="s">
        <v>142</v>
      </c>
      <c r="H127" s="242">
        <v>138.07300000000001</v>
      </c>
      <c r="I127" s="233" t="s">
        <v>185</v>
      </c>
      <c r="J127" s="243">
        <f>(F127*H127)/1000</f>
        <v>78425.464000000007</v>
      </c>
      <c r="K127" s="247">
        <v>7031</v>
      </c>
      <c r="L127" s="315">
        <v>0</v>
      </c>
      <c r="M127" s="316">
        <v>0</v>
      </c>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row>
    <row r="128" spans="1:39" ht="11.25" customHeight="1" x14ac:dyDescent="0.2">
      <c r="A128" s="224"/>
      <c r="B128" s="232"/>
      <c r="C128" s="233"/>
      <c r="D128" s="233"/>
      <c r="E128" s="233"/>
      <c r="F128" s="234"/>
      <c r="G128" s="233"/>
      <c r="H128" s="242"/>
      <c r="I128" s="233"/>
      <c r="J128" s="242"/>
      <c r="K128" s="247"/>
      <c r="L128" s="315"/>
      <c r="M128" s="316"/>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row>
    <row r="129" spans="1:39" ht="11.25" customHeight="1" x14ac:dyDescent="0.2">
      <c r="A129" s="224"/>
      <c r="B129" s="232"/>
      <c r="C129" s="233" t="s">
        <v>188</v>
      </c>
      <c r="D129" s="233" t="s">
        <v>189</v>
      </c>
      <c r="E129" s="233" t="s">
        <v>179</v>
      </c>
      <c r="F129" s="234">
        <f>999*1000</f>
        <v>999000</v>
      </c>
      <c r="G129" s="233" t="s">
        <v>142</v>
      </c>
      <c r="H129" s="242">
        <v>138.07300000000001</v>
      </c>
      <c r="I129" s="233" t="s">
        <v>185</v>
      </c>
      <c r="J129" s="243">
        <f>(F129*H129)/1000</f>
        <v>137934.927</v>
      </c>
      <c r="K129" s="247">
        <v>12430</v>
      </c>
      <c r="L129" s="315">
        <v>0</v>
      </c>
      <c r="M129" s="316">
        <v>0</v>
      </c>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row>
    <row r="130" spans="1:39" ht="11.25" customHeight="1" x14ac:dyDescent="0.2">
      <c r="A130" s="224"/>
      <c r="B130" s="232"/>
      <c r="C130" s="233"/>
      <c r="D130" s="233"/>
      <c r="E130" s="233"/>
      <c r="F130" s="234"/>
      <c r="G130" s="233"/>
      <c r="H130" s="242"/>
      <c r="I130" s="233"/>
      <c r="J130" s="242"/>
      <c r="K130" s="247"/>
      <c r="L130" s="315"/>
      <c r="M130" s="316"/>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row>
    <row r="131" spans="1:39" ht="11.25" customHeight="1" x14ac:dyDescent="0.2">
      <c r="A131" s="224"/>
      <c r="B131" s="232"/>
      <c r="C131" s="233" t="s">
        <v>190</v>
      </c>
      <c r="D131" s="233" t="s">
        <v>191</v>
      </c>
      <c r="E131" s="233" t="s">
        <v>179</v>
      </c>
      <c r="F131" s="234">
        <f>29*1000</f>
        <v>29000</v>
      </c>
      <c r="G131" s="233" t="s">
        <v>142</v>
      </c>
      <c r="H131" s="242">
        <v>138.07300000000001</v>
      </c>
      <c r="I131" s="233" t="s">
        <v>185</v>
      </c>
      <c r="J131" s="243">
        <f>(F131*H131)/1000</f>
        <v>4004.1170000000002</v>
      </c>
      <c r="K131" s="247">
        <v>641</v>
      </c>
      <c r="L131" s="315">
        <v>0</v>
      </c>
      <c r="M131" s="316">
        <v>0</v>
      </c>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row>
    <row r="132" spans="1:39" ht="11.25" customHeight="1" x14ac:dyDescent="0.2">
      <c r="A132" s="224"/>
      <c r="B132" s="232"/>
      <c r="C132" s="233"/>
      <c r="D132" s="233"/>
      <c r="E132" s="233"/>
      <c r="F132" s="234"/>
      <c r="G132" s="233"/>
      <c r="H132" s="242"/>
      <c r="I132" s="233"/>
      <c r="J132" s="242"/>
      <c r="K132" s="247"/>
      <c r="L132" s="315"/>
      <c r="M132" s="316"/>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row>
    <row r="133" spans="1:39" ht="11.25" customHeight="1" x14ac:dyDescent="0.2">
      <c r="A133" s="224"/>
      <c r="B133" s="232"/>
      <c r="C133" s="233" t="s">
        <v>192</v>
      </c>
      <c r="D133" s="233" t="s">
        <v>193</v>
      </c>
      <c r="E133" s="233" t="s">
        <v>179</v>
      </c>
      <c r="F133" s="234">
        <f>680*1000</f>
        <v>680000</v>
      </c>
      <c r="G133" s="233" t="s">
        <v>142</v>
      </c>
      <c r="H133" s="242">
        <v>138.07300000000001</v>
      </c>
      <c r="I133" s="233" t="s">
        <v>185</v>
      </c>
      <c r="J133" s="243">
        <f>(F133*H133)/1000</f>
        <v>93889.64</v>
      </c>
      <c r="K133" s="247">
        <v>8489</v>
      </c>
      <c r="L133" s="315">
        <v>0</v>
      </c>
      <c r="M133" s="316">
        <v>0</v>
      </c>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c r="AJ133" s="224"/>
      <c r="AK133" s="224"/>
      <c r="AL133" s="224"/>
      <c r="AM133" s="224"/>
    </row>
    <row r="134" spans="1:39" ht="11.25" customHeight="1" x14ac:dyDescent="0.2">
      <c r="A134" s="224"/>
      <c r="B134" s="232"/>
      <c r="C134" s="233"/>
      <c r="D134" s="233"/>
      <c r="E134" s="233"/>
      <c r="F134" s="242"/>
      <c r="G134" s="233"/>
      <c r="H134" s="242"/>
      <c r="I134" s="233"/>
      <c r="J134" s="242"/>
      <c r="K134" s="242"/>
      <c r="L134" s="264"/>
      <c r="M134" s="235"/>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c r="AJ134" s="224"/>
      <c r="AK134" s="224"/>
      <c r="AL134" s="224"/>
      <c r="AM134" s="224"/>
    </row>
    <row r="135" spans="1:39" ht="11.25" customHeight="1" x14ac:dyDescent="0.2">
      <c r="A135" s="224"/>
      <c r="B135" s="232"/>
      <c r="C135" s="233"/>
      <c r="D135" s="233"/>
      <c r="E135" s="233"/>
      <c r="F135" s="234"/>
      <c r="G135" s="233"/>
      <c r="H135" s="242"/>
      <c r="I135" s="233"/>
      <c r="J135" s="242"/>
      <c r="K135" s="243"/>
      <c r="L135" s="252"/>
      <c r="M135" s="235"/>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row>
    <row r="136" spans="1:39" ht="11.25" customHeight="1" x14ac:dyDescent="0.2">
      <c r="A136" s="224"/>
      <c r="B136" s="236"/>
      <c r="C136" s="238"/>
      <c r="D136" s="238"/>
      <c r="E136" s="238"/>
      <c r="F136" s="240"/>
      <c r="G136" s="238"/>
      <c r="H136" s="239"/>
      <c r="I136" s="238"/>
      <c r="J136" s="239"/>
      <c r="K136" s="311"/>
      <c r="L136" s="317"/>
      <c r="M136" s="241"/>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c r="AJ136" s="224"/>
      <c r="AK136" s="224"/>
      <c r="AL136" s="224"/>
      <c r="AM136" s="224"/>
    </row>
    <row r="137" spans="1:39" ht="11.25" customHeight="1" x14ac:dyDescent="0.2">
      <c r="A137" s="224"/>
      <c r="B137" s="232"/>
      <c r="C137" s="233"/>
      <c r="D137" s="233"/>
      <c r="E137" s="233"/>
      <c r="F137" s="234"/>
      <c r="G137" s="233"/>
      <c r="H137" s="242"/>
      <c r="I137" s="233"/>
      <c r="J137" s="242"/>
      <c r="K137" s="243"/>
      <c r="L137" s="264"/>
      <c r="M137" s="235"/>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row>
    <row r="138" spans="1:39" ht="11.25" customHeight="1" x14ac:dyDescent="0.2">
      <c r="A138" s="224"/>
      <c r="B138" s="232" t="s">
        <v>194</v>
      </c>
      <c r="C138" s="265" t="s">
        <v>195</v>
      </c>
      <c r="D138" s="233"/>
      <c r="E138" s="233"/>
      <c r="F138" s="242"/>
      <c r="G138" s="233"/>
      <c r="H138" s="242"/>
      <c r="I138" s="233"/>
      <c r="J138" s="233"/>
      <c r="K138" s="242"/>
      <c r="L138" s="264"/>
      <c r="M138" s="235"/>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row>
    <row r="139" spans="1:39" ht="11.25" customHeight="1" x14ac:dyDescent="0.2">
      <c r="A139" s="224"/>
      <c r="B139" s="232"/>
      <c r="C139" s="233" t="s">
        <v>196</v>
      </c>
      <c r="D139" s="233" t="s">
        <v>197</v>
      </c>
      <c r="E139" s="233" t="s">
        <v>198</v>
      </c>
      <c r="F139" s="234">
        <f>183*1000</f>
        <v>183000</v>
      </c>
      <c r="G139" s="233" t="s">
        <v>142</v>
      </c>
      <c r="H139" s="242">
        <v>138.774</v>
      </c>
      <c r="I139" s="233" t="s">
        <v>199</v>
      </c>
      <c r="J139" s="243">
        <f>(F139*H139)/1000</f>
        <v>25395.642</v>
      </c>
      <c r="K139" s="247">
        <v>4368</v>
      </c>
      <c r="L139" s="281">
        <v>0.2</v>
      </c>
      <c r="M139" s="318">
        <v>0</v>
      </c>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c r="AJ139" s="224"/>
      <c r="AK139" s="224"/>
      <c r="AL139" s="224"/>
      <c r="AM139" s="224"/>
    </row>
    <row r="140" spans="1:39" ht="11.25" customHeight="1" x14ac:dyDescent="0.2">
      <c r="A140" s="224"/>
      <c r="B140" s="232"/>
      <c r="C140" s="233"/>
      <c r="D140" s="233"/>
      <c r="E140" s="319"/>
      <c r="F140" s="234"/>
      <c r="G140" s="319"/>
      <c r="H140" s="242"/>
      <c r="I140" s="319"/>
      <c r="J140" s="242"/>
      <c r="K140" s="247"/>
      <c r="L140" s="281"/>
      <c r="M140" s="318"/>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224"/>
      <c r="AL140" s="224"/>
      <c r="AM140" s="224"/>
    </row>
    <row r="141" spans="1:39" ht="11.25" customHeight="1" x14ac:dyDescent="0.2">
      <c r="A141" s="224"/>
      <c r="B141" s="232"/>
      <c r="C141" s="233" t="s">
        <v>340</v>
      </c>
      <c r="D141" s="233" t="s">
        <v>341</v>
      </c>
      <c r="E141" s="233" t="s">
        <v>336</v>
      </c>
      <c r="F141" s="234">
        <f>213*1000000</f>
        <v>213000000</v>
      </c>
      <c r="G141" s="233" t="s">
        <v>332</v>
      </c>
      <c r="H141" s="242">
        <v>1020</v>
      </c>
      <c r="I141" s="233" t="s">
        <v>199</v>
      </c>
      <c r="J141" s="243">
        <f>(F141*H141)/1000000</f>
        <v>217260</v>
      </c>
      <c r="K141" s="247">
        <v>12703</v>
      </c>
      <c r="L141" s="281">
        <v>0</v>
      </c>
      <c r="M141" s="318">
        <v>0</v>
      </c>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row>
    <row r="142" spans="1:39" ht="11.25" customHeight="1" x14ac:dyDescent="0.2">
      <c r="A142" s="224"/>
      <c r="B142" s="232"/>
      <c r="C142" s="233"/>
      <c r="D142" s="233"/>
      <c r="E142" s="319"/>
      <c r="F142" s="234"/>
      <c r="G142" s="319"/>
      <c r="H142" s="242"/>
      <c r="I142" s="319"/>
      <c r="J142" s="242"/>
      <c r="K142" s="247"/>
      <c r="L142" s="281"/>
      <c r="M142" s="318"/>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row>
    <row r="143" spans="1:39" ht="11.25" customHeight="1" x14ac:dyDescent="0.2">
      <c r="A143" s="224"/>
      <c r="B143" s="232"/>
      <c r="C143" s="233" t="s">
        <v>200</v>
      </c>
      <c r="D143" s="233" t="s">
        <v>201</v>
      </c>
      <c r="E143" s="233" t="s">
        <v>198</v>
      </c>
      <c r="F143" s="234">
        <f>172*1000</f>
        <v>172000</v>
      </c>
      <c r="G143" s="233" t="s">
        <v>142</v>
      </c>
      <c r="H143" s="242">
        <v>138.774</v>
      </c>
      <c r="I143" s="319" t="s">
        <v>185</v>
      </c>
      <c r="J143" s="243">
        <f>(F143*H143)/1000</f>
        <v>23869.128000000001</v>
      </c>
      <c r="K143" s="247">
        <v>1947</v>
      </c>
      <c r="L143" s="281">
        <v>0.1</v>
      </c>
      <c r="M143" s="318">
        <v>0</v>
      </c>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row>
    <row r="144" spans="1:39" ht="11.25" customHeight="1" x14ac:dyDescent="0.2">
      <c r="A144" s="224"/>
      <c r="B144" s="232"/>
      <c r="C144" s="233"/>
      <c r="D144" s="233"/>
      <c r="E144" s="319"/>
      <c r="F144" s="234"/>
      <c r="G144" s="319"/>
      <c r="H144" s="242"/>
      <c r="I144" s="319"/>
      <c r="J144" s="242"/>
      <c r="K144" s="247"/>
      <c r="L144" s="281"/>
      <c r="M144" s="318"/>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c r="AJ144" s="224"/>
      <c r="AK144" s="224"/>
      <c r="AL144" s="224"/>
      <c r="AM144" s="224"/>
    </row>
    <row r="145" spans="1:39" ht="11.25" customHeight="1" x14ac:dyDescent="0.2">
      <c r="A145" s="224"/>
      <c r="B145" s="232"/>
      <c r="C145" s="233" t="s">
        <v>202</v>
      </c>
      <c r="D145" s="233" t="s">
        <v>203</v>
      </c>
      <c r="E145" s="233" t="s">
        <v>198</v>
      </c>
      <c r="F145" s="234">
        <f>197*1000</f>
        <v>197000</v>
      </c>
      <c r="G145" s="233" t="s">
        <v>142</v>
      </c>
      <c r="H145" s="242">
        <v>138.774</v>
      </c>
      <c r="I145" s="319" t="s">
        <v>185</v>
      </c>
      <c r="J145" s="243">
        <f>(F145*H145)/1000</f>
        <v>27338.477999999999</v>
      </c>
      <c r="K145" s="247">
        <v>2230</v>
      </c>
      <c r="L145" s="281">
        <v>0.1</v>
      </c>
      <c r="M145" s="318">
        <v>0</v>
      </c>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row>
    <row r="146" spans="1:39" ht="11.25" customHeight="1" x14ac:dyDescent="0.2">
      <c r="A146" s="224"/>
      <c r="B146" s="232"/>
      <c r="C146" s="233"/>
      <c r="D146" s="233"/>
      <c r="E146" s="233"/>
      <c r="F146" s="234"/>
      <c r="G146" s="233"/>
      <c r="H146" s="242"/>
      <c r="I146" s="319"/>
      <c r="J146" s="243"/>
      <c r="K146" s="233"/>
      <c r="L146" s="233"/>
      <c r="M146" s="235"/>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row>
    <row r="147" spans="1:39" ht="11.25" customHeight="1" x14ac:dyDescent="0.2">
      <c r="A147" s="224"/>
      <c r="B147" s="236"/>
      <c r="C147" s="238"/>
      <c r="D147" s="238"/>
      <c r="E147" s="238"/>
      <c r="F147" s="240"/>
      <c r="G147" s="238"/>
      <c r="H147" s="239"/>
      <c r="I147" s="320"/>
      <c r="J147" s="311"/>
      <c r="K147" s="238"/>
      <c r="L147" s="238"/>
      <c r="M147" s="241"/>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row>
    <row r="148" spans="1:39" ht="11.25" customHeight="1" x14ac:dyDescent="0.2">
      <c r="A148" s="224"/>
      <c r="B148" s="232"/>
      <c r="C148" s="233"/>
      <c r="D148" s="233"/>
      <c r="E148" s="319"/>
      <c r="F148" s="242"/>
      <c r="G148" s="319"/>
      <c r="H148" s="242"/>
      <c r="I148" s="233"/>
      <c r="J148" s="233"/>
      <c r="K148" s="233"/>
      <c r="L148" s="233"/>
      <c r="M148" s="235"/>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row>
    <row r="149" spans="1:39" ht="11.25" customHeight="1" x14ac:dyDescent="0.2">
      <c r="A149" s="224"/>
      <c r="B149" s="232" t="s">
        <v>204</v>
      </c>
      <c r="C149" s="265" t="s">
        <v>205</v>
      </c>
      <c r="D149" s="233"/>
      <c r="E149" s="233"/>
      <c r="F149" s="233"/>
      <c r="G149" s="233"/>
      <c r="H149" s="233"/>
      <c r="I149" s="233"/>
      <c r="J149" s="233"/>
      <c r="K149" s="233"/>
      <c r="L149" s="233"/>
      <c r="M149" s="235"/>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c r="AJ149" s="224"/>
      <c r="AK149" s="224"/>
      <c r="AL149" s="224"/>
      <c r="AM149" s="224"/>
    </row>
    <row r="150" spans="1:39" ht="11.25" customHeight="1" x14ac:dyDescent="0.2">
      <c r="A150" s="224"/>
      <c r="B150" s="232"/>
      <c r="C150" s="233" t="s">
        <v>206</v>
      </c>
      <c r="D150" s="233" t="s">
        <v>207</v>
      </c>
      <c r="E150" s="233" t="s">
        <v>322</v>
      </c>
      <c r="F150" s="245">
        <v>1595518</v>
      </c>
      <c r="G150" s="233" t="s">
        <v>142</v>
      </c>
      <c r="H150" s="245">
        <v>151504</v>
      </c>
      <c r="I150" s="233" t="s">
        <v>208</v>
      </c>
      <c r="J150" s="321">
        <f t="shared" ref="J150:J151" si="44">F150*H150/1000000</f>
        <v>241727.35907199999</v>
      </c>
      <c r="K150" s="321">
        <f>J150/J152*K152</f>
        <v>20442.12927522769</v>
      </c>
      <c r="L150" s="307">
        <v>0.83</v>
      </c>
      <c r="M150" s="306">
        <v>0.17</v>
      </c>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c r="AJ150" s="224"/>
      <c r="AK150" s="224"/>
      <c r="AL150" s="224"/>
      <c r="AM150" s="224"/>
    </row>
    <row r="151" spans="1:39" ht="11.25" customHeight="1" x14ac:dyDescent="0.2">
      <c r="A151" s="224"/>
      <c r="B151" s="232"/>
      <c r="C151" s="233"/>
      <c r="D151" s="233"/>
      <c r="E151" s="233" t="s">
        <v>198</v>
      </c>
      <c r="F151" s="245">
        <v>53219</v>
      </c>
      <c r="G151" s="233" t="s">
        <v>142</v>
      </c>
      <c r="H151" s="245">
        <v>138465</v>
      </c>
      <c r="I151" s="233" t="s">
        <v>208</v>
      </c>
      <c r="J151" s="321">
        <f t="shared" si="44"/>
        <v>7368.9688349999997</v>
      </c>
      <c r="K151" s="322">
        <f>J151/J152*K152</f>
        <v>623.17072477230727</v>
      </c>
      <c r="L151" s="307">
        <v>0.03</v>
      </c>
      <c r="M151" s="306">
        <v>0.01</v>
      </c>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row>
    <row r="152" spans="1:39" ht="11.25" customHeight="1" x14ac:dyDescent="0.2">
      <c r="A152" s="224"/>
      <c r="B152" s="232"/>
      <c r="C152" s="233"/>
      <c r="D152" s="233"/>
      <c r="E152" s="233"/>
      <c r="F152" s="233"/>
      <c r="G152" s="265"/>
      <c r="H152" s="265"/>
      <c r="I152" s="265"/>
      <c r="J152" s="246">
        <f>SUM(J150:J151)</f>
        <v>249096.327907</v>
      </c>
      <c r="K152" s="255">
        <v>21065.3</v>
      </c>
      <c r="L152" s="281">
        <f t="shared" ref="L152:M152" si="45">SUM(L150:L151)</f>
        <v>0.86</v>
      </c>
      <c r="M152" s="278">
        <f t="shared" si="45"/>
        <v>0.18000000000000002</v>
      </c>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row>
    <row r="153" spans="1:39" ht="11.25" customHeight="1" x14ac:dyDescent="0.2">
      <c r="A153" s="224"/>
      <c r="B153" s="232"/>
      <c r="C153" s="233"/>
      <c r="D153" s="233"/>
      <c r="E153" s="233"/>
      <c r="F153" s="233"/>
      <c r="G153" s="233"/>
      <c r="H153" s="233"/>
      <c r="I153" s="233"/>
      <c r="J153" s="233"/>
      <c r="K153" s="233"/>
      <c r="L153" s="233"/>
      <c r="M153" s="306"/>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row>
    <row r="154" spans="1:39" ht="11.25" customHeight="1" x14ac:dyDescent="0.2">
      <c r="A154" s="224"/>
      <c r="B154" s="232"/>
      <c r="C154" s="233" t="s">
        <v>209</v>
      </c>
      <c r="D154" s="233" t="s">
        <v>210</v>
      </c>
      <c r="E154" s="233" t="s">
        <v>198</v>
      </c>
      <c r="F154" s="245">
        <v>34860</v>
      </c>
      <c r="G154" s="233" t="s">
        <v>142</v>
      </c>
      <c r="H154" s="245">
        <v>138451</v>
      </c>
      <c r="I154" s="233" t="s">
        <v>208</v>
      </c>
      <c r="J154" s="243">
        <f>F154*H154/1000000</f>
        <v>4826.4018599999999</v>
      </c>
      <c r="K154" s="251">
        <v>393.48</v>
      </c>
      <c r="L154" s="251">
        <v>0.02</v>
      </c>
      <c r="M154" s="278">
        <v>0</v>
      </c>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K154" s="224"/>
      <c r="AL154" s="224"/>
      <c r="AM154" s="224"/>
    </row>
    <row r="155" spans="1:39" ht="11.25" customHeight="1" x14ac:dyDescent="0.2">
      <c r="A155" s="224"/>
      <c r="B155" s="232"/>
      <c r="C155" s="233"/>
      <c r="D155" s="233"/>
      <c r="E155" s="233"/>
      <c r="F155" s="233"/>
      <c r="G155" s="233"/>
      <c r="H155" s="233"/>
      <c r="I155" s="233"/>
      <c r="J155" s="264"/>
      <c r="K155" s="233"/>
      <c r="L155" s="251"/>
      <c r="M155" s="306"/>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row>
    <row r="156" spans="1:39" ht="11.25" customHeight="1" x14ac:dyDescent="0.2">
      <c r="A156" s="224"/>
      <c r="B156" s="232"/>
      <c r="C156" s="233" t="s">
        <v>211</v>
      </c>
      <c r="D156" s="233" t="s">
        <v>212</v>
      </c>
      <c r="E156" s="233" t="s">
        <v>198</v>
      </c>
      <c r="F156" s="245">
        <v>130151</v>
      </c>
      <c r="G156" s="233" t="s">
        <v>142</v>
      </c>
      <c r="H156" s="245">
        <v>138411</v>
      </c>
      <c r="I156" s="233" t="s">
        <v>208</v>
      </c>
      <c r="J156" s="243">
        <f>F156*H156/1000000</f>
        <v>18014.330061000001</v>
      </c>
      <c r="K156" s="247">
        <v>1468.64</v>
      </c>
      <c r="L156" s="251">
        <v>0.06</v>
      </c>
      <c r="M156" s="278">
        <v>0.01</v>
      </c>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row>
    <row r="157" spans="1:39" ht="11.25" customHeight="1" x14ac:dyDescent="0.2">
      <c r="A157" s="224"/>
      <c r="B157" s="232"/>
      <c r="C157" s="233"/>
      <c r="D157" s="233"/>
      <c r="E157" s="233"/>
      <c r="F157" s="321"/>
      <c r="G157" s="233"/>
      <c r="H157" s="321"/>
      <c r="I157" s="233"/>
      <c r="J157" s="242"/>
      <c r="K157" s="251"/>
      <c r="L157" s="233"/>
      <c r="M157" s="235"/>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row>
    <row r="158" spans="1:39" ht="11.25" customHeight="1" x14ac:dyDescent="0.2">
      <c r="A158" s="224"/>
      <c r="B158" s="236"/>
      <c r="C158" s="238"/>
      <c r="D158" s="238"/>
      <c r="E158" s="238"/>
      <c r="F158" s="238"/>
      <c r="G158" s="238"/>
      <c r="H158" s="238"/>
      <c r="I158" s="238"/>
      <c r="J158" s="238"/>
      <c r="K158" s="238"/>
      <c r="L158" s="238"/>
      <c r="M158" s="241"/>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row>
    <row r="159" spans="1:39" ht="11.25" customHeight="1" x14ac:dyDescent="0.2">
      <c r="A159" s="224"/>
      <c r="B159" s="232"/>
      <c r="C159" s="233"/>
      <c r="D159" s="233"/>
      <c r="E159" s="233"/>
      <c r="F159" s="233"/>
      <c r="G159" s="233"/>
      <c r="H159" s="233"/>
      <c r="I159" s="233"/>
      <c r="J159" s="233"/>
      <c r="K159" s="233"/>
      <c r="L159" s="233"/>
      <c r="M159" s="235"/>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row>
    <row r="160" spans="1:39" ht="11.25" customHeight="1" x14ac:dyDescent="0.2">
      <c r="A160" s="224"/>
      <c r="B160" s="232" t="s">
        <v>342</v>
      </c>
      <c r="C160" s="265" t="s">
        <v>343</v>
      </c>
      <c r="D160" s="233"/>
      <c r="E160" s="233"/>
      <c r="F160" s="233"/>
      <c r="G160" s="233"/>
      <c r="H160" s="233"/>
      <c r="I160" s="233"/>
      <c r="J160" s="233"/>
      <c r="K160" s="233"/>
      <c r="L160" s="233"/>
      <c r="M160" s="235"/>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row>
    <row r="161" spans="1:39" ht="11.25" customHeight="1" x14ac:dyDescent="0.2">
      <c r="A161" s="224"/>
      <c r="B161" s="232"/>
      <c r="C161" s="233" t="s">
        <v>344</v>
      </c>
      <c r="D161" s="233" t="s">
        <v>345</v>
      </c>
      <c r="E161" s="233" t="s">
        <v>336</v>
      </c>
      <c r="F161" s="234">
        <f>97*1000000</f>
        <v>97000000</v>
      </c>
      <c r="G161" s="233" t="s">
        <v>332</v>
      </c>
      <c r="H161" s="321">
        <v>1064</v>
      </c>
      <c r="I161" s="233" t="s">
        <v>346</v>
      </c>
      <c r="J161" s="243">
        <f>F161*H161/1000000</f>
        <v>103208</v>
      </c>
      <c r="K161" s="247">
        <v>5975</v>
      </c>
      <c r="L161" s="281">
        <v>1</v>
      </c>
      <c r="M161" s="276">
        <v>0.01</v>
      </c>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row>
    <row r="162" spans="1:39" ht="11.25" customHeight="1" x14ac:dyDescent="0.2">
      <c r="A162" s="224"/>
      <c r="B162" s="232"/>
      <c r="C162" s="233"/>
      <c r="D162" s="233"/>
      <c r="E162" s="233"/>
      <c r="F162" s="323"/>
      <c r="G162" s="233"/>
      <c r="H162" s="321"/>
      <c r="I162" s="233"/>
      <c r="J162" s="321"/>
      <c r="K162" s="233"/>
      <c r="L162" s="233"/>
      <c r="M162" s="235"/>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row>
    <row r="163" spans="1:39" ht="11.25" customHeight="1" x14ac:dyDescent="0.2">
      <c r="A163" s="224"/>
      <c r="B163" s="236"/>
      <c r="C163" s="238"/>
      <c r="D163" s="238"/>
      <c r="E163" s="238"/>
      <c r="F163" s="238"/>
      <c r="G163" s="238"/>
      <c r="H163" s="238"/>
      <c r="I163" s="238"/>
      <c r="J163" s="238"/>
      <c r="K163" s="238"/>
      <c r="L163" s="238"/>
      <c r="M163" s="241"/>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row>
    <row r="164" spans="1:39" ht="11.25" customHeight="1" x14ac:dyDescent="0.2">
      <c r="A164" s="224"/>
      <c r="B164" s="232"/>
      <c r="C164" s="233"/>
      <c r="D164" s="233"/>
      <c r="E164" s="233"/>
      <c r="F164" s="233"/>
      <c r="G164" s="233"/>
      <c r="H164" s="233"/>
      <c r="I164" s="233"/>
      <c r="J164" s="233"/>
      <c r="K164" s="233"/>
      <c r="L164" s="233"/>
      <c r="M164" s="235"/>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row>
    <row r="165" spans="1:39" ht="11.25" customHeight="1" x14ac:dyDescent="0.2">
      <c r="A165" s="224"/>
      <c r="B165" s="232" t="s">
        <v>123</v>
      </c>
      <c r="C165" s="265" t="s">
        <v>124</v>
      </c>
      <c r="D165" s="233"/>
      <c r="E165" s="233"/>
      <c r="F165" s="233"/>
      <c r="G165" s="233"/>
      <c r="H165" s="233"/>
      <c r="I165" s="233"/>
      <c r="J165" s="233"/>
      <c r="K165" s="233"/>
      <c r="L165" s="233"/>
      <c r="M165" s="235"/>
      <c r="N165" s="224"/>
      <c r="O165" s="266" t="s">
        <v>436</v>
      </c>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row>
    <row r="166" spans="1:39" ht="11.25" customHeight="1" x14ac:dyDescent="0.2">
      <c r="A166" s="224"/>
      <c r="B166" s="232"/>
      <c r="C166" s="233" t="s">
        <v>125</v>
      </c>
      <c r="D166" s="233" t="s">
        <v>126</v>
      </c>
      <c r="E166" s="233" t="s">
        <v>89</v>
      </c>
      <c r="F166" s="245">
        <v>173361</v>
      </c>
      <c r="G166" s="233" t="s">
        <v>90</v>
      </c>
      <c r="H166" s="321">
        <v>12882.09</v>
      </c>
      <c r="I166" s="233" t="s">
        <v>91</v>
      </c>
      <c r="J166" s="234">
        <f>F166*H166*2000/1000000</f>
        <v>4466504.0089800013</v>
      </c>
      <c r="K166" s="242">
        <f>J166/J168*K168</f>
        <v>441072.1482277519</v>
      </c>
      <c r="L166" s="324">
        <f>J166*Q170/907.184</f>
        <v>54.158300960753287</v>
      </c>
      <c r="M166" s="314">
        <f>J166*R170/907.1847</f>
        <v>7.8775649703616057</v>
      </c>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row>
    <row r="167" spans="1:39" ht="11.25" customHeight="1" x14ac:dyDescent="0.2">
      <c r="A167" s="224"/>
      <c r="B167" s="232"/>
      <c r="C167" s="233"/>
      <c r="D167" s="233"/>
      <c r="E167" s="233" t="s">
        <v>198</v>
      </c>
      <c r="F167" s="245">
        <v>183120</v>
      </c>
      <c r="G167" s="233" t="s">
        <v>142</v>
      </c>
      <c r="H167" s="321">
        <v>139181</v>
      </c>
      <c r="I167" s="233" t="s">
        <v>208</v>
      </c>
      <c r="J167" s="234">
        <f>F167*H167/1000000</f>
        <v>25486.824720000001</v>
      </c>
      <c r="K167" s="242">
        <f>J167/J168*K168</f>
        <v>2516.8517722481024</v>
      </c>
      <c r="L167" s="324">
        <f>J167*Q172/907.1847</f>
        <v>8.4283249221465045E-2</v>
      </c>
      <c r="M167" s="314">
        <f>J167*R172/907.1847</f>
        <v>1.6856649844293008E-2</v>
      </c>
      <c r="N167" s="224"/>
      <c r="O167" s="286" t="s">
        <v>437</v>
      </c>
      <c r="P167" s="287" t="s">
        <v>438</v>
      </c>
      <c r="Q167" s="287"/>
      <c r="R167" s="288"/>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row>
    <row r="168" spans="1:39" ht="11.25" customHeight="1" x14ac:dyDescent="0.25">
      <c r="A168" s="224"/>
      <c r="B168" s="232"/>
      <c r="C168" s="233"/>
      <c r="D168" s="233"/>
      <c r="E168" s="233"/>
      <c r="F168" s="233"/>
      <c r="G168" s="233"/>
      <c r="H168" s="233"/>
      <c r="I168" s="233"/>
      <c r="J168" s="252">
        <f>SUM(J166:J167)</f>
        <v>4491990.8337000012</v>
      </c>
      <c r="K168" s="255">
        <v>443589</v>
      </c>
      <c r="L168" s="281">
        <f t="shared" ref="L168:M168" si="46">SUM(L166:L167)</f>
        <v>54.242584209974751</v>
      </c>
      <c r="M168" s="278">
        <f t="shared" si="46"/>
        <v>7.8944216202058985</v>
      </c>
      <c r="N168" s="224"/>
      <c r="O168" s="289"/>
      <c r="P168" s="290" t="s">
        <v>455</v>
      </c>
      <c r="Q168" s="290" t="s">
        <v>456</v>
      </c>
      <c r="R168" s="291" t="s">
        <v>457</v>
      </c>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row>
    <row r="169" spans="1:39" ht="11.25" customHeight="1" x14ac:dyDescent="0.2">
      <c r="A169" s="224"/>
      <c r="B169" s="232"/>
      <c r="C169" s="233"/>
      <c r="D169" s="233"/>
      <c r="E169" s="233"/>
      <c r="F169" s="233"/>
      <c r="G169" s="233"/>
      <c r="H169" s="233"/>
      <c r="I169" s="233"/>
      <c r="J169" s="233"/>
      <c r="K169" s="233"/>
      <c r="L169" s="233"/>
      <c r="M169" s="235"/>
      <c r="N169" s="224"/>
      <c r="O169" s="292" t="s">
        <v>442</v>
      </c>
      <c r="P169" s="293">
        <v>93.28</v>
      </c>
      <c r="Q169" s="294">
        <v>1.0999999999999999E-2</v>
      </c>
      <c r="R169" s="295">
        <v>1.6000000000000001E-3</v>
      </c>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row>
    <row r="170" spans="1:39" ht="11.25" customHeight="1" x14ac:dyDescent="0.2">
      <c r="A170" s="224"/>
      <c r="B170" s="232"/>
      <c r="C170" s="233" t="s">
        <v>127</v>
      </c>
      <c r="D170" s="233" t="s">
        <v>128</v>
      </c>
      <c r="E170" s="233" t="s">
        <v>89</v>
      </c>
      <c r="F170" s="245">
        <v>175090</v>
      </c>
      <c r="G170" s="233" t="s">
        <v>90</v>
      </c>
      <c r="H170" s="321">
        <v>12882.09</v>
      </c>
      <c r="I170" s="233" t="s">
        <v>91</v>
      </c>
      <c r="J170" s="234">
        <f>F170*H170*2000/1000000</f>
        <v>4511050.2762000002</v>
      </c>
      <c r="K170" s="242">
        <f>J170/J172*K172</f>
        <v>445470.91911752173</v>
      </c>
      <c r="L170" s="324">
        <f>J170*Q170/907.1847</f>
        <v>54.698401591428954</v>
      </c>
      <c r="M170" s="314">
        <f>J170*R170/907.1847</f>
        <v>7.9561311405714852</v>
      </c>
      <c r="N170" s="224"/>
      <c r="O170" s="296" t="s">
        <v>443</v>
      </c>
      <c r="P170" s="274">
        <v>97.14</v>
      </c>
      <c r="Q170" s="277">
        <v>1.0999999999999999E-2</v>
      </c>
      <c r="R170" s="297">
        <v>1.6000000000000001E-3</v>
      </c>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row>
    <row r="171" spans="1:39" ht="11.25" customHeight="1" x14ac:dyDescent="0.2">
      <c r="A171" s="224"/>
      <c r="B171" s="232"/>
      <c r="C171" s="233"/>
      <c r="D171" s="233"/>
      <c r="E171" s="233" t="s">
        <v>198</v>
      </c>
      <c r="F171" s="245">
        <v>173460</v>
      </c>
      <c r="G171" s="233" t="s">
        <v>142</v>
      </c>
      <c r="H171" s="321">
        <v>139181</v>
      </c>
      <c r="I171" s="233" t="s">
        <v>208</v>
      </c>
      <c r="J171" s="234">
        <f>F171*H171/1000000</f>
        <v>24142.33626</v>
      </c>
      <c r="K171" s="242">
        <f>J171/J172*K172</f>
        <v>2384.0808824782107</v>
      </c>
      <c r="L171" s="324">
        <f>J171*Q172/907.1847</f>
        <v>7.9837114514828139E-2</v>
      </c>
      <c r="M171" s="314">
        <f>J171*R172/907.1847</f>
        <v>1.5967422902965624E-2</v>
      </c>
      <c r="N171" s="224"/>
      <c r="O171" s="296" t="s">
        <v>331</v>
      </c>
      <c r="P171" s="274">
        <v>53.06</v>
      </c>
      <c r="Q171" s="277">
        <v>1E-3</v>
      </c>
      <c r="R171" s="297">
        <v>1E-4</v>
      </c>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row>
    <row r="172" spans="1:39" ht="11.25" customHeight="1" x14ac:dyDescent="0.2">
      <c r="A172" s="224"/>
      <c r="B172" s="232"/>
      <c r="C172" s="233"/>
      <c r="D172" s="233"/>
      <c r="E172" s="233"/>
      <c r="F172" s="233"/>
      <c r="G172" s="233"/>
      <c r="H172" s="233"/>
      <c r="I172" s="233"/>
      <c r="J172" s="252">
        <f>SUM(J170:J171)</f>
        <v>4535192.6124600004</v>
      </c>
      <c r="K172" s="255">
        <v>447855</v>
      </c>
      <c r="L172" s="281">
        <f t="shared" ref="L172:M172" si="47">SUM(L170:L171)</f>
        <v>54.778238705943785</v>
      </c>
      <c r="M172" s="278">
        <f t="shared" si="47"/>
        <v>7.972098563474451</v>
      </c>
      <c r="N172" s="224"/>
      <c r="O172" s="296" t="s">
        <v>444</v>
      </c>
      <c r="P172" s="274">
        <v>73.959999999999994</v>
      </c>
      <c r="Q172" s="277">
        <v>3.0000000000000001E-3</v>
      </c>
      <c r="R172" s="297">
        <v>5.9999999999999995E-4</v>
      </c>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row>
    <row r="173" spans="1:39" ht="11.25" customHeight="1" x14ac:dyDescent="0.2">
      <c r="A173" s="224"/>
      <c r="B173" s="232"/>
      <c r="C173" s="233"/>
      <c r="D173" s="233"/>
      <c r="E173" s="233"/>
      <c r="F173" s="233"/>
      <c r="G173" s="233"/>
      <c r="H173" s="233"/>
      <c r="I173" s="233"/>
      <c r="J173" s="233"/>
      <c r="K173" s="233"/>
      <c r="L173" s="233"/>
      <c r="M173" s="235"/>
      <c r="N173" s="224"/>
      <c r="O173" s="296" t="s">
        <v>445</v>
      </c>
      <c r="P173" s="274">
        <v>75.099999999999994</v>
      </c>
      <c r="Q173" s="277">
        <v>3.0000000000000001E-3</v>
      </c>
      <c r="R173" s="297">
        <v>5.9999999999999995E-4</v>
      </c>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row>
    <row r="174" spans="1:39" ht="11.25" customHeight="1" x14ac:dyDescent="0.2">
      <c r="A174" s="224"/>
      <c r="B174" s="232"/>
      <c r="C174" s="233" t="s">
        <v>129</v>
      </c>
      <c r="D174" s="233" t="s">
        <v>130</v>
      </c>
      <c r="E174" s="233" t="s">
        <v>89</v>
      </c>
      <c r="F174" s="245">
        <v>156270</v>
      </c>
      <c r="G174" s="233" t="s">
        <v>90</v>
      </c>
      <c r="H174" s="321">
        <v>12882.09</v>
      </c>
      <c r="I174" s="233" t="s">
        <v>91</v>
      </c>
      <c r="J174" s="234">
        <f>F174*H174*2000/1000000</f>
        <v>4026168.4086000002</v>
      </c>
      <c r="K174" s="242">
        <f>J174/J176*K176</f>
        <v>397588.45191653183</v>
      </c>
      <c r="L174" s="324">
        <f>J174*Q170/907.1847</f>
        <v>48.819002893898009</v>
      </c>
      <c r="M174" s="314">
        <f>J174*R170/907.1847</f>
        <v>7.100945875476075</v>
      </c>
      <c r="N174" s="224"/>
      <c r="O174" s="296" t="s">
        <v>446</v>
      </c>
      <c r="P174" s="274">
        <v>75.2</v>
      </c>
      <c r="Q174" s="277">
        <v>3.0000000000000001E-3</v>
      </c>
      <c r="R174" s="297">
        <v>5.9999999999999995E-4</v>
      </c>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row>
    <row r="175" spans="1:39" ht="11.25" customHeight="1" x14ac:dyDescent="0.2">
      <c r="A175" s="224"/>
      <c r="B175" s="232"/>
      <c r="C175" s="233"/>
      <c r="D175" s="233"/>
      <c r="E175" s="233" t="s">
        <v>198</v>
      </c>
      <c r="F175" s="245">
        <v>279720</v>
      </c>
      <c r="G175" s="233" t="s">
        <v>142</v>
      </c>
      <c r="H175" s="321">
        <v>139181</v>
      </c>
      <c r="I175" s="233" t="s">
        <v>208</v>
      </c>
      <c r="J175" s="234">
        <f>F175*H175/1000000</f>
        <v>38931.709320000002</v>
      </c>
      <c r="K175" s="242">
        <f>J175/J176*K176</f>
        <v>3844.548083468168</v>
      </c>
      <c r="L175" s="324">
        <f>J175*Q172/907.1847</f>
        <v>0.12874459628783422</v>
      </c>
      <c r="M175" s="314">
        <f>J175*R172/907.1847</f>
        <v>2.5748919257566841E-2</v>
      </c>
      <c r="N175" s="224"/>
      <c r="O175" s="296" t="s">
        <v>447</v>
      </c>
      <c r="P175" s="274">
        <v>62.87</v>
      </c>
      <c r="Q175" s="277">
        <v>3.0000000000000001E-3</v>
      </c>
      <c r="R175" s="297">
        <v>5.9999999999999995E-4</v>
      </c>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row>
    <row r="176" spans="1:39" ht="11.25" customHeight="1" x14ac:dyDescent="0.2">
      <c r="A176" s="224"/>
      <c r="B176" s="232"/>
      <c r="C176" s="233"/>
      <c r="D176" s="233"/>
      <c r="E176" s="233"/>
      <c r="F176" s="233"/>
      <c r="G176" s="233"/>
      <c r="H176" s="233"/>
      <c r="I176" s="233"/>
      <c r="J176" s="252">
        <f>SUM(J174:J175)</f>
        <v>4065100.1179200001</v>
      </c>
      <c r="K176" s="255">
        <v>401433</v>
      </c>
      <c r="L176" s="281">
        <f t="shared" ref="L176:M176" si="48">SUM(L174:L175)</f>
        <v>48.94774749018584</v>
      </c>
      <c r="M176" s="278">
        <f t="shared" si="48"/>
        <v>7.1266947947336421</v>
      </c>
      <c r="N176" s="224"/>
      <c r="O176" s="296" t="s">
        <v>448</v>
      </c>
      <c r="P176" s="274">
        <v>66.88</v>
      </c>
      <c r="Q176" s="277">
        <v>3.0000000000000001E-3</v>
      </c>
      <c r="R176" s="297">
        <v>5.9999999999999995E-4</v>
      </c>
      <c r="S176" s="224"/>
      <c r="T176" s="224"/>
      <c r="U176" s="224"/>
      <c r="V176" s="224"/>
      <c r="W176" s="224"/>
      <c r="X176" s="224"/>
      <c r="Y176" s="224"/>
      <c r="Z176" s="224"/>
      <c r="AA176" s="224"/>
      <c r="AB176" s="224"/>
      <c r="AC176" s="224"/>
      <c r="AD176" s="224"/>
      <c r="AE176" s="224"/>
      <c r="AF176" s="224"/>
      <c r="AG176" s="224"/>
      <c r="AH176" s="224"/>
      <c r="AI176" s="224"/>
      <c r="AJ176" s="224"/>
      <c r="AK176" s="224"/>
      <c r="AL176" s="224"/>
      <c r="AM176" s="224"/>
    </row>
    <row r="177" spans="1:39" ht="11.25" customHeight="1" x14ac:dyDescent="0.2">
      <c r="A177" s="224"/>
      <c r="B177" s="232"/>
      <c r="C177" s="233"/>
      <c r="D177" s="233"/>
      <c r="E177" s="233"/>
      <c r="F177" s="233"/>
      <c r="G177" s="233"/>
      <c r="H177" s="233"/>
      <c r="I177" s="233"/>
      <c r="J177" s="233"/>
      <c r="K177" s="233"/>
      <c r="L177" s="233"/>
      <c r="M177" s="235"/>
      <c r="N177" s="224"/>
      <c r="O177" s="289" t="s">
        <v>317</v>
      </c>
      <c r="P177" s="298">
        <v>74</v>
      </c>
      <c r="Q177" s="299">
        <v>3.0000000000000001E-3</v>
      </c>
      <c r="R177" s="300">
        <v>5.9999999999999995E-4</v>
      </c>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row>
    <row r="178" spans="1:39" ht="11.25" customHeight="1" x14ac:dyDescent="0.2">
      <c r="A178" s="224"/>
      <c r="B178" s="232"/>
      <c r="C178" s="233" t="s">
        <v>213</v>
      </c>
      <c r="D178" s="233" t="s">
        <v>212</v>
      </c>
      <c r="E178" s="233" t="s">
        <v>198</v>
      </c>
      <c r="F178" s="245">
        <v>55212</v>
      </c>
      <c r="G178" s="233" t="s">
        <v>142</v>
      </c>
      <c r="H178" s="321">
        <v>139181</v>
      </c>
      <c r="I178" s="233" t="s">
        <v>208</v>
      </c>
      <c r="J178" s="252">
        <f>F178*H178/1000000</f>
        <v>7684.4613719999998</v>
      </c>
      <c r="K178" s="251">
        <v>626</v>
      </c>
      <c r="L178" s="281">
        <f>K178*Q172/907.1847</f>
        <v>2.0701407331935825E-3</v>
      </c>
      <c r="M178" s="306">
        <f>K178*R172/907.1847</f>
        <v>4.1402814663871646E-4</v>
      </c>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c r="AJ178" s="224"/>
      <c r="AK178" s="224"/>
      <c r="AL178" s="224"/>
      <c r="AM178" s="224"/>
    </row>
    <row r="179" spans="1:39" ht="11.25" customHeight="1" x14ac:dyDescent="0.2">
      <c r="A179" s="224"/>
      <c r="B179" s="232"/>
      <c r="C179" s="233"/>
      <c r="D179" s="233"/>
      <c r="E179" s="233"/>
      <c r="F179" s="233"/>
      <c r="G179" s="233"/>
      <c r="H179" s="233"/>
      <c r="I179" s="233"/>
      <c r="J179" s="233"/>
      <c r="K179" s="233"/>
      <c r="L179" s="233"/>
      <c r="M179" s="235"/>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row>
    <row r="180" spans="1:39" ht="11.25" customHeight="1" x14ac:dyDescent="0.2">
      <c r="A180" s="224"/>
      <c r="B180" s="236"/>
      <c r="C180" s="238"/>
      <c r="D180" s="238"/>
      <c r="E180" s="238"/>
      <c r="F180" s="238"/>
      <c r="G180" s="238"/>
      <c r="H180" s="238"/>
      <c r="I180" s="238"/>
      <c r="J180" s="238"/>
      <c r="K180" s="238"/>
      <c r="L180" s="238"/>
      <c r="M180" s="241"/>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row>
    <row r="181" spans="1:39" ht="11.25" customHeight="1" x14ac:dyDescent="0.2">
      <c r="A181" s="224"/>
      <c r="B181" s="232"/>
      <c r="C181" s="233"/>
      <c r="D181" s="233"/>
      <c r="E181" s="233"/>
      <c r="F181" s="233"/>
      <c r="G181" s="233"/>
      <c r="H181" s="233"/>
      <c r="I181" s="233"/>
      <c r="J181" s="233"/>
      <c r="K181" s="233"/>
      <c r="L181" s="233"/>
      <c r="M181" s="235"/>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row>
    <row r="182" spans="1:39" ht="11.25" customHeight="1" x14ac:dyDescent="0.2">
      <c r="A182" s="224"/>
      <c r="B182" s="232" t="s">
        <v>214</v>
      </c>
      <c r="C182" s="265" t="s">
        <v>215</v>
      </c>
      <c r="D182" s="233"/>
      <c r="E182" s="233"/>
      <c r="F182" s="233"/>
      <c r="G182" s="233"/>
      <c r="H182" s="233"/>
      <c r="I182" s="233"/>
      <c r="J182" s="233"/>
      <c r="K182" s="233"/>
      <c r="L182" s="233"/>
      <c r="M182" s="235"/>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c r="AJ182" s="224"/>
      <c r="AK182" s="224"/>
      <c r="AL182" s="224"/>
      <c r="AM182" s="224"/>
    </row>
    <row r="183" spans="1:39" ht="11.25" customHeight="1" x14ac:dyDescent="0.2">
      <c r="A183" s="224"/>
      <c r="B183" s="232"/>
      <c r="C183" s="233" t="s">
        <v>216</v>
      </c>
      <c r="D183" s="233" t="s">
        <v>217</v>
      </c>
      <c r="E183" s="233" t="s">
        <v>336</v>
      </c>
      <c r="F183" s="245">
        <v>79260000</v>
      </c>
      <c r="G183" s="233" t="s">
        <v>332</v>
      </c>
      <c r="H183" s="321">
        <v>1046</v>
      </c>
      <c r="I183" s="233" t="s">
        <v>347</v>
      </c>
      <c r="J183" s="234">
        <f t="shared" ref="J183:J184" si="49">F183*H183/1000000</f>
        <v>82905.960000000006</v>
      </c>
      <c r="K183" s="242">
        <f>J183/J185*K185</f>
        <v>6230.2873118412363</v>
      </c>
      <c r="L183" s="324">
        <f t="shared" ref="L183:L184" si="50">J183*Q171/907.1847</f>
        <v>9.1388181480573913E-2</v>
      </c>
      <c r="M183" s="285">
        <f t="shared" ref="M183:M184" si="51">J183*R171/907.1847</f>
        <v>9.1388181480573909E-3</v>
      </c>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row>
    <row r="184" spans="1:39" ht="11.25" customHeight="1" x14ac:dyDescent="0.2">
      <c r="A184" s="224"/>
      <c r="B184" s="232"/>
      <c r="C184" s="233"/>
      <c r="D184" s="233"/>
      <c r="E184" s="233" t="s">
        <v>198</v>
      </c>
      <c r="F184" s="245">
        <v>1638420</v>
      </c>
      <c r="G184" s="233" t="s">
        <v>142</v>
      </c>
      <c r="H184" s="321">
        <v>139181</v>
      </c>
      <c r="I184" s="233" t="s">
        <v>208</v>
      </c>
      <c r="J184" s="234">
        <f t="shared" si="49"/>
        <v>228036.93401999999</v>
      </c>
      <c r="K184" s="242">
        <f>J184/J185*K185</f>
        <v>17136.712688158765</v>
      </c>
      <c r="L184" s="324">
        <f t="shared" si="50"/>
        <v>0.75410310828654847</v>
      </c>
      <c r="M184" s="285">
        <f t="shared" si="51"/>
        <v>0.15082062165730967</v>
      </c>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row>
    <row r="185" spans="1:39" ht="11.25" customHeight="1" x14ac:dyDescent="0.2">
      <c r="A185" s="224"/>
      <c r="B185" s="232"/>
      <c r="C185" s="233"/>
      <c r="D185" s="233"/>
      <c r="E185" s="233"/>
      <c r="F185" s="233"/>
      <c r="G185" s="233"/>
      <c r="H185" s="233"/>
      <c r="I185" s="233"/>
      <c r="J185" s="252">
        <f>SUM(J183:J184)</f>
        <v>310942.89402000001</v>
      </c>
      <c r="K185" s="255">
        <v>23367</v>
      </c>
      <c r="L185" s="281">
        <f t="shared" ref="L185:M185" si="52">SUM(L183:L184)</f>
        <v>0.8454912897671224</v>
      </c>
      <c r="M185" s="278">
        <f t="shared" si="52"/>
        <v>0.15995943980536706</v>
      </c>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row>
    <row r="186" spans="1:39" ht="11.25" customHeight="1" x14ac:dyDescent="0.2">
      <c r="A186" s="224"/>
      <c r="B186" s="232"/>
      <c r="C186" s="233"/>
      <c r="D186" s="233"/>
      <c r="E186" s="233"/>
      <c r="F186" s="233"/>
      <c r="G186" s="233"/>
      <c r="H186" s="233"/>
      <c r="I186" s="233"/>
      <c r="J186" s="233"/>
      <c r="K186" s="233"/>
      <c r="L186" s="233"/>
      <c r="M186" s="235"/>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4"/>
      <c r="AL186" s="224"/>
      <c r="AM186" s="224"/>
    </row>
    <row r="187" spans="1:39" ht="11.25" customHeight="1" x14ac:dyDescent="0.2">
      <c r="A187" s="224"/>
      <c r="B187" s="232"/>
      <c r="C187" s="233"/>
      <c r="D187" s="233" t="s">
        <v>159</v>
      </c>
      <c r="E187" s="233" t="s">
        <v>336</v>
      </c>
      <c r="F187" s="245">
        <v>462230000</v>
      </c>
      <c r="G187" s="233" t="s">
        <v>332</v>
      </c>
      <c r="H187" s="321">
        <v>1046</v>
      </c>
      <c r="I187" s="233" t="s">
        <v>347</v>
      </c>
      <c r="J187" s="234">
        <f t="shared" ref="J187:J188" si="53">F187*H187/1000000</f>
        <v>483492.58</v>
      </c>
      <c r="K187" s="242">
        <f>J187/J189*K189</f>
        <v>31187.329849436726</v>
      </c>
      <c r="L187" s="324">
        <f t="shared" ref="L187:L188" si="54">J187*Q171/907.1847</f>
        <v>0.53295936318149983</v>
      </c>
      <c r="M187" s="285">
        <f t="shared" ref="M187:M188" si="55">J187*R171/907.1847</f>
        <v>5.3295936318149995E-2</v>
      </c>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c r="AJ187" s="224"/>
      <c r="AK187" s="224"/>
      <c r="AL187" s="224"/>
      <c r="AM187" s="224"/>
    </row>
    <row r="188" spans="1:39" ht="11.25" customHeight="1" x14ac:dyDescent="0.2">
      <c r="A188" s="224"/>
      <c r="B188" s="232"/>
      <c r="C188" s="233"/>
      <c r="D188" s="233"/>
      <c r="E188" s="233" t="s">
        <v>198</v>
      </c>
      <c r="F188" s="245">
        <v>1167180</v>
      </c>
      <c r="G188" s="233" t="s">
        <v>142</v>
      </c>
      <c r="H188" s="321">
        <v>139181</v>
      </c>
      <c r="I188" s="233" t="s">
        <v>208</v>
      </c>
      <c r="J188" s="234">
        <f t="shared" si="53"/>
        <v>162449.27958</v>
      </c>
      <c r="K188" s="242">
        <f>J188/J189*K189</f>
        <v>10478.670150563274</v>
      </c>
      <c r="L188" s="324">
        <f t="shared" si="54"/>
        <v>0.53720905868452151</v>
      </c>
      <c r="M188" s="285">
        <f t="shared" si="55"/>
        <v>0.10744181173690427</v>
      </c>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c r="AJ188" s="224"/>
      <c r="AK188" s="224"/>
      <c r="AL188" s="224"/>
      <c r="AM188" s="224"/>
    </row>
    <row r="189" spans="1:39" ht="11.25" customHeight="1" x14ac:dyDescent="0.2">
      <c r="A189" s="224"/>
      <c r="B189" s="232"/>
      <c r="C189" s="233"/>
      <c r="D189" s="233"/>
      <c r="E189" s="233"/>
      <c r="F189" s="233"/>
      <c r="G189" s="233"/>
      <c r="H189" s="233"/>
      <c r="I189" s="233"/>
      <c r="J189" s="252">
        <f>SUM(J187:J188)</f>
        <v>645941.85958000005</v>
      </c>
      <c r="K189" s="247">
        <v>41666</v>
      </c>
      <c r="L189" s="281">
        <f t="shared" ref="L189:M189" si="56">SUM(L187:L188)</f>
        <v>1.0701684218660215</v>
      </c>
      <c r="M189" s="278">
        <f t="shared" si="56"/>
        <v>0.16073774805505425</v>
      </c>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c r="AJ189" s="224"/>
      <c r="AK189" s="224"/>
      <c r="AL189" s="224"/>
      <c r="AM189" s="224"/>
    </row>
    <row r="190" spans="1:39" ht="11.25" customHeight="1" x14ac:dyDescent="0.2">
      <c r="A190" s="224"/>
      <c r="B190" s="232"/>
      <c r="C190" s="233"/>
      <c r="D190" s="233"/>
      <c r="E190" s="233"/>
      <c r="F190" s="233"/>
      <c r="G190" s="233"/>
      <c r="H190" s="233"/>
      <c r="I190" s="233"/>
      <c r="J190" s="233"/>
      <c r="K190" s="233"/>
      <c r="L190" s="233"/>
      <c r="M190" s="235"/>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row>
    <row r="191" spans="1:39" ht="11.25" customHeight="1" x14ac:dyDescent="0.2">
      <c r="A191" s="224"/>
      <c r="B191" s="236"/>
      <c r="C191" s="238"/>
      <c r="D191" s="238"/>
      <c r="E191" s="238"/>
      <c r="F191" s="238"/>
      <c r="G191" s="238"/>
      <c r="H191" s="238"/>
      <c r="I191" s="238"/>
      <c r="J191" s="238"/>
      <c r="K191" s="238"/>
      <c r="L191" s="238"/>
      <c r="M191" s="241"/>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row>
    <row r="192" spans="1:39" ht="11.25" customHeight="1" x14ac:dyDescent="0.2">
      <c r="A192" s="224"/>
      <c r="B192" s="232"/>
      <c r="C192" s="233"/>
      <c r="D192" s="233"/>
      <c r="E192" s="233"/>
      <c r="F192" s="233"/>
      <c r="G192" s="233"/>
      <c r="H192" s="233"/>
      <c r="I192" s="233"/>
      <c r="J192" s="233"/>
      <c r="K192" s="233"/>
      <c r="L192" s="233"/>
      <c r="M192" s="235"/>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row>
    <row r="193" spans="1:39" ht="11.25" customHeight="1" x14ac:dyDescent="0.2">
      <c r="A193" s="224"/>
      <c r="B193" s="232"/>
      <c r="C193" s="233"/>
      <c r="D193" s="233"/>
      <c r="E193" s="233"/>
      <c r="F193" s="233"/>
      <c r="G193" s="233"/>
      <c r="H193" s="233"/>
      <c r="I193" s="233"/>
      <c r="J193" s="233"/>
      <c r="K193" s="233"/>
      <c r="L193" s="233"/>
      <c r="M193" s="235"/>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24"/>
      <c r="AL193" s="224"/>
      <c r="AM193" s="224"/>
    </row>
    <row r="194" spans="1:39" ht="11.25" customHeight="1" x14ac:dyDescent="0.2">
      <c r="A194" s="224"/>
      <c r="B194" s="232" t="s">
        <v>131</v>
      </c>
      <c r="C194" s="265" t="s">
        <v>132</v>
      </c>
      <c r="D194" s="233"/>
      <c r="E194" s="233"/>
      <c r="F194" s="233"/>
      <c r="G194" s="233"/>
      <c r="H194" s="233"/>
      <c r="I194" s="233"/>
      <c r="J194" s="233"/>
      <c r="K194" s="233"/>
      <c r="L194" s="233"/>
      <c r="M194" s="235"/>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c r="AJ194" s="224"/>
      <c r="AK194" s="224"/>
      <c r="AL194" s="224"/>
      <c r="AM194" s="224"/>
    </row>
    <row r="195" spans="1:39" ht="11.25" customHeight="1" x14ac:dyDescent="0.2">
      <c r="A195" s="224"/>
      <c r="B195" s="232"/>
      <c r="C195" s="233" t="s">
        <v>133</v>
      </c>
      <c r="D195" s="233" t="s">
        <v>95</v>
      </c>
      <c r="E195" s="233" t="s">
        <v>89</v>
      </c>
      <c r="F195" s="245">
        <v>1181982</v>
      </c>
      <c r="G195" s="233" t="s">
        <v>90</v>
      </c>
      <c r="H195" s="321">
        <v>12975.7</v>
      </c>
      <c r="I195" s="233" t="s">
        <v>91</v>
      </c>
      <c r="J195" s="234">
        <f>F195*H195*2000/1000000</f>
        <v>30674087.674800005</v>
      </c>
      <c r="K195" s="242">
        <f>J195/J197*K197</f>
        <v>3033463.0443535028</v>
      </c>
      <c r="L195" s="324">
        <f>J195/J197*L197</f>
        <v>357.83700104466419</v>
      </c>
      <c r="M195" s="314">
        <f>J195/J197*M197</f>
        <v>52.054650872476991</v>
      </c>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row>
    <row r="196" spans="1:39" ht="11.25" customHeight="1" x14ac:dyDescent="0.2">
      <c r="A196" s="224"/>
      <c r="B196" s="232"/>
      <c r="C196" s="233"/>
      <c r="D196" s="233"/>
      <c r="E196" s="233" t="s">
        <v>198</v>
      </c>
      <c r="F196" s="245">
        <v>150606</v>
      </c>
      <c r="G196" s="233" t="s">
        <v>142</v>
      </c>
      <c r="H196" s="321">
        <v>138308.39499999999</v>
      </c>
      <c r="I196" s="233" t="s">
        <v>208</v>
      </c>
      <c r="J196" s="234">
        <f>F196*H196/1000000</f>
        <v>20830.07413737</v>
      </c>
      <c r="K196" s="242">
        <f>J196/J197*K197</f>
        <v>2059.9556464972366</v>
      </c>
      <c r="L196" s="324">
        <f>J196/J197*L197</f>
        <v>0.24299895533577917</v>
      </c>
      <c r="M196" s="314">
        <f>J196/J197*M197</f>
        <v>3.5349127523013682E-2</v>
      </c>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c r="AJ196" s="224"/>
      <c r="AK196" s="224"/>
      <c r="AL196" s="224"/>
      <c r="AM196" s="224"/>
    </row>
    <row r="197" spans="1:39" ht="11.25" customHeight="1" x14ac:dyDescent="0.2">
      <c r="A197" s="224"/>
      <c r="B197" s="232"/>
      <c r="C197" s="233"/>
      <c r="D197" s="233"/>
      <c r="E197" s="233"/>
      <c r="F197" s="233"/>
      <c r="G197" s="233"/>
      <c r="H197" s="233"/>
      <c r="I197" s="233"/>
      <c r="J197" s="243">
        <f>SUM(J195:J196)</f>
        <v>30694917.748937376</v>
      </c>
      <c r="K197" s="255">
        <v>3035523</v>
      </c>
      <c r="L197" s="281">
        <v>358.08</v>
      </c>
      <c r="M197" s="281">
        <v>52.09</v>
      </c>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row>
    <row r="198" spans="1:39" ht="11.25" customHeight="1" x14ac:dyDescent="0.2">
      <c r="A198" s="224"/>
      <c r="B198" s="232"/>
      <c r="C198" s="233"/>
      <c r="D198" s="233"/>
      <c r="E198" s="233"/>
      <c r="F198" s="233"/>
      <c r="G198" s="233"/>
      <c r="H198" s="233"/>
      <c r="I198" s="233"/>
      <c r="J198" s="242"/>
      <c r="K198" s="321"/>
      <c r="L198" s="233"/>
      <c r="M198" s="235"/>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row>
    <row r="199" spans="1:39" ht="11.25" customHeight="1" x14ac:dyDescent="0.2">
      <c r="A199" s="224"/>
      <c r="B199" s="232"/>
      <c r="C199" s="233" t="s">
        <v>134</v>
      </c>
      <c r="D199" s="233" t="s">
        <v>99</v>
      </c>
      <c r="E199" s="233" t="s">
        <v>89</v>
      </c>
      <c r="F199" s="245">
        <v>1175132</v>
      </c>
      <c r="G199" s="233" t="s">
        <v>90</v>
      </c>
      <c r="H199" s="321">
        <v>12975.7</v>
      </c>
      <c r="I199" s="233" t="s">
        <v>91</v>
      </c>
      <c r="J199" s="234">
        <f>F199*H199*2000/1000000</f>
        <v>30496320.584800005</v>
      </c>
      <c r="K199" s="242">
        <f>J199/J201*K201</f>
        <v>3111761.2303939178</v>
      </c>
      <c r="L199" s="324">
        <f>J199/J201*L201</f>
        <v>367.43966619338244</v>
      </c>
      <c r="M199" s="314">
        <f>J199/J201*M201</f>
        <v>53.447768049068678</v>
      </c>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row>
    <row r="200" spans="1:39" ht="11.25" customHeight="1" x14ac:dyDescent="0.2">
      <c r="A200" s="224"/>
      <c r="B200" s="232"/>
      <c r="C200" s="233"/>
      <c r="D200" s="233"/>
      <c r="E200" s="233" t="s">
        <v>198</v>
      </c>
      <c r="F200" s="245">
        <v>174225</v>
      </c>
      <c r="G200" s="233" t="s">
        <v>142</v>
      </c>
      <c r="H200" s="321">
        <v>138308.39499999999</v>
      </c>
      <c r="I200" s="233" t="s">
        <v>208</v>
      </c>
      <c r="J200" s="234">
        <f>F200*H200/1000000</f>
        <v>24096.780118875002</v>
      </c>
      <c r="K200" s="242">
        <f>J200/J201*K201</f>
        <v>2458.7696060821008</v>
      </c>
      <c r="L200" s="324">
        <f>J200/J201*L201</f>
        <v>0.29033380661757069</v>
      </c>
      <c r="M200" s="314">
        <f>J200/J201*M201</f>
        <v>4.2231950931318783E-2</v>
      </c>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row>
    <row r="201" spans="1:39" ht="11.25" customHeight="1" x14ac:dyDescent="0.2">
      <c r="A201" s="224"/>
      <c r="B201" s="232"/>
      <c r="C201" s="233"/>
      <c r="D201" s="233"/>
      <c r="E201" s="233"/>
      <c r="F201" s="233"/>
      <c r="G201" s="233"/>
      <c r="H201" s="233"/>
      <c r="I201" s="233"/>
      <c r="J201" s="243">
        <f>SUM(J199:J200)</f>
        <v>30520417.36491888</v>
      </c>
      <c r="K201" s="255">
        <v>3114220</v>
      </c>
      <c r="L201" s="281">
        <v>367.73</v>
      </c>
      <c r="M201" s="307">
        <v>53.49</v>
      </c>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row>
    <row r="202" spans="1:39" ht="11.25" customHeight="1" x14ac:dyDescent="0.2">
      <c r="A202" s="224"/>
      <c r="B202" s="232"/>
      <c r="C202" s="233"/>
      <c r="D202" s="233"/>
      <c r="E202" s="233"/>
      <c r="F202" s="233"/>
      <c r="G202" s="233"/>
      <c r="H202" s="233"/>
      <c r="I202" s="233"/>
      <c r="J202" s="233"/>
      <c r="K202" s="233"/>
      <c r="L202" s="233"/>
      <c r="M202" s="235"/>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c r="AJ202" s="224"/>
      <c r="AK202" s="224"/>
      <c r="AL202" s="224"/>
      <c r="AM202" s="224"/>
    </row>
    <row r="203" spans="1:39" ht="11.25" customHeight="1" x14ac:dyDescent="0.2">
      <c r="A203" s="224"/>
      <c r="B203" s="232"/>
      <c r="C203" s="233" t="s">
        <v>218</v>
      </c>
      <c r="D203" s="233" t="s">
        <v>219</v>
      </c>
      <c r="E203" s="233" t="s">
        <v>198</v>
      </c>
      <c r="F203" s="245">
        <v>197104</v>
      </c>
      <c r="G203" s="233" t="s">
        <v>142</v>
      </c>
      <c r="H203" s="321">
        <v>138308.39499999999</v>
      </c>
      <c r="I203" s="233" t="s">
        <v>208</v>
      </c>
      <c r="J203" s="247">
        <f t="shared" ref="J203:J209" si="57">F203*H203/1000000</f>
        <v>27261.137888079997</v>
      </c>
      <c r="K203" s="247">
        <v>2223</v>
      </c>
      <c r="L203" s="251">
        <v>0.09</v>
      </c>
      <c r="M203" s="251">
        <v>0.02</v>
      </c>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c r="AJ203" s="224"/>
      <c r="AK203" s="224"/>
      <c r="AL203" s="224"/>
      <c r="AM203" s="224"/>
    </row>
    <row r="204" spans="1:39" ht="11.25" customHeight="1" x14ac:dyDescent="0.2">
      <c r="A204" s="224"/>
      <c r="B204" s="232"/>
      <c r="C204" s="233" t="s">
        <v>220</v>
      </c>
      <c r="D204" s="233" t="s">
        <v>217</v>
      </c>
      <c r="E204" s="233" t="s">
        <v>198</v>
      </c>
      <c r="F204" s="245">
        <v>349049</v>
      </c>
      <c r="G204" s="233" t="s">
        <v>142</v>
      </c>
      <c r="H204" s="321">
        <v>138308.39499999999</v>
      </c>
      <c r="I204" s="233" t="s">
        <v>208</v>
      </c>
      <c r="J204" s="234">
        <f t="shared" si="57"/>
        <v>48276.406966354996</v>
      </c>
      <c r="K204" s="247">
        <v>3936</v>
      </c>
      <c r="L204" s="251">
        <v>0.16</v>
      </c>
      <c r="M204" s="251">
        <v>0.03</v>
      </c>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c r="AJ204" s="224"/>
      <c r="AK204" s="224"/>
      <c r="AL204" s="224"/>
      <c r="AM204" s="224"/>
    </row>
    <row r="205" spans="1:39" ht="11.25" customHeight="1" x14ac:dyDescent="0.2">
      <c r="A205" s="224"/>
      <c r="B205" s="232"/>
      <c r="C205" s="233" t="s">
        <v>221</v>
      </c>
      <c r="D205" s="233" t="s">
        <v>159</v>
      </c>
      <c r="E205" s="233" t="s">
        <v>198</v>
      </c>
      <c r="F205" s="245">
        <v>348120</v>
      </c>
      <c r="G205" s="233" t="s">
        <v>142</v>
      </c>
      <c r="H205" s="321">
        <v>138308.39499999999</v>
      </c>
      <c r="I205" s="233" t="s">
        <v>208</v>
      </c>
      <c r="J205" s="234">
        <f t="shared" si="57"/>
        <v>48147.918467399992</v>
      </c>
      <c r="K205" s="247">
        <v>3925</v>
      </c>
      <c r="L205" s="251">
        <v>0.16</v>
      </c>
      <c r="M205" s="251">
        <v>0.03</v>
      </c>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c r="AJ205" s="224"/>
      <c r="AK205" s="224"/>
      <c r="AL205" s="224"/>
      <c r="AM205" s="224"/>
    </row>
    <row r="206" spans="1:39" ht="11.25" customHeight="1" x14ac:dyDescent="0.2">
      <c r="A206" s="224"/>
      <c r="B206" s="232"/>
      <c r="C206" s="233" t="s">
        <v>222</v>
      </c>
      <c r="D206" s="233" t="s">
        <v>223</v>
      </c>
      <c r="E206" s="233" t="s">
        <v>198</v>
      </c>
      <c r="F206" s="245">
        <v>971924</v>
      </c>
      <c r="G206" s="233" t="s">
        <v>142</v>
      </c>
      <c r="H206" s="321">
        <v>138308.39499999999</v>
      </c>
      <c r="I206" s="233" t="s">
        <v>208</v>
      </c>
      <c r="J206" s="234">
        <f t="shared" si="57"/>
        <v>134425.24850198001</v>
      </c>
      <c r="K206" s="247">
        <v>10345</v>
      </c>
      <c r="L206" s="251">
        <v>0.43</v>
      </c>
      <c r="M206" s="251">
        <v>0.09</v>
      </c>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c r="AJ206" s="224"/>
      <c r="AK206" s="224"/>
      <c r="AL206" s="224"/>
      <c r="AM206" s="224"/>
    </row>
    <row r="207" spans="1:39" ht="11.25" customHeight="1" x14ac:dyDescent="0.2">
      <c r="A207" s="224"/>
      <c r="B207" s="232"/>
      <c r="C207" s="233" t="s">
        <v>224</v>
      </c>
      <c r="D207" s="233" t="s">
        <v>225</v>
      </c>
      <c r="E207" s="233" t="s">
        <v>198</v>
      </c>
      <c r="F207" s="245">
        <v>991621</v>
      </c>
      <c r="G207" s="233" t="s">
        <v>142</v>
      </c>
      <c r="H207" s="321">
        <v>138308.39499999999</v>
      </c>
      <c r="I207" s="233" t="s">
        <v>208</v>
      </c>
      <c r="J207" s="234">
        <f t="shared" si="57"/>
        <v>137149.50895829499</v>
      </c>
      <c r="K207" s="247">
        <v>10835</v>
      </c>
      <c r="L207" s="251">
        <v>0.44</v>
      </c>
      <c r="M207" s="251">
        <v>0.09</v>
      </c>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c r="AJ207" s="224"/>
      <c r="AK207" s="224"/>
      <c r="AL207" s="224"/>
      <c r="AM207" s="224"/>
    </row>
    <row r="208" spans="1:39" ht="11.25" customHeight="1" x14ac:dyDescent="0.2">
      <c r="A208" s="224"/>
      <c r="B208" s="232"/>
      <c r="C208" s="233" t="s">
        <v>226</v>
      </c>
      <c r="D208" s="233" t="s">
        <v>164</v>
      </c>
      <c r="E208" s="233" t="s">
        <v>198</v>
      </c>
      <c r="F208" s="245">
        <v>1126646</v>
      </c>
      <c r="G208" s="233" t="s">
        <v>142</v>
      </c>
      <c r="H208" s="321">
        <v>138308.39499999999</v>
      </c>
      <c r="I208" s="233" t="s">
        <v>208</v>
      </c>
      <c r="J208" s="234">
        <f t="shared" si="57"/>
        <v>155824.59999316998</v>
      </c>
      <c r="K208" s="247">
        <v>12551</v>
      </c>
      <c r="L208" s="251">
        <v>0.51</v>
      </c>
      <c r="M208" s="251">
        <v>0.1</v>
      </c>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c r="AJ208" s="224"/>
      <c r="AK208" s="224"/>
      <c r="AL208" s="224"/>
      <c r="AM208" s="224"/>
    </row>
    <row r="209" spans="1:39" ht="11.25" customHeight="1" x14ac:dyDescent="0.2">
      <c r="A209" s="224"/>
      <c r="B209" s="232"/>
      <c r="C209" s="233" t="s">
        <v>227</v>
      </c>
      <c r="D209" s="233" t="s">
        <v>228</v>
      </c>
      <c r="E209" s="233" t="s">
        <v>198</v>
      </c>
      <c r="F209" s="245">
        <v>891165</v>
      </c>
      <c r="G209" s="233" t="s">
        <v>142</v>
      </c>
      <c r="H209" s="321">
        <v>138308.39499999999</v>
      </c>
      <c r="I209" s="233" t="s">
        <v>208</v>
      </c>
      <c r="J209" s="234">
        <f t="shared" si="57"/>
        <v>123255.60083017498</v>
      </c>
      <c r="K209" s="247">
        <v>9425.2999999999993</v>
      </c>
      <c r="L209" s="251">
        <v>0.38</v>
      </c>
      <c r="M209" s="251">
        <v>0.08</v>
      </c>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c r="AJ209" s="224"/>
      <c r="AK209" s="224"/>
      <c r="AL209" s="224"/>
      <c r="AM209" s="224"/>
    </row>
    <row r="210" spans="1:39" ht="11.25" customHeight="1" x14ac:dyDescent="0.2">
      <c r="A210" s="224"/>
      <c r="B210" s="232"/>
      <c r="C210" s="233"/>
      <c r="D210" s="233"/>
      <c r="E210" s="233"/>
      <c r="F210" s="233"/>
      <c r="G210" s="233"/>
      <c r="H210" s="233"/>
      <c r="I210" s="233"/>
      <c r="J210" s="233"/>
      <c r="K210" s="233"/>
      <c r="L210" s="233"/>
      <c r="M210" s="235"/>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c r="AJ210" s="224"/>
      <c r="AK210" s="224"/>
      <c r="AL210" s="224"/>
      <c r="AM210" s="224"/>
    </row>
    <row r="211" spans="1:39" ht="11.25" customHeight="1" x14ac:dyDescent="0.2">
      <c r="A211" s="224"/>
      <c r="B211" s="236"/>
      <c r="C211" s="238"/>
      <c r="D211" s="238"/>
      <c r="E211" s="238"/>
      <c r="F211" s="238"/>
      <c r="G211" s="238"/>
      <c r="H211" s="238"/>
      <c r="I211" s="238"/>
      <c r="J211" s="238"/>
      <c r="K211" s="238"/>
      <c r="L211" s="238"/>
      <c r="M211" s="241"/>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c r="AJ211" s="224"/>
      <c r="AK211" s="224"/>
      <c r="AL211" s="224"/>
      <c r="AM211" s="224"/>
    </row>
    <row r="212" spans="1:39" ht="11.25" customHeight="1" x14ac:dyDescent="0.2">
      <c r="A212" s="224"/>
      <c r="B212" s="232"/>
      <c r="C212" s="233"/>
      <c r="D212" s="233"/>
      <c r="E212" s="233"/>
      <c r="F212" s="233"/>
      <c r="G212" s="233"/>
      <c r="H212" s="233"/>
      <c r="I212" s="233"/>
      <c r="J212" s="233"/>
      <c r="K212" s="233"/>
      <c r="L212" s="233"/>
      <c r="M212" s="235"/>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c r="AJ212" s="224"/>
      <c r="AK212" s="224"/>
      <c r="AL212" s="224"/>
      <c r="AM212" s="224"/>
    </row>
    <row r="213" spans="1:39" ht="11.25" customHeight="1" x14ac:dyDescent="0.2">
      <c r="A213" s="224"/>
      <c r="B213" s="232" t="s">
        <v>229</v>
      </c>
      <c r="C213" s="265" t="s">
        <v>230</v>
      </c>
      <c r="D213" s="233"/>
      <c r="E213" s="233"/>
      <c r="F213" s="233"/>
      <c r="G213" s="233"/>
      <c r="H213" s="233"/>
      <c r="I213" s="233"/>
      <c r="J213" s="233"/>
      <c r="K213" s="233"/>
      <c r="L213" s="233"/>
      <c r="M213" s="235"/>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c r="AJ213" s="224"/>
      <c r="AK213" s="224"/>
      <c r="AL213" s="224"/>
      <c r="AM213" s="224"/>
    </row>
    <row r="214" spans="1:39" ht="11.25" customHeight="1" x14ac:dyDescent="0.2">
      <c r="A214" s="224"/>
      <c r="B214" s="232"/>
      <c r="C214" s="233" t="s">
        <v>231</v>
      </c>
      <c r="D214" s="233" t="s">
        <v>95</v>
      </c>
      <c r="E214" s="233" t="s">
        <v>331</v>
      </c>
      <c r="F214" s="245">
        <f>J214/H214</f>
        <v>3780080.4597701146</v>
      </c>
      <c r="G214" s="233" t="s">
        <v>332</v>
      </c>
      <c r="H214" s="233">
        <v>1.044</v>
      </c>
      <c r="I214" s="233" t="s">
        <v>348</v>
      </c>
      <c r="J214" s="234">
        <v>3946404</v>
      </c>
      <c r="K214" s="242">
        <f t="shared" ref="K214:M214" si="58">(J214/(J214+J215))*K216</f>
        <v>234662.13383203789</v>
      </c>
      <c r="L214" s="324">
        <f t="shared" si="58"/>
        <v>16.97317515048799</v>
      </c>
      <c r="M214" s="314">
        <f t="shared" si="58"/>
        <v>5.8906901992870084</v>
      </c>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c r="AJ214" s="224"/>
      <c r="AK214" s="224"/>
      <c r="AL214" s="224"/>
      <c r="AM214" s="224"/>
    </row>
    <row r="215" spans="1:39" ht="11.25" customHeight="1" x14ac:dyDescent="0.2">
      <c r="A215" s="224"/>
      <c r="B215" s="232"/>
      <c r="C215" s="233"/>
      <c r="D215" s="233"/>
      <c r="E215" s="233" t="s">
        <v>232</v>
      </c>
      <c r="F215" s="234">
        <f>(J215/H215)*1000000</f>
        <v>44550</v>
      </c>
      <c r="G215" s="233" t="s">
        <v>142</v>
      </c>
      <c r="H215" s="321">
        <v>140000</v>
      </c>
      <c r="I215" s="233" t="s">
        <v>233</v>
      </c>
      <c r="J215" s="234">
        <v>6237</v>
      </c>
      <c r="K215" s="242">
        <f t="shared" ref="K215:M215" si="59">(J215/(J215+J214))*K216</f>
        <v>370.86616796212962</v>
      </c>
      <c r="L215" s="324">
        <f t="shared" si="59"/>
        <v>2.6824849512009814E-2</v>
      </c>
      <c r="M215" s="314">
        <f t="shared" si="59"/>
        <v>9.3098007129916414E-3</v>
      </c>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c r="AJ215" s="224"/>
      <c r="AK215" s="224"/>
      <c r="AL215" s="224"/>
      <c r="AM215" s="224"/>
    </row>
    <row r="216" spans="1:39" ht="11.25" customHeight="1" x14ac:dyDescent="0.2">
      <c r="A216" s="224"/>
      <c r="B216" s="232"/>
      <c r="C216" s="233"/>
      <c r="D216" s="233"/>
      <c r="E216" s="233"/>
      <c r="F216" s="233"/>
      <c r="G216" s="233"/>
      <c r="H216" s="233"/>
      <c r="I216" s="233"/>
      <c r="J216" s="243">
        <f>SUM(J214:J215)</f>
        <v>3952641</v>
      </c>
      <c r="K216" s="247">
        <v>235033</v>
      </c>
      <c r="L216" s="275">
        <v>17</v>
      </c>
      <c r="M216" s="283">
        <v>5.9</v>
      </c>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c r="AJ216" s="224"/>
      <c r="AK216" s="224"/>
      <c r="AL216" s="224"/>
      <c r="AM216" s="224"/>
    </row>
    <row r="217" spans="1:39" ht="11.25" customHeight="1" x14ac:dyDescent="0.2">
      <c r="A217" s="224"/>
      <c r="B217" s="232"/>
      <c r="C217" s="233"/>
      <c r="D217" s="233"/>
      <c r="E217" s="233"/>
      <c r="F217" s="233"/>
      <c r="G217" s="233"/>
      <c r="H217" s="233"/>
      <c r="I217" s="233"/>
      <c r="J217" s="242"/>
      <c r="K217" s="233"/>
      <c r="L217" s="233"/>
      <c r="M217" s="235"/>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c r="AI217" s="224"/>
      <c r="AJ217" s="224"/>
      <c r="AK217" s="224"/>
      <c r="AL217" s="224"/>
      <c r="AM217" s="224"/>
    </row>
    <row r="218" spans="1:39" ht="11.25" customHeight="1" x14ac:dyDescent="0.2">
      <c r="A218" s="224"/>
      <c r="B218" s="232"/>
      <c r="C218" s="233" t="s">
        <v>234</v>
      </c>
      <c r="D218" s="233" t="s">
        <v>99</v>
      </c>
      <c r="E218" s="233" t="s">
        <v>331</v>
      </c>
      <c r="F218" s="234">
        <f>J218/H218</f>
        <v>3587614.9425287354</v>
      </c>
      <c r="G218" s="233" t="s">
        <v>332</v>
      </c>
      <c r="H218" s="233">
        <v>1.044</v>
      </c>
      <c r="I218" s="233" t="s">
        <v>348</v>
      </c>
      <c r="J218" s="234">
        <v>3745470</v>
      </c>
      <c r="K218" s="242">
        <f t="shared" ref="K218:M218" si="60">(J218/(J218+J219))*K220</f>
        <v>222782.9568362225</v>
      </c>
      <c r="L218" s="324">
        <f t="shared" si="60"/>
        <v>16.06171402179524</v>
      </c>
      <c r="M218" s="314">
        <f t="shared" si="60"/>
        <v>5.5866831380157347</v>
      </c>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c r="AI218" s="224"/>
      <c r="AJ218" s="224"/>
      <c r="AK218" s="224"/>
      <c r="AL218" s="224"/>
      <c r="AM218" s="224"/>
    </row>
    <row r="219" spans="1:39" ht="11.25" customHeight="1" x14ac:dyDescent="0.2">
      <c r="A219" s="224"/>
      <c r="B219" s="232"/>
      <c r="C219" s="233"/>
      <c r="D219" s="233"/>
      <c r="E219" s="233" t="s">
        <v>232</v>
      </c>
      <c r="F219" s="234">
        <f>(J219/H219)*1000000</f>
        <v>63771.42857142858</v>
      </c>
      <c r="G219" s="233" t="s">
        <v>142</v>
      </c>
      <c r="H219" s="321">
        <v>140000</v>
      </c>
      <c r="I219" s="233" t="s">
        <v>233</v>
      </c>
      <c r="J219" s="234">
        <v>8928</v>
      </c>
      <c r="K219" s="242">
        <f t="shared" ref="K219:M219" si="61">(J219/(J219+J218))*K220</f>
        <v>531.04316377752173</v>
      </c>
      <c r="L219" s="324">
        <f t="shared" si="61"/>
        <v>3.8285978204761456E-2</v>
      </c>
      <c r="M219" s="314">
        <f t="shared" si="61"/>
        <v>1.3316861984264853E-2</v>
      </c>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c r="AI219" s="224"/>
      <c r="AJ219" s="224"/>
      <c r="AK219" s="224"/>
      <c r="AL219" s="224"/>
      <c r="AM219" s="224"/>
    </row>
    <row r="220" spans="1:39" ht="11.25" customHeight="1" x14ac:dyDescent="0.2">
      <c r="A220" s="224"/>
      <c r="B220" s="232"/>
      <c r="C220" s="233"/>
      <c r="D220" s="233"/>
      <c r="E220" s="233"/>
      <c r="F220" s="233"/>
      <c r="G220" s="233"/>
      <c r="H220" s="233"/>
      <c r="I220" s="233"/>
      <c r="J220" s="243">
        <f>SUM(J218:J219)</f>
        <v>3754398</v>
      </c>
      <c r="K220" s="247">
        <v>223314</v>
      </c>
      <c r="L220" s="251">
        <v>16.100000000000001</v>
      </c>
      <c r="M220" s="276">
        <v>5.6</v>
      </c>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c r="AI220" s="224"/>
      <c r="AJ220" s="224"/>
      <c r="AK220" s="224"/>
      <c r="AL220" s="224"/>
      <c r="AM220" s="224"/>
    </row>
    <row r="221" spans="1:39" ht="11.25" customHeight="1" x14ac:dyDescent="0.2">
      <c r="A221" s="224"/>
      <c r="B221" s="232"/>
      <c r="C221" s="233"/>
      <c r="D221" s="233"/>
      <c r="E221" s="233"/>
      <c r="F221" s="233"/>
      <c r="G221" s="233"/>
      <c r="H221" s="233"/>
      <c r="I221" s="233"/>
      <c r="J221" s="233"/>
      <c r="K221" s="233"/>
      <c r="L221" s="233"/>
      <c r="M221" s="235"/>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c r="AJ221" s="224"/>
      <c r="AK221" s="224"/>
      <c r="AL221" s="224"/>
      <c r="AM221" s="224"/>
    </row>
    <row r="222" spans="1:39" ht="11.25" customHeight="1" x14ac:dyDescent="0.2">
      <c r="A222" s="224"/>
      <c r="B222" s="236"/>
      <c r="C222" s="238"/>
      <c r="D222" s="238"/>
      <c r="E222" s="238"/>
      <c r="F222" s="238"/>
      <c r="G222" s="238"/>
      <c r="H222" s="238"/>
      <c r="I222" s="238"/>
      <c r="J222" s="238"/>
      <c r="K222" s="238"/>
      <c r="L222" s="238"/>
      <c r="M222" s="241"/>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c r="AJ222" s="224"/>
      <c r="AK222" s="224"/>
      <c r="AL222" s="224"/>
      <c r="AM222" s="224"/>
    </row>
    <row r="223" spans="1:39" ht="11.25" customHeight="1" x14ac:dyDescent="0.2">
      <c r="A223" s="224"/>
      <c r="B223" s="232"/>
      <c r="C223" s="233"/>
      <c r="D223" s="233"/>
      <c r="E223" s="233"/>
      <c r="F223" s="233"/>
      <c r="G223" s="233"/>
      <c r="H223" s="233"/>
      <c r="I223" s="233"/>
      <c r="J223" s="233"/>
      <c r="K223" s="233"/>
      <c r="L223" s="233"/>
      <c r="M223" s="235"/>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c r="AJ223" s="224"/>
      <c r="AK223" s="224"/>
      <c r="AL223" s="224"/>
      <c r="AM223" s="224"/>
    </row>
    <row r="224" spans="1:39" ht="11.25" customHeight="1" x14ac:dyDescent="0.2">
      <c r="A224" s="224"/>
      <c r="B224" s="232" t="s">
        <v>349</v>
      </c>
      <c r="C224" s="265" t="s">
        <v>350</v>
      </c>
      <c r="D224" s="233"/>
      <c r="E224" s="233"/>
      <c r="F224" s="233"/>
      <c r="G224" s="233"/>
      <c r="H224" s="233"/>
      <c r="I224" s="233"/>
      <c r="J224" s="233"/>
      <c r="K224" s="233"/>
      <c r="L224" s="233"/>
      <c r="M224" s="235"/>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c r="AJ224" s="224"/>
      <c r="AK224" s="224"/>
      <c r="AL224" s="224"/>
      <c r="AM224" s="224"/>
    </row>
    <row r="225" spans="1:39" ht="11.25" customHeight="1" x14ac:dyDescent="0.2">
      <c r="A225" s="224"/>
      <c r="B225" s="232"/>
      <c r="C225" s="233" t="s">
        <v>344</v>
      </c>
      <c r="D225" s="233" t="s">
        <v>187</v>
      </c>
      <c r="E225" s="233" t="s">
        <v>336</v>
      </c>
      <c r="F225" s="234">
        <f>8*1000000</f>
        <v>8000000</v>
      </c>
      <c r="G225" s="233" t="s">
        <v>332</v>
      </c>
      <c r="H225" s="321">
        <v>1089</v>
      </c>
      <c r="I225" s="233" t="s">
        <v>347</v>
      </c>
      <c r="J225" s="321">
        <f t="shared" ref="J225:J232" si="62">F225*H225/1000000</f>
        <v>8712</v>
      </c>
      <c r="K225" s="234">
        <v>505</v>
      </c>
      <c r="L225" s="325">
        <v>0.01</v>
      </c>
      <c r="M225" s="306">
        <v>0</v>
      </c>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c r="AJ225" s="224"/>
      <c r="AK225" s="224"/>
      <c r="AL225" s="224"/>
      <c r="AM225" s="224"/>
    </row>
    <row r="226" spans="1:39" ht="11.25" customHeight="1" x14ac:dyDescent="0.2">
      <c r="A226" s="224"/>
      <c r="B226" s="232"/>
      <c r="C226" s="233" t="s">
        <v>351</v>
      </c>
      <c r="D226" s="233" t="s">
        <v>189</v>
      </c>
      <c r="E226" s="233" t="s">
        <v>336</v>
      </c>
      <c r="F226" s="234">
        <f>18*1000000</f>
        <v>18000000</v>
      </c>
      <c r="G226" s="233" t="s">
        <v>332</v>
      </c>
      <c r="H226" s="321">
        <v>1042</v>
      </c>
      <c r="I226" s="233" t="s">
        <v>347</v>
      </c>
      <c r="J226" s="321">
        <f t="shared" si="62"/>
        <v>18756</v>
      </c>
      <c r="K226" s="234">
        <v>1096</v>
      </c>
      <c r="L226" s="325">
        <v>0.02</v>
      </c>
      <c r="M226" s="306">
        <v>0</v>
      </c>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c r="AJ226" s="224"/>
      <c r="AK226" s="224"/>
      <c r="AL226" s="224"/>
      <c r="AM226" s="224"/>
    </row>
    <row r="227" spans="1:39" ht="11.25" customHeight="1" x14ac:dyDescent="0.2">
      <c r="A227" s="224"/>
      <c r="B227" s="232"/>
      <c r="C227" s="233" t="s">
        <v>352</v>
      </c>
      <c r="D227" s="233" t="s">
        <v>191</v>
      </c>
      <c r="E227" s="233" t="s">
        <v>336</v>
      </c>
      <c r="F227" s="234">
        <f>16*1000000</f>
        <v>16000000</v>
      </c>
      <c r="G227" s="233" t="s">
        <v>332</v>
      </c>
      <c r="H227" s="321">
        <v>1079</v>
      </c>
      <c r="I227" s="233" t="s">
        <v>347</v>
      </c>
      <c r="J227" s="321">
        <f t="shared" si="62"/>
        <v>17264</v>
      </c>
      <c r="K227" s="234">
        <v>1009</v>
      </c>
      <c r="L227" s="325">
        <v>0.02</v>
      </c>
      <c r="M227" s="306">
        <v>0</v>
      </c>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c r="AI227" s="224"/>
      <c r="AJ227" s="224"/>
      <c r="AK227" s="224"/>
      <c r="AL227" s="224"/>
      <c r="AM227" s="224"/>
    </row>
    <row r="228" spans="1:39" ht="11.25" customHeight="1" x14ac:dyDescent="0.2">
      <c r="A228" s="224"/>
      <c r="B228" s="232"/>
      <c r="C228" s="233" t="s">
        <v>353</v>
      </c>
      <c r="D228" s="233" t="s">
        <v>193</v>
      </c>
      <c r="E228" s="233" t="s">
        <v>336</v>
      </c>
      <c r="F228" s="234">
        <f>18*1000000</f>
        <v>18000000</v>
      </c>
      <c r="G228" s="233" t="s">
        <v>332</v>
      </c>
      <c r="H228" s="321">
        <v>1071</v>
      </c>
      <c r="I228" s="233" t="s">
        <v>347</v>
      </c>
      <c r="J228" s="321">
        <f t="shared" si="62"/>
        <v>19278</v>
      </c>
      <c r="K228" s="234">
        <v>1149</v>
      </c>
      <c r="L228" s="325">
        <v>0.02</v>
      </c>
      <c r="M228" s="306">
        <v>0</v>
      </c>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row>
    <row r="229" spans="1:39" ht="11.25" customHeight="1" x14ac:dyDescent="0.2">
      <c r="A229" s="224"/>
      <c r="B229" s="232"/>
      <c r="C229" s="233" t="s">
        <v>354</v>
      </c>
      <c r="D229" s="233" t="s">
        <v>355</v>
      </c>
      <c r="E229" s="233" t="s">
        <v>336</v>
      </c>
      <c r="F229" s="234">
        <f>4*1000000</f>
        <v>4000000</v>
      </c>
      <c r="G229" s="233" t="s">
        <v>332</v>
      </c>
      <c r="H229" s="321">
        <v>1049</v>
      </c>
      <c r="I229" s="233" t="s">
        <v>347</v>
      </c>
      <c r="J229" s="321">
        <f t="shared" si="62"/>
        <v>4196</v>
      </c>
      <c r="K229" s="234">
        <v>215</v>
      </c>
      <c r="L229" s="307">
        <v>0</v>
      </c>
      <c r="M229" s="306">
        <v>0</v>
      </c>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row>
    <row r="230" spans="1:39" ht="11.25" customHeight="1" x14ac:dyDescent="0.2">
      <c r="A230" s="224"/>
      <c r="B230" s="232"/>
      <c r="C230" s="233" t="s">
        <v>356</v>
      </c>
      <c r="D230" s="233" t="s">
        <v>357</v>
      </c>
      <c r="E230" s="233" t="s">
        <v>336</v>
      </c>
      <c r="F230" s="234">
        <f>21*1000000</f>
        <v>21000000</v>
      </c>
      <c r="G230" s="233" t="s">
        <v>332</v>
      </c>
      <c r="H230" s="321">
        <v>1075</v>
      </c>
      <c r="I230" s="233" t="s">
        <v>347</v>
      </c>
      <c r="J230" s="321">
        <f t="shared" si="62"/>
        <v>22575</v>
      </c>
      <c r="K230" s="234">
        <v>1334</v>
      </c>
      <c r="L230" s="325">
        <v>0.03</v>
      </c>
      <c r="M230" s="306">
        <v>0</v>
      </c>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row>
    <row r="231" spans="1:39" ht="11.25" customHeight="1" x14ac:dyDescent="0.2">
      <c r="A231" s="224"/>
      <c r="B231" s="232"/>
      <c r="C231" s="233" t="s">
        <v>358</v>
      </c>
      <c r="D231" s="233" t="s">
        <v>359</v>
      </c>
      <c r="E231" s="233" t="s">
        <v>336</v>
      </c>
      <c r="F231" s="234">
        <f t="shared" ref="F231:F232" si="63">19*1000000</f>
        <v>19000000</v>
      </c>
      <c r="G231" s="233" t="s">
        <v>332</v>
      </c>
      <c r="H231" s="321">
        <v>1072</v>
      </c>
      <c r="I231" s="233" t="s">
        <v>347</v>
      </c>
      <c r="J231" s="321">
        <f t="shared" si="62"/>
        <v>20368</v>
      </c>
      <c r="K231" s="234">
        <v>1193</v>
      </c>
      <c r="L231" s="325">
        <v>0.02</v>
      </c>
      <c r="M231" s="306">
        <v>0</v>
      </c>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row>
    <row r="232" spans="1:39" ht="11.25" customHeight="1" x14ac:dyDescent="0.2">
      <c r="A232" s="224"/>
      <c r="B232" s="232"/>
      <c r="C232" s="233" t="s">
        <v>360</v>
      </c>
      <c r="D232" s="233" t="s">
        <v>361</v>
      </c>
      <c r="E232" s="233" t="s">
        <v>336</v>
      </c>
      <c r="F232" s="234">
        <f t="shared" si="63"/>
        <v>19000000</v>
      </c>
      <c r="G232" s="233" t="s">
        <v>332</v>
      </c>
      <c r="H232" s="321">
        <v>1068</v>
      </c>
      <c r="I232" s="233" t="s">
        <v>347</v>
      </c>
      <c r="J232" s="321">
        <f t="shared" si="62"/>
        <v>20292</v>
      </c>
      <c r="K232" s="234">
        <v>1198</v>
      </c>
      <c r="L232" s="325">
        <v>0.02</v>
      </c>
      <c r="M232" s="306">
        <v>0</v>
      </c>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c r="AI232" s="224"/>
      <c r="AJ232" s="224"/>
      <c r="AK232" s="224"/>
      <c r="AL232" s="224"/>
      <c r="AM232" s="224"/>
    </row>
    <row r="233" spans="1:39" ht="11.25" customHeight="1" x14ac:dyDescent="0.2">
      <c r="A233" s="224"/>
      <c r="B233" s="232"/>
      <c r="C233" s="233"/>
      <c r="D233" s="233"/>
      <c r="E233" s="233"/>
      <c r="F233" s="233"/>
      <c r="G233" s="233"/>
      <c r="H233" s="321"/>
      <c r="I233" s="233"/>
      <c r="J233" s="233"/>
      <c r="K233" s="242"/>
      <c r="L233" s="233"/>
      <c r="M233" s="235"/>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c r="AJ233" s="224"/>
      <c r="AK233" s="224"/>
      <c r="AL233" s="224"/>
      <c r="AM233" s="224"/>
    </row>
    <row r="234" spans="1:39" ht="11.25" customHeight="1" x14ac:dyDescent="0.2">
      <c r="A234" s="224"/>
      <c r="B234" s="236"/>
      <c r="C234" s="238"/>
      <c r="D234" s="238"/>
      <c r="E234" s="238"/>
      <c r="F234" s="238"/>
      <c r="G234" s="238"/>
      <c r="H234" s="238"/>
      <c r="I234" s="238"/>
      <c r="J234" s="238"/>
      <c r="K234" s="238"/>
      <c r="L234" s="238"/>
      <c r="M234" s="241"/>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c r="AJ234" s="224"/>
      <c r="AK234" s="224"/>
      <c r="AL234" s="224"/>
      <c r="AM234" s="224"/>
    </row>
    <row r="235" spans="1:39" ht="11.25" customHeight="1" x14ac:dyDescent="0.2">
      <c r="A235" s="224"/>
      <c r="B235" s="232"/>
      <c r="C235" s="233"/>
      <c r="D235" s="233"/>
      <c r="E235" s="233"/>
      <c r="F235" s="233"/>
      <c r="G235" s="233"/>
      <c r="H235" s="233"/>
      <c r="I235" s="233"/>
      <c r="J235" s="233"/>
      <c r="K235" s="233"/>
      <c r="L235" s="233"/>
      <c r="M235" s="235"/>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c r="AJ235" s="224"/>
      <c r="AK235" s="224"/>
      <c r="AL235" s="224"/>
      <c r="AM235" s="224"/>
    </row>
    <row r="236" spans="1:39" ht="11.25" customHeight="1" x14ac:dyDescent="0.2">
      <c r="A236" s="224"/>
      <c r="B236" s="232" t="s">
        <v>235</v>
      </c>
      <c r="C236" s="265" t="s">
        <v>236</v>
      </c>
      <c r="D236" s="233"/>
      <c r="E236" s="233"/>
      <c r="F236" s="233"/>
      <c r="G236" s="233"/>
      <c r="H236" s="233"/>
      <c r="I236" s="233"/>
      <c r="J236" s="233"/>
      <c r="K236" s="233"/>
      <c r="L236" s="233"/>
      <c r="M236" s="235"/>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c r="AI236" s="224"/>
      <c r="AJ236" s="224"/>
      <c r="AK236" s="224"/>
      <c r="AL236" s="224"/>
      <c r="AM236" s="224"/>
    </row>
    <row r="237" spans="1:39" ht="11.25" customHeight="1" x14ac:dyDescent="0.2">
      <c r="A237" s="224"/>
      <c r="B237" s="232"/>
      <c r="C237" s="233" t="s">
        <v>237</v>
      </c>
      <c r="D237" s="233" t="s">
        <v>187</v>
      </c>
      <c r="E237" s="233" t="s">
        <v>198</v>
      </c>
      <c r="F237" s="234">
        <f>370*1000</f>
        <v>370000</v>
      </c>
      <c r="G237" s="233" t="s">
        <v>142</v>
      </c>
      <c r="H237" s="233">
        <v>138</v>
      </c>
      <c r="I237" s="233" t="s">
        <v>238</v>
      </c>
      <c r="J237" s="233">
        <f t="shared" ref="J237:J240" si="64">F237*H237/1000</f>
        <v>51060</v>
      </c>
      <c r="K237" s="234">
        <v>4159</v>
      </c>
      <c r="L237" s="326">
        <v>0.01</v>
      </c>
      <c r="M237" s="327">
        <v>0</v>
      </c>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c r="AJ237" s="224"/>
      <c r="AK237" s="224"/>
      <c r="AL237" s="224"/>
      <c r="AM237" s="224"/>
    </row>
    <row r="238" spans="1:39" ht="11.25" customHeight="1" x14ac:dyDescent="0.2">
      <c r="A238" s="224"/>
      <c r="B238" s="232"/>
      <c r="C238" s="233" t="s">
        <v>239</v>
      </c>
      <c r="D238" s="233" t="s">
        <v>189</v>
      </c>
      <c r="E238" s="233" t="s">
        <v>198</v>
      </c>
      <c r="F238" s="234">
        <f>460*1000</f>
        <v>460000</v>
      </c>
      <c r="G238" s="233" t="s">
        <v>142</v>
      </c>
      <c r="H238" s="233">
        <v>138</v>
      </c>
      <c r="I238" s="233" t="s">
        <v>238</v>
      </c>
      <c r="J238" s="233">
        <f t="shared" si="64"/>
        <v>63480</v>
      </c>
      <c r="K238" s="234">
        <v>5171</v>
      </c>
      <c r="L238" s="326">
        <v>0.02</v>
      </c>
      <c r="M238" s="327">
        <v>0</v>
      </c>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c r="AJ238" s="224"/>
      <c r="AK238" s="224"/>
      <c r="AL238" s="224"/>
      <c r="AM238" s="224"/>
    </row>
    <row r="239" spans="1:39" ht="11.25" customHeight="1" x14ac:dyDescent="0.2">
      <c r="A239" s="224"/>
      <c r="B239" s="232"/>
      <c r="C239" s="233" t="s">
        <v>240</v>
      </c>
      <c r="D239" s="233" t="s">
        <v>191</v>
      </c>
      <c r="E239" s="233" t="s">
        <v>198</v>
      </c>
      <c r="F239" s="234">
        <f>458*1000</f>
        <v>458000</v>
      </c>
      <c r="G239" s="233" t="s">
        <v>142</v>
      </c>
      <c r="H239" s="233">
        <v>138</v>
      </c>
      <c r="I239" s="233" t="s">
        <v>238</v>
      </c>
      <c r="J239" s="233">
        <f t="shared" si="64"/>
        <v>63204</v>
      </c>
      <c r="K239" s="234">
        <v>5148</v>
      </c>
      <c r="L239" s="326">
        <v>0.02</v>
      </c>
      <c r="M239" s="327">
        <v>0</v>
      </c>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c r="AI239" s="224"/>
      <c r="AJ239" s="224"/>
      <c r="AK239" s="224"/>
      <c r="AL239" s="224"/>
      <c r="AM239" s="224"/>
    </row>
    <row r="240" spans="1:39" ht="11.25" customHeight="1" x14ac:dyDescent="0.2">
      <c r="A240" s="224"/>
      <c r="B240" s="232"/>
      <c r="C240" s="233" t="s">
        <v>241</v>
      </c>
      <c r="D240" s="233" t="s">
        <v>193</v>
      </c>
      <c r="E240" s="233" t="s">
        <v>198</v>
      </c>
      <c r="F240" s="234">
        <f>457*1000</f>
        <v>457000</v>
      </c>
      <c r="G240" s="233" t="s">
        <v>142</v>
      </c>
      <c r="H240" s="233">
        <v>138</v>
      </c>
      <c r="I240" s="233" t="s">
        <v>238</v>
      </c>
      <c r="J240" s="233">
        <f t="shared" si="64"/>
        <v>63066</v>
      </c>
      <c r="K240" s="234">
        <v>5137</v>
      </c>
      <c r="L240" s="326">
        <v>0.02</v>
      </c>
      <c r="M240" s="327">
        <v>0</v>
      </c>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c r="AJ240" s="224"/>
      <c r="AK240" s="224"/>
      <c r="AL240" s="224"/>
      <c r="AM240" s="224"/>
    </row>
    <row r="241" spans="1:39" ht="11.25" customHeight="1" x14ac:dyDescent="0.2">
      <c r="A241" s="224"/>
      <c r="B241" s="232"/>
      <c r="C241" s="233"/>
      <c r="D241" s="233"/>
      <c r="E241" s="233"/>
      <c r="F241" s="233"/>
      <c r="G241" s="233"/>
      <c r="H241" s="233"/>
      <c r="I241" s="233"/>
      <c r="J241" s="233"/>
      <c r="K241" s="242"/>
      <c r="L241" s="233"/>
      <c r="M241" s="235"/>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c r="AJ241" s="224"/>
      <c r="AK241" s="224"/>
      <c r="AL241" s="224"/>
      <c r="AM241" s="224"/>
    </row>
    <row r="242" spans="1:39" ht="11.25" customHeight="1" x14ac:dyDescent="0.2">
      <c r="A242" s="224"/>
      <c r="B242" s="236"/>
      <c r="C242" s="238"/>
      <c r="D242" s="238"/>
      <c r="E242" s="238"/>
      <c r="F242" s="238"/>
      <c r="G242" s="238"/>
      <c r="H242" s="238"/>
      <c r="I242" s="238"/>
      <c r="J242" s="238"/>
      <c r="K242" s="238"/>
      <c r="L242" s="238"/>
      <c r="M242" s="241"/>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c r="AI242" s="224"/>
      <c r="AJ242" s="224"/>
      <c r="AK242" s="224"/>
      <c r="AL242" s="224"/>
      <c r="AM242" s="224"/>
    </row>
    <row r="243" spans="1:39" ht="11.25" customHeight="1" x14ac:dyDescent="0.2">
      <c r="A243" s="224"/>
      <c r="B243" s="232"/>
      <c r="C243" s="233"/>
      <c r="D243" s="233"/>
      <c r="E243" s="233"/>
      <c r="F243" s="233"/>
      <c r="G243" s="233"/>
      <c r="H243" s="233"/>
      <c r="I243" s="233"/>
      <c r="J243" s="233"/>
      <c r="K243" s="233"/>
      <c r="L243" s="233"/>
      <c r="M243" s="235"/>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c r="AI243" s="224"/>
      <c r="AJ243" s="224"/>
      <c r="AK243" s="224"/>
      <c r="AL243" s="224"/>
      <c r="AM243" s="224"/>
    </row>
    <row r="244" spans="1:39" ht="11.25" customHeight="1" x14ac:dyDescent="0.2">
      <c r="A244" s="224"/>
      <c r="B244" s="232" t="s">
        <v>362</v>
      </c>
      <c r="C244" s="265" t="s">
        <v>363</v>
      </c>
      <c r="D244" s="233"/>
      <c r="E244" s="233"/>
      <c r="F244" s="233"/>
      <c r="G244" s="233"/>
      <c r="H244" s="233"/>
      <c r="I244" s="233"/>
      <c r="J244" s="233"/>
      <c r="K244" s="233"/>
      <c r="L244" s="233"/>
      <c r="M244" s="235"/>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c r="AI244" s="224"/>
      <c r="AJ244" s="224"/>
      <c r="AK244" s="224"/>
      <c r="AL244" s="224"/>
      <c r="AM244" s="224"/>
    </row>
    <row r="245" spans="1:39" ht="11.25" customHeight="1" x14ac:dyDescent="0.2">
      <c r="A245" s="224"/>
      <c r="B245" s="232"/>
      <c r="C245" s="233" t="s">
        <v>364</v>
      </c>
      <c r="D245" s="233" t="s">
        <v>365</v>
      </c>
      <c r="E245" s="233" t="s">
        <v>331</v>
      </c>
      <c r="F245" s="234">
        <f t="shared" ref="F245:F248" si="65">(J245*1000)/H245</f>
        <v>495510389.80737144</v>
      </c>
      <c r="G245" s="233" t="s">
        <v>332</v>
      </c>
      <c r="H245" s="328">
        <v>1.05488</v>
      </c>
      <c r="I245" s="233" t="s">
        <v>348</v>
      </c>
      <c r="J245" s="234">
        <v>522704</v>
      </c>
      <c r="K245" s="326">
        <v>31063.3</v>
      </c>
      <c r="L245" s="326">
        <v>13.1</v>
      </c>
      <c r="M245" s="329">
        <v>15.16</v>
      </c>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c r="AJ245" s="224"/>
      <c r="AK245" s="224"/>
      <c r="AL245" s="224"/>
      <c r="AM245" s="224"/>
    </row>
    <row r="246" spans="1:39" ht="11.25" customHeight="1" x14ac:dyDescent="0.2">
      <c r="A246" s="224"/>
      <c r="B246" s="232"/>
      <c r="C246" s="233" t="s">
        <v>366</v>
      </c>
      <c r="D246" s="233" t="s">
        <v>367</v>
      </c>
      <c r="E246" s="233" t="s">
        <v>331</v>
      </c>
      <c r="F246" s="234">
        <f t="shared" si="65"/>
        <v>485497876.53571969</v>
      </c>
      <c r="G246" s="233" t="s">
        <v>332</v>
      </c>
      <c r="H246" s="328">
        <v>1.05488</v>
      </c>
      <c r="I246" s="233" t="s">
        <v>348</v>
      </c>
      <c r="J246" s="234">
        <v>512142</v>
      </c>
      <c r="K246" s="326">
        <v>30436.1</v>
      </c>
      <c r="L246" s="326">
        <v>12.8</v>
      </c>
      <c r="M246" s="329">
        <v>15.3</v>
      </c>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c r="AI246" s="224"/>
      <c r="AJ246" s="224"/>
      <c r="AK246" s="224"/>
      <c r="AL246" s="224"/>
      <c r="AM246" s="224"/>
    </row>
    <row r="247" spans="1:39" ht="11.25" customHeight="1" x14ac:dyDescent="0.2">
      <c r="A247" s="224"/>
      <c r="B247" s="232"/>
      <c r="C247" s="233" t="s">
        <v>368</v>
      </c>
      <c r="D247" s="233" t="s">
        <v>369</v>
      </c>
      <c r="E247" s="233" t="s">
        <v>331</v>
      </c>
      <c r="F247" s="234">
        <f t="shared" si="65"/>
        <v>1002311163.3550736</v>
      </c>
      <c r="G247" s="233" t="s">
        <v>332</v>
      </c>
      <c r="H247" s="328">
        <v>1.05488</v>
      </c>
      <c r="I247" s="233" t="s">
        <v>348</v>
      </c>
      <c r="J247" s="234">
        <v>1057318</v>
      </c>
      <c r="K247" s="326">
        <v>62834.5</v>
      </c>
      <c r="L247" s="326">
        <v>26.4</v>
      </c>
      <c r="M247" s="329">
        <v>31.5</v>
      </c>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c r="AI247" s="224"/>
      <c r="AJ247" s="224"/>
      <c r="AK247" s="224"/>
      <c r="AL247" s="224"/>
      <c r="AM247" s="224"/>
    </row>
    <row r="248" spans="1:39" ht="11.25" customHeight="1" x14ac:dyDescent="0.2">
      <c r="A248" s="224"/>
      <c r="B248" s="232"/>
      <c r="C248" s="233" t="s">
        <v>370</v>
      </c>
      <c r="D248" s="233" t="s">
        <v>371</v>
      </c>
      <c r="E248" s="233" t="s">
        <v>331</v>
      </c>
      <c r="F248" s="234">
        <f t="shared" si="65"/>
        <v>1026439026.2399514</v>
      </c>
      <c r="G248" s="233" t="s">
        <v>332</v>
      </c>
      <c r="H248" s="328">
        <v>1.05488</v>
      </c>
      <c r="I248" s="233" t="s">
        <v>348</v>
      </c>
      <c r="J248" s="234">
        <v>1082770</v>
      </c>
      <c r="K248" s="326">
        <v>64347.7</v>
      </c>
      <c r="L248" s="326">
        <v>27.1</v>
      </c>
      <c r="M248" s="329">
        <v>32.299999999999997</v>
      </c>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c r="AJ248" s="224"/>
      <c r="AK248" s="224"/>
      <c r="AL248" s="224"/>
      <c r="AM248" s="224"/>
    </row>
    <row r="249" spans="1:39" ht="11.25" customHeight="1" x14ac:dyDescent="0.2">
      <c r="A249" s="224"/>
      <c r="B249" s="232"/>
      <c r="C249" s="233" t="s">
        <v>372</v>
      </c>
      <c r="D249" s="233" t="s">
        <v>373</v>
      </c>
      <c r="E249" s="233" t="s">
        <v>331</v>
      </c>
      <c r="F249" s="234">
        <v>10541000</v>
      </c>
      <c r="G249" s="233" t="s">
        <v>332</v>
      </c>
      <c r="H249" s="328">
        <v>1.05488</v>
      </c>
      <c r="I249" s="233" t="s">
        <v>348</v>
      </c>
      <c r="J249" s="234">
        <f>(F249*H249)/1000</f>
        <v>11119.49008</v>
      </c>
      <c r="K249" s="326">
        <v>632.4</v>
      </c>
      <c r="L249" s="326">
        <v>1.2E-2</v>
      </c>
      <c r="M249" s="329">
        <v>1E-3</v>
      </c>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c r="AI249" s="224"/>
      <c r="AJ249" s="224"/>
      <c r="AK249" s="224"/>
      <c r="AL249" s="224"/>
      <c r="AM249" s="224"/>
    </row>
    <row r="250" spans="1:39" ht="11.25" customHeight="1" x14ac:dyDescent="0.2">
      <c r="A250" s="224"/>
      <c r="B250" s="232"/>
      <c r="C250" s="233"/>
      <c r="D250" s="233"/>
      <c r="E250" s="233"/>
      <c r="F250" s="233"/>
      <c r="G250" s="233"/>
      <c r="H250" s="233"/>
      <c r="I250" s="233"/>
      <c r="J250" s="233"/>
      <c r="K250" s="233"/>
      <c r="L250" s="233"/>
      <c r="M250" s="235"/>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c r="AI250" s="224"/>
      <c r="AJ250" s="224"/>
      <c r="AK250" s="224"/>
      <c r="AL250" s="224"/>
      <c r="AM250" s="224"/>
    </row>
    <row r="251" spans="1:39" ht="11.25" customHeight="1" x14ac:dyDescent="0.2">
      <c r="A251" s="224"/>
      <c r="B251" s="236"/>
      <c r="C251" s="238"/>
      <c r="D251" s="238"/>
      <c r="E251" s="238"/>
      <c r="F251" s="238"/>
      <c r="G251" s="238"/>
      <c r="H251" s="238"/>
      <c r="I251" s="238"/>
      <c r="J251" s="238"/>
      <c r="K251" s="238"/>
      <c r="L251" s="238"/>
      <c r="M251" s="241"/>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c r="AI251" s="224"/>
      <c r="AJ251" s="224"/>
      <c r="AK251" s="224"/>
      <c r="AL251" s="224"/>
      <c r="AM251" s="224"/>
    </row>
    <row r="252" spans="1:39" ht="11.25" customHeight="1" x14ac:dyDescent="0.2">
      <c r="A252" s="224"/>
      <c r="B252" s="232"/>
      <c r="C252" s="233"/>
      <c r="D252" s="233"/>
      <c r="E252" s="233"/>
      <c r="F252" s="233"/>
      <c r="G252" s="233"/>
      <c r="H252" s="233"/>
      <c r="I252" s="233"/>
      <c r="J252" s="233"/>
      <c r="K252" s="233"/>
      <c r="L252" s="233"/>
      <c r="M252" s="235"/>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c r="AJ252" s="224"/>
      <c r="AK252" s="224"/>
      <c r="AL252" s="224"/>
      <c r="AM252" s="224"/>
    </row>
    <row r="253" spans="1:39" ht="11.25" customHeight="1" x14ac:dyDescent="0.2">
      <c r="A253" s="224"/>
      <c r="B253" s="232" t="s">
        <v>242</v>
      </c>
      <c r="C253" s="265" t="s">
        <v>243</v>
      </c>
      <c r="D253" s="233"/>
      <c r="E253" s="233"/>
      <c r="F253" s="233"/>
      <c r="G253" s="233"/>
      <c r="H253" s="233"/>
      <c r="I253" s="233"/>
      <c r="J253" s="233"/>
      <c r="K253" s="233"/>
      <c r="L253" s="233"/>
      <c r="M253" s="235"/>
      <c r="N253" s="224"/>
      <c r="O253" s="224" t="s">
        <v>458</v>
      </c>
      <c r="P253" s="284"/>
      <c r="Q253" s="284"/>
      <c r="R253" s="224"/>
      <c r="S253" s="224"/>
      <c r="T253" s="224"/>
      <c r="U253" s="224"/>
      <c r="V253" s="224"/>
      <c r="W253" s="224"/>
      <c r="X253" s="224"/>
      <c r="Y253" s="224"/>
      <c r="Z253" s="224"/>
      <c r="AA253" s="224"/>
      <c r="AB253" s="224"/>
      <c r="AC253" s="224"/>
      <c r="AD253" s="224"/>
      <c r="AE253" s="224"/>
      <c r="AF253" s="224"/>
      <c r="AG253" s="224"/>
      <c r="AH253" s="224"/>
      <c r="AI253" s="224"/>
      <c r="AJ253" s="224"/>
      <c r="AK253" s="224"/>
      <c r="AL253" s="224"/>
      <c r="AM253" s="224"/>
    </row>
    <row r="254" spans="1:39" ht="11.25" customHeight="1" x14ac:dyDescent="0.2">
      <c r="A254" s="224"/>
      <c r="B254" s="232"/>
      <c r="C254" s="233" t="s">
        <v>244</v>
      </c>
      <c r="D254" s="233" t="s">
        <v>245</v>
      </c>
      <c r="E254" s="233" t="s">
        <v>198</v>
      </c>
      <c r="F254" s="234">
        <v>2301</v>
      </c>
      <c r="G254" s="233" t="s">
        <v>142</v>
      </c>
      <c r="H254" s="233">
        <v>137</v>
      </c>
      <c r="I254" s="233" t="s">
        <v>238</v>
      </c>
      <c r="J254" s="233">
        <f t="shared" ref="J254:J263" si="66">F254*H254/1000</f>
        <v>315.23700000000002</v>
      </c>
      <c r="K254" s="325">
        <v>26</v>
      </c>
      <c r="L254" s="325">
        <v>1E-3</v>
      </c>
      <c r="M254" s="330">
        <v>0</v>
      </c>
      <c r="N254" s="224"/>
      <c r="O254" s="284"/>
      <c r="P254" s="284"/>
      <c r="Q254" s="284"/>
      <c r="R254" s="224"/>
      <c r="S254" s="224"/>
      <c r="T254" s="224"/>
      <c r="U254" s="224"/>
      <c r="V254" s="224"/>
      <c r="W254" s="224"/>
      <c r="X254" s="224"/>
      <c r="Y254" s="224"/>
      <c r="Z254" s="224"/>
      <c r="AA254" s="224"/>
      <c r="AB254" s="224"/>
      <c r="AC254" s="224"/>
      <c r="AD254" s="224"/>
      <c r="AE254" s="224"/>
      <c r="AF254" s="224"/>
      <c r="AG254" s="224"/>
      <c r="AH254" s="224"/>
      <c r="AI254" s="224"/>
      <c r="AJ254" s="224"/>
      <c r="AK254" s="224"/>
      <c r="AL254" s="224"/>
      <c r="AM254" s="224"/>
    </row>
    <row r="255" spans="1:39" ht="11.25" customHeight="1" x14ac:dyDescent="0.2">
      <c r="A255" s="224"/>
      <c r="B255" s="232"/>
      <c r="C255" s="233" t="s">
        <v>246</v>
      </c>
      <c r="D255" s="233" t="s">
        <v>247</v>
      </c>
      <c r="E255" s="233" t="s">
        <v>198</v>
      </c>
      <c r="F255" s="234">
        <v>4148</v>
      </c>
      <c r="G255" s="233" t="s">
        <v>142</v>
      </c>
      <c r="H255" s="233">
        <v>137</v>
      </c>
      <c r="I255" s="233" t="s">
        <v>238</v>
      </c>
      <c r="J255" s="233">
        <f t="shared" si="66"/>
        <v>568.27599999999995</v>
      </c>
      <c r="K255" s="325">
        <v>46.9</v>
      </c>
      <c r="L255" s="325">
        <v>2E-3</v>
      </c>
      <c r="M255" s="330">
        <v>0</v>
      </c>
      <c r="N255" s="224"/>
      <c r="O255" s="284" t="s">
        <v>459</v>
      </c>
      <c r="P255" s="284"/>
      <c r="Q255" s="284"/>
      <c r="R255" s="224"/>
      <c r="S255" s="224"/>
      <c r="T255" s="224"/>
      <c r="U255" s="224"/>
      <c r="V255" s="224"/>
      <c r="W255" s="224"/>
      <c r="X255" s="224"/>
      <c r="Y255" s="224"/>
      <c r="Z255" s="224"/>
      <c r="AA255" s="224"/>
      <c r="AB255" s="224"/>
      <c r="AC255" s="224"/>
      <c r="AD255" s="224"/>
      <c r="AE255" s="224"/>
      <c r="AF255" s="224"/>
      <c r="AG255" s="224"/>
      <c r="AH255" s="224"/>
      <c r="AI255" s="224"/>
      <c r="AJ255" s="224"/>
      <c r="AK255" s="224"/>
      <c r="AL255" s="224"/>
      <c r="AM255" s="224"/>
    </row>
    <row r="256" spans="1:39" ht="11.25" customHeight="1" x14ac:dyDescent="0.2">
      <c r="A256" s="224"/>
      <c r="B256" s="232"/>
      <c r="C256" s="233" t="s">
        <v>248</v>
      </c>
      <c r="D256" s="233" t="s">
        <v>249</v>
      </c>
      <c r="E256" s="233" t="s">
        <v>198</v>
      </c>
      <c r="F256" s="234">
        <v>32299</v>
      </c>
      <c r="G256" s="233" t="s">
        <v>142</v>
      </c>
      <c r="H256" s="233">
        <v>137</v>
      </c>
      <c r="I256" s="233" t="s">
        <v>238</v>
      </c>
      <c r="J256" s="233">
        <f t="shared" si="66"/>
        <v>4424.9629999999997</v>
      </c>
      <c r="K256" s="325">
        <v>365</v>
      </c>
      <c r="L256" s="325">
        <v>0.18</v>
      </c>
      <c r="M256" s="330">
        <v>2E-3</v>
      </c>
      <c r="N256" s="224"/>
      <c r="O256" s="284"/>
      <c r="P256" s="284"/>
      <c r="Q256" s="284"/>
      <c r="R256" s="224"/>
      <c r="S256" s="224"/>
      <c r="T256" s="224"/>
      <c r="U256" s="224"/>
      <c r="V256" s="224"/>
      <c r="W256" s="224"/>
      <c r="X256" s="224"/>
      <c r="Y256" s="224"/>
      <c r="Z256" s="224"/>
      <c r="AA256" s="224"/>
      <c r="AB256" s="224"/>
      <c r="AC256" s="224"/>
      <c r="AD256" s="224"/>
      <c r="AE256" s="224"/>
      <c r="AF256" s="224"/>
      <c r="AG256" s="224"/>
      <c r="AH256" s="224"/>
      <c r="AI256" s="224"/>
      <c r="AJ256" s="224"/>
      <c r="AK256" s="224"/>
      <c r="AL256" s="224"/>
      <c r="AM256" s="224"/>
    </row>
    <row r="257" spans="1:39" ht="11.25" customHeight="1" x14ac:dyDescent="0.3">
      <c r="A257" s="224"/>
      <c r="B257" s="232"/>
      <c r="C257" s="233" t="s">
        <v>250</v>
      </c>
      <c r="D257" s="233" t="s">
        <v>207</v>
      </c>
      <c r="E257" s="233" t="s">
        <v>198</v>
      </c>
      <c r="F257" s="234">
        <v>37193</v>
      </c>
      <c r="G257" s="233" t="s">
        <v>142</v>
      </c>
      <c r="H257" s="233">
        <v>137</v>
      </c>
      <c r="I257" s="233" t="s">
        <v>238</v>
      </c>
      <c r="J257" s="233">
        <f t="shared" si="66"/>
        <v>5095.4409999999998</v>
      </c>
      <c r="K257" s="325">
        <v>420.3</v>
      </c>
      <c r="L257" s="325">
        <v>2.1000000000000001E-2</v>
      </c>
      <c r="M257" s="330">
        <v>2E-3</v>
      </c>
      <c r="N257" s="224"/>
      <c r="O257" s="284" t="s">
        <v>460</v>
      </c>
      <c r="P257" s="284" t="s">
        <v>461</v>
      </c>
      <c r="Q257" s="284"/>
      <c r="R257" s="224"/>
      <c r="S257" s="224"/>
      <c r="T257" s="224"/>
      <c r="U257" s="224"/>
      <c r="V257" s="224"/>
      <c r="W257" s="224"/>
      <c r="X257" s="224"/>
      <c r="Y257" s="224"/>
      <c r="Z257" s="224"/>
      <c r="AA257" s="224"/>
      <c r="AB257" s="224"/>
      <c r="AC257" s="224"/>
      <c r="AD257" s="224"/>
      <c r="AE257" s="224"/>
      <c r="AF257" s="224"/>
      <c r="AG257" s="224"/>
      <c r="AH257" s="224"/>
      <c r="AI257" s="224"/>
      <c r="AJ257" s="224"/>
      <c r="AK257" s="224"/>
      <c r="AL257" s="224"/>
      <c r="AM257" s="224"/>
    </row>
    <row r="258" spans="1:39" ht="11.25" customHeight="1" x14ac:dyDescent="0.3">
      <c r="A258" s="224"/>
      <c r="B258" s="232"/>
      <c r="C258" s="233" t="s">
        <v>251</v>
      </c>
      <c r="D258" s="233" t="s">
        <v>252</v>
      </c>
      <c r="E258" s="233" t="s">
        <v>198</v>
      </c>
      <c r="F258" s="234">
        <v>12022</v>
      </c>
      <c r="G258" s="233" t="s">
        <v>142</v>
      </c>
      <c r="H258" s="233">
        <v>137</v>
      </c>
      <c r="I258" s="233" t="s">
        <v>238</v>
      </c>
      <c r="J258" s="233">
        <f t="shared" si="66"/>
        <v>1647.0139999999999</v>
      </c>
      <c r="K258" s="325">
        <v>135.80000000000001</v>
      </c>
      <c r="L258" s="325">
        <v>7.0000000000000001E-3</v>
      </c>
      <c r="M258" s="330">
        <v>1E-3</v>
      </c>
      <c r="N258" s="224"/>
      <c r="O258" s="284" t="s">
        <v>462</v>
      </c>
      <c r="P258" s="284" t="s">
        <v>463</v>
      </c>
      <c r="Q258" s="284"/>
      <c r="R258" s="224"/>
      <c r="S258" s="224"/>
      <c r="T258" s="224"/>
      <c r="U258" s="224"/>
      <c r="V258" s="224"/>
      <c r="W258" s="224"/>
      <c r="X258" s="224"/>
      <c r="Y258" s="224"/>
      <c r="Z258" s="224"/>
      <c r="AA258" s="224"/>
      <c r="AB258" s="224"/>
      <c r="AC258" s="224"/>
      <c r="AD258" s="224"/>
      <c r="AE258" s="224"/>
      <c r="AF258" s="224"/>
      <c r="AG258" s="224"/>
      <c r="AH258" s="224"/>
      <c r="AI258" s="224"/>
      <c r="AJ258" s="224"/>
      <c r="AK258" s="224"/>
      <c r="AL258" s="224"/>
      <c r="AM258" s="224"/>
    </row>
    <row r="259" spans="1:39" ht="11.25" customHeight="1" x14ac:dyDescent="0.3">
      <c r="A259" s="224"/>
      <c r="B259" s="232"/>
      <c r="C259" s="233" t="s">
        <v>253</v>
      </c>
      <c r="D259" s="233" t="s">
        <v>254</v>
      </c>
      <c r="E259" s="233" t="s">
        <v>198</v>
      </c>
      <c r="F259" s="234">
        <v>56276</v>
      </c>
      <c r="G259" s="233" t="s">
        <v>142</v>
      </c>
      <c r="H259" s="233">
        <v>137</v>
      </c>
      <c r="I259" s="233" t="s">
        <v>238</v>
      </c>
      <c r="J259" s="233">
        <f t="shared" si="66"/>
        <v>7709.8119999999999</v>
      </c>
      <c r="K259" s="325">
        <v>635.9</v>
      </c>
      <c r="L259" s="325">
        <v>0.31</v>
      </c>
      <c r="M259" s="330">
        <v>3.0000000000000001E-3</v>
      </c>
      <c r="N259" s="224"/>
      <c r="O259" s="284" t="s">
        <v>464</v>
      </c>
      <c r="P259" s="284" t="s">
        <v>465</v>
      </c>
      <c r="Q259" s="28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row>
    <row r="260" spans="1:39" ht="11.25" customHeight="1" x14ac:dyDescent="0.2">
      <c r="A260" s="224"/>
      <c r="B260" s="232"/>
      <c r="C260" s="233" t="s">
        <v>255</v>
      </c>
      <c r="D260" s="233" t="s">
        <v>256</v>
      </c>
      <c r="E260" s="233" t="s">
        <v>198</v>
      </c>
      <c r="F260" s="234">
        <v>55333</v>
      </c>
      <c r="G260" s="233" t="s">
        <v>142</v>
      </c>
      <c r="H260" s="233">
        <v>137</v>
      </c>
      <c r="I260" s="233" t="s">
        <v>238</v>
      </c>
      <c r="J260" s="233">
        <f t="shared" si="66"/>
        <v>7580.6210000000001</v>
      </c>
      <c r="K260" s="325">
        <v>625.29999999999995</v>
      </c>
      <c r="L260" s="325">
        <v>3.1E-2</v>
      </c>
      <c r="M260" s="330">
        <v>3.0000000000000001E-3</v>
      </c>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row>
    <row r="261" spans="1:39" ht="11.25" customHeight="1" x14ac:dyDescent="0.2">
      <c r="A261" s="224"/>
      <c r="B261" s="232"/>
      <c r="C261" s="233" t="s">
        <v>257</v>
      </c>
      <c r="D261" s="233" t="s">
        <v>258</v>
      </c>
      <c r="E261" s="233" t="s">
        <v>198</v>
      </c>
      <c r="F261" s="234">
        <v>67936</v>
      </c>
      <c r="G261" s="233" t="s">
        <v>142</v>
      </c>
      <c r="H261" s="233">
        <v>137</v>
      </c>
      <c r="I261" s="233" t="s">
        <v>238</v>
      </c>
      <c r="J261" s="233">
        <f t="shared" si="66"/>
        <v>9307.232</v>
      </c>
      <c r="K261" s="325">
        <v>767.7</v>
      </c>
      <c r="L261" s="325">
        <v>3.7999999999999999E-2</v>
      </c>
      <c r="M261" s="330">
        <v>4.0000000000000001E-3</v>
      </c>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row>
    <row r="262" spans="1:39" ht="11.25" customHeight="1" x14ac:dyDescent="0.2">
      <c r="A262" s="224"/>
      <c r="B262" s="232"/>
      <c r="C262" s="233" t="s">
        <v>259</v>
      </c>
      <c r="D262" s="233" t="s">
        <v>260</v>
      </c>
      <c r="E262" s="233" t="s">
        <v>198</v>
      </c>
      <c r="F262" s="234">
        <v>82457</v>
      </c>
      <c r="G262" s="233" t="s">
        <v>142</v>
      </c>
      <c r="H262" s="233">
        <v>137</v>
      </c>
      <c r="I262" s="233" t="s">
        <v>238</v>
      </c>
      <c r="J262" s="233">
        <f t="shared" si="66"/>
        <v>11296.609</v>
      </c>
      <c r="K262" s="325">
        <v>931.8</v>
      </c>
      <c r="L262" s="325">
        <v>4.5999999999999999E-2</v>
      </c>
      <c r="M262" s="330">
        <v>5.0000000000000001E-3</v>
      </c>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c r="AJ262" s="224"/>
      <c r="AK262" s="224"/>
      <c r="AL262" s="224"/>
      <c r="AM262" s="224"/>
    </row>
    <row r="263" spans="1:39" ht="11.25" customHeight="1" x14ac:dyDescent="0.2">
      <c r="A263" s="224"/>
      <c r="B263" s="232"/>
      <c r="C263" s="233" t="s">
        <v>261</v>
      </c>
      <c r="D263" s="233" t="s">
        <v>262</v>
      </c>
      <c r="E263" s="233" t="s">
        <v>198</v>
      </c>
      <c r="F263" s="234">
        <v>88270</v>
      </c>
      <c r="G263" s="233" t="s">
        <v>142</v>
      </c>
      <c r="H263" s="233">
        <v>137</v>
      </c>
      <c r="I263" s="233" t="s">
        <v>238</v>
      </c>
      <c r="J263" s="233">
        <f t="shared" si="66"/>
        <v>12092.99</v>
      </c>
      <c r="K263" s="325">
        <v>997.5</v>
      </c>
      <c r="L263" s="325">
        <v>4.9000000000000002E-2</v>
      </c>
      <c r="M263" s="330">
        <v>5.0000000000000001E-3</v>
      </c>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c r="AJ263" s="224"/>
      <c r="AK263" s="224"/>
      <c r="AL263" s="224"/>
      <c r="AM263" s="224"/>
    </row>
    <row r="264" spans="1:39" ht="11.25" customHeight="1" x14ac:dyDescent="0.2">
      <c r="A264" s="224"/>
      <c r="B264" s="232"/>
      <c r="C264" s="233"/>
      <c r="D264" s="233"/>
      <c r="E264" s="233"/>
      <c r="F264" s="233"/>
      <c r="G264" s="233"/>
      <c r="H264" s="233"/>
      <c r="I264" s="233"/>
      <c r="J264" s="233"/>
      <c r="K264" s="233"/>
      <c r="L264" s="233"/>
      <c r="M264" s="235"/>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c r="AJ264" s="224"/>
      <c r="AK264" s="224"/>
      <c r="AL264" s="224"/>
      <c r="AM264" s="224"/>
    </row>
    <row r="265" spans="1:39" ht="11.25" customHeight="1" x14ac:dyDescent="0.2">
      <c r="A265" s="224"/>
      <c r="B265" s="236"/>
      <c r="C265" s="238"/>
      <c r="D265" s="238"/>
      <c r="E265" s="238"/>
      <c r="F265" s="238"/>
      <c r="G265" s="238"/>
      <c r="H265" s="238"/>
      <c r="I265" s="238"/>
      <c r="J265" s="238"/>
      <c r="K265" s="238"/>
      <c r="L265" s="238"/>
      <c r="M265" s="241"/>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c r="AJ265" s="224"/>
      <c r="AK265" s="224"/>
      <c r="AL265" s="224"/>
      <c r="AM265" s="224"/>
    </row>
    <row r="266" spans="1:39" ht="11.25" customHeight="1" x14ac:dyDescent="0.2">
      <c r="A266" s="224"/>
      <c r="B266" s="232"/>
      <c r="C266" s="233"/>
      <c r="D266" s="233"/>
      <c r="E266" s="233"/>
      <c r="F266" s="233"/>
      <c r="G266" s="233"/>
      <c r="H266" s="233"/>
      <c r="I266" s="233"/>
      <c r="J266" s="233"/>
      <c r="K266" s="233"/>
      <c r="L266" s="233"/>
      <c r="M266" s="235"/>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c r="AJ266" s="224"/>
      <c r="AK266" s="224"/>
      <c r="AL266" s="224"/>
      <c r="AM266" s="224"/>
    </row>
    <row r="267" spans="1:39" ht="11.25" customHeight="1" x14ac:dyDescent="0.2">
      <c r="A267" s="224"/>
      <c r="B267" s="232" t="s">
        <v>263</v>
      </c>
      <c r="C267" s="265" t="s">
        <v>264</v>
      </c>
      <c r="D267" s="233"/>
      <c r="E267" s="233"/>
      <c r="F267" s="233"/>
      <c r="G267" s="233"/>
      <c r="H267" s="233"/>
      <c r="I267" s="233"/>
      <c r="J267" s="233"/>
      <c r="K267" s="233"/>
      <c r="L267" s="233"/>
      <c r="M267" s="235"/>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row>
    <row r="268" spans="1:39" ht="11.25" customHeight="1" x14ac:dyDescent="0.2">
      <c r="A268" s="224"/>
      <c r="B268" s="232"/>
      <c r="C268" s="233" t="s">
        <v>265</v>
      </c>
      <c r="D268" s="233" t="s">
        <v>266</v>
      </c>
      <c r="E268" s="233" t="s">
        <v>198</v>
      </c>
      <c r="F268" s="234">
        <v>6597</v>
      </c>
      <c r="G268" s="233" t="s">
        <v>142</v>
      </c>
      <c r="H268" s="233">
        <v>137</v>
      </c>
      <c r="I268" s="233" t="s">
        <v>238</v>
      </c>
      <c r="J268" s="233">
        <f t="shared" ref="J268:J275" si="67">F268*H268/1000</f>
        <v>903.78899999999999</v>
      </c>
      <c r="K268" s="326">
        <v>74.5</v>
      </c>
      <c r="L268" s="331">
        <v>4.0000000000000001E-3</v>
      </c>
      <c r="M268" s="332">
        <v>0</v>
      </c>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c r="AJ268" s="224"/>
      <c r="AK268" s="224"/>
      <c r="AL268" s="224"/>
      <c r="AM268" s="224"/>
    </row>
    <row r="269" spans="1:39" ht="11.25" customHeight="1" x14ac:dyDescent="0.2">
      <c r="A269" s="224"/>
      <c r="B269" s="232"/>
      <c r="C269" s="233" t="s">
        <v>267</v>
      </c>
      <c r="D269" s="233" t="s">
        <v>268</v>
      </c>
      <c r="E269" s="233" t="s">
        <v>198</v>
      </c>
      <c r="F269" s="234">
        <v>6985</v>
      </c>
      <c r="G269" s="233" t="s">
        <v>142</v>
      </c>
      <c r="H269" s="233">
        <v>137</v>
      </c>
      <c r="I269" s="233" t="s">
        <v>238</v>
      </c>
      <c r="J269" s="233">
        <f t="shared" si="67"/>
        <v>956.94500000000005</v>
      </c>
      <c r="K269" s="326">
        <v>78.900000000000006</v>
      </c>
      <c r="L269" s="331">
        <v>4.0000000000000001E-3</v>
      </c>
      <c r="M269" s="332">
        <v>0</v>
      </c>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row>
    <row r="270" spans="1:39" ht="11.25" customHeight="1" x14ac:dyDescent="0.2">
      <c r="A270" s="224"/>
      <c r="B270" s="232"/>
      <c r="C270" s="233" t="s">
        <v>269</v>
      </c>
      <c r="D270" s="233" t="s">
        <v>270</v>
      </c>
      <c r="E270" s="233" t="s">
        <v>198</v>
      </c>
      <c r="F270" s="234">
        <v>89887</v>
      </c>
      <c r="G270" s="233" t="s">
        <v>142</v>
      </c>
      <c r="H270" s="233">
        <v>137</v>
      </c>
      <c r="I270" s="233" t="s">
        <v>238</v>
      </c>
      <c r="J270" s="233">
        <f t="shared" si="67"/>
        <v>12314.519</v>
      </c>
      <c r="K270" s="326">
        <v>1015.7</v>
      </c>
      <c r="L270" s="331">
        <v>0</v>
      </c>
      <c r="M270" s="332">
        <v>0</v>
      </c>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row>
    <row r="271" spans="1:39" ht="11.25" customHeight="1" x14ac:dyDescent="0.2">
      <c r="A271" s="224"/>
      <c r="B271" s="232"/>
      <c r="C271" s="233" t="s">
        <v>271</v>
      </c>
      <c r="D271" s="233" t="s">
        <v>272</v>
      </c>
      <c r="E271" s="233" t="s">
        <v>198</v>
      </c>
      <c r="F271" s="234">
        <v>72114</v>
      </c>
      <c r="G271" s="233" t="s">
        <v>142</v>
      </c>
      <c r="H271" s="233">
        <v>137</v>
      </c>
      <c r="I271" s="233" t="s">
        <v>238</v>
      </c>
      <c r="J271" s="233">
        <f t="shared" si="67"/>
        <v>9879.6180000000004</v>
      </c>
      <c r="K271" s="326">
        <v>814.9</v>
      </c>
      <c r="L271" s="331">
        <v>0</v>
      </c>
      <c r="M271" s="332">
        <v>0</v>
      </c>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c r="AJ271" s="224"/>
      <c r="AK271" s="224"/>
      <c r="AL271" s="224"/>
      <c r="AM271" s="224"/>
    </row>
    <row r="272" spans="1:39" ht="11.25" customHeight="1" x14ac:dyDescent="0.2">
      <c r="A272" s="224"/>
      <c r="B272" s="232"/>
      <c r="C272" s="233" t="s">
        <v>273</v>
      </c>
      <c r="D272" s="233" t="s">
        <v>274</v>
      </c>
      <c r="E272" s="233" t="s">
        <v>198</v>
      </c>
      <c r="F272" s="234">
        <v>99514</v>
      </c>
      <c r="G272" s="233" t="s">
        <v>142</v>
      </c>
      <c r="H272" s="233">
        <v>137</v>
      </c>
      <c r="I272" s="233" t="s">
        <v>238</v>
      </c>
      <c r="J272" s="233">
        <f t="shared" si="67"/>
        <v>13633.418</v>
      </c>
      <c r="K272" s="326">
        <v>1124.5</v>
      </c>
      <c r="L272" s="331">
        <v>5.5E-2</v>
      </c>
      <c r="M272" s="273">
        <v>5.0000000000000001E-3</v>
      </c>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row>
    <row r="273" spans="1:39" ht="11.25" customHeight="1" x14ac:dyDescent="0.2">
      <c r="A273" s="224"/>
      <c r="B273" s="232"/>
      <c r="C273" s="233" t="s">
        <v>275</v>
      </c>
      <c r="D273" s="233" t="s">
        <v>276</v>
      </c>
      <c r="E273" s="233" t="s">
        <v>198</v>
      </c>
      <c r="F273" s="234">
        <v>97480</v>
      </c>
      <c r="G273" s="233" t="s">
        <v>142</v>
      </c>
      <c r="H273" s="233">
        <v>137</v>
      </c>
      <c r="I273" s="233" t="s">
        <v>238</v>
      </c>
      <c r="J273" s="233">
        <f t="shared" si="67"/>
        <v>13354.76</v>
      </c>
      <c r="K273" s="326">
        <v>1101.5</v>
      </c>
      <c r="L273" s="331">
        <v>5.3999999999999999E-2</v>
      </c>
      <c r="M273" s="273">
        <v>5.0000000000000001E-3</v>
      </c>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c r="AJ273" s="224"/>
      <c r="AK273" s="224"/>
      <c r="AL273" s="224"/>
      <c r="AM273" s="224"/>
    </row>
    <row r="274" spans="1:39" ht="11.25" customHeight="1" x14ac:dyDescent="0.2">
      <c r="A274" s="224"/>
      <c r="B274" s="232"/>
      <c r="C274" s="233" t="s">
        <v>277</v>
      </c>
      <c r="D274" s="233" t="s">
        <v>278</v>
      </c>
      <c r="E274" s="233" t="s">
        <v>198</v>
      </c>
      <c r="F274" s="234">
        <v>93640</v>
      </c>
      <c r="G274" s="233" t="s">
        <v>142</v>
      </c>
      <c r="H274" s="233">
        <v>137</v>
      </c>
      <c r="I274" s="233" t="s">
        <v>238</v>
      </c>
      <c r="J274" s="233">
        <f t="shared" si="67"/>
        <v>12828.68</v>
      </c>
      <c r="K274" s="326">
        <v>1058.0999999999999</v>
      </c>
      <c r="L274" s="331">
        <v>5.1999999999999998E-2</v>
      </c>
      <c r="M274" s="273">
        <v>5.0000000000000001E-3</v>
      </c>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c r="AI274" s="224"/>
      <c r="AJ274" s="224"/>
      <c r="AK274" s="224"/>
      <c r="AL274" s="224"/>
      <c r="AM274" s="224"/>
    </row>
    <row r="275" spans="1:39" ht="11.25" customHeight="1" x14ac:dyDescent="0.2">
      <c r="A275" s="224"/>
      <c r="B275" s="232"/>
      <c r="C275" s="233" t="s">
        <v>279</v>
      </c>
      <c r="D275" s="233" t="s">
        <v>280</v>
      </c>
      <c r="E275" s="233" t="s">
        <v>198</v>
      </c>
      <c r="F275" s="234">
        <v>129235</v>
      </c>
      <c r="G275" s="233" t="s">
        <v>142</v>
      </c>
      <c r="H275" s="233">
        <v>137</v>
      </c>
      <c r="I275" s="233" t="s">
        <v>238</v>
      </c>
      <c r="J275" s="233">
        <f t="shared" si="67"/>
        <v>17705.195</v>
      </c>
      <c r="K275" s="326">
        <v>1460.4</v>
      </c>
      <c r="L275" s="331">
        <v>7.1999999999999995E-2</v>
      </c>
      <c r="M275" s="273">
        <v>7.0000000000000001E-3</v>
      </c>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c r="AJ275" s="224"/>
      <c r="AK275" s="224"/>
      <c r="AL275" s="224"/>
      <c r="AM275" s="224"/>
    </row>
    <row r="276" spans="1:39" ht="11.25" customHeight="1" x14ac:dyDescent="0.2">
      <c r="A276" s="224"/>
      <c r="B276" s="232"/>
      <c r="C276" s="233"/>
      <c r="D276" s="233"/>
      <c r="E276" s="233"/>
      <c r="F276" s="233"/>
      <c r="G276" s="233"/>
      <c r="H276" s="233"/>
      <c r="I276" s="233"/>
      <c r="J276" s="233"/>
      <c r="K276" s="233"/>
      <c r="L276" s="233"/>
      <c r="M276" s="235"/>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c r="AJ276" s="224"/>
      <c r="AK276" s="224"/>
      <c r="AL276" s="224"/>
      <c r="AM276" s="224"/>
    </row>
    <row r="277" spans="1:39" ht="11.25" customHeight="1" x14ac:dyDescent="0.2">
      <c r="A277" s="224"/>
      <c r="B277" s="236"/>
      <c r="C277" s="238"/>
      <c r="D277" s="238"/>
      <c r="E277" s="238"/>
      <c r="F277" s="238"/>
      <c r="G277" s="238"/>
      <c r="H277" s="238"/>
      <c r="I277" s="238"/>
      <c r="J277" s="238"/>
      <c r="K277" s="238"/>
      <c r="L277" s="238"/>
      <c r="M277" s="241"/>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c r="AI277" s="224"/>
      <c r="AJ277" s="224"/>
      <c r="AK277" s="224"/>
      <c r="AL277" s="224"/>
      <c r="AM277" s="224"/>
    </row>
    <row r="278" spans="1:39" ht="11.25" customHeight="1" x14ac:dyDescent="0.2">
      <c r="A278" s="224"/>
      <c r="B278" s="232"/>
      <c r="C278" s="233"/>
      <c r="D278" s="233"/>
      <c r="E278" s="233"/>
      <c r="F278" s="233"/>
      <c r="G278" s="233"/>
      <c r="H278" s="233"/>
      <c r="I278" s="233"/>
      <c r="J278" s="233"/>
      <c r="K278" s="233"/>
      <c r="L278" s="233"/>
      <c r="M278" s="235"/>
      <c r="N278" s="224"/>
      <c r="O278" s="284" t="s">
        <v>466</v>
      </c>
      <c r="P278" s="224"/>
      <c r="Q278" s="224"/>
      <c r="R278" s="224"/>
      <c r="S278" s="224"/>
      <c r="T278" s="224"/>
      <c r="U278" s="224"/>
      <c r="V278" s="224"/>
      <c r="W278" s="224"/>
      <c r="X278" s="224"/>
      <c r="Y278" s="224"/>
      <c r="Z278" s="224"/>
      <c r="AA278" s="224"/>
      <c r="AB278" s="224"/>
      <c r="AC278" s="224"/>
      <c r="AD278" s="224"/>
      <c r="AE278" s="224"/>
      <c r="AF278" s="224"/>
      <c r="AG278" s="224"/>
      <c r="AH278" s="224"/>
      <c r="AI278" s="224"/>
      <c r="AJ278" s="224"/>
      <c r="AK278" s="224"/>
      <c r="AL278" s="224"/>
      <c r="AM278" s="224"/>
    </row>
    <row r="279" spans="1:39" ht="11.25" customHeight="1" x14ac:dyDescent="0.25">
      <c r="A279" s="224"/>
      <c r="B279" s="232" t="s">
        <v>281</v>
      </c>
      <c r="C279" s="265" t="s">
        <v>282</v>
      </c>
      <c r="D279" s="233"/>
      <c r="E279" s="233"/>
      <c r="F279" s="233"/>
      <c r="G279" s="233"/>
      <c r="H279" s="233"/>
      <c r="I279" s="233"/>
      <c r="J279" s="233"/>
      <c r="K279" s="233"/>
      <c r="L279" s="233"/>
      <c r="M279" s="235"/>
      <c r="N279" s="224"/>
      <c r="O279" s="224" t="s">
        <v>467</v>
      </c>
      <c r="P279" s="224"/>
      <c r="Q279" s="224"/>
      <c r="R279" s="284"/>
      <c r="S279" s="284"/>
      <c r="T279" s="224"/>
      <c r="U279" s="224"/>
      <c r="V279" s="224"/>
      <c r="W279" s="224"/>
      <c r="X279" s="224"/>
      <c r="Y279" s="224"/>
      <c r="Z279" s="224"/>
      <c r="AA279" s="224"/>
      <c r="AB279" s="224"/>
      <c r="AC279" s="224"/>
      <c r="AD279" s="224"/>
      <c r="AE279" s="224"/>
      <c r="AF279" s="224"/>
      <c r="AG279" s="224"/>
      <c r="AH279" s="224"/>
      <c r="AI279" s="224"/>
      <c r="AJ279" s="224"/>
      <c r="AK279" s="224"/>
      <c r="AL279" s="224"/>
      <c r="AM279" s="224"/>
    </row>
    <row r="280" spans="1:39" ht="11.25" customHeight="1" x14ac:dyDescent="0.25">
      <c r="A280" s="224"/>
      <c r="B280" s="232"/>
      <c r="C280" s="233" t="s">
        <v>259</v>
      </c>
      <c r="D280" s="233" t="s">
        <v>283</v>
      </c>
      <c r="E280" s="233" t="s">
        <v>198</v>
      </c>
      <c r="F280" s="234">
        <v>1600</v>
      </c>
      <c r="G280" s="233" t="s">
        <v>142</v>
      </c>
      <c r="H280" s="242">
        <v>140984</v>
      </c>
      <c r="I280" s="233" t="s">
        <v>233</v>
      </c>
      <c r="J280" s="264">
        <f t="shared" ref="J280:J283" si="68">F280*H280/1000000</f>
        <v>225.5744</v>
      </c>
      <c r="K280" s="325">
        <v>18.309999999999999</v>
      </c>
      <c r="L280" s="307">
        <v>0</v>
      </c>
      <c r="M280" s="306">
        <v>0</v>
      </c>
      <c r="N280" s="224"/>
      <c r="O280" s="224" t="s">
        <v>468</v>
      </c>
      <c r="P280" s="224" t="s">
        <v>469</v>
      </c>
      <c r="Q280" s="224">
        <v>0.9</v>
      </c>
      <c r="R280" s="284"/>
      <c r="S280" s="284"/>
      <c r="T280" s="224"/>
      <c r="U280" s="224"/>
      <c r="V280" s="224"/>
      <c r="W280" s="224"/>
      <c r="X280" s="224"/>
      <c r="Y280" s="224"/>
      <c r="Z280" s="224"/>
      <c r="AA280" s="224"/>
      <c r="AB280" s="224"/>
      <c r="AC280" s="224"/>
      <c r="AD280" s="224"/>
      <c r="AE280" s="224"/>
      <c r="AF280" s="224"/>
      <c r="AG280" s="224"/>
      <c r="AH280" s="224"/>
      <c r="AI280" s="224"/>
      <c r="AJ280" s="224"/>
      <c r="AK280" s="224"/>
      <c r="AL280" s="224"/>
      <c r="AM280" s="224"/>
    </row>
    <row r="281" spans="1:39" ht="11.25" customHeight="1" x14ac:dyDescent="0.25">
      <c r="A281" s="224"/>
      <c r="B281" s="232"/>
      <c r="C281" s="233" t="s">
        <v>257</v>
      </c>
      <c r="D281" s="233" t="s">
        <v>284</v>
      </c>
      <c r="E281" s="233" t="s">
        <v>198</v>
      </c>
      <c r="F281" s="234">
        <v>2829</v>
      </c>
      <c r="G281" s="233" t="s">
        <v>142</v>
      </c>
      <c r="H281" s="242">
        <v>140983</v>
      </c>
      <c r="I281" s="233" t="s">
        <v>233</v>
      </c>
      <c r="J281" s="264">
        <f t="shared" si="68"/>
        <v>398.84090700000002</v>
      </c>
      <c r="K281" s="325">
        <v>42.85</v>
      </c>
      <c r="L281" s="307">
        <v>0</v>
      </c>
      <c r="M281" s="306">
        <v>0</v>
      </c>
      <c r="N281" s="224"/>
      <c r="O281" s="224" t="s">
        <v>470</v>
      </c>
      <c r="P281" s="224" t="s">
        <v>471</v>
      </c>
      <c r="Q281" s="224">
        <v>0.2</v>
      </c>
      <c r="R281" s="284"/>
      <c r="S281" s="284"/>
      <c r="T281" s="224"/>
      <c r="U281" s="224"/>
      <c r="V281" s="224"/>
      <c r="W281" s="224"/>
      <c r="X281" s="224"/>
      <c r="Y281" s="224"/>
      <c r="Z281" s="224"/>
      <c r="AA281" s="224"/>
      <c r="AB281" s="224"/>
      <c r="AC281" s="224"/>
      <c r="AD281" s="224"/>
      <c r="AE281" s="224"/>
      <c r="AF281" s="224"/>
      <c r="AG281" s="224"/>
      <c r="AH281" s="224"/>
      <c r="AI281" s="224"/>
      <c r="AJ281" s="224"/>
      <c r="AK281" s="224"/>
      <c r="AL281" s="224"/>
      <c r="AM281" s="224"/>
    </row>
    <row r="282" spans="1:39" ht="11.25" customHeight="1" x14ac:dyDescent="0.3">
      <c r="A282" s="224"/>
      <c r="B282" s="232"/>
      <c r="C282" s="233" t="s">
        <v>246</v>
      </c>
      <c r="D282" s="233" t="s">
        <v>285</v>
      </c>
      <c r="E282" s="233" t="s">
        <v>198</v>
      </c>
      <c r="F282" s="234">
        <v>2829</v>
      </c>
      <c r="G282" s="233" t="s">
        <v>142</v>
      </c>
      <c r="H282" s="242">
        <v>140987</v>
      </c>
      <c r="I282" s="233" t="s">
        <v>233</v>
      </c>
      <c r="J282" s="264">
        <f t="shared" si="68"/>
        <v>398.85222299999998</v>
      </c>
      <c r="K282" s="325">
        <v>24.59</v>
      </c>
      <c r="L282" s="307">
        <v>0</v>
      </c>
      <c r="M282" s="306">
        <v>0</v>
      </c>
      <c r="N282" s="224"/>
      <c r="O282" s="284" t="s">
        <v>472</v>
      </c>
      <c r="P282" s="284" t="s">
        <v>473</v>
      </c>
      <c r="Q282" s="284">
        <v>22</v>
      </c>
      <c r="R282" s="284"/>
      <c r="S282" s="284"/>
      <c r="T282" s="224"/>
      <c r="U282" s="224"/>
      <c r="V282" s="224"/>
      <c r="W282" s="224"/>
      <c r="X282" s="224"/>
      <c r="Y282" s="224"/>
      <c r="Z282" s="224"/>
      <c r="AA282" s="224"/>
      <c r="AB282" s="224"/>
      <c r="AC282" s="224"/>
      <c r="AD282" s="224"/>
      <c r="AE282" s="224"/>
      <c r="AF282" s="224"/>
      <c r="AG282" s="224"/>
      <c r="AH282" s="224"/>
      <c r="AI282" s="224"/>
      <c r="AJ282" s="224"/>
      <c r="AK282" s="224"/>
      <c r="AL282" s="224"/>
      <c r="AM282" s="224"/>
    </row>
    <row r="283" spans="1:39" ht="11.25" customHeight="1" x14ac:dyDescent="0.2">
      <c r="A283" s="224"/>
      <c r="B283" s="232"/>
      <c r="C283" s="233" t="s">
        <v>286</v>
      </c>
      <c r="D283" s="233" t="s">
        <v>285</v>
      </c>
      <c r="E283" s="233" t="s">
        <v>198</v>
      </c>
      <c r="F283" s="234">
        <v>3600</v>
      </c>
      <c r="G283" s="233" t="s">
        <v>142</v>
      </c>
      <c r="H283" s="242">
        <v>140987</v>
      </c>
      <c r="I283" s="233" t="s">
        <v>233</v>
      </c>
      <c r="J283" s="264">
        <f t="shared" si="68"/>
        <v>507.5532</v>
      </c>
      <c r="K283" s="325">
        <v>24.91</v>
      </c>
      <c r="L283" s="307">
        <v>0</v>
      </c>
      <c r="M283" s="306">
        <v>0</v>
      </c>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row>
    <row r="284" spans="1:39" ht="11.25" customHeight="1" x14ac:dyDescent="0.2">
      <c r="A284" s="224"/>
      <c r="B284" s="232"/>
      <c r="C284" s="233"/>
      <c r="D284" s="233"/>
      <c r="E284" s="233"/>
      <c r="F284" s="242"/>
      <c r="G284" s="233"/>
      <c r="H284" s="233"/>
      <c r="I284" s="233"/>
      <c r="J284" s="242"/>
      <c r="K284" s="233"/>
      <c r="L284" s="233"/>
      <c r="M284" s="235"/>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row>
    <row r="285" spans="1:39" ht="11.25" customHeight="1" x14ac:dyDescent="0.2">
      <c r="A285" s="224"/>
      <c r="B285" s="236"/>
      <c r="C285" s="238"/>
      <c r="D285" s="238"/>
      <c r="E285" s="238"/>
      <c r="F285" s="238"/>
      <c r="G285" s="238"/>
      <c r="H285" s="238"/>
      <c r="I285" s="238"/>
      <c r="J285" s="238"/>
      <c r="K285" s="238"/>
      <c r="L285" s="238"/>
      <c r="M285" s="241"/>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c r="AI285" s="224"/>
      <c r="AJ285" s="224"/>
      <c r="AK285" s="224"/>
      <c r="AL285" s="224"/>
      <c r="AM285" s="224"/>
    </row>
    <row r="286" spans="1:39" ht="11.25" customHeight="1" x14ac:dyDescent="0.2">
      <c r="A286" s="224"/>
      <c r="B286" s="232"/>
      <c r="C286" s="233"/>
      <c r="D286" s="233"/>
      <c r="E286" s="233"/>
      <c r="F286" s="233"/>
      <c r="G286" s="233"/>
      <c r="H286" s="233"/>
      <c r="I286" s="233"/>
      <c r="J286" s="233"/>
      <c r="K286" s="233"/>
      <c r="L286" s="233"/>
      <c r="M286" s="235"/>
      <c r="N286" s="224"/>
      <c r="O286" s="284" t="s">
        <v>474</v>
      </c>
      <c r="P286" s="224"/>
      <c r="Q286" s="224"/>
      <c r="R286" s="224"/>
      <c r="S286" s="224"/>
      <c r="T286" s="224"/>
      <c r="U286" s="224"/>
      <c r="V286" s="224"/>
      <c r="W286" s="224"/>
      <c r="X286" s="224"/>
      <c r="Y286" s="224"/>
      <c r="Z286" s="224"/>
      <c r="AA286" s="224"/>
      <c r="AB286" s="224"/>
      <c r="AC286" s="224"/>
      <c r="AD286" s="224"/>
      <c r="AE286" s="224"/>
      <c r="AF286" s="224"/>
      <c r="AG286" s="224"/>
      <c r="AH286" s="224"/>
      <c r="AI286" s="224"/>
      <c r="AJ286" s="224"/>
      <c r="AK286" s="224"/>
      <c r="AL286" s="224"/>
      <c r="AM286" s="224"/>
    </row>
    <row r="287" spans="1:39" ht="11.25" customHeight="1" x14ac:dyDescent="0.2">
      <c r="A287" s="224"/>
      <c r="B287" s="232" t="s">
        <v>287</v>
      </c>
      <c r="C287" s="265" t="s">
        <v>288</v>
      </c>
      <c r="D287" s="233"/>
      <c r="E287" s="233"/>
      <c r="F287" s="233"/>
      <c r="G287" s="233"/>
      <c r="H287" s="233"/>
      <c r="I287" s="233"/>
      <c r="J287" s="233"/>
      <c r="K287" s="233"/>
      <c r="L287" s="233"/>
      <c r="M287" s="235"/>
      <c r="N287" s="224"/>
      <c r="O287" s="224" t="s">
        <v>475</v>
      </c>
      <c r="P287" s="224" t="s">
        <v>476</v>
      </c>
      <c r="Q287" s="224"/>
      <c r="R287" s="224"/>
      <c r="S287" s="224"/>
      <c r="T287" s="224"/>
      <c r="U287" s="224"/>
      <c r="V287" s="224"/>
      <c r="W287" s="224"/>
      <c r="X287" s="224"/>
      <c r="Y287" s="224"/>
      <c r="Z287" s="224"/>
      <c r="AA287" s="224"/>
      <c r="AB287" s="224"/>
      <c r="AC287" s="224"/>
      <c r="AD287" s="224"/>
      <c r="AE287" s="224"/>
      <c r="AF287" s="224"/>
      <c r="AG287" s="224"/>
      <c r="AH287" s="224"/>
      <c r="AI287" s="224"/>
      <c r="AJ287" s="224"/>
      <c r="AK287" s="224"/>
      <c r="AL287" s="224"/>
      <c r="AM287" s="224"/>
    </row>
    <row r="288" spans="1:39" ht="11.25" customHeight="1" x14ac:dyDescent="0.3">
      <c r="A288" s="224"/>
      <c r="B288" s="232"/>
      <c r="C288" s="233" t="s">
        <v>289</v>
      </c>
      <c r="D288" s="233" t="s">
        <v>290</v>
      </c>
      <c r="E288" s="233" t="s">
        <v>198</v>
      </c>
      <c r="F288" s="234">
        <v>44465</v>
      </c>
      <c r="G288" s="233" t="s">
        <v>142</v>
      </c>
      <c r="H288" s="242">
        <v>141494</v>
      </c>
      <c r="I288" s="233" t="s">
        <v>233</v>
      </c>
      <c r="J288" s="264">
        <f t="shared" ref="J288:J291" si="69">F288*H288/1000000</f>
        <v>6291.53071</v>
      </c>
      <c r="K288" s="325">
        <v>502</v>
      </c>
      <c r="L288" s="331">
        <v>2.5000000000000001E-2</v>
      </c>
      <c r="M288" s="306">
        <v>0</v>
      </c>
      <c r="N288" s="224"/>
      <c r="O288" s="286" t="s">
        <v>477</v>
      </c>
      <c r="P288" s="224">
        <v>22600</v>
      </c>
      <c r="Q288" s="224"/>
      <c r="R288" s="224"/>
      <c r="S288" s="224"/>
      <c r="T288" s="224"/>
      <c r="U288" s="224"/>
      <c r="V288" s="224"/>
      <c r="W288" s="224"/>
      <c r="X288" s="224"/>
      <c r="Y288" s="224"/>
      <c r="Z288" s="224"/>
      <c r="AA288" s="224"/>
      <c r="AB288" s="224"/>
      <c r="AC288" s="224"/>
      <c r="AD288" s="224"/>
      <c r="AE288" s="224"/>
      <c r="AF288" s="224"/>
      <c r="AG288" s="224"/>
      <c r="AH288" s="224"/>
      <c r="AI288" s="224"/>
      <c r="AJ288" s="224"/>
      <c r="AK288" s="224"/>
      <c r="AL288" s="224"/>
      <c r="AM288" s="224"/>
    </row>
    <row r="289" spans="1:39" ht="11.25" customHeight="1" x14ac:dyDescent="0.3">
      <c r="A289" s="224"/>
      <c r="B289" s="232"/>
      <c r="C289" s="233" t="s">
        <v>291</v>
      </c>
      <c r="D289" s="233" t="s">
        <v>99</v>
      </c>
      <c r="E289" s="233" t="s">
        <v>198</v>
      </c>
      <c r="F289" s="234">
        <v>36200</v>
      </c>
      <c r="G289" s="233" t="s">
        <v>142</v>
      </c>
      <c r="H289" s="242">
        <v>141494</v>
      </c>
      <c r="I289" s="233" t="s">
        <v>233</v>
      </c>
      <c r="J289" s="264">
        <f t="shared" si="69"/>
        <v>5122.0828000000001</v>
      </c>
      <c r="K289" s="325">
        <v>409</v>
      </c>
      <c r="L289" s="331">
        <v>0.02</v>
      </c>
      <c r="M289" s="306">
        <v>0</v>
      </c>
      <c r="N289" s="224"/>
      <c r="O289" s="296" t="s">
        <v>478</v>
      </c>
      <c r="P289" s="297">
        <v>1.1100000000000001</v>
      </c>
      <c r="Q289" s="224"/>
      <c r="R289" s="224"/>
      <c r="S289" s="224"/>
      <c r="T289" s="224"/>
      <c r="U289" s="224"/>
      <c r="V289" s="224"/>
      <c r="W289" s="224"/>
      <c r="X289" s="224"/>
      <c r="Y289" s="224"/>
      <c r="Z289" s="224"/>
      <c r="AA289" s="224"/>
      <c r="AB289" s="224"/>
      <c r="AC289" s="224"/>
      <c r="AD289" s="224"/>
      <c r="AE289" s="224"/>
      <c r="AF289" s="224"/>
      <c r="AG289" s="224"/>
      <c r="AH289" s="224"/>
      <c r="AI289" s="224"/>
      <c r="AJ289" s="224"/>
      <c r="AK289" s="224"/>
      <c r="AL289" s="224"/>
      <c r="AM289" s="224"/>
    </row>
    <row r="290" spans="1:39" ht="11.25" customHeight="1" x14ac:dyDescent="0.3">
      <c r="A290" s="224"/>
      <c r="B290" s="232"/>
      <c r="C290" s="233" t="s">
        <v>292</v>
      </c>
      <c r="D290" s="233" t="s">
        <v>115</v>
      </c>
      <c r="E290" s="233" t="s">
        <v>198</v>
      </c>
      <c r="F290" s="234">
        <v>43527</v>
      </c>
      <c r="G290" s="233" t="s">
        <v>142</v>
      </c>
      <c r="H290" s="242">
        <v>141494</v>
      </c>
      <c r="I290" s="233" t="s">
        <v>233</v>
      </c>
      <c r="J290" s="264">
        <f t="shared" si="69"/>
        <v>6158.809338</v>
      </c>
      <c r="K290" s="325">
        <v>492</v>
      </c>
      <c r="L290" s="331">
        <v>2.4E-2</v>
      </c>
      <c r="M290" s="306">
        <v>0</v>
      </c>
      <c r="N290" s="224"/>
      <c r="O290" s="289" t="s">
        <v>479</v>
      </c>
      <c r="P290" s="333" t="s">
        <v>480</v>
      </c>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row>
    <row r="291" spans="1:39" ht="11.25" customHeight="1" x14ac:dyDescent="0.2">
      <c r="A291" s="224"/>
      <c r="B291" s="232"/>
      <c r="C291" s="233" t="s">
        <v>293</v>
      </c>
      <c r="D291" s="233" t="s">
        <v>117</v>
      </c>
      <c r="E291" s="233" t="s">
        <v>198</v>
      </c>
      <c r="F291" s="234">
        <v>44904</v>
      </c>
      <c r="G291" s="233" t="s">
        <v>142</v>
      </c>
      <c r="H291" s="242">
        <v>141494</v>
      </c>
      <c r="I291" s="233" t="s">
        <v>233</v>
      </c>
      <c r="J291" s="264">
        <f t="shared" si="69"/>
        <v>6353.6465760000001</v>
      </c>
      <c r="K291" s="325">
        <v>507</v>
      </c>
      <c r="L291" s="331">
        <v>2.5000000000000001E-2</v>
      </c>
      <c r="M291" s="306">
        <v>0</v>
      </c>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c r="AJ291" s="224"/>
      <c r="AK291" s="224"/>
      <c r="AL291" s="224"/>
      <c r="AM291" s="224"/>
    </row>
    <row r="292" spans="1:39" ht="11.25" customHeight="1" x14ac:dyDescent="0.2">
      <c r="A292" s="224"/>
      <c r="B292" s="232"/>
      <c r="C292" s="233"/>
      <c r="D292" s="233"/>
      <c r="E292" s="233"/>
      <c r="F292" s="233"/>
      <c r="G292" s="233"/>
      <c r="H292" s="233"/>
      <c r="I292" s="233"/>
      <c r="J292" s="233"/>
      <c r="K292" s="233"/>
      <c r="L292" s="233"/>
      <c r="M292" s="235"/>
      <c r="N292" s="224"/>
      <c r="O292" s="334">
        <f>J289*P288*0.0005</f>
        <v>57879.535640000002</v>
      </c>
      <c r="P292" s="224"/>
      <c r="Q292" s="224"/>
      <c r="R292" s="224"/>
      <c r="S292" s="224"/>
      <c r="T292" s="224"/>
      <c r="U292" s="224"/>
      <c r="V292" s="224"/>
      <c r="W292" s="224"/>
      <c r="X292" s="224"/>
      <c r="Y292" s="224"/>
      <c r="Z292" s="224"/>
      <c r="AA292" s="224"/>
      <c r="AB292" s="224"/>
      <c r="AC292" s="224"/>
      <c r="AD292" s="224"/>
      <c r="AE292" s="224"/>
      <c r="AF292" s="224"/>
      <c r="AG292" s="224"/>
      <c r="AH292" s="224"/>
      <c r="AI292" s="224"/>
      <c r="AJ292" s="224"/>
      <c r="AK292" s="224"/>
      <c r="AL292" s="224"/>
      <c r="AM292" s="224"/>
    </row>
    <row r="293" spans="1:39" ht="11.25" customHeight="1" x14ac:dyDescent="0.2">
      <c r="A293" s="224"/>
      <c r="B293" s="236"/>
      <c r="C293" s="238"/>
      <c r="D293" s="238"/>
      <c r="E293" s="238"/>
      <c r="F293" s="238"/>
      <c r="G293" s="238"/>
      <c r="H293" s="238"/>
      <c r="I293" s="238"/>
      <c r="J293" s="238"/>
      <c r="K293" s="238"/>
      <c r="L293" s="238"/>
      <c r="M293" s="241"/>
      <c r="N293" s="224"/>
      <c r="O293" s="224"/>
      <c r="P293" s="334"/>
      <c r="Q293" s="224"/>
      <c r="R293" s="224"/>
      <c r="S293" s="224"/>
      <c r="T293" s="224"/>
      <c r="U293" s="224"/>
      <c r="V293" s="224"/>
      <c r="W293" s="224"/>
      <c r="X293" s="224"/>
      <c r="Y293" s="224"/>
      <c r="Z293" s="224"/>
      <c r="AA293" s="224"/>
      <c r="AB293" s="224"/>
      <c r="AC293" s="224"/>
      <c r="AD293" s="224"/>
      <c r="AE293" s="224"/>
      <c r="AF293" s="224"/>
      <c r="AG293" s="224"/>
      <c r="AH293" s="224"/>
      <c r="AI293" s="224"/>
      <c r="AJ293" s="224"/>
      <c r="AK293" s="224"/>
      <c r="AL293" s="224"/>
      <c r="AM293" s="224"/>
    </row>
    <row r="294" spans="1:39" ht="11.25" customHeight="1" x14ac:dyDescent="0.2">
      <c r="A294" s="224"/>
      <c r="B294" s="232"/>
      <c r="C294" s="233"/>
      <c r="D294" s="233"/>
      <c r="E294" s="233"/>
      <c r="F294" s="233"/>
      <c r="G294" s="233"/>
      <c r="H294" s="233"/>
      <c r="I294" s="233"/>
      <c r="J294" s="233"/>
      <c r="K294" s="233"/>
      <c r="L294" s="233"/>
      <c r="M294" s="235"/>
      <c r="N294" s="224"/>
      <c r="O294" s="284" t="s">
        <v>481</v>
      </c>
      <c r="P294" s="224"/>
      <c r="Q294" s="224"/>
      <c r="R294" s="224"/>
      <c r="S294" s="224"/>
      <c r="T294" s="224"/>
      <c r="U294" s="224"/>
      <c r="V294" s="224"/>
      <c r="W294" s="224"/>
      <c r="X294" s="224"/>
      <c r="Y294" s="224"/>
      <c r="Z294" s="224"/>
      <c r="AA294" s="224"/>
      <c r="AB294" s="224"/>
      <c r="AC294" s="224"/>
      <c r="AD294" s="224"/>
      <c r="AE294" s="224"/>
      <c r="AF294" s="224"/>
      <c r="AG294" s="224"/>
      <c r="AH294" s="224"/>
      <c r="AI294" s="224"/>
      <c r="AJ294" s="224"/>
      <c r="AK294" s="224"/>
      <c r="AL294" s="224"/>
      <c r="AM294" s="224"/>
    </row>
    <row r="295" spans="1:39" ht="11.25" customHeight="1" x14ac:dyDescent="0.2">
      <c r="A295" s="224"/>
      <c r="B295" s="232" t="s">
        <v>294</v>
      </c>
      <c r="C295" s="265" t="s">
        <v>295</v>
      </c>
      <c r="D295" s="233"/>
      <c r="E295" s="233"/>
      <c r="F295" s="233"/>
      <c r="G295" s="233"/>
      <c r="H295" s="233"/>
      <c r="I295" s="233"/>
      <c r="J295" s="233"/>
      <c r="K295" s="233"/>
      <c r="L295" s="233"/>
      <c r="M295" s="235"/>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c r="AI295" s="224"/>
      <c r="AJ295" s="224"/>
      <c r="AK295" s="224"/>
      <c r="AL295" s="224"/>
      <c r="AM295" s="224"/>
    </row>
    <row r="296" spans="1:39" ht="11.25" customHeight="1" x14ac:dyDescent="0.3">
      <c r="A296" s="224"/>
      <c r="B296" s="232"/>
      <c r="C296" s="233" t="s">
        <v>296</v>
      </c>
      <c r="D296" s="233" t="s">
        <v>297</v>
      </c>
      <c r="E296" s="233" t="s">
        <v>198</v>
      </c>
      <c r="F296" s="234">
        <v>23372</v>
      </c>
      <c r="G296" s="233" t="s">
        <v>142</v>
      </c>
      <c r="H296" s="242">
        <v>137030</v>
      </c>
      <c r="I296" s="233" t="s">
        <v>233</v>
      </c>
      <c r="J296" s="264">
        <f t="shared" ref="J296:J303" si="70">F296*H296/1000000</f>
        <v>3202.66516</v>
      </c>
      <c r="K296" s="270">
        <v>260.59780000000001</v>
      </c>
      <c r="L296" s="307">
        <v>0</v>
      </c>
      <c r="M296" s="307">
        <v>0</v>
      </c>
      <c r="N296" s="224"/>
      <c r="O296" s="224" t="s">
        <v>482</v>
      </c>
      <c r="P296" s="224"/>
      <c r="Q296" s="224"/>
      <c r="R296" s="224"/>
      <c r="S296" s="224"/>
      <c r="T296" s="224"/>
      <c r="U296" s="224"/>
      <c r="V296" s="224"/>
      <c r="W296" s="224"/>
      <c r="X296" s="224"/>
      <c r="Y296" s="224"/>
      <c r="Z296" s="224"/>
      <c r="AA296" s="224"/>
      <c r="AB296" s="224"/>
      <c r="AC296" s="224"/>
      <c r="AD296" s="224"/>
      <c r="AE296" s="224"/>
      <c r="AF296" s="224"/>
      <c r="AG296" s="224"/>
      <c r="AH296" s="224"/>
      <c r="AI296" s="224"/>
      <c r="AJ296" s="224"/>
      <c r="AK296" s="224"/>
      <c r="AL296" s="224"/>
      <c r="AM296" s="224"/>
    </row>
    <row r="297" spans="1:39" ht="11.25" customHeight="1" x14ac:dyDescent="0.3">
      <c r="A297" s="224"/>
      <c r="B297" s="232"/>
      <c r="C297" s="233" t="s">
        <v>298</v>
      </c>
      <c r="D297" s="233" t="s">
        <v>299</v>
      </c>
      <c r="E297" s="233" t="s">
        <v>198</v>
      </c>
      <c r="F297" s="234">
        <v>11690</v>
      </c>
      <c r="G297" s="233" t="s">
        <v>142</v>
      </c>
      <c r="H297" s="242">
        <v>137030</v>
      </c>
      <c r="I297" s="233" t="s">
        <v>233</v>
      </c>
      <c r="J297" s="264">
        <f t="shared" si="70"/>
        <v>1601.8806999999999</v>
      </c>
      <c r="K297" s="270">
        <v>130.34350000000001</v>
      </c>
      <c r="L297" s="307">
        <v>0</v>
      </c>
      <c r="M297" s="307">
        <v>0</v>
      </c>
      <c r="N297" s="224"/>
      <c r="O297" s="224" t="s">
        <v>483</v>
      </c>
      <c r="P297" s="224"/>
      <c r="Q297" s="224"/>
      <c r="R297" s="224"/>
      <c r="S297" s="224"/>
      <c r="T297" s="224"/>
      <c r="U297" s="224"/>
      <c r="V297" s="224"/>
      <c r="W297" s="224"/>
      <c r="X297" s="224"/>
      <c r="Y297" s="224"/>
      <c r="Z297" s="224"/>
      <c r="AA297" s="224"/>
      <c r="AB297" s="224"/>
      <c r="AC297" s="224"/>
      <c r="AD297" s="224"/>
      <c r="AE297" s="224"/>
      <c r="AF297" s="224"/>
      <c r="AG297" s="224"/>
      <c r="AH297" s="224"/>
      <c r="AI297" s="224"/>
      <c r="AJ297" s="224"/>
      <c r="AK297" s="224"/>
      <c r="AL297" s="224"/>
      <c r="AM297" s="224"/>
    </row>
    <row r="298" spans="1:39" ht="11.25" customHeight="1" x14ac:dyDescent="0.2">
      <c r="A298" s="224"/>
      <c r="B298" s="232"/>
      <c r="C298" s="233" t="s">
        <v>300</v>
      </c>
      <c r="D298" s="233" t="s">
        <v>301</v>
      </c>
      <c r="E298" s="233" t="s">
        <v>198</v>
      </c>
      <c r="F298" s="234">
        <v>9816</v>
      </c>
      <c r="G298" s="233" t="s">
        <v>142</v>
      </c>
      <c r="H298" s="242">
        <v>137030</v>
      </c>
      <c r="I298" s="233" t="s">
        <v>233</v>
      </c>
      <c r="J298" s="264">
        <f t="shared" si="70"/>
        <v>1345.0864799999999</v>
      </c>
      <c r="K298" s="270">
        <v>110.96963459999999</v>
      </c>
      <c r="L298" s="307">
        <v>0.01</v>
      </c>
      <c r="M298" s="307">
        <v>0</v>
      </c>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c r="AJ298" s="224"/>
      <c r="AK298" s="224"/>
      <c r="AL298" s="224"/>
      <c r="AM298" s="224"/>
    </row>
    <row r="299" spans="1:39" ht="11.25" customHeight="1" x14ac:dyDescent="0.2">
      <c r="A299" s="224"/>
      <c r="B299" s="232"/>
      <c r="C299" s="233" t="s">
        <v>302</v>
      </c>
      <c r="D299" s="233" t="s">
        <v>303</v>
      </c>
      <c r="E299" s="233" t="s">
        <v>198</v>
      </c>
      <c r="F299" s="234">
        <v>9840</v>
      </c>
      <c r="G299" s="233" t="s">
        <v>142</v>
      </c>
      <c r="H299" s="242">
        <v>137030</v>
      </c>
      <c r="I299" s="233" t="s">
        <v>233</v>
      </c>
      <c r="J299" s="264">
        <f t="shared" si="70"/>
        <v>1348.3751999999999</v>
      </c>
      <c r="K299" s="270">
        <v>111.240954</v>
      </c>
      <c r="L299" s="307">
        <v>0.01</v>
      </c>
      <c r="M299" s="307">
        <v>0</v>
      </c>
      <c r="N299" s="224"/>
      <c r="O299" s="224" t="s">
        <v>484</v>
      </c>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row>
    <row r="300" spans="1:39" ht="11.25" customHeight="1" x14ac:dyDescent="0.2">
      <c r="A300" s="224"/>
      <c r="B300" s="232"/>
      <c r="C300" s="233" t="s">
        <v>304</v>
      </c>
      <c r="D300" s="233" t="s">
        <v>305</v>
      </c>
      <c r="E300" s="233" t="s">
        <v>198</v>
      </c>
      <c r="F300" s="234">
        <v>16267</v>
      </c>
      <c r="G300" s="233" t="s">
        <v>142</v>
      </c>
      <c r="H300" s="242">
        <v>137030</v>
      </c>
      <c r="I300" s="233" t="s">
        <v>233</v>
      </c>
      <c r="J300" s="264">
        <f t="shared" si="70"/>
        <v>2229.0670100000002</v>
      </c>
      <c r="K300" s="270">
        <v>183.89802832500001</v>
      </c>
      <c r="L300" s="307">
        <v>0.01</v>
      </c>
      <c r="M300" s="307">
        <v>0</v>
      </c>
      <c r="N300" s="224"/>
      <c r="O300" s="224" t="s">
        <v>485</v>
      </c>
      <c r="P300" s="224"/>
      <c r="Q300" s="224"/>
      <c r="R300" s="224"/>
      <c r="S300" s="224"/>
      <c r="T300" s="224"/>
      <c r="U300" s="224"/>
      <c r="V300" s="224"/>
      <c r="W300" s="224"/>
      <c r="X300" s="224"/>
      <c r="Y300" s="224"/>
      <c r="Z300" s="224"/>
      <c r="AA300" s="224"/>
      <c r="AB300" s="224"/>
      <c r="AC300" s="224"/>
      <c r="AD300" s="224"/>
      <c r="AE300" s="224"/>
      <c r="AF300" s="224"/>
      <c r="AG300" s="224"/>
      <c r="AH300" s="224"/>
      <c r="AI300" s="224"/>
      <c r="AJ300" s="224"/>
      <c r="AK300" s="224"/>
      <c r="AL300" s="224"/>
      <c r="AM300" s="224"/>
    </row>
    <row r="301" spans="1:39" ht="11.25" customHeight="1" x14ac:dyDescent="0.2">
      <c r="A301" s="224"/>
      <c r="B301" s="232"/>
      <c r="C301" s="233" t="s">
        <v>306</v>
      </c>
      <c r="D301" s="233" t="s">
        <v>307</v>
      </c>
      <c r="E301" s="233" t="s">
        <v>198</v>
      </c>
      <c r="F301" s="234">
        <v>13669</v>
      </c>
      <c r="G301" s="233" t="s">
        <v>142</v>
      </c>
      <c r="H301" s="242">
        <v>137030</v>
      </c>
      <c r="I301" s="233" t="s">
        <v>233</v>
      </c>
      <c r="J301" s="264">
        <f t="shared" si="70"/>
        <v>1873.0630699999999</v>
      </c>
      <c r="K301" s="270">
        <v>154.52770327499999</v>
      </c>
      <c r="L301" s="307">
        <v>0.01</v>
      </c>
      <c r="M301" s="307">
        <v>0</v>
      </c>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24"/>
      <c r="AL301" s="224"/>
      <c r="AM301" s="224"/>
    </row>
    <row r="302" spans="1:39" ht="11.25" customHeight="1" x14ac:dyDescent="0.3">
      <c r="A302" s="224"/>
      <c r="B302" s="232"/>
      <c r="C302" s="233" t="s">
        <v>308</v>
      </c>
      <c r="D302" s="233" t="s">
        <v>309</v>
      </c>
      <c r="E302" s="233" t="s">
        <v>198</v>
      </c>
      <c r="F302" s="234">
        <v>436</v>
      </c>
      <c r="G302" s="233" t="s">
        <v>142</v>
      </c>
      <c r="H302" s="242">
        <v>137030</v>
      </c>
      <c r="I302" s="233" t="s">
        <v>233</v>
      </c>
      <c r="J302" s="264">
        <f t="shared" si="70"/>
        <v>59.745080000000002</v>
      </c>
      <c r="K302" s="270">
        <v>4.9289691000000007</v>
      </c>
      <c r="L302" s="307">
        <v>0.01</v>
      </c>
      <c r="M302" s="307">
        <v>0</v>
      </c>
      <c r="N302" s="224"/>
      <c r="O302" s="224" t="s">
        <v>486</v>
      </c>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24"/>
      <c r="AL302" s="224"/>
      <c r="AM302" s="224"/>
    </row>
    <row r="303" spans="1:39" ht="11.25" customHeight="1" x14ac:dyDescent="0.2">
      <c r="A303" s="224"/>
      <c r="B303" s="232"/>
      <c r="C303" s="233" t="s">
        <v>310</v>
      </c>
      <c r="D303" s="233" t="s">
        <v>311</v>
      </c>
      <c r="E303" s="233" t="s">
        <v>198</v>
      </c>
      <c r="F303" s="234">
        <v>19260</v>
      </c>
      <c r="G303" s="233" t="s">
        <v>142</v>
      </c>
      <c r="H303" s="242">
        <v>137030</v>
      </c>
      <c r="I303" s="233" t="s">
        <v>233</v>
      </c>
      <c r="J303" s="264">
        <f t="shared" si="70"/>
        <v>2639.1977999999999</v>
      </c>
      <c r="K303" s="270">
        <v>217.73381849999998</v>
      </c>
      <c r="L303" s="307">
        <v>0</v>
      </c>
      <c r="M303" s="307">
        <v>0</v>
      </c>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c r="AJ303" s="224"/>
      <c r="AK303" s="224"/>
      <c r="AL303" s="224"/>
      <c r="AM303" s="224"/>
    </row>
    <row r="304" spans="1:39" ht="11.25" customHeight="1" x14ac:dyDescent="0.2">
      <c r="A304" s="224"/>
      <c r="B304" s="232"/>
      <c r="C304" s="233"/>
      <c r="D304" s="233"/>
      <c r="E304" s="233"/>
      <c r="F304" s="233"/>
      <c r="G304" s="233"/>
      <c r="H304" s="233"/>
      <c r="I304" s="233"/>
      <c r="J304" s="242"/>
      <c r="K304" s="233"/>
      <c r="L304" s="233"/>
      <c r="M304" s="235"/>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c r="AJ304" s="224"/>
      <c r="AK304" s="224"/>
      <c r="AL304" s="224"/>
      <c r="AM304" s="224"/>
    </row>
    <row r="305" spans="1:39" ht="11.25" customHeight="1" x14ac:dyDescent="0.2">
      <c r="A305" s="224"/>
      <c r="B305" s="236"/>
      <c r="C305" s="238"/>
      <c r="D305" s="238"/>
      <c r="E305" s="238"/>
      <c r="F305" s="238"/>
      <c r="G305" s="238"/>
      <c r="H305" s="238"/>
      <c r="I305" s="238"/>
      <c r="J305" s="238"/>
      <c r="K305" s="238"/>
      <c r="L305" s="238"/>
      <c r="M305" s="241"/>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24"/>
      <c r="AL305" s="224"/>
      <c r="AM305" s="224"/>
    </row>
    <row r="306" spans="1:39" ht="11.25" customHeight="1" x14ac:dyDescent="0.2">
      <c r="A306" s="224"/>
      <c r="B306" s="232"/>
      <c r="C306" s="233"/>
      <c r="D306" s="233"/>
      <c r="E306" s="233"/>
      <c r="F306" s="233"/>
      <c r="G306" s="233"/>
      <c r="H306" s="233"/>
      <c r="I306" s="233"/>
      <c r="J306" s="233"/>
      <c r="K306" s="233"/>
      <c r="L306" s="233"/>
      <c r="M306" s="235"/>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c r="AJ306" s="224"/>
      <c r="AK306" s="224"/>
      <c r="AL306" s="224"/>
      <c r="AM306" s="224"/>
    </row>
    <row r="307" spans="1:39" ht="11.25" customHeight="1" x14ac:dyDescent="0.2">
      <c r="A307" s="224"/>
      <c r="B307" s="232" t="s">
        <v>487</v>
      </c>
      <c r="C307" s="265" t="s">
        <v>488</v>
      </c>
      <c r="D307" s="233"/>
      <c r="E307" s="233" t="s">
        <v>447</v>
      </c>
      <c r="F307" s="242"/>
      <c r="G307" s="233" t="s">
        <v>142</v>
      </c>
      <c r="H307" s="242">
        <v>91333</v>
      </c>
      <c r="I307" s="233" t="s">
        <v>233</v>
      </c>
      <c r="J307" s="242">
        <f>F307*H307/1000000</f>
        <v>0</v>
      </c>
      <c r="K307" s="242">
        <v>6.2</v>
      </c>
      <c r="L307" s="242">
        <v>0</v>
      </c>
      <c r="M307" s="335">
        <v>0</v>
      </c>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c r="AJ307" s="224"/>
      <c r="AK307" s="224"/>
      <c r="AL307" s="224"/>
      <c r="AM307" s="224"/>
    </row>
    <row r="308" spans="1:39" ht="11.25" customHeight="1" x14ac:dyDescent="0.2">
      <c r="A308" s="224"/>
      <c r="B308" s="232"/>
      <c r="C308" s="265"/>
      <c r="D308" s="233"/>
      <c r="E308" s="233"/>
      <c r="F308" s="242"/>
      <c r="G308" s="233"/>
      <c r="H308" s="242"/>
      <c r="I308" s="233"/>
      <c r="J308" s="242"/>
      <c r="K308" s="242"/>
      <c r="L308" s="242"/>
      <c r="M308" s="335"/>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c r="AJ308" s="224"/>
      <c r="AK308" s="224"/>
      <c r="AL308" s="224"/>
      <c r="AM308" s="224"/>
    </row>
    <row r="309" spans="1:39" ht="11.25" customHeight="1" x14ac:dyDescent="0.2">
      <c r="A309" s="224"/>
      <c r="B309" s="236"/>
      <c r="C309" s="238"/>
      <c r="D309" s="238"/>
      <c r="E309" s="238"/>
      <c r="F309" s="238"/>
      <c r="G309" s="238"/>
      <c r="H309" s="238"/>
      <c r="I309" s="238"/>
      <c r="J309" s="239"/>
      <c r="K309" s="239"/>
      <c r="L309" s="239"/>
      <c r="M309" s="336"/>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4"/>
      <c r="AL309" s="224"/>
      <c r="AM309" s="224"/>
    </row>
    <row r="310" spans="1:39" ht="11.25" customHeight="1" x14ac:dyDescent="0.2">
      <c r="A310" s="224"/>
      <c r="B310" s="232" t="s">
        <v>374</v>
      </c>
      <c r="C310" s="265" t="s">
        <v>489</v>
      </c>
      <c r="D310" s="233"/>
      <c r="E310" s="233"/>
      <c r="F310" s="233"/>
      <c r="G310" s="233"/>
      <c r="H310" s="233"/>
      <c r="I310" s="233"/>
      <c r="J310" s="242"/>
      <c r="K310" s="242"/>
      <c r="L310" s="242"/>
      <c r="M310" s="335"/>
      <c r="N310" s="224"/>
      <c r="O310" s="224" t="s">
        <v>490</v>
      </c>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row>
    <row r="311" spans="1:39" ht="11.25" customHeight="1" x14ac:dyDescent="0.2">
      <c r="A311" s="224"/>
      <c r="B311" s="232"/>
      <c r="C311" s="233" t="s">
        <v>376</v>
      </c>
      <c r="D311" s="233" t="s">
        <v>377</v>
      </c>
      <c r="E311" s="233" t="s">
        <v>336</v>
      </c>
      <c r="F311" s="234">
        <f>211*1000000</f>
        <v>211000000</v>
      </c>
      <c r="G311" s="233" t="s">
        <v>332</v>
      </c>
      <c r="H311" s="242">
        <v>1045</v>
      </c>
      <c r="I311" s="233" t="s">
        <v>347</v>
      </c>
      <c r="J311" s="243">
        <f>F311*H311/1000000</f>
        <v>220495</v>
      </c>
      <c r="K311" s="234">
        <v>13102</v>
      </c>
      <c r="L311" s="272">
        <v>0</v>
      </c>
      <c r="M311" s="337">
        <v>0</v>
      </c>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c r="AJ311" s="224"/>
      <c r="AK311" s="224"/>
      <c r="AL311" s="224"/>
      <c r="AM311" s="224"/>
    </row>
    <row r="312" spans="1:39" ht="11.25" customHeight="1" x14ac:dyDescent="0.2">
      <c r="A312" s="224"/>
      <c r="B312" s="338"/>
      <c r="C312" s="339"/>
      <c r="D312" s="339"/>
      <c r="E312" s="339"/>
      <c r="F312" s="339"/>
      <c r="G312" s="339"/>
      <c r="H312" s="339"/>
      <c r="I312" s="339"/>
      <c r="J312" s="339"/>
      <c r="K312" s="339"/>
      <c r="L312" s="339"/>
      <c r="M312" s="340"/>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24"/>
      <c r="AL312" s="224"/>
      <c r="AM312" s="224"/>
    </row>
    <row r="313" spans="1:39" ht="11.25" customHeight="1" x14ac:dyDescent="0.2">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row>
    <row r="314" spans="1:39" ht="11.25" customHeight="1" x14ac:dyDescent="0.2">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c r="AJ314" s="224"/>
      <c r="AK314" s="224"/>
      <c r="AL314" s="224"/>
      <c r="AM314" s="224"/>
    </row>
    <row r="315" spans="1:39" ht="11.25" customHeight="1" x14ac:dyDescent="0.2">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c r="AI315" s="224"/>
      <c r="AJ315" s="224"/>
      <c r="AK315" s="224"/>
      <c r="AL315" s="224"/>
      <c r="AM315" s="224"/>
    </row>
    <row r="316" spans="1:39" ht="11.25" customHeight="1" x14ac:dyDescent="0.2">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row>
    <row r="317" spans="1:39" ht="11.25" customHeight="1" x14ac:dyDescent="0.2">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c r="AI317" s="224"/>
      <c r="AJ317" s="224"/>
      <c r="AK317" s="224"/>
      <c r="AL317" s="224"/>
      <c r="AM317" s="224"/>
    </row>
    <row r="318" spans="1:39" ht="11.25" customHeight="1" x14ac:dyDescent="0.2">
      <c r="A318" s="224"/>
      <c r="B318" s="224"/>
      <c r="C318" s="224"/>
      <c r="D318" s="224"/>
      <c r="E318" s="224"/>
      <c r="F318" s="224"/>
      <c r="G318" s="224"/>
      <c r="H318" s="224"/>
      <c r="I318" s="224"/>
      <c r="J318" s="341" t="s">
        <v>491</v>
      </c>
      <c r="K318" s="342">
        <f t="shared" ref="K318:M318" si="71">K311+K307+K303+K302+K301+K300+K299+K298+K297+K296+K291+K290+K289+K288+K283+K282+K281+K280+K275+K274+K273+K272+K271+K270+K269+K268+K263+K262+K261+K260+K259+K258+K257+K256+K255+K254+K249+K248+K247+K246+K245+K240+K239+K238+K237+K232+K231+K230+K229+K228+K227+K226+K225+K220+K216+K209+K208+K207+K206+K205+K204+K203+K201+K197+K189+K185+K178+K176+K172+K168+K161+K156+K154+K145+K143+K141+K139+K133+K131+K129+K127+K125+K118+K116+K112+K108+K104+K97+K90+K89+K88+K86+K82+K78+K74+K70+K68+K66+K61+K56+K50+K42+K40+K38+K36+K31+K24++K20+K13+K11+K9</f>
        <v>20961533.4104078</v>
      </c>
      <c r="L318" s="342">
        <f t="shared" si="71"/>
        <v>1600.9910638331996</v>
      </c>
      <c r="M318" s="342">
        <f t="shared" si="71"/>
        <v>434.91871233431476</v>
      </c>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c r="AI318" s="224"/>
      <c r="AJ318" s="224"/>
      <c r="AK318" s="224"/>
      <c r="AL318" s="224"/>
      <c r="AM318" s="224"/>
    </row>
    <row r="319" spans="1:39" ht="11.25" customHeight="1" x14ac:dyDescent="0.2">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row>
    <row r="320" spans="1:39" ht="11.25" customHeight="1" x14ac:dyDescent="0.2">
      <c r="A320" s="224"/>
      <c r="B320" s="224"/>
      <c r="C320" s="224"/>
      <c r="D320" s="224"/>
      <c r="E320" s="224"/>
      <c r="F320" s="224"/>
      <c r="G320" s="224"/>
      <c r="H320" s="224"/>
      <c r="I320" s="224"/>
      <c r="J320" s="341" t="s">
        <v>492</v>
      </c>
      <c r="K320" s="334">
        <f t="shared" ref="K320:M320" si="72">K318*0.907184/1000000</f>
        <v>19.015967725387391</v>
      </c>
      <c r="L320" s="343">
        <f t="shared" si="72"/>
        <v>1.4523934772524573E-3</v>
      </c>
      <c r="M320" s="334">
        <f t="shared" si="72"/>
        <v>3.9455129713029301E-4</v>
      </c>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c r="AJ320" s="224"/>
      <c r="AK320" s="224"/>
      <c r="AL320" s="224"/>
      <c r="AM320" s="224"/>
    </row>
    <row r="321" spans="1:39" ht="11.25" customHeight="1" x14ac:dyDescent="0.2">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c r="AJ321" s="224"/>
      <c r="AK321" s="224"/>
      <c r="AL321" s="224"/>
      <c r="AM321" s="224"/>
    </row>
    <row r="322" spans="1:39" ht="11.25" customHeight="1" x14ac:dyDescent="0.2"/>
    <row r="323" spans="1:39" ht="11.25" customHeight="1" x14ac:dyDescent="0.2">
      <c r="J323" s="344" t="s">
        <v>493</v>
      </c>
      <c r="K323" s="345">
        <f>K320</f>
        <v>19.015967725387391</v>
      </c>
      <c r="L323" s="346">
        <f>L320*21</f>
        <v>3.0500263022301605E-2</v>
      </c>
      <c r="M323" s="347">
        <f>M320*310</f>
        <v>0.12231090211039083</v>
      </c>
    </row>
    <row r="324" spans="1:39" ht="11.25" customHeight="1" x14ac:dyDescent="0.2"/>
    <row r="325" spans="1:39" ht="11.25" customHeight="1" x14ac:dyDescent="0.2"/>
    <row r="326" spans="1:39" ht="11.25" customHeight="1" x14ac:dyDescent="0.2"/>
    <row r="327" spans="1:39" ht="11.25" customHeight="1" x14ac:dyDescent="0.2"/>
    <row r="328" spans="1:39" ht="11.25" customHeight="1" x14ac:dyDescent="0.2"/>
    <row r="329" spans="1:39" ht="11.25" customHeight="1" x14ac:dyDescent="0.2"/>
    <row r="330" spans="1:39" ht="11.25" customHeight="1" x14ac:dyDescent="0.2"/>
    <row r="331" spans="1:39" ht="11.25" customHeight="1" x14ac:dyDescent="0.2"/>
    <row r="332" spans="1:39" ht="11.25" customHeight="1" x14ac:dyDescent="0.2"/>
    <row r="333" spans="1:39" ht="11.25" customHeight="1" x14ac:dyDescent="0.2"/>
    <row r="334" spans="1:39" ht="11.25" customHeight="1" x14ac:dyDescent="0.2"/>
    <row r="335" spans="1:39" ht="11.25" customHeight="1" x14ac:dyDescent="0.2"/>
    <row r="336" spans="1:39"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88m7fEGY052hAMXWIba5tIaKeAh/aQ2u3MYtUCbmpvjNpzuRVfyy+mIzxlof43jlyquWBWGzq/1QROghfUyxzg==" saltValue="/HzneCElDnpAhheXG4cfTw==" spinCount="100000" sheet="1" objects="1" scenarios="1"/>
  <mergeCells count="1">
    <mergeCell ref="O67:Q67"/>
  </mergeCells>
  <printOptions gridLines="1"/>
  <pageMargins left="0.2" right="0.2" top="0.24" bottom="0.23" header="0" footer="0"/>
  <pageSetup orientation="landscape"/>
  <rowBreaks count="2" manualBreakCount="2">
    <brk id="162" man="1"/>
    <brk id="99" man="1"/>
  </rowBreak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5"/>
  <sheetViews>
    <sheetView workbookViewId="0"/>
  </sheetViews>
  <sheetFormatPr defaultColWidth="16.83203125" defaultRowHeight="15" customHeight="1" x14ac:dyDescent="0.2"/>
  <cols>
    <col min="1" max="1" width="8.83203125" customWidth="1"/>
    <col min="2" max="2" width="11.6640625" customWidth="1"/>
    <col min="3" max="3" width="33.33203125" customWidth="1"/>
    <col min="4" max="4" width="16.5" customWidth="1"/>
    <col min="5" max="7" width="16.1640625" customWidth="1"/>
    <col min="8" max="8" width="20.6640625" customWidth="1"/>
    <col min="9" max="9" width="18" customWidth="1"/>
    <col min="10" max="10" width="12.1640625" customWidth="1"/>
    <col min="11" max="11" width="15.6640625" customWidth="1"/>
    <col min="12" max="26" width="8.83203125" customWidth="1"/>
  </cols>
  <sheetData>
    <row r="1" spans="1:26" ht="21" x14ac:dyDescent="0.4">
      <c r="A1" s="9" t="s">
        <v>494</v>
      </c>
      <c r="B1" s="10"/>
      <c r="C1" s="10"/>
      <c r="D1" s="10"/>
      <c r="E1" s="10"/>
      <c r="F1" s="10"/>
      <c r="G1" s="10"/>
      <c r="H1" s="10"/>
      <c r="I1" s="10"/>
      <c r="J1" s="10"/>
      <c r="K1" s="10"/>
      <c r="L1" s="10"/>
      <c r="M1" s="10"/>
      <c r="N1" s="10"/>
      <c r="O1" s="10"/>
      <c r="P1" s="10"/>
      <c r="Q1" s="10"/>
      <c r="R1" s="10"/>
      <c r="S1" s="10"/>
      <c r="T1" s="10"/>
      <c r="U1" s="10"/>
      <c r="V1" s="10"/>
      <c r="W1" s="10"/>
      <c r="X1" s="10"/>
      <c r="Y1" s="10"/>
      <c r="Z1" s="10"/>
    </row>
    <row r="2" spans="1:26" ht="156" customHeight="1" x14ac:dyDescent="0.2">
      <c r="A2" s="10"/>
      <c r="B2" s="10"/>
      <c r="C2" s="10"/>
      <c r="D2" s="10"/>
      <c r="E2" s="10"/>
      <c r="F2" s="10"/>
      <c r="G2" s="10"/>
      <c r="H2" s="10"/>
      <c r="I2" s="10"/>
      <c r="J2" s="10"/>
      <c r="K2" s="10"/>
      <c r="L2" s="10"/>
      <c r="M2" s="10"/>
      <c r="N2" s="10"/>
      <c r="O2" s="10"/>
      <c r="P2" s="10"/>
      <c r="Q2" s="10"/>
      <c r="R2" s="10"/>
      <c r="S2" s="10"/>
      <c r="T2" s="10"/>
      <c r="U2" s="10"/>
      <c r="V2" s="10"/>
      <c r="W2" s="10"/>
      <c r="X2" s="10"/>
      <c r="Y2" s="10"/>
      <c r="Z2" s="10"/>
    </row>
    <row r="3" spans="1:26" ht="12.75" x14ac:dyDescent="0.2">
      <c r="A3" s="10"/>
      <c r="B3" s="11"/>
      <c r="C3" s="10"/>
      <c r="D3" s="10"/>
      <c r="E3" s="10"/>
      <c r="F3" s="10"/>
      <c r="G3" s="10"/>
      <c r="H3" s="10"/>
      <c r="I3" s="10"/>
      <c r="J3" s="10"/>
      <c r="K3" s="10"/>
      <c r="L3" s="10"/>
      <c r="M3" s="10"/>
      <c r="N3" s="10"/>
      <c r="O3" s="10"/>
      <c r="P3" s="10"/>
      <c r="Q3" s="10"/>
      <c r="R3" s="10"/>
      <c r="S3" s="10"/>
      <c r="T3" s="10"/>
      <c r="U3" s="10"/>
      <c r="V3" s="10"/>
      <c r="W3" s="10"/>
      <c r="X3" s="10"/>
      <c r="Y3" s="10"/>
      <c r="Z3" s="10"/>
    </row>
    <row r="4" spans="1:26" x14ac:dyDescent="0.25">
      <c r="A4" s="2"/>
      <c r="B4" s="2"/>
      <c r="C4" s="2"/>
      <c r="D4" s="2"/>
      <c r="E4" s="2"/>
      <c r="F4" s="2"/>
      <c r="G4" s="2505" t="s">
        <v>495</v>
      </c>
      <c r="H4" s="2504"/>
      <c r="I4" s="2504"/>
      <c r="J4" s="2504"/>
      <c r="K4" s="349"/>
      <c r="L4" s="2"/>
      <c r="M4" s="2"/>
    </row>
    <row r="5" spans="1:26" ht="18" x14ac:dyDescent="0.35">
      <c r="A5" s="2"/>
      <c r="B5" s="2"/>
      <c r="C5" s="350" t="s">
        <v>496</v>
      </c>
      <c r="D5" s="2"/>
      <c r="E5" s="2"/>
      <c r="F5" s="351" t="s">
        <v>497</v>
      </c>
      <c r="G5" s="352" t="s">
        <v>498</v>
      </c>
      <c r="H5" s="352" t="s">
        <v>498</v>
      </c>
      <c r="I5" s="352" t="s">
        <v>498</v>
      </c>
      <c r="J5" s="352" t="s">
        <v>498</v>
      </c>
      <c r="K5" s="353" t="s">
        <v>498</v>
      </c>
      <c r="L5" s="2"/>
      <c r="M5" s="2"/>
    </row>
    <row r="6" spans="1:26" ht="18" x14ac:dyDescent="0.35">
      <c r="A6" s="2"/>
      <c r="B6" s="2"/>
      <c r="C6" s="348"/>
      <c r="D6" s="2"/>
      <c r="E6" s="2"/>
      <c r="F6" s="354" t="s">
        <v>499</v>
      </c>
      <c r="G6" s="355">
        <v>1.0999999999999999E-2</v>
      </c>
      <c r="H6" s="355">
        <v>3.0000000000000001E-3</v>
      </c>
      <c r="I6" s="355">
        <v>3.0000000000000001E-3</v>
      </c>
      <c r="J6" s="355">
        <v>1E-3</v>
      </c>
      <c r="K6" s="356">
        <v>3.2000000000000001E-2</v>
      </c>
      <c r="L6" s="2"/>
      <c r="M6" s="2"/>
    </row>
    <row r="7" spans="1:26" ht="18" x14ac:dyDescent="0.35">
      <c r="A7" s="2"/>
      <c r="B7" s="2"/>
      <c r="C7" s="348"/>
      <c r="D7" s="2"/>
      <c r="E7" s="2"/>
      <c r="F7" s="354" t="s">
        <v>500</v>
      </c>
      <c r="G7" s="355">
        <v>1.6000000000000001E-3</v>
      </c>
      <c r="H7" s="355">
        <v>5.9999999999999995E-4</v>
      </c>
      <c r="I7" s="355">
        <v>6.0000000000000001E-3</v>
      </c>
      <c r="J7" s="355">
        <v>1E-3</v>
      </c>
      <c r="K7" s="357">
        <v>4.1999999999999997E-3</v>
      </c>
      <c r="L7" s="2"/>
      <c r="M7" s="2"/>
    </row>
    <row r="8" spans="1:26" x14ac:dyDescent="0.25">
      <c r="A8" s="2"/>
      <c r="B8" s="2"/>
      <c r="C8" s="2"/>
      <c r="D8" s="2"/>
      <c r="E8" s="2"/>
      <c r="F8" s="358"/>
      <c r="G8" s="359" t="s">
        <v>89</v>
      </c>
      <c r="H8" s="359" t="s">
        <v>501</v>
      </c>
      <c r="I8" s="359" t="s">
        <v>502</v>
      </c>
      <c r="J8" s="359" t="s">
        <v>336</v>
      </c>
      <c r="K8" s="360" t="s">
        <v>503</v>
      </c>
      <c r="L8" s="2"/>
      <c r="M8" s="2"/>
    </row>
    <row r="9" spans="1:26" x14ac:dyDescent="0.25">
      <c r="A9" s="2"/>
      <c r="B9" s="2"/>
      <c r="C9" s="2"/>
      <c r="D9" s="2"/>
      <c r="E9" s="2"/>
      <c r="F9" s="2"/>
      <c r="G9" s="348"/>
      <c r="H9" s="348"/>
      <c r="I9" s="348"/>
      <c r="J9" s="348"/>
      <c r="K9" s="348"/>
      <c r="L9" s="2"/>
      <c r="M9" s="2"/>
    </row>
    <row r="10" spans="1:26" x14ac:dyDescent="0.25">
      <c r="A10" s="2"/>
      <c r="B10" s="2"/>
      <c r="C10" s="2"/>
      <c r="D10" s="2"/>
      <c r="E10" s="2"/>
      <c r="F10" s="2"/>
      <c r="G10" s="2"/>
      <c r="H10" s="2"/>
      <c r="I10" s="2"/>
      <c r="J10" s="2"/>
      <c r="K10" s="2"/>
      <c r="L10" s="2"/>
      <c r="M10" s="2"/>
    </row>
    <row r="11" spans="1:26" x14ac:dyDescent="0.25">
      <c r="A11" s="2"/>
      <c r="B11" s="361"/>
      <c r="C11" s="362"/>
      <c r="D11" s="2506">
        <v>2014</v>
      </c>
      <c r="E11" s="2507"/>
      <c r="F11" s="2507"/>
      <c r="G11" s="2507"/>
      <c r="H11" s="2508"/>
      <c r="I11" s="363" t="s">
        <v>393</v>
      </c>
      <c r="J11" s="364" t="s">
        <v>504</v>
      </c>
      <c r="K11" s="365" t="s">
        <v>505</v>
      </c>
      <c r="L11" s="2"/>
      <c r="M11" s="2"/>
    </row>
    <row r="12" spans="1:26" x14ac:dyDescent="0.25">
      <c r="A12" s="2"/>
      <c r="B12" s="366"/>
      <c r="C12" s="367"/>
      <c r="D12" s="368" t="s">
        <v>89</v>
      </c>
      <c r="E12" s="368" t="s">
        <v>506</v>
      </c>
      <c r="F12" s="368" t="s">
        <v>507</v>
      </c>
      <c r="G12" s="369" t="s">
        <v>503</v>
      </c>
      <c r="H12" s="369" t="s">
        <v>508</v>
      </c>
      <c r="I12" s="370"/>
      <c r="J12" s="371"/>
      <c r="K12" s="372"/>
      <c r="L12" s="2"/>
      <c r="M12" s="2"/>
    </row>
    <row r="13" spans="1:26" ht="17.25" x14ac:dyDescent="0.25">
      <c r="A13" s="2"/>
      <c r="B13" s="373"/>
      <c r="C13" s="367"/>
      <c r="D13" s="374" t="s">
        <v>84</v>
      </c>
      <c r="E13" s="374" t="s">
        <v>509</v>
      </c>
      <c r="F13" s="374" t="s">
        <v>509</v>
      </c>
      <c r="G13" s="375" t="s">
        <v>84</v>
      </c>
      <c r="H13" s="375" t="s">
        <v>510</v>
      </c>
      <c r="I13" s="374"/>
      <c r="J13" s="374"/>
      <c r="K13" s="375"/>
      <c r="L13" s="2"/>
      <c r="M13" s="2"/>
    </row>
    <row r="14" spans="1:26" x14ac:dyDescent="0.25">
      <c r="A14" s="2"/>
      <c r="B14" s="376"/>
      <c r="C14" s="377" t="s">
        <v>511</v>
      </c>
      <c r="D14" s="378">
        <v>83992</v>
      </c>
      <c r="E14" s="379">
        <v>0</v>
      </c>
      <c r="F14" s="378">
        <f>33800</f>
        <v>33800</v>
      </c>
      <c r="G14" s="379">
        <v>0</v>
      </c>
      <c r="H14" s="378">
        <f>147900000</f>
        <v>147900000</v>
      </c>
      <c r="I14" s="378"/>
      <c r="J14" s="380"/>
      <c r="K14" s="381"/>
      <c r="L14" s="2"/>
      <c r="M14" s="2"/>
    </row>
    <row r="15" spans="1:26" x14ac:dyDescent="0.25">
      <c r="A15" s="2"/>
      <c r="B15" s="382"/>
      <c r="C15" s="383" t="s">
        <v>512</v>
      </c>
      <c r="D15" s="384">
        <v>11373.97</v>
      </c>
      <c r="E15" s="384">
        <v>141324</v>
      </c>
      <c r="F15" s="384">
        <v>139377</v>
      </c>
      <c r="G15" s="385">
        <v>4643</v>
      </c>
      <c r="H15" s="384">
        <v>1052.29</v>
      </c>
      <c r="I15" s="384"/>
      <c r="J15" s="386"/>
      <c r="K15" s="387"/>
      <c r="L15" s="2"/>
      <c r="M15" s="2"/>
    </row>
    <row r="16" spans="1:26" x14ac:dyDescent="0.25">
      <c r="A16" s="2"/>
      <c r="B16" s="388"/>
      <c r="C16" s="389" t="s">
        <v>513</v>
      </c>
      <c r="D16" s="390">
        <f>+D14*D15*2000/1000000</f>
        <v>1910644.9764799997</v>
      </c>
      <c r="E16" s="391">
        <f t="shared" ref="E16:F16" si="0">+E14*E15/1000000</f>
        <v>0</v>
      </c>
      <c r="F16" s="392">
        <f t="shared" si="0"/>
        <v>4710.9426000000003</v>
      </c>
      <c r="G16" s="393">
        <f>+G14*G15*2000/1000000</f>
        <v>0</v>
      </c>
      <c r="H16" s="392">
        <f>+H14*H15/1000000</f>
        <v>155633.69099999999</v>
      </c>
      <c r="I16" s="392">
        <f>SUM(D16:H16)</f>
        <v>2070989.6100799995</v>
      </c>
      <c r="J16" s="394"/>
      <c r="K16" s="395"/>
      <c r="L16" s="2"/>
      <c r="M16" s="2"/>
    </row>
    <row r="17" spans="1:13" x14ac:dyDescent="0.25">
      <c r="A17" s="2"/>
      <c r="B17" s="396"/>
      <c r="C17" s="397"/>
      <c r="D17" s="396"/>
      <c r="E17" s="396"/>
      <c r="F17" s="396"/>
      <c r="G17" s="396"/>
      <c r="H17" s="396"/>
      <c r="I17" s="396"/>
      <c r="J17" s="398"/>
      <c r="K17" s="399"/>
      <c r="L17" s="2"/>
      <c r="M17" s="2"/>
    </row>
    <row r="18" spans="1:13" x14ac:dyDescent="0.25">
      <c r="A18" s="2"/>
      <c r="B18" s="366"/>
      <c r="C18" s="366"/>
      <c r="D18" s="400"/>
      <c r="E18" s="400"/>
      <c r="F18" s="400"/>
      <c r="G18" s="401"/>
      <c r="H18" s="400"/>
      <c r="I18" s="400"/>
      <c r="J18" s="400"/>
      <c r="K18" s="402"/>
      <c r="L18" s="2"/>
      <c r="M18" s="2"/>
    </row>
    <row r="19" spans="1:13" ht="18" x14ac:dyDescent="0.35">
      <c r="A19" s="2"/>
      <c r="B19" s="366"/>
      <c r="C19" s="403" t="s">
        <v>514</v>
      </c>
      <c r="D19" s="404">
        <f t="shared" ref="D19:D21" si="1">(+D$16/I$16)*K19</f>
        <v>188351.56559385269</v>
      </c>
      <c r="E19" s="405">
        <f t="shared" ref="E19:E21" si="2">(+E$16/I$16)*K19</f>
        <v>0</v>
      </c>
      <c r="F19" s="406">
        <f t="shared" ref="F19:F21" si="3">(+F$16/I$16)*K19</f>
        <v>464.40517472140812</v>
      </c>
      <c r="G19" s="405">
        <f t="shared" ref="G19:G21" si="4">(+G$16/I$16)*K19</f>
        <v>0</v>
      </c>
      <c r="H19" s="406">
        <f t="shared" ref="H19:H21" si="5">(+H$16/I$16)*K19</f>
        <v>15342.384231425922</v>
      </c>
      <c r="I19" s="406">
        <v>800621</v>
      </c>
      <c r="J19" s="406">
        <v>0.255</v>
      </c>
      <c r="K19" s="407">
        <f t="shared" ref="K19:K21" si="6">I19*J19</f>
        <v>204158.35500000001</v>
      </c>
      <c r="L19" s="2"/>
      <c r="M19" s="2"/>
    </row>
    <row r="20" spans="1:13" ht="18" x14ac:dyDescent="0.35">
      <c r="A20" s="2"/>
      <c r="B20" s="408" t="s">
        <v>515</v>
      </c>
      <c r="C20" s="409" t="s">
        <v>516</v>
      </c>
      <c r="D20" s="410">
        <f t="shared" si="1"/>
        <v>22.471733248971496</v>
      </c>
      <c r="E20" s="6">
        <f t="shared" si="2"/>
        <v>0</v>
      </c>
      <c r="F20" s="411">
        <f t="shared" si="3"/>
        <v>5.5406968202668806E-2</v>
      </c>
      <c r="G20" s="6">
        <f t="shared" si="4"/>
        <v>0</v>
      </c>
      <c r="H20" s="411">
        <f t="shared" si="5"/>
        <v>1.8304597828258362</v>
      </c>
      <c r="I20" s="411">
        <v>95.52</v>
      </c>
      <c r="J20" s="411">
        <v>0.255</v>
      </c>
      <c r="K20" s="412">
        <f t="shared" si="6"/>
        <v>24.357599999999998</v>
      </c>
      <c r="L20" s="2"/>
      <c r="M20" s="2"/>
    </row>
    <row r="21" spans="1:13" ht="18" x14ac:dyDescent="0.35">
      <c r="A21" s="2"/>
      <c r="B21" s="373"/>
      <c r="C21" s="413" t="s">
        <v>517</v>
      </c>
      <c r="D21" s="414">
        <f t="shared" si="1"/>
        <v>3.265364923531453</v>
      </c>
      <c r="E21" s="415">
        <f t="shared" si="2"/>
        <v>0</v>
      </c>
      <c r="F21" s="416">
        <f t="shared" si="3"/>
        <v>8.0511800529003679E-3</v>
      </c>
      <c r="G21" s="415">
        <f t="shared" si="4"/>
        <v>0</v>
      </c>
      <c r="H21" s="416">
        <f t="shared" si="5"/>
        <v>0.26598389641564707</v>
      </c>
      <c r="I21" s="416">
        <v>13.88</v>
      </c>
      <c r="J21" s="416">
        <v>0.255</v>
      </c>
      <c r="K21" s="417">
        <f t="shared" si="6"/>
        <v>3.5394000000000001</v>
      </c>
      <c r="L21" s="2"/>
      <c r="M21" s="2"/>
    </row>
    <row r="22" spans="1:13" x14ac:dyDescent="0.25">
      <c r="A22" s="2"/>
      <c r="B22" s="366"/>
      <c r="C22" s="418"/>
      <c r="D22" s="419"/>
      <c r="E22" s="420"/>
      <c r="F22" s="419"/>
      <c r="G22" s="420"/>
      <c r="H22" s="419"/>
      <c r="I22" s="419"/>
      <c r="J22" s="419"/>
      <c r="K22" s="419"/>
      <c r="L22" s="2"/>
      <c r="M22" s="2"/>
    </row>
    <row r="23" spans="1:13" ht="18" x14ac:dyDescent="0.35">
      <c r="A23" s="2"/>
      <c r="B23" s="421"/>
      <c r="C23" s="403" t="s">
        <v>518</v>
      </c>
      <c r="D23" s="406">
        <f t="shared" ref="D23:D25" si="7">(+D$16/I$16)*K23</f>
        <v>543634.32265519828</v>
      </c>
      <c r="E23" s="405">
        <f t="shared" ref="E23:E25" si="8">(+E$16/I$16)*K23</f>
        <v>0</v>
      </c>
      <c r="F23" s="406">
        <f t="shared" ref="F23:F25" si="9">(+F$16/I$16)*K23</f>
        <v>1340.4008180194367</v>
      </c>
      <c r="G23" s="405">
        <f t="shared" ref="G23:G25" si="10">(+G$16/I$16)*K23</f>
        <v>0</v>
      </c>
      <c r="H23" s="406">
        <f t="shared" ref="H23:H25" si="11">(+H$16/I$16)*K23</f>
        <v>44282.332526782266</v>
      </c>
      <c r="I23" s="406">
        <v>800621</v>
      </c>
      <c r="J23" s="406">
        <v>0.73599999999999999</v>
      </c>
      <c r="K23" s="406">
        <f t="shared" ref="K23:K25" si="12">I23*J23</f>
        <v>589257.05599999998</v>
      </c>
      <c r="L23" s="2"/>
      <c r="M23" s="2"/>
    </row>
    <row r="24" spans="1:13" ht="18" x14ac:dyDescent="0.35">
      <c r="A24" s="2"/>
      <c r="B24" s="408" t="s">
        <v>519</v>
      </c>
      <c r="C24" s="422" t="s">
        <v>520</v>
      </c>
      <c r="D24" s="411">
        <f t="shared" si="7"/>
        <v>64.859590867619687</v>
      </c>
      <c r="E24" s="6">
        <f t="shared" si="8"/>
        <v>0</v>
      </c>
      <c r="F24" s="411">
        <f t="shared" si="9"/>
        <v>0.15991971998887936</v>
      </c>
      <c r="G24" s="6">
        <f t="shared" si="10"/>
        <v>0</v>
      </c>
      <c r="H24" s="411">
        <f t="shared" si="11"/>
        <v>5.2832094123914333</v>
      </c>
      <c r="I24" s="411">
        <v>95.52</v>
      </c>
      <c r="J24" s="411">
        <v>0.73599999999999999</v>
      </c>
      <c r="K24" s="411">
        <f t="shared" si="12"/>
        <v>70.302719999999994</v>
      </c>
      <c r="L24" s="2"/>
      <c r="M24" s="2"/>
    </row>
    <row r="25" spans="1:13" ht="18" x14ac:dyDescent="0.35">
      <c r="A25" s="2"/>
      <c r="B25" s="373"/>
      <c r="C25" s="423" t="s">
        <v>521</v>
      </c>
      <c r="D25" s="416">
        <f t="shared" si="7"/>
        <v>9.4247395439966652</v>
      </c>
      <c r="E25" s="415">
        <f t="shared" si="8"/>
        <v>0</v>
      </c>
      <c r="F25" s="416">
        <f t="shared" si="9"/>
        <v>2.3237915760528121E-2</v>
      </c>
      <c r="G25" s="415">
        <f t="shared" si="10"/>
        <v>0</v>
      </c>
      <c r="H25" s="416">
        <f t="shared" si="11"/>
        <v>0.76770254024280893</v>
      </c>
      <c r="I25" s="416">
        <v>13.88</v>
      </c>
      <c r="J25" s="416">
        <v>0.73599999999999999</v>
      </c>
      <c r="K25" s="416">
        <f t="shared" si="12"/>
        <v>10.215680000000001</v>
      </c>
      <c r="L25" s="2"/>
      <c r="M25" s="2"/>
    </row>
    <row r="26" spans="1:13" x14ac:dyDescent="0.25">
      <c r="A26" s="2"/>
      <c r="B26" s="366"/>
      <c r="C26" s="366"/>
      <c r="D26" s="424"/>
      <c r="E26" s="425"/>
      <c r="F26" s="426"/>
      <c r="G26" s="425"/>
      <c r="H26" s="426"/>
      <c r="I26" s="426"/>
      <c r="J26" s="426"/>
      <c r="K26" s="427"/>
      <c r="L26" s="2"/>
      <c r="M26" s="2"/>
    </row>
    <row r="27" spans="1:13" ht="18" x14ac:dyDescent="0.35">
      <c r="A27" s="2"/>
      <c r="B27" s="361"/>
      <c r="C27" s="428" t="s">
        <v>522</v>
      </c>
      <c r="D27" s="429">
        <f t="shared" ref="D27:D29" si="13">(+D$16/I$16)*K27</f>
        <v>6647.7023150771529</v>
      </c>
      <c r="E27" s="430">
        <f t="shared" ref="E27:E29" si="14">(+E$16/I$16)*K27</f>
        <v>0</v>
      </c>
      <c r="F27" s="429">
        <f t="shared" ref="F27:F29" si="15">(+F$16/I$16)*K27</f>
        <v>16.390770872520285</v>
      </c>
      <c r="G27" s="430">
        <f t="shared" ref="G27:G29" si="16">(+G$16/I$16)*K27</f>
        <v>0</v>
      </c>
      <c r="H27" s="429">
        <f t="shared" ref="H27:H29" si="17">(+H$16/I$16)*K27</f>
        <v>541.49591405032652</v>
      </c>
      <c r="I27" s="429">
        <v>800621</v>
      </c>
      <c r="J27" s="429">
        <v>8.9999999999999993E-3</v>
      </c>
      <c r="K27" s="429">
        <f t="shared" ref="K27:K29" si="18">I27*J27</f>
        <v>7205.588999999999</v>
      </c>
      <c r="L27" s="2"/>
      <c r="M27" s="431"/>
    </row>
    <row r="28" spans="1:13" ht="18" x14ac:dyDescent="0.35">
      <c r="A28" s="2"/>
      <c r="B28" s="408" t="s">
        <v>523</v>
      </c>
      <c r="C28" s="422" t="s">
        <v>524</v>
      </c>
      <c r="D28" s="411">
        <f t="shared" si="13"/>
        <v>0.79311999702252334</v>
      </c>
      <c r="E28" s="6">
        <f t="shared" si="14"/>
        <v>0</v>
      </c>
      <c r="F28" s="411">
        <f t="shared" si="15"/>
        <v>1.9555400542118398E-3</v>
      </c>
      <c r="G28" s="6">
        <f t="shared" si="16"/>
        <v>0</v>
      </c>
      <c r="H28" s="411">
        <f t="shared" si="17"/>
        <v>6.4604462923264813E-2</v>
      </c>
      <c r="I28" s="411">
        <v>95.52</v>
      </c>
      <c r="J28" s="411">
        <v>8.9999999999999993E-3</v>
      </c>
      <c r="K28" s="411">
        <f t="shared" si="18"/>
        <v>0.85967999999999989</v>
      </c>
      <c r="L28" s="2"/>
      <c r="M28" s="2"/>
    </row>
    <row r="29" spans="1:13" ht="18" x14ac:dyDescent="0.35">
      <c r="A29" s="2"/>
      <c r="B29" s="373"/>
      <c r="C29" s="423" t="s">
        <v>525</v>
      </c>
      <c r="D29" s="416">
        <f t="shared" si="13"/>
        <v>0.11524817377169834</v>
      </c>
      <c r="E29" s="415">
        <f t="shared" si="14"/>
        <v>0</v>
      </c>
      <c r="F29" s="416">
        <f t="shared" si="15"/>
        <v>2.8415929598471886E-4</v>
      </c>
      <c r="G29" s="415">
        <f t="shared" si="16"/>
        <v>0</v>
      </c>
      <c r="H29" s="416">
        <f t="shared" si="17"/>
        <v>9.3876669323169556E-3</v>
      </c>
      <c r="I29" s="416">
        <v>13.88</v>
      </c>
      <c r="J29" s="416">
        <v>8.9999999999999993E-3</v>
      </c>
      <c r="K29" s="416">
        <f t="shared" si="18"/>
        <v>0.12492</v>
      </c>
      <c r="L29" s="2"/>
      <c r="M29" s="2"/>
    </row>
    <row r="30" spans="1:13" x14ac:dyDescent="0.25">
      <c r="A30" s="2"/>
      <c r="B30" s="432"/>
      <c r="C30" s="433"/>
      <c r="D30" s="434"/>
      <c r="E30" s="434"/>
      <c r="F30" s="434"/>
      <c r="G30" s="434"/>
      <c r="H30" s="434"/>
      <c r="I30" s="434"/>
      <c r="J30" s="434"/>
      <c r="K30" s="435"/>
      <c r="L30" s="2"/>
      <c r="M30" s="2"/>
    </row>
    <row r="31" spans="1:13" x14ac:dyDescent="0.25">
      <c r="A31" s="2"/>
      <c r="B31" s="2"/>
      <c r="C31" s="2"/>
      <c r="D31" s="2"/>
      <c r="E31" s="2"/>
      <c r="F31" s="2"/>
      <c r="G31" s="2"/>
      <c r="H31" s="2"/>
      <c r="I31" s="2"/>
      <c r="J31" s="2"/>
      <c r="K31" s="2"/>
      <c r="L31" s="2"/>
      <c r="M31" s="2"/>
    </row>
    <row r="32" spans="1:13" x14ac:dyDescent="0.25">
      <c r="A32" s="2"/>
      <c r="B32" s="2"/>
      <c r="C32" s="2"/>
      <c r="D32" s="2"/>
      <c r="E32" s="2"/>
      <c r="F32" s="2"/>
      <c r="G32" s="2"/>
      <c r="H32" s="2"/>
      <c r="I32" s="2"/>
      <c r="J32" s="2"/>
      <c r="K32" s="2"/>
      <c r="L32" s="2"/>
      <c r="M32" s="2"/>
    </row>
    <row r="33" spans="1:13" x14ac:dyDescent="0.25">
      <c r="A33" s="2"/>
      <c r="B33" s="2"/>
      <c r="C33" s="2"/>
      <c r="D33" s="2"/>
      <c r="E33" s="2"/>
      <c r="F33" s="2"/>
      <c r="G33" s="2"/>
      <c r="H33" s="2"/>
      <c r="I33" s="2"/>
      <c r="J33" s="2"/>
      <c r="L33" s="2"/>
      <c r="M33" s="2"/>
    </row>
    <row r="34" spans="1:13" ht="18" x14ac:dyDescent="0.35">
      <c r="A34" s="2"/>
      <c r="B34" s="2"/>
      <c r="C34" s="436"/>
      <c r="D34" s="437" t="s">
        <v>383</v>
      </c>
      <c r="E34" s="437" t="s">
        <v>526</v>
      </c>
      <c r="F34" s="437" t="s">
        <v>527</v>
      </c>
      <c r="G34" s="438" t="s">
        <v>528</v>
      </c>
      <c r="H34" s="439"/>
      <c r="I34" s="2501" t="s">
        <v>0</v>
      </c>
      <c r="J34" s="2502"/>
      <c r="K34" s="2"/>
      <c r="L34" s="2"/>
      <c r="M34" s="2"/>
    </row>
    <row r="35" spans="1:13" ht="18" x14ac:dyDescent="0.35">
      <c r="A35" s="2"/>
      <c r="B35" s="2"/>
      <c r="C35" s="440"/>
      <c r="D35" s="441"/>
      <c r="E35" s="441" t="s">
        <v>388</v>
      </c>
      <c r="F35" s="441" t="s">
        <v>389</v>
      </c>
      <c r="G35" s="442" t="s">
        <v>529</v>
      </c>
      <c r="H35" s="439"/>
      <c r="I35" s="198"/>
      <c r="J35" s="198"/>
      <c r="K35" s="2"/>
      <c r="L35" s="2"/>
      <c r="M35" s="2"/>
    </row>
    <row r="36" spans="1:13" x14ac:dyDescent="0.25">
      <c r="A36" s="2"/>
      <c r="B36" s="2"/>
      <c r="C36" s="443"/>
      <c r="D36" s="444"/>
      <c r="E36" s="444"/>
      <c r="F36" s="444"/>
      <c r="G36" s="445"/>
      <c r="H36" s="439"/>
      <c r="I36" s="200" t="s">
        <v>4</v>
      </c>
      <c r="J36" s="201">
        <f>'Summ GHG Rpt Expanded'!G4</f>
        <v>1</v>
      </c>
      <c r="K36" s="2"/>
      <c r="L36" s="2"/>
      <c r="M36" s="2"/>
    </row>
    <row r="37" spans="1:13" x14ac:dyDescent="0.25">
      <c r="A37" s="2"/>
      <c r="B37" s="2"/>
      <c r="C37" s="446" t="s">
        <v>89</v>
      </c>
      <c r="D37" s="447">
        <f>+D16+G16</f>
        <v>1910644.9764799997</v>
      </c>
      <c r="E37" s="447">
        <f>+D19+G19+D23+G23+D27+G27</f>
        <v>738633.59056412813</v>
      </c>
      <c r="F37" s="447">
        <f>E37*0.907184</f>
        <v>670076.57522232796</v>
      </c>
      <c r="G37" s="448">
        <f>F37/1000000</f>
        <v>0.670076575222328</v>
      </c>
      <c r="H37" s="449"/>
      <c r="I37" s="200" t="s">
        <v>5</v>
      </c>
      <c r="J37" s="201">
        <f>'Summ GHG Rpt Expanded'!G5</f>
        <v>28</v>
      </c>
      <c r="K37" s="2"/>
      <c r="L37" s="2"/>
      <c r="M37" s="2"/>
    </row>
    <row r="38" spans="1:13" x14ac:dyDescent="0.25">
      <c r="A38" s="2"/>
      <c r="B38" s="2"/>
      <c r="C38" s="446"/>
      <c r="D38" s="450"/>
      <c r="E38" s="450"/>
      <c r="F38" s="447"/>
      <c r="G38" s="448"/>
      <c r="H38" s="449"/>
      <c r="I38" s="200" t="s">
        <v>6</v>
      </c>
      <c r="J38" s="201">
        <f>'Summ GHG Rpt Expanded'!G6</f>
        <v>265</v>
      </c>
      <c r="K38" s="2"/>
      <c r="L38" s="2"/>
      <c r="M38" s="2"/>
    </row>
    <row r="39" spans="1:13" x14ac:dyDescent="0.25">
      <c r="A39" s="2"/>
      <c r="B39" s="2"/>
      <c r="C39" s="446" t="s">
        <v>392</v>
      </c>
      <c r="D39" s="447">
        <f>+E16+F16</f>
        <v>4710.9426000000003</v>
      </c>
      <c r="E39" s="447">
        <f>+E19+F19+E23+F23+E27+F27</f>
        <v>1821.1967636133652</v>
      </c>
      <c r="F39" s="447">
        <f>E39*0.907184</f>
        <v>1652.1605648018271</v>
      </c>
      <c r="G39" s="448">
        <f>F39/1000000</f>
        <v>1.6521605648018272E-3</v>
      </c>
      <c r="H39" s="449"/>
      <c r="I39" s="200" t="s">
        <v>7</v>
      </c>
      <c r="J39" s="202">
        <f>'Summ GHG Rpt Expanded'!G7</f>
        <v>23500</v>
      </c>
      <c r="K39" s="2"/>
      <c r="L39" s="2"/>
      <c r="M39" s="2"/>
    </row>
    <row r="40" spans="1:13" x14ac:dyDescent="0.25">
      <c r="A40" s="2"/>
      <c r="B40" s="2"/>
      <c r="C40" s="446"/>
      <c r="D40" s="450"/>
      <c r="E40" s="450"/>
      <c r="F40" s="447"/>
      <c r="G40" s="448"/>
      <c r="H40" s="449"/>
      <c r="I40" s="200" t="s">
        <v>8</v>
      </c>
      <c r="J40" s="202">
        <f>'Summ GHG Rpt Expanded'!G8</f>
        <v>11100</v>
      </c>
      <c r="K40" s="2"/>
      <c r="L40" s="2"/>
      <c r="M40" s="2"/>
    </row>
    <row r="41" spans="1:13" x14ac:dyDescent="0.25">
      <c r="A41" s="2"/>
      <c r="B41" s="2"/>
      <c r="C41" s="446" t="s">
        <v>331</v>
      </c>
      <c r="D41" s="447">
        <f>+H16</f>
        <v>155633.69099999999</v>
      </c>
      <c r="E41" s="447">
        <f>+H19+H23+H27</f>
        <v>60166.212672258516</v>
      </c>
      <c r="F41" s="447">
        <f>E41*0.907184</f>
        <v>54581.825476870166</v>
      </c>
      <c r="G41" s="448">
        <f>F41/1000000</f>
        <v>5.4581825476870169E-2</v>
      </c>
      <c r="H41" s="449"/>
      <c r="I41" s="2"/>
      <c r="J41" s="2"/>
      <c r="K41" s="2"/>
      <c r="L41" s="2"/>
      <c r="M41" s="2"/>
    </row>
    <row r="42" spans="1:13" x14ac:dyDescent="0.25">
      <c r="A42" s="2"/>
      <c r="B42" s="2"/>
      <c r="C42" s="451"/>
      <c r="D42" s="452"/>
      <c r="E42" s="452"/>
      <c r="F42" s="453"/>
      <c r="G42" s="454"/>
      <c r="H42" s="455"/>
      <c r="I42" s="2"/>
      <c r="J42" s="2"/>
      <c r="K42" s="2"/>
      <c r="L42" s="2"/>
      <c r="M42" s="2"/>
    </row>
    <row r="43" spans="1:13" x14ac:dyDescent="0.25">
      <c r="A43" s="2"/>
      <c r="B43" s="2"/>
      <c r="C43" s="456" t="s">
        <v>393</v>
      </c>
      <c r="D43" s="457">
        <f t="shared" ref="D43:G43" si="19">SUM(D37:D42)</f>
        <v>2070989.6100799995</v>
      </c>
      <c r="E43" s="457">
        <f t="shared" si="19"/>
        <v>800621</v>
      </c>
      <c r="F43" s="457">
        <f t="shared" si="19"/>
        <v>726310.5612639999</v>
      </c>
      <c r="G43" s="458">
        <f t="shared" si="19"/>
        <v>0.72631056126399995</v>
      </c>
      <c r="H43" s="459"/>
      <c r="I43" s="2"/>
      <c r="J43" s="2"/>
      <c r="K43" s="2"/>
      <c r="L43" s="2"/>
      <c r="M43" s="2"/>
    </row>
    <row r="44" spans="1:13" x14ac:dyDescent="0.25">
      <c r="A44" s="2"/>
      <c r="B44" s="2"/>
      <c r="C44" s="460"/>
      <c r="D44" s="461"/>
      <c r="E44" s="461"/>
      <c r="F44" s="461"/>
      <c r="G44" s="462"/>
      <c r="H44" s="463"/>
      <c r="I44" s="2"/>
      <c r="J44" s="2"/>
      <c r="K44" s="2"/>
      <c r="L44" s="2"/>
      <c r="M44" s="2"/>
    </row>
    <row r="45" spans="1:13" x14ac:dyDescent="0.25">
      <c r="A45" s="2"/>
      <c r="B45" s="2"/>
      <c r="C45" s="2"/>
      <c r="D45" s="2"/>
      <c r="E45" s="2"/>
      <c r="F45" s="2"/>
      <c r="G45" s="464"/>
      <c r="H45" s="2"/>
      <c r="I45" s="2"/>
      <c r="J45" s="2"/>
      <c r="K45" s="2"/>
      <c r="L45" s="2"/>
      <c r="M45" s="2"/>
    </row>
    <row r="46" spans="1:13" x14ac:dyDescent="0.25">
      <c r="A46" s="2"/>
      <c r="B46" s="2"/>
      <c r="C46" s="2"/>
      <c r="D46" s="2"/>
      <c r="E46" s="2"/>
      <c r="F46" s="2"/>
      <c r="G46" s="2"/>
      <c r="H46" s="2"/>
      <c r="I46" s="2"/>
      <c r="J46" s="2"/>
      <c r="K46" s="2"/>
      <c r="L46" s="2"/>
      <c r="M46" s="2"/>
    </row>
    <row r="47" spans="1:13" x14ac:dyDescent="0.25">
      <c r="A47" s="2"/>
      <c r="B47" s="2"/>
      <c r="C47" s="2"/>
      <c r="D47" s="2"/>
      <c r="E47" s="2"/>
      <c r="F47" s="2"/>
      <c r="G47" s="465"/>
      <c r="H47" s="2"/>
      <c r="I47" s="2"/>
      <c r="J47" s="2"/>
      <c r="K47" s="2"/>
      <c r="L47" s="2"/>
      <c r="M47" s="2"/>
    </row>
    <row r="48" spans="1:13" ht="18" x14ac:dyDescent="0.35">
      <c r="A48" s="2"/>
      <c r="B48" s="2"/>
      <c r="C48" s="436"/>
      <c r="D48" s="437" t="s">
        <v>383</v>
      </c>
      <c r="E48" s="437" t="s">
        <v>530</v>
      </c>
      <c r="F48" s="437" t="s">
        <v>531</v>
      </c>
      <c r="G48" s="438" t="s">
        <v>532</v>
      </c>
      <c r="H48" s="439"/>
      <c r="I48" s="2"/>
      <c r="J48" s="2"/>
      <c r="K48" s="2"/>
      <c r="L48" s="2"/>
      <c r="M48" s="2"/>
    </row>
    <row r="49" spans="1:13" ht="18" x14ac:dyDescent="0.35">
      <c r="A49" s="2"/>
      <c r="B49" s="2"/>
      <c r="C49" s="440"/>
      <c r="D49" s="441"/>
      <c r="E49" s="441" t="s">
        <v>388</v>
      </c>
      <c r="F49" s="441" t="s">
        <v>389</v>
      </c>
      <c r="G49" s="442" t="s">
        <v>533</v>
      </c>
      <c r="H49" s="439"/>
      <c r="I49" s="2509" t="s">
        <v>449</v>
      </c>
      <c r="J49" s="2504"/>
      <c r="K49" s="2504"/>
      <c r="L49" s="2"/>
      <c r="M49" s="2"/>
    </row>
    <row r="50" spans="1:13" ht="15.75" x14ac:dyDescent="0.3">
      <c r="A50" s="2"/>
      <c r="B50" s="2"/>
      <c r="C50" s="467"/>
      <c r="D50" s="444"/>
      <c r="E50" s="444"/>
      <c r="F50" s="444"/>
      <c r="G50" s="445"/>
      <c r="H50" s="439"/>
      <c r="I50" s="466" t="s">
        <v>534</v>
      </c>
      <c r="J50" s="468">
        <v>1</v>
      </c>
      <c r="K50" s="284"/>
      <c r="L50" s="2"/>
      <c r="M50" s="2"/>
    </row>
    <row r="51" spans="1:13" ht="15.75" x14ac:dyDescent="0.3">
      <c r="A51" s="2"/>
      <c r="B51" s="2"/>
      <c r="C51" s="469" t="s">
        <v>89</v>
      </c>
      <c r="D51" s="447">
        <f>+D16+G16</f>
        <v>1910644.9764799997</v>
      </c>
      <c r="E51" s="470">
        <f>+D20+G20+D24+G24+D28+G28</f>
        <v>88.12444411361372</v>
      </c>
      <c r="F51" s="450">
        <f>E51*0.907184</f>
        <v>79.945085708764552</v>
      </c>
      <c r="G51" s="471">
        <f>(+F51*$J$37)/1000000</f>
        <v>2.2384623998454077E-3</v>
      </c>
      <c r="H51" s="472"/>
      <c r="I51" s="466" t="s">
        <v>535</v>
      </c>
      <c r="J51" s="468">
        <v>21</v>
      </c>
      <c r="K51" s="284"/>
      <c r="L51" s="2"/>
      <c r="M51" s="2"/>
    </row>
    <row r="52" spans="1:13" ht="15.75" x14ac:dyDescent="0.3">
      <c r="A52" s="2"/>
      <c r="B52" s="2"/>
      <c r="C52" s="469"/>
      <c r="D52" s="450"/>
      <c r="E52" s="450"/>
      <c r="F52" s="447"/>
      <c r="G52" s="471"/>
      <c r="H52" s="472"/>
      <c r="I52" s="466" t="s">
        <v>536</v>
      </c>
      <c r="J52" s="468">
        <v>310</v>
      </c>
      <c r="K52" s="284"/>
      <c r="L52" s="2"/>
      <c r="M52" s="2"/>
    </row>
    <row r="53" spans="1:13" x14ac:dyDescent="0.25">
      <c r="A53" s="2"/>
      <c r="B53" s="2"/>
      <c r="C53" s="469" t="s">
        <v>392</v>
      </c>
      <c r="D53" s="447">
        <f>+E16+F16</f>
        <v>4710.9426000000003</v>
      </c>
      <c r="E53" s="473">
        <f>+E20+F20+E24+F24+E28+F28</f>
        <v>0.21728222824575999</v>
      </c>
      <c r="F53" s="450">
        <f>E53*0.907184</f>
        <v>0.19711496094890152</v>
      </c>
      <c r="G53" s="471">
        <f>(+F53*$J$37)/1000000</f>
        <v>5.5192189065692419E-6</v>
      </c>
      <c r="H53" s="472"/>
      <c r="I53" s="284"/>
      <c r="J53" s="284"/>
      <c r="K53" s="284"/>
      <c r="L53" s="2"/>
      <c r="M53" s="2"/>
    </row>
    <row r="54" spans="1:13" x14ac:dyDescent="0.25">
      <c r="A54" s="2"/>
      <c r="B54" s="2"/>
      <c r="C54" s="469"/>
      <c r="D54" s="450"/>
      <c r="E54" s="450"/>
      <c r="F54" s="450"/>
      <c r="G54" s="471"/>
      <c r="H54" s="472"/>
      <c r="I54" s="2"/>
      <c r="J54" s="2"/>
      <c r="K54" s="2"/>
      <c r="L54" s="2"/>
      <c r="M54" s="2"/>
    </row>
    <row r="55" spans="1:13" x14ac:dyDescent="0.25">
      <c r="A55" s="2"/>
      <c r="B55" s="2"/>
      <c r="C55" s="469" t="s">
        <v>331</v>
      </c>
      <c r="D55" s="447">
        <f>+H16</f>
        <v>155633.69099999999</v>
      </c>
      <c r="E55" s="470">
        <f>+H20+H24+H28</f>
        <v>7.1782736581405349</v>
      </c>
      <c r="F55" s="450">
        <f>E55*0.907184</f>
        <v>6.5120150102865626</v>
      </c>
      <c r="G55" s="471">
        <f>(+F55*$J$37)/1000000</f>
        <v>1.8233642028802377E-4</v>
      </c>
      <c r="H55" s="472"/>
      <c r="I55" s="2"/>
      <c r="J55" s="2"/>
      <c r="K55" s="2"/>
      <c r="L55" s="2"/>
      <c r="M55" s="2"/>
    </row>
    <row r="56" spans="1:13" x14ac:dyDescent="0.25">
      <c r="A56" s="2"/>
      <c r="B56" s="2"/>
      <c r="C56" s="469"/>
      <c r="D56" s="450"/>
      <c r="E56" s="450"/>
      <c r="F56" s="450"/>
      <c r="G56" s="471"/>
      <c r="H56" s="455"/>
      <c r="I56" s="2"/>
      <c r="J56" s="2"/>
      <c r="K56" s="2"/>
      <c r="L56" s="2"/>
      <c r="M56" s="2"/>
    </row>
    <row r="57" spans="1:13" x14ac:dyDescent="0.25">
      <c r="A57" s="2"/>
      <c r="B57" s="2"/>
      <c r="C57" s="463" t="s">
        <v>393</v>
      </c>
      <c r="D57" s="447">
        <f t="shared" ref="D57:G57" si="20">SUM(D51:D56)</f>
        <v>2070989.6100799995</v>
      </c>
      <c r="E57" s="470">
        <f t="shared" si="20"/>
        <v>95.520000000000024</v>
      </c>
      <c r="F57" s="450">
        <f t="shared" si="20"/>
        <v>86.654215680000007</v>
      </c>
      <c r="G57" s="471">
        <f t="shared" si="20"/>
        <v>2.4263180390400011E-3</v>
      </c>
      <c r="H57" s="455"/>
      <c r="I57" s="2"/>
      <c r="J57" s="2"/>
      <c r="K57" s="2"/>
      <c r="L57" s="2"/>
      <c r="M57" s="2"/>
    </row>
    <row r="58" spans="1:13" x14ac:dyDescent="0.25">
      <c r="A58" s="2"/>
      <c r="B58" s="2"/>
      <c r="C58" s="474"/>
      <c r="D58" s="475"/>
      <c r="E58" s="475"/>
      <c r="F58" s="475"/>
      <c r="G58" s="476"/>
      <c r="H58" s="463"/>
      <c r="I58" s="2"/>
      <c r="J58" s="2"/>
      <c r="K58" s="2"/>
      <c r="L58" s="2"/>
      <c r="M58" s="2"/>
    </row>
    <row r="59" spans="1:13" x14ac:dyDescent="0.25">
      <c r="A59" s="2"/>
      <c r="B59" s="2"/>
      <c r="C59" s="2"/>
      <c r="D59" s="2"/>
      <c r="E59" s="2"/>
      <c r="F59" s="2"/>
      <c r="G59" s="464"/>
      <c r="H59" s="2"/>
      <c r="I59" s="2"/>
      <c r="J59" s="2"/>
      <c r="K59" s="2"/>
      <c r="L59" s="2"/>
      <c r="M59" s="2"/>
    </row>
    <row r="60" spans="1:13" x14ac:dyDescent="0.25">
      <c r="A60" s="2"/>
      <c r="B60" s="2"/>
      <c r="C60" s="2"/>
      <c r="D60" s="2"/>
      <c r="E60" s="2"/>
      <c r="F60" s="2"/>
      <c r="G60" s="465"/>
      <c r="H60" s="2"/>
      <c r="I60" s="2"/>
      <c r="J60" s="2"/>
      <c r="K60" s="2"/>
      <c r="L60" s="2"/>
      <c r="M60" s="2"/>
    </row>
    <row r="61" spans="1:13" ht="18" x14ac:dyDescent="0.35">
      <c r="A61" s="2"/>
      <c r="B61" s="2"/>
      <c r="C61" s="436"/>
      <c r="D61" s="437" t="s">
        <v>383</v>
      </c>
      <c r="E61" s="437" t="s">
        <v>537</v>
      </c>
      <c r="F61" s="437" t="s">
        <v>538</v>
      </c>
      <c r="G61" s="438" t="s">
        <v>539</v>
      </c>
      <c r="H61" s="439"/>
      <c r="I61" s="2"/>
      <c r="J61" s="2"/>
      <c r="K61" s="2"/>
      <c r="L61" s="2"/>
      <c r="M61" s="2"/>
    </row>
    <row r="62" spans="1:13" ht="18" x14ac:dyDescent="0.35">
      <c r="A62" s="2"/>
      <c r="B62" s="2"/>
      <c r="C62" s="440"/>
      <c r="D62" s="441"/>
      <c r="E62" s="441" t="s">
        <v>388</v>
      </c>
      <c r="F62" s="441" t="s">
        <v>389</v>
      </c>
      <c r="G62" s="442" t="s">
        <v>540</v>
      </c>
      <c r="H62" s="439"/>
      <c r="I62" s="2"/>
      <c r="J62" s="2"/>
      <c r="K62" s="2"/>
      <c r="L62" s="2"/>
      <c r="M62" s="2"/>
    </row>
    <row r="63" spans="1:13" x14ac:dyDescent="0.25">
      <c r="A63" s="2"/>
      <c r="B63" s="2"/>
      <c r="C63" s="443"/>
      <c r="D63" s="444"/>
      <c r="E63" s="444"/>
      <c r="F63" s="444"/>
      <c r="G63" s="445"/>
      <c r="H63" s="439"/>
      <c r="I63" s="2"/>
      <c r="J63" s="2"/>
      <c r="K63" s="2"/>
      <c r="L63" s="2"/>
      <c r="M63" s="2"/>
    </row>
    <row r="64" spans="1:13" x14ac:dyDescent="0.25">
      <c r="A64" s="2"/>
      <c r="B64" s="2"/>
      <c r="C64" s="446" t="s">
        <v>89</v>
      </c>
      <c r="D64" s="470">
        <f>+D16+G16</f>
        <v>1910644.9764799997</v>
      </c>
      <c r="E64" s="477">
        <f>+D21+G21+D25+G25+D29+G29</f>
        <v>12.805352641299818</v>
      </c>
      <c r="F64" s="477">
        <f>E64*0.907184</f>
        <v>11.616811030544934</v>
      </c>
      <c r="G64" s="478">
        <f>(+F64*$J$38)/1000000</f>
        <v>3.0784549230944078E-3</v>
      </c>
      <c r="H64" s="472"/>
      <c r="I64" s="2"/>
      <c r="J64" s="2"/>
      <c r="K64" s="2"/>
      <c r="L64" s="2"/>
      <c r="M64" s="2"/>
    </row>
    <row r="65" spans="1:13" x14ac:dyDescent="0.25">
      <c r="A65" s="2"/>
      <c r="B65" s="2"/>
      <c r="C65" s="446"/>
      <c r="D65" s="470"/>
      <c r="E65" s="477"/>
      <c r="F65" s="477"/>
      <c r="G65" s="478"/>
      <c r="H65" s="472"/>
      <c r="I65" s="2"/>
      <c r="J65" s="2"/>
      <c r="K65" s="2"/>
      <c r="L65" s="2"/>
      <c r="M65" s="2"/>
    </row>
    <row r="66" spans="1:13" x14ac:dyDescent="0.25">
      <c r="A66" s="2"/>
      <c r="B66" s="2"/>
      <c r="C66" s="446" t="s">
        <v>392</v>
      </c>
      <c r="D66" s="470">
        <f>+E16+F16</f>
        <v>4710.9426000000003</v>
      </c>
      <c r="E66" s="477">
        <f>+E21+F21+E25+F25+E29+F29</f>
        <v>3.1573255109413209E-2</v>
      </c>
      <c r="F66" s="477">
        <f>E66*0.907184</f>
        <v>2.8642751863177912E-2</v>
      </c>
      <c r="G66" s="478">
        <f>(+F66*$J$38)/1000000</f>
        <v>7.5903292437421468E-6</v>
      </c>
      <c r="H66" s="472"/>
      <c r="I66" s="2"/>
      <c r="J66" s="2"/>
      <c r="K66" s="2"/>
      <c r="L66" s="2"/>
      <c r="M66" s="2"/>
    </row>
    <row r="67" spans="1:13" x14ac:dyDescent="0.25">
      <c r="A67" s="2"/>
      <c r="B67" s="2"/>
      <c r="C67" s="446"/>
      <c r="D67" s="470"/>
      <c r="E67" s="477"/>
      <c r="F67" s="477"/>
      <c r="G67" s="478"/>
      <c r="H67" s="472"/>
      <c r="I67" s="2"/>
      <c r="J67" s="2"/>
      <c r="K67" s="2"/>
      <c r="L67" s="2"/>
      <c r="M67" s="2"/>
    </row>
    <row r="68" spans="1:13" x14ac:dyDescent="0.25">
      <c r="A68" s="2"/>
      <c r="B68" s="2"/>
      <c r="C68" s="446" t="s">
        <v>331</v>
      </c>
      <c r="D68" s="470">
        <f>+H16</f>
        <v>155633.69099999999</v>
      </c>
      <c r="E68" s="477">
        <f>+H21+H25+H29</f>
        <v>1.0430741035907729</v>
      </c>
      <c r="F68" s="477">
        <f>E68*0.907184</f>
        <v>0.94626013759189176</v>
      </c>
      <c r="G68" s="478">
        <f>(+F68*$J$38)/1000000</f>
        <v>2.5075893646185133E-4</v>
      </c>
      <c r="H68" s="472"/>
      <c r="I68" s="2"/>
      <c r="J68" s="2"/>
      <c r="K68" s="2"/>
      <c r="L68" s="2"/>
      <c r="M68" s="2"/>
    </row>
    <row r="69" spans="1:13" x14ac:dyDescent="0.25">
      <c r="A69" s="2"/>
      <c r="B69" s="2"/>
      <c r="C69" s="446"/>
      <c r="D69" s="470"/>
      <c r="E69" s="477"/>
      <c r="F69" s="477"/>
      <c r="G69" s="478"/>
      <c r="H69" s="455"/>
      <c r="I69" s="2"/>
      <c r="J69" s="2"/>
      <c r="K69" s="2"/>
      <c r="L69" s="2"/>
      <c r="M69" s="2"/>
    </row>
    <row r="70" spans="1:13" x14ac:dyDescent="0.25">
      <c r="A70" s="2"/>
      <c r="B70" s="2"/>
      <c r="C70" s="446" t="s">
        <v>393</v>
      </c>
      <c r="D70" s="447">
        <f t="shared" ref="D70:G70" si="21">SUM(D64:D69)</f>
        <v>2070989.6100799995</v>
      </c>
      <c r="E70" s="477">
        <f t="shared" si="21"/>
        <v>13.880000000000003</v>
      </c>
      <c r="F70" s="477">
        <f t="shared" si="21"/>
        <v>12.591713920000004</v>
      </c>
      <c r="G70" s="478">
        <f t="shared" si="21"/>
        <v>3.3368041888000013E-3</v>
      </c>
      <c r="H70" s="455"/>
      <c r="I70" s="2"/>
      <c r="J70" s="2"/>
      <c r="K70" s="2"/>
      <c r="L70" s="2"/>
      <c r="M70" s="2"/>
    </row>
    <row r="71" spans="1:13" x14ac:dyDescent="0.25">
      <c r="A71" s="2"/>
      <c r="B71" s="2"/>
      <c r="C71" s="479"/>
      <c r="D71" s="475"/>
      <c r="E71" s="475"/>
      <c r="F71" s="475"/>
      <c r="G71" s="476"/>
      <c r="H71" s="463"/>
      <c r="I71" s="2"/>
      <c r="J71" s="2"/>
      <c r="K71" s="2"/>
      <c r="L71" s="2"/>
      <c r="M71" s="2"/>
    </row>
    <row r="72" spans="1:13" x14ac:dyDescent="0.25">
      <c r="A72" s="2"/>
      <c r="B72" s="2"/>
      <c r="C72" s="2"/>
      <c r="D72" s="2"/>
      <c r="E72" s="2"/>
      <c r="F72" s="2"/>
      <c r="G72" s="464"/>
      <c r="H72" s="2"/>
      <c r="I72" s="2"/>
      <c r="J72" s="2"/>
      <c r="K72" s="2"/>
      <c r="L72" s="2"/>
      <c r="M72" s="2"/>
    </row>
    <row r="73" spans="1:13" x14ac:dyDescent="0.25">
      <c r="A73" s="2"/>
      <c r="B73" s="2"/>
      <c r="C73" s="2"/>
      <c r="D73" s="2"/>
      <c r="E73" s="2"/>
      <c r="F73" s="2"/>
      <c r="G73" s="2"/>
      <c r="H73" s="2"/>
      <c r="I73" s="2"/>
      <c r="J73" s="2"/>
      <c r="K73" s="2"/>
      <c r="L73" s="2"/>
      <c r="M73" s="2"/>
    </row>
    <row r="74" spans="1:13" x14ac:dyDescent="0.25">
      <c r="A74" s="2"/>
      <c r="B74" s="2"/>
      <c r="C74" s="2"/>
      <c r="D74" s="2"/>
      <c r="E74" s="2"/>
      <c r="F74" s="2"/>
      <c r="G74" s="2"/>
      <c r="H74" s="2"/>
      <c r="I74" s="2"/>
      <c r="J74" s="2"/>
      <c r="K74" s="2"/>
      <c r="L74" s="2"/>
      <c r="M74" s="2"/>
    </row>
    <row r="75" spans="1:13" x14ac:dyDescent="0.25">
      <c r="A75" s="2"/>
      <c r="B75" s="2"/>
      <c r="C75" s="2"/>
      <c r="D75" s="2"/>
      <c r="E75" s="2"/>
      <c r="F75" s="2"/>
      <c r="G75" s="2"/>
      <c r="H75" s="2"/>
      <c r="I75" s="2"/>
      <c r="J75" s="2"/>
      <c r="K75" s="2"/>
      <c r="L75" s="2"/>
      <c r="M75" s="2"/>
    </row>
  </sheetData>
  <sheetProtection algorithmName="SHA-512" hashValue="zdxpdHZwNNiYMFLqdJ3OluieKI2cG/HETWqo6IvAcc7CaTLaNA9wWeQe8Fqdp+KG49dGp2lJ46ZXSYT4OrHTSw==" saltValue="k7vNlTG+fOa2zMVlP+zXXA==" spinCount="100000" sheet="1" objects="1" scenarios="1"/>
  <mergeCells count="4">
    <mergeCell ref="G4:J4"/>
    <mergeCell ref="D11:H11"/>
    <mergeCell ref="I34:J34"/>
    <mergeCell ref="I49:K49"/>
  </mergeCells>
  <pageMargins left="0.25" right="0.25" top="0.75" bottom="0.25" header="0" footer="0"/>
  <pageSetup scale="90"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6.83203125" defaultRowHeight="15" customHeight="1" x14ac:dyDescent="0.2"/>
  <cols>
    <col min="1" max="1" width="2.6640625" customWidth="1"/>
    <col min="2" max="2" width="47.1640625" customWidth="1"/>
    <col min="3" max="3" width="17.5" customWidth="1"/>
    <col min="4" max="4" width="17.6640625" customWidth="1"/>
    <col min="5" max="5" width="25.33203125" customWidth="1"/>
    <col min="6" max="6" width="23.33203125" customWidth="1"/>
    <col min="7" max="7" width="18.5" customWidth="1"/>
    <col min="8" max="8" width="15.83203125" customWidth="1"/>
    <col min="9" max="9" width="14.6640625" customWidth="1"/>
    <col min="10" max="10" width="18.33203125" customWidth="1"/>
    <col min="11" max="11" width="15" customWidth="1"/>
    <col min="12" max="12" width="15.6640625" customWidth="1"/>
    <col min="13" max="13" width="15.33203125" customWidth="1"/>
    <col min="14" max="14" width="19.5" customWidth="1"/>
    <col min="15" max="15" width="16" customWidth="1"/>
    <col min="16" max="16" width="14.6640625" customWidth="1"/>
    <col min="17" max="17" width="21.5" customWidth="1"/>
    <col min="18" max="18" width="14.83203125" customWidth="1"/>
    <col min="19" max="19" width="14.33203125" customWidth="1"/>
    <col min="20" max="20" width="16" customWidth="1"/>
    <col min="21" max="21" width="14.83203125" customWidth="1"/>
    <col min="22" max="23" width="15.33203125" customWidth="1"/>
    <col min="24" max="26" width="8.83203125" customWidth="1"/>
  </cols>
  <sheetData>
    <row r="1" spans="1:26" ht="11.25" customHeight="1" x14ac:dyDescent="0.45">
      <c r="A1" s="9" t="s">
        <v>541</v>
      </c>
      <c r="B1" s="480"/>
      <c r="C1" s="481"/>
      <c r="D1" s="481"/>
      <c r="E1" s="481"/>
      <c r="F1" s="482"/>
      <c r="G1" s="481"/>
      <c r="H1" s="481"/>
      <c r="I1" s="481"/>
      <c r="J1" s="481"/>
      <c r="K1" s="481"/>
      <c r="L1" s="481"/>
      <c r="M1" s="481"/>
      <c r="N1" s="481"/>
      <c r="O1" s="481"/>
      <c r="P1" s="481"/>
      <c r="Q1" s="481"/>
      <c r="R1" s="481"/>
      <c r="S1" s="481"/>
      <c r="T1" s="481"/>
      <c r="U1" s="481"/>
      <c r="V1" s="481"/>
      <c r="W1" s="481"/>
      <c r="X1" s="481"/>
      <c r="Y1" s="481"/>
      <c r="Z1" s="481"/>
    </row>
    <row r="2" spans="1:26" ht="74.25" customHeight="1" x14ac:dyDescent="0.2"/>
    <row r="3" spans="1:26" ht="11.25" customHeight="1" x14ac:dyDescent="0.3">
      <c r="E3" s="483" t="s">
        <v>542</v>
      </c>
      <c r="F3" s="484"/>
      <c r="G3" s="485"/>
      <c r="H3" s="466"/>
    </row>
    <row r="4" spans="1:26" ht="11.25" customHeight="1" x14ac:dyDescent="0.3">
      <c r="E4" s="486"/>
    </row>
    <row r="5" spans="1:26" ht="11.25" customHeight="1" x14ac:dyDescent="0.3">
      <c r="B5" s="487"/>
      <c r="C5" s="488">
        <v>1994</v>
      </c>
      <c r="D5" s="488">
        <v>1995</v>
      </c>
      <c r="E5" s="488">
        <v>1996</v>
      </c>
      <c r="F5" s="488">
        <v>1997</v>
      </c>
      <c r="G5" s="488">
        <v>1998</v>
      </c>
      <c r="H5" s="488">
        <v>1999</v>
      </c>
      <c r="I5" s="488">
        <v>2000</v>
      </c>
      <c r="J5" s="488">
        <v>2001</v>
      </c>
      <c r="K5" s="488">
        <v>2002</v>
      </c>
      <c r="L5" s="488">
        <v>2003</v>
      </c>
      <c r="M5" s="488">
        <v>2004</v>
      </c>
      <c r="N5" s="488">
        <v>2005</v>
      </c>
      <c r="O5" s="488">
        <v>2006</v>
      </c>
      <c r="P5" s="489">
        <v>2007</v>
      </c>
      <c r="Q5" s="488">
        <v>2008</v>
      </c>
      <c r="R5" s="488">
        <v>2009</v>
      </c>
      <c r="S5" s="489">
        <v>2010</v>
      </c>
      <c r="T5" s="488">
        <v>2011</v>
      </c>
      <c r="U5" s="488">
        <v>2012</v>
      </c>
      <c r="V5" s="488">
        <v>2013</v>
      </c>
      <c r="W5" s="490">
        <v>2014</v>
      </c>
    </row>
    <row r="6" spans="1:26" ht="11.25" customHeight="1" x14ac:dyDescent="0.2">
      <c r="B6" s="491"/>
      <c r="C6" s="492"/>
      <c r="D6" s="492"/>
      <c r="E6" s="492"/>
      <c r="F6" s="492"/>
      <c r="G6" s="492"/>
      <c r="H6" s="493"/>
      <c r="I6" s="494"/>
      <c r="J6" s="494"/>
      <c r="K6" s="494"/>
      <c r="L6" s="494"/>
      <c r="M6" s="494"/>
      <c r="N6" s="494"/>
      <c r="O6" s="494"/>
      <c r="P6" s="494"/>
      <c r="Q6" s="494"/>
      <c r="R6" s="492"/>
      <c r="S6" s="492"/>
      <c r="T6" s="493"/>
      <c r="U6" s="492"/>
      <c r="V6" s="492"/>
      <c r="W6" s="495"/>
    </row>
    <row r="7" spans="1:26" ht="11.25" customHeight="1" x14ac:dyDescent="0.2">
      <c r="B7" s="496" t="s">
        <v>543</v>
      </c>
      <c r="C7" s="497"/>
      <c r="D7" s="497"/>
      <c r="E7" s="497"/>
      <c r="F7" s="497"/>
      <c r="G7" s="497"/>
      <c r="H7" s="498"/>
      <c r="I7" s="499">
        <v>11420038</v>
      </c>
      <c r="J7" s="500">
        <v>11135140</v>
      </c>
      <c r="K7" s="500">
        <v>11364983</v>
      </c>
      <c r="L7" s="500">
        <v>11852129</v>
      </c>
      <c r="M7" s="500">
        <v>11608446</v>
      </c>
      <c r="N7" s="500">
        <v>11745248.199999999</v>
      </c>
      <c r="O7" s="500">
        <v>11687602.6</v>
      </c>
      <c r="P7" s="500">
        <v>11937518</v>
      </c>
      <c r="Q7" s="500">
        <v>11098391</v>
      </c>
      <c r="R7" s="501">
        <v>9846698</v>
      </c>
      <c r="S7" s="501">
        <v>9885858</v>
      </c>
      <c r="T7" s="502">
        <v>9003261</v>
      </c>
      <c r="U7" s="501">
        <v>6981310</v>
      </c>
      <c r="V7" s="501">
        <v>6815969</v>
      </c>
      <c r="W7" s="503">
        <v>7450504</v>
      </c>
    </row>
    <row r="8" spans="1:26" ht="11.25" customHeight="1" x14ac:dyDescent="0.2">
      <c r="B8" s="496" t="s">
        <v>544</v>
      </c>
      <c r="C8" s="497"/>
      <c r="D8" s="497"/>
      <c r="E8" s="497"/>
      <c r="F8" s="497"/>
      <c r="G8" s="497"/>
      <c r="H8" s="498"/>
      <c r="I8" s="499">
        <v>4143417</v>
      </c>
      <c r="J8" s="500">
        <v>5514960</v>
      </c>
      <c r="K8" s="500">
        <v>4108104</v>
      </c>
      <c r="L8" s="500">
        <v>6164252</v>
      </c>
      <c r="M8" s="500">
        <v>5672819.25</v>
      </c>
      <c r="N8" s="500">
        <v>6574936.7400000002</v>
      </c>
      <c r="O8" s="500">
        <v>1050222.03</v>
      </c>
      <c r="P8" s="500">
        <v>1790746</v>
      </c>
      <c r="Q8" s="500">
        <v>791418</v>
      </c>
      <c r="R8" s="501">
        <v>624050</v>
      </c>
      <c r="S8" s="501">
        <v>658767</v>
      </c>
      <c r="T8" s="502">
        <v>438683</v>
      </c>
      <c r="U8" s="501">
        <v>408743</v>
      </c>
      <c r="V8" s="501">
        <v>544171</v>
      </c>
      <c r="W8" s="503">
        <v>1104782</v>
      </c>
    </row>
    <row r="9" spans="1:26" ht="11.25" customHeight="1" x14ac:dyDescent="0.2">
      <c r="B9" s="496" t="s">
        <v>545</v>
      </c>
      <c r="C9" s="497"/>
      <c r="D9" s="497"/>
      <c r="E9" s="497"/>
      <c r="F9" s="497"/>
      <c r="G9" s="497"/>
      <c r="H9" s="498"/>
      <c r="I9" s="499">
        <v>29023288</v>
      </c>
      <c r="J9" s="500">
        <v>17985486</v>
      </c>
      <c r="K9" s="500">
        <v>22627073</v>
      </c>
      <c r="L9" s="500">
        <v>11162538</v>
      </c>
      <c r="M9" s="500">
        <v>9994238.0399999991</v>
      </c>
      <c r="N9" s="500">
        <v>18619350</v>
      </c>
      <c r="O9" s="500">
        <v>16620796.5</v>
      </c>
      <c r="P9" s="500">
        <v>21481869</v>
      </c>
      <c r="Q9" s="500">
        <v>17563616</v>
      </c>
      <c r="R9" s="501">
        <v>15742992</v>
      </c>
      <c r="S9" s="501">
        <v>28629884</v>
      </c>
      <c r="T9" s="502">
        <v>21840074</v>
      </c>
      <c r="U9" s="501">
        <v>51188571</v>
      </c>
      <c r="V9" s="501">
        <v>27549022</v>
      </c>
      <c r="W9" s="503">
        <v>24337768</v>
      </c>
    </row>
    <row r="10" spans="1:26" ht="11.25" customHeight="1" x14ac:dyDescent="0.2">
      <c r="B10" s="504" t="s">
        <v>546</v>
      </c>
      <c r="C10" s="505"/>
      <c r="D10" s="505"/>
      <c r="E10" s="505"/>
      <c r="F10" s="505"/>
      <c r="G10" s="505"/>
      <c r="H10" s="506"/>
      <c r="I10" s="507">
        <v>758</v>
      </c>
      <c r="J10" s="508">
        <v>7537</v>
      </c>
      <c r="K10" s="508">
        <v>9278</v>
      </c>
      <c r="L10" s="508">
        <v>6717</v>
      </c>
      <c r="M10" s="508">
        <v>5127.03</v>
      </c>
      <c r="N10" s="508">
        <v>4266.24</v>
      </c>
      <c r="O10" s="508">
        <v>4141.3100000000004</v>
      </c>
      <c r="P10" s="508">
        <v>4703.42</v>
      </c>
      <c r="Q10" s="508">
        <v>4194.0200000000004</v>
      </c>
      <c r="R10" s="509">
        <v>3340</v>
      </c>
      <c r="S10" s="509">
        <v>2663</v>
      </c>
      <c r="T10" s="509">
        <v>1921</v>
      </c>
      <c r="U10" s="509">
        <v>1395</v>
      </c>
      <c r="V10" s="510">
        <v>0</v>
      </c>
      <c r="W10" s="511"/>
    </row>
    <row r="11" spans="1:26" ht="11.25" customHeight="1" x14ac:dyDescent="0.3">
      <c r="E11" s="486"/>
    </row>
    <row r="12" spans="1:26" ht="11.25" customHeight="1" x14ac:dyDescent="0.2"/>
    <row r="13" spans="1:26" ht="11.25" customHeight="1" x14ac:dyDescent="0.2"/>
    <row r="14" spans="1:26" ht="11.25" customHeight="1" x14ac:dyDescent="0.3">
      <c r="C14" s="512"/>
      <c r="D14" s="513"/>
      <c r="E14" s="483" t="s">
        <v>547</v>
      </c>
      <c r="F14" s="514"/>
      <c r="G14" s="513"/>
      <c r="H14" s="513"/>
      <c r="I14" s="513"/>
    </row>
    <row r="15" spans="1:26" ht="11.25" customHeight="1" x14ac:dyDescent="0.3">
      <c r="C15" s="512"/>
      <c r="D15" s="513"/>
      <c r="E15" s="513"/>
      <c r="F15" s="513"/>
      <c r="G15" s="513"/>
      <c r="H15" s="513"/>
      <c r="I15" s="513"/>
    </row>
    <row r="16" spans="1:26" ht="11.25" customHeight="1" x14ac:dyDescent="0.3">
      <c r="B16" s="487"/>
      <c r="C16" s="488">
        <v>1994</v>
      </c>
      <c r="D16" s="488">
        <v>1995</v>
      </c>
      <c r="E16" s="488">
        <v>1996</v>
      </c>
      <c r="F16" s="488">
        <v>1997</v>
      </c>
      <c r="G16" s="488">
        <v>1998</v>
      </c>
      <c r="H16" s="488">
        <v>1999</v>
      </c>
      <c r="I16" s="488">
        <v>2000</v>
      </c>
      <c r="J16" s="488">
        <v>2001</v>
      </c>
      <c r="K16" s="488">
        <v>2002</v>
      </c>
      <c r="L16" s="488">
        <v>2003</v>
      </c>
      <c r="M16" s="488">
        <v>2004</v>
      </c>
      <c r="N16" s="488">
        <v>2005</v>
      </c>
      <c r="O16" s="488">
        <v>2006</v>
      </c>
      <c r="P16" s="490">
        <v>2007</v>
      </c>
      <c r="Q16" s="488">
        <v>2008</v>
      </c>
      <c r="R16" s="488">
        <v>2009</v>
      </c>
      <c r="S16" s="489">
        <v>2010</v>
      </c>
      <c r="T16" s="488">
        <v>2011</v>
      </c>
      <c r="U16" s="488">
        <v>2012</v>
      </c>
      <c r="V16" s="488">
        <v>2013</v>
      </c>
      <c r="W16" s="490">
        <v>2014</v>
      </c>
    </row>
    <row r="17" spans="2:23" ht="11.25" customHeight="1" x14ac:dyDescent="0.2">
      <c r="B17" s="491" t="s">
        <v>89</v>
      </c>
      <c r="C17" s="515">
        <v>25624758</v>
      </c>
      <c r="D17" s="515">
        <v>27595256</v>
      </c>
      <c r="E17" s="515">
        <v>27992005</v>
      </c>
      <c r="F17" s="515">
        <v>27620925</v>
      </c>
      <c r="G17" s="515">
        <v>29294727</v>
      </c>
      <c r="H17" s="515">
        <v>29687655</v>
      </c>
      <c r="I17" s="515">
        <v>29451065</v>
      </c>
      <c r="J17" s="515">
        <v>28379409</v>
      </c>
      <c r="K17" s="515">
        <v>28712053</v>
      </c>
      <c r="L17" s="515">
        <v>29939086</v>
      </c>
      <c r="M17" s="515">
        <v>29195458</v>
      </c>
      <c r="N17" s="515">
        <v>29302792</v>
      </c>
      <c r="O17" s="515">
        <v>29408022</v>
      </c>
      <c r="P17" s="515">
        <v>29699186</v>
      </c>
      <c r="Q17" s="515">
        <v>27218239</v>
      </c>
      <c r="R17" s="516">
        <v>24162345</v>
      </c>
      <c r="S17" s="516">
        <v>23668204</v>
      </c>
      <c r="T17" s="516">
        <v>21186919</v>
      </c>
      <c r="U17" s="516">
        <v>16184773</v>
      </c>
      <c r="V17" s="516">
        <v>15538469</v>
      </c>
      <c r="W17" s="517">
        <v>17603291</v>
      </c>
    </row>
    <row r="18" spans="2:23" ht="11.25" customHeight="1" x14ac:dyDescent="0.2">
      <c r="B18" s="491" t="s">
        <v>392</v>
      </c>
      <c r="C18" s="515">
        <v>4275226</v>
      </c>
      <c r="D18" s="515">
        <v>1479469</v>
      </c>
      <c r="E18" s="515">
        <v>1472027</v>
      </c>
      <c r="F18" s="515">
        <v>1565010</v>
      </c>
      <c r="G18" s="515">
        <v>3454350</v>
      </c>
      <c r="H18" s="515">
        <v>4290788</v>
      </c>
      <c r="I18" s="515">
        <v>2388595</v>
      </c>
      <c r="J18" s="515">
        <v>3021639</v>
      </c>
      <c r="K18" s="515">
        <v>2282432</v>
      </c>
      <c r="L18" s="515">
        <v>3572183</v>
      </c>
      <c r="M18" s="515">
        <v>3296842</v>
      </c>
      <c r="N18" s="515">
        <v>3805569</v>
      </c>
      <c r="O18" s="515">
        <v>580726</v>
      </c>
      <c r="P18" s="515">
        <v>984831</v>
      </c>
      <c r="Q18" s="515">
        <v>405840</v>
      </c>
      <c r="R18" s="516">
        <v>329901</v>
      </c>
      <c r="S18" s="516">
        <v>322438</v>
      </c>
      <c r="T18" s="516">
        <v>219804</v>
      </c>
      <c r="U18" s="516">
        <v>137305</v>
      </c>
      <c r="V18" s="516">
        <v>189553</v>
      </c>
      <c r="W18" s="517">
        <v>463456</v>
      </c>
    </row>
    <row r="19" spans="2:23" ht="11.25" customHeight="1" x14ac:dyDescent="0.2">
      <c r="B19" s="491" t="s">
        <v>331</v>
      </c>
      <c r="C19" s="515">
        <v>1172042</v>
      </c>
      <c r="D19" s="515">
        <v>1548884</v>
      </c>
      <c r="E19" s="515">
        <v>987627</v>
      </c>
      <c r="F19" s="515">
        <v>1412585</v>
      </c>
      <c r="G19" s="515">
        <v>1990596</v>
      </c>
      <c r="H19" s="515">
        <v>2125193</v>
      </c>
      <c r="I19" s="515">
        <v>2852876</v>
      </c>
      <c r="J19" s="515">
        <v>1760812</v>
      </c>
      <c r="K19" s="515">
        <v>2214431</v>
      </c>
      <c r="L19" s="515">
        <v>1195642</v>
      </c>
      <c r="M19" s="515">
        <v>1183301</v>
      </c>
      <c r="N19" s="515">
        <v>1886986</v>
      </c>
      <c r="O19" s="515">
        <v>1770206</v>
      </c>
      <c r="P19" s="515">
        <v>2240927</v>
      </c>
      <c r="Q19" s="515">
        <v>1848147</v>
      </c>
      <c r="R19" s="516">
        <v>1767844</v>
      </c>
      <c r="S19" s="516">
        <v>2896978</v>
      </c>
      <c r="T19" s="516">
        <v>2236976</v>
      </c>
      <c r="U19" s="516">
        <v>4944895</v>
      </c>
      <c r="V19" s="516">
        <v>2887589</v>
      </c>
      <c r="W19" s="517">
        <v>2505890</v>
      </c>
    </row>
    <row r="20" spans="2:23" ht="11.25" customHeight="1" x14ac:dyDescent="0.2">
      <c r="B20" s="491" t="s">
        <v>548</v>
      </c>
      <c r="C20" s="515">
        <v>501762</v>
      </c>
      <c r="D20" s="515">
        <v>685721</v>
      </c>
      <c r="E20" s="515">
        <v>539335</v>
      </c>
      <c r="F20" s="515">
        <v>564036</v>
      </c>
      <c r="G20" s="515">
        <v>82316</v>
      </c>
      <c r="H20" s="515">
        <v>59891</v>
      </c>
      <c r="I20" s="515">
        <v>74572</v>
      </c>
      <c r="J20" s="515">
        <v>439980</v>
      </c>
      <c r="K20" s="515">
        <v>504513</v>
      </c>
      <c r="L20" s="515">
        <v>325355</v>
      </c>
      <c r="M20" s="515">
        <v>411565</v>
      </c>
      <c r="N20" s="515">
        <v>342466</v>
      </c>
      <c r="O20" s="515">
        <v>332444</v>
      </c>
      <c r="P20" s="515">
        <v>377560</v>
      </c>
      <c r="Q20" s="515">
        <v>337823</v>
      </c>
      <c r="R20" s="516">
        <v>269182</v>
      </c>
      <c r="S20" s="516">
        <v>214727</v>
      </c>
      <c r="T20" s="516">
        <v>154641</v>
      </c>
      <c r="U20" s="516">
        <v>112314</v>
      </c>
      <c r="V20" s="516">
        <v>0</v>
      </c>
      <c r="W20" s="517">
        <v>0</v>
      </c>
    </row>
    <row r="21" spans="2:23" ht="11.25" customHeight="1" x14ac:dyDescent="0.2">
      <c r="B21" s="491" t="s">
        <v>549</v>
      </c>
      <c r="C21" s="515">
        <v>11235408</v>
      </c>
      <c r="D21" s="515">
        <v>12937971</v>
      </c>
      <c r="E21" s="515">
        <v>12092768</v>
      </c>
      <c r="F21" s="515">
        <v>13212967</v>
      </c>
      <c r="G21" s="515">
        <v>13330598</v>
      </c>
      <c r="H21" s="515">
        <v>13312335</v>
      </c>
      <c r="I21" s="515">
        <v>13827243</v>
      </c>
      <c r="J21" s="515">
        <v>13656267</v>
      </c>
      <c r="K21" s="515">
        <v>12128005</v>
      </c>
      <c r="L21" s="515">
        <v>13690713</v>
      </c>
      <c r="M21" s="515">
        <v>14580260</v>
      </c>
      <c r="N21" s="515">
        <v>14703221</v>
      </c>
      <c r="O21" s="515">
        <v>13830411</v>
      </c>
      <c r="P21" s="515">
        <v>14353192</v>
      </c>
      <c r="Q21" s="515">
        <v>14678695</v>
      </c>
      <c r="R21" s="516">
        <v>14550119</v>
      </c>
      <c r="S21" s="516">
        <v>13993948</v>
      </c>
      <c r="T21" s="516">
        <v>14397437</v>
      </c>
      <c r="U21" s="516">
        <v>13579266</v>
      </c>
      <c r="V21" s="516">
        <v>14264305</v>
      </c>
      <c r="W21" s="517">
        <v>14343334</v>
      </c>
    </row>
    <row r="22" spans="2:23" ht="11.25" customHeight="1" x14ac:dyDescent="0.2">
      <c r="B22" s="491" t="s">
        <v>550</v>
      </c>
      <c r="C22" s="515">
        <v>2009536</v>
      </c>
      <c r="D22" s="515">
        <v>1442006</v>
      </c>
      <c r="E22" s="515">
        <v>2457463</v>
      </c>
      <c r="F22" s="515">
        <v>1588375</v>
      </c>
      <c r="G22" s="515">
        <v>1739737</v>
      </c>
      <c r="H22" s="515">
        <v>1424197</v>
      </c>
      <c r="I22" s="515">
        <v>1732619</v>
      </c>
      <c r="J22" s="515">
        <v>1183518</v>
      </c>
      <c r="K22" s="515">
        <v>1660989</v>
      </c>
      <c r="L22" s="515">
        <v>2646984</v>
      </c>
      <c r="M22" s="515">
        <v>2507521</v>
      </c>
      <c r="N22" s="515">
        <v>1703639</v>
      </c>
      <c r="O22" s="515">
        <v>2104275</v>
      </c>
      <c r="P22" s="515">
        <v>1652216</v>
      </c>
      <c r="Q22" s="515">
        <v>1974078</v>
      </c>
      <c r="R22" s="516">
        <v>1888769</v>
      </c>
      <c r="S22" s="516">
        <v>1667397</v>
      </c>
      <c r="T22" s="516">
        <v>2540908</v>
      </c>
      <c r="U22" s="516">
        <v>1656539</v>
      </c>
      <c r="V22" s="516">
        <v>1727020</v>
      </c>
      <c r="W22" s="517">
        <v>1615523</v>
      </c>
    </row>
    <row r="23" spans="2:23" ht="11.25" customHeight="1" x14ac:dyDescent="0.2">
      <c r="B23" s="491" t="s">
        <v>551</v>
      </c>
      <c r="C23" s="515"/>
      <c r="D23" s="515"/>
      <c r="E23" s="515"/>
      <c r="F23" s="515"/>
      <c r="G23" s="515"/>
      <c r="H23" s="515"/>
      <c r="I23" s="515"/>
      <c r="J23" s="515"/>
      <c r="K23" s="515"/>
      <c r="L23" s="515"/>
      <c r="M23" s="515"/>
      <c r="N23" s="515"/>
      <c r="O23" s="515"/>
      <c r="P23" s="515"/>
      <c r="Q23" s="515"/>
      <c r="R23" s="516"/>
      <c r="S23" s="516">
        <v>1494</v>
      </c>
      <c r="T23" s="516">
        <v>319254</v>
      </c>
      <c r="U23" s="516">
        <v>321687</v>
      </c>
      <c r="V23" s="516">
        <v>321670</v>
      </c>
      <c r="W23" s="517">
        <v>323612</v>
      </c>
    </row>
    <row r="24" spans="2:23" ht="11.25" customHeight="1" x14ac:dyDescent="0.2">
      <c r="B24" s="491" t="s">
        <v>552</v>
      </c>
      <c r="C24" s="515"/>
      <c r="D24" s="515"/>
      <c r="E24" s="515"/>
      <c r="F24" s="515"/>
      <c r="G24" s="515"/>
      <c r="H24" s="515"/>
      <c r="I24" s="515"/>
      <c r="J24" s="515"/>
      <c r="K24" s="515"/>
      <c r="L24" s="515"/>
      <c r="M24" s="515"/>
      <c r="N24" s="515"/>
      <c r="O24" s="515"/>
      <c r="P24" s="515"/>
      <c r="Q24" s="515"/>
      <c r="R24" s="516"/>
      <c r="S24" s="516">
        <v>80</v>
      </c>
      <c r="T24" s="516">
        <v>2070</v>
      </c>
      <c r="U24" s="516">
        <v>22473</v>
      </c>
      <c r="V24" s="516">
        <v>63485</v>
      </c>
      <c r="W24" s="517">
        <v>98118</v>
      </c>
    </row>
    <row r="25" spans="2:23" ht="11.25" customHeight="1" x14ac:dyDescent="0.2">
      <c r="B25" s="491" t="s">
        <v>553</v>
      </c>
      <c r="C25" s="515">
        <v>168822</v>
      </c>
      <c r="D25" s="515">
        <v>175144</v>
      </c>
      <c r="E25" s="515">
        <v>167554</v>
      </c>
      <c r="F25" s="515">
        <v>155906</v>
      </c>
      <c r="G25" s="515">
        <v>155647</v>
      </c>
      <c r="H25" s="515">
        <v>171088</v>
      </c>
      <c r="I25" s="515">
        <v>179580</v>
      </c>
      <c r="J25" s="515">
        <v>11939</v>
      </c>
      <c r="K25" s="515">
        <v>182904</v>
      </c>
      <c r="L25" s="515">
        <v>225240</v>
      </c>
      <c r="M25" s="515">
        <v>192384</v>
      </c>
      <c r="N25" s="515">
        <v>205985</v>
      </c>
      <c r="O25" s="515">
        <v>218066</v>
      </c>
      <c r="P25" s="515">
        <v>203097</v>
      </c>
      <c r="Q25" s="515">
        <v>197704</v>
      </c>
      <c r="R25" s="516">
        <v>175058</v>
      </c>
      <c r="S25" s="516">
        <v>164688</v>
      </c>
      <c r="T25" s="516">
        <v>167437</v>
      </c>
      <c r="U25" s="516">
        <v>158953</v>
      </c>
      <c r="V25" s="516">
        <v>142789</v>
      </c>
      <c r="W25" s="517">
        <v>150426</v>
      </c>
    </row>
    <row r="26" spans="2:23" ht="11.25" customHeight="1" x14ac:dyDescent="0.2">
      <c r="B26" s="491" t="s">
        <v>554</v>
      </c>
      <c r="C26" s="515">
        <v>352064</v>
      </c>
      <c r="D26" s="515">
        <v>501192</v>
      </c>
      <c r="E26" s="515">
        <v>565838</v>
      </c>
      <c r="F26" s="515">
        <v>587592</v>
      </c>
      <c r="G26" s="515">
        <v>605046</v>
      </c>
      <c r="H26" s="515">
        <v>614474</v>
      </c>
      <c r="I26" s="515">
        <v>638830</v>
      </c>
      <c r="J26" s="515">
        <v>361076</v>
      </c>
      <c r="K26" s="515">
        <v>338727</v>
      </c>
      <c r="L26" s="515">
        <v>370811</v>
      </c>
      <c r="M26" s="515">
        <v>396824</v>
      </c>
      <c r="N26" s="515">
        <v>417380</v>
      </c>
      <c r="O26" s="515">
        <v>408095</v>
      </c>
      <c r="P26" s="515">
        <v>400364</v>
      </c>
      <c r="Q26" s="515">
        <v>414781</v>
      </c>
      <c r="R26" s="516">
        <v>375721</v>
      </c>
      <c r="S26" s="516">
        <v>407402</v>
      </c>
      <c r="T26" s="516">
        <v>420114</v>
      </c>
      <c r="U26" s="516">
        <v>395039</v>
      </c>
      <c r="V26" s="516">
        <v>413220</v>
      </c>
      <c r="W26" s="517">
        <v>416719</v>
      </c>
    </row>
    <row r="27" spans="2:23" ht="11.25" customHeight="1" x14ac:dyDescent="0.2">
      <c r="B27" s="518" t="s">
        <v>555</v>
      </c>
      <c r="C27" s="519"/>
      <c r="D27" s="519"/>
      <c r="E27" s="519"/>
      <c r="F27" s="519"/>
      <c r="G27" s="519"/>
      <c r="H27" s="519"/>
      <c r="I27" s="519"/>
      <c r="J27" s="520">
        <v>247700</v>
      </c>
      <c r="K27" s="520">
        <v>255034</v>
      </c>
      <c r="L27" s="520">
        <v>278224</v>
      </c>
      <c r="M27" s="520">
        <v>288616</v>
      </c>
      <c r="N27" s="520">
        <v>293561</v>
      </c>
      <c r="O27" s="520">
        <v>304635</v>
      </c>
      <c r="P27" s="520">
        <v>286550</v>
      </c>
      <c r="Q27" s="521">
        <v>285645</v>
      </c>
      <c r="R27" s="522">
        <v>255893</v>
      </c>
      <c r="S27" s="522">
        <v>269907</v>
      </c>
      <c r="T27" s="522">
        <v>267727</v>
      </c>
      <c r="U27" s="522">
        <v>296499</v>
      </c>
      <c r="V27" s="522">
        <v>302712</v>
      </c>
      <c r="W27" s="523">
        <v>313284</v>
      </c>
    </row>
    <row r="28" spans="2:23" ht="11.25" customHeight="1" x14ac:dyDescent="0.2">
      <c r="B28" s="524" t="s">
        <v>393</v>
      </c>
      <c r="C28" s="525">
        <v>45339618</v>
      </c>
      <c r="D28" s="525">
        <v>46365643</v>
      </c>
      <c r="E28" s="525">
        <v>46274617</v>
      </c>
      <c r="F28" s="526">
        <v>46707396</v>
      </c>
      <c r="G28" s="525">
        <v>50653017</v>
      </c>
      <c r="H28" s="525">
        <v>51685621</v>
      </c>
      <c r="I28" s="525">
        <v>51145380</v>
      </c>
      <c r="J28" s="525">
        <v>49062340</v>
      </c>
      <c r="K28" s="525">
        <v>48279088</v>
      </c>
      <c r="L28" s="525">
        <v>52244237</v>
      </c>
      <c r="M28" s="525">
        <v>52052770</v>
      </c>
      <c r="N28" s="525">
        <v>52661600</v>
      </c>
      <c r="O28" s="525">
        <v>48956880</v>
      </c>
      <c r="P28" s="525">
        <v>50197924</v>
      </c>
      <c r="Q28" s="525">
        <v>47360953</v>
      </c>
      <c r="R28" s="525">
        <f>SUM(R17:R27)</f>
        <v>43774832</v>
      </c>
      <c r="S28" s="525">
        <v>43607266</v>
      </c>
      <c r="T28" s="527">
        <f t="shared" ref="T28:W28" si="0">SUM(T17:T27)</f>
        <v>41913287</v>
      </c>
      <c r="U28" s="527">
        <f t="shared" si="0"/>
        <v>37809743</v>
      </c>
      <c r="V28" s="527">
        <f t="shared" si="0"/>
        <v>35850812</v>
      </c>
      <c r="W28" s="528">
        <f t="shared" si="0"/>
        <v>37833653</v>
      </c>
    </row>
    <row r="29" spans="2:23" ht="11.25" customHeight="1" x14ac:dyDescent="0.2"/>
    <row r="30" spans="2:23" ht="11.25" customHeight="1" x14ac:dyDescent="0.3">
      <c r="C30" s="483" t="s">
        <v>556</v>
      </c>
      <c r="D30" s="529"/>
      <c r="E30" s="529"/>
      <c r="F30" s="529"/>
      <c r="G30" s="530"/>
      <c r="H30" s="531"/>
      <c r="I30" s="531"/>
      <c r="V30" s="532"/>
    </row>
    <row r="31" spans="2:23" ht="11.25" customHeight="1" x14ac:dyDescent="0.3">
      <c r="C31" s="533"/>
      <c r="D31" s="531"/>
      <c r="E31" s="531"/>
      <c r="F31" s="531"/>
      <c r="G31" s="531"/>
      <c r="H31" s="531"/>
      <c r="I31" s="531"/>
    </row>
    <row r="32" spans="2:23" ht="11.25" customHeight="1" x14ac:dyDescent="0.3">
      <c r="B32" s="487"/>
      <c r="C32" s="488">
        <v>1994</v>
      </c>
      <c r="D32" s="488">
        <v>1995</v>
      </c>
      <c r="E32" s="488">
        <v>1996</v>
      </c>
      <c r="F32" s="488">
        <v>1997</v>
      </c>
      <c r="G32" s="488">
        <v>1998</v>
      </c>
      <c r="H32" s="488">
        <v>1999</v>
      </c>
      <c r="I32" s="488">
        <v>2000</v>
      </c>
      <c r="J32" s="488">
        <v>2001</v>
      </c>
      <c r="K32" s="488">
        <v>2002</v>
      </c>
      <c r="L32" s="488">
        <v>2003</v>
      </c>
      <c r="M32" s="488">
        <v>2004</v>
      </c>
      <c r="N32" s="488">
        <v>2005</v>
      </c>
      <c r="O32" s="488">
        <v>2006</v>
      </c>
      <c r="P32" s="488">
        <v>2007</v>
      </c>
      <c r="Q32" s="488">
        <v>2008</v>
      </c>
      <c r="R32" s="488">
        <v>2009</v>
      </c>
      <c r="S32" s="488">
        <v>2010</v>
      </c>
      <c r="T32" s="488">
        <v>2011</v>
      </c>
      <c r="U32" s="488">
        <v>2012</v>
      </c>
      <c r="V32" s="488">
        <v>2013</v>
      </c>
      <c r="W32" s="490">
        <v>2014</v>
      </c>
    </row>
    <row r="33" spans="2:23" ht="11.25" customHeight="1" x14ac:dyDescent="0.2">
      <c r="B33" s="534" t="s">
        <v>557</v>
      </c>
      <c r="C33" s="535">
        <f t="shared" ref="C33:W33" si="1">C28*6.25%</f>
        <v>2833726.125</v>
      </c>
      <c r="D33" s="535">
        <f t="shared" si="1"/>
        <v>2897852.6875</v>
      </c>
      <c r="E33" s="535">
        <f t="shared" si="1"/>
        <v>2892163.5625</v>
      </c>
      <c r="F33" s="535">
        <f t="shared" si="1"/>
        <v>2919212.25</v>
      </c>
      <c r="G33" s="535">
        <f t="shared" si="1"/>
        <v>3165813.5625</v>
      </c>
      <c r="H33" s="535">
        <f t="shared" si="1"/>
        <v>3230351.3125</v>
      </c>
      <c r="I33" s="535">
        <f t="shared" si="1"/>
        <v>3196586.25</v>
      </c>
      <c r="J33" s="535">
        <f t="shared" si="1"/>
        <v>3066396.25</v>
      </c>
      <c r="K33" s="535">
        <f t="shared" si="1"/>
        <v>3017443</v>
      </c>
      <c r="L33" s="535">
        <f t="shared" si="1"/>
        <v>3265264.8125</v>
      </c>
      <c r="M33" s="535">
        <f t="shared" si="1"/>
        <v>3253298.125</v>
      </c>
      <c r="N33" s="535">
        <f t="shared" si="1"/>
        <v>3291350</v>
      </c>
      <c r="O33" s="535">
        <f t="shared" si="1"/>
        <v>3059805</v>
      </c>
      <c r="P33" s="535">
        <f t="shared" si="1"/>
        <v>3137370.25</v>
      </c>
      <c r="Q33" s="535">
        <f t="shared" si="1"/>
        <v>2960059.5625</v>
      </c>
      <c r="R33" s="535">
        <f t="shared" si="1"/>
        <v>2735927</v>
      </c>
      <c r="S33" s="535">
        <f t="shared" si="1"/>
        <v>2725454.125</v>
      </c>
      <c r="T33" s="535">
        <f t="shared" si="1"/>
        <v>2619580.4375</v>
      </c>
      <c r="U33" s="535">
        <f t="shared" si="1"/>
        <v>2363108.9375</v>
      </c>
      <c r="V33" s="535">
        <f t="shared" si="1"/>
        <v>2240675.75</v>
      </c>
      <c r="W33" s="535">
        <f t="shared" si="1"/>
        <v>2364603.3125</v>
      </c>
    </row>
    <row r="34" spans="2:23" ht="11.25" customHeight="1" x14ac:dyDescent="0.3">
      <c r="C34" s="533"/>
      <c r="D34" s="531"/>
      <c r="E34" s="531"/>
      <c r="F34" s="531"/>
      <c r="G34" s="531"/>
      <c r="H34" s="531"/>
      <c r="I34" s="531"/>
    </row>
    <row r="35" spans="2:23" ht="11.25" customHeight="1" x14ac:dyDescent="0.2"/>
    <row r="36" spans="2:23" ht="11.25" customHeight="1" x14ac:dyDescent="0.3">
      <c r="C36" s="483" t="s">
        <v>558</v>
      </c>
      <c r="D36" s="536"/>
      <c r="E36" s="536"/>
      <c r="F36" s="536"/>
      <c r="G36" s="536"/>
      <c r="H36" s="537"/>
      <c r="I36" s="466"/>
      <c r="J36" s="466"/>
      <c r="K36" s="466"/>
    </row>
    <row r="37" spans="2:23" ht="11.25" customHeight="1" x14ac:dyDescent="0.3">
      <c r="C37" s="486"/>
      <c r="D37" s="466"/>
      <c r="E37" s="466"/>
      <c r="F37" s="466"/>
      <c r="G37" s="466"/>
      <c r="H37" s="466"/>
      <c r="I37" s="466"/>
      <c r="J37" s="466"/>
      <c r="K37" s="466"/>
    </row>
    <row r="38" spans="2:23" ht="11.25" customHeight="1" x14ac:dyDescent="0.2"/>
    <row r="39" spans="2:23" ht="11.25" customHeight="1" x14ac:dyDescent="0.3">
      <c r="B39" s="487"/>
      <c r="C39" s="488">
        <v>1994</v>
      </c>
      <c r="D39" s="488">
        <v>1995</v>
      </c>
      <c r="E39" s="488">
        <v>1996</v>
      </c>
      <c r="F39" s="488">
        <v>1997</v>
      </c>
      <c r="G39" s="488">
        <v>1998</v>
      </c>
      <c r="H39" s="488">
        <v>1999</v>
      </c>
      <c r="I39" s="488">
        <v>2000</v>
      </c>
      <c r="J39" s="488">
        <v>2001</v>
      </c>
      <c r="K39" s="488">
        <v>2002</v>
      </c>
      <c r="L39" s="488">
        <v>2003</v>
      </c>
      <c r="M39" s="488">
        <v>2004</v>
      </c>
      <c r="N39" s="488">
        <v>2005</v>
      </c>
      <c r="O39" s="488">
        <v>2006</v>
      </c>
      <c r="P39" s="488">
        <v>2007</v>
      </c>
      <c r="Q39" s="488">
        <v>2008</v>
      </c>
      <c r="R39" s="488">
        <v>2009</v>
      </c>
      <c r="S39" s="488">
        <v>2010</v>
      </c>
      <c r="T39" s="488">
        <v>2011</v>
      </c>
      <c r="U39" s="488">
        <v>2012</v>
      </c>
      <c r="V39" s="488">
        <v>2013</v>
      </c>
      <c r="W39" s="490">
        <v>2014</v>
      </c>
    </row>
    <row r="40" spans="2:23" ht="11.25" customHeight="1" x14ac:dyDescent="0.2">
      <c r="B40" s="534" t="s">
        <v>559</v>
      </c>
      <c r="C40" s="535">
        <f t="shared" ref="C40:W40" si="2">C28-C33</f>
        <v>42505891.875</v>
      </c>
      <c r="D40" s="535">
        <f t="shared" si="2"/>
        <v>43467790.3125</v>
      </c>
      <c r="E40" s="535">
        <f t="shared" si="2"/>
        <v>43382453.4375</v>
      </c>
      <c r="F40" s="535">
        <f t="shared" si="2"/>
        <v>43788183.75</v>
      </c>
      <c r="G40" s="535">
        <f t="shared" si="2"/>
        <v>47487203.4375</v>
      </c>
      <c r="H40" s="535">
        <f t="shared" si="2"/>
        <v>48455269.6875</v>
      </c>
      <c r="I40" s="535">
        <f t="shared" si="2"/>
        <v>47948793.75</v>
      </c>
      <c r="J40" s="535">
        <f t="shared" si="2"/>
        <v>45995943.75</v>
      </c>
      <c r="K40" s="535">
        <f t="shared" si="2"/>
        <v>45261645</v>
      </c>
      <c r="L40" s="535">
        <f t="shared" si="2"/>
        <v>48978972.1875</v>
      </c>
      <c r="M40" s="535">
        <f t="shared" si="2"/>
        <v>48799471.875</v>
      </c>
      <c r="N40" s="535">
        <f t="shared" si="2"/>
        <v>49370250</v>
      </c>
      <c r="O40" s="535">
        <f t="shared" si="2"/>
        <v>45897075</v>
      </c>
      <c r="P40" s="535">
        <f t="shared" si="2"/>
        <v>47060553.75</v>
      </c>
      <c r="Q40" s="535">
        <f t="shared" si="2"/>
        <v>44400893.4375</v>
      </c>
      <c r="R40" s="535">
        <f t="shared" si="2"/>
        <v>41038905</v>
      </c>
      <c r="S40" s="535">
        <f t="shared" si="2"/>
        <v>40881811.875</v>
      </c>
      <c r="T40" s="535">
        <f t="shared" si="2"/>
        <v>39293706.5625</v>
      </c>
      <c r="U40" s="535">
        <f t="shared" si="2"/>
        <v>35446634.0625</v>
      </c>
      <c r="V40" s="535">
        <f t="shared" si="2"/>
        <v>33610136.25</v>
      </c>
      <c r="W40" s="535">
        <f t="shared" si="2"/>
        <v>35469049.6875</v>
      </c>
    </row>
    <row r="41" spans="2:23" ht="11.25" customHeight="1" x14ac:dyDescent="0.2"/>
    <row r="42" spans="2:23" ht="11.25" customHeight="1" x14ac:dyDescent="0.2">
      <c r="C42" s="538"/>
    </row>
    <row r="43" spans="2:23" ht="11.25" customHeight="1" x14ac:dyDescent="0.3">
      <c r="C43" s="539" t="s">
        <v>560</v>
      </c>
      <c r="D43" s="536"/>
      <c r="E43" s="540"/>
      <c r="F43" s="541"/>
      <c r="G43" s="541"/>
      <c r="H43" s="541"/>
      <c r="I43" s="541"/>
    </row>
    <row r="44" spans="2:23" ht="11.25" customHeight="1" x14ac:dyDescent="0.2"/>
    <row r="45" spans="2:23" ht="11.25" customHeight="1" x14ac:dyDescent="0.3">
      <c r="B45" s="487"/>
      <c r="C45" s="488">
        <v>1994</v>
      </c>
      <c r="D45" s="488">
        <v>1995</v>
      </c>
      <c r="E45" s="488">
        <v>1996</v>
      </c>
      <c r="F45" s="488">
        <v>1997</v>
      </c>
      <c r="G45" s="488">
        <v>1998</v>
      </c>
      <c r="H45" s="488">
        <v>1999</v>
      </c>
      <c r="I45" s="488">
        <v>2000</v>
      </c>
      <c r="J45" s="488">
        <v>2001</v>
      </c>
      <c r="K45" s="488">
        <v>2002</v>
      </c>
      <c r="L45" s="488">
        <v>2003</v>
      </c>
      <c r="M45" s="488">
        <v>2004</v>
      </c>
      <c r="N45" s="488">
        <v>2005</v>
      </c>
      <c r="O45" s="488">
        <v>2006</v>
      </c>
      <c r="P45" s="490">
        <v>2007</v>
      </c>
      <c r="Q45" s="488">
        <v>2008</v>
      </c>
      <c r="R45" s="488">
        <v>2009</v>
      </c>
      <c r="S45" s="489">
        <v>2010</v>
      </c>
      <c r="T45" s="489">
        <v>2011</v>
      </c>
      <c r="U45" s="542">
        <v>2012</v>
      </c>
      <c r="V45" s="542">
        <v>2013</v>
      </c>
      <c r="W45" s="543">
        <v>2014</v>
      </c>
    </row>
    <row r="46" spans="2:23" ht="11.25" customHeight="1" x14ac:dyDescent="0.2">
      <c r="B46" s="544" t="s">
        <v>561</v>
      </c>
      <c r="C46" s="501">
        <v>21666119</v>
      </c>
      <c r="D46" s="545">
        <v>22233807</v>
      </c>
      <c r="E46" s="501">
        <v>22985772</v>
      </c>
      <c r="F46" s="545">
        <v>21936662</v>
      </c>
      <c r="G46" s="501">
        <v>22406855</v>
      </c>
      <c r="H46" s="545">
        <v>23342423</v>
      </c>
      <c r="I46" s="501">
        <v>24294096</v>
      </c>
      <c r="J46" s="501">
        <v>25489053</v>
      </c>
      <c r="K46" s="501">
        <v>26671274</v>
      </c>
      <c r="L46" s="501">
        <v>27951978</v>
      </c>
      <c r="M46" s="501">
        <v>28439645</v>
      </c>
      <c r="N46" s="501">
        <v>26905386</v>
      </c>
      <c r="O46" s="501">
        <v>28194802</v>
      </c>
      <c r="P46" s="501">
        <v>27144255</v>
      </c>
      <c r="Q46" s="502">
        <v>26839241</v>
      </c>
      <c r="R46" s="501">
        <v>26944566</v>
      </c>
      <c r="S46" s="501">
        <v>28934074</v>
      </c>
      <c r="T46" s="502">
        <v>27295675</v>
      </c>
      <c r="U46" s="501">
        <v>26678158</v>
      </c>
      <c r="V46" s="501">
        <v>27448367</v>
      </c>
      <c r="W46" s="503">
        <v>27487633</v>
      </c>
    </row>
    <row r="47" spans="2:23" ht="11.25" customHeight="1" x14ac:dyDescent="0.2">
      <c r="B47" s="491" t="s">
        <v>562</v>
      </c>
      <c r="C47" s="501">
        <v>13253588</v>
      </c>
      <c r="D47" s="501">
        <v>23096405</v>
      </c>
      <c r="E47" s="501">
        <v>23126094</v>
      </c>
      <c r="F47" s="501">
        <v>23418552</v>
      </c>
      <c r="G47" s="501">
        <v>24284167</v>
      </c>
      <c r="H47" s="501">
        <v>24988489</v>
      </c>
      <c r="I47" s="501">
        <v>26243614</v>
      </c>
      <c r="J47" s="501">
        <v>21044289</v>
      </c>
      <c r="K47" s="501">
        <v>16950347</v>
      </c>
      <c r="L47" s="501">
        <v>17264135</v>
      </c>
      <c r="M47" s="501">
        <v>17931771</v>
      </c>
      <c r="N47" s="501">
        <v>29729030</v>
      </c>
      <c r="O47" s="501">
        <v>30691159</v>
      </c>
      <c r="P47" s="501">
        <v>30002993</v>
      </c>
      <c r="Q47" s="502">
        <v>29755144</v>
      </c>
      <c r="R47" s="501">
        <v>29806001</v>
      </c>
      <c r="S47" s="501">
        <v>30771317</v>
      </c>
      <c r="T47" s="502">
        <v>30749605</v>
      </c>
      <c r="U47" s="501">
        <v>30107526</v>
      </c>
      <c r="V47" s="501">
        <v>29966199</v>
      </c>
      <c r="W47" s="503">
        <v>29804342</v>
      </c>
    </row>
    <row r="48" spans="2:23" ht="11.25" customHeight="1" x14ac:dyDescent="0.2">
      <c r="B48" s="491" t="s">
        <v>563</v>
      </c>
      <c r="C48" s="501">
        <v>19037490</v>
      </c>
      <c r="D48" s="501">
        <v>10057219</v>
      </c>
      <c r="E48" s="501">
        <v>10098447</v>
      </c>
      <c r="F48" s="501">
        <v>10127852</v>
      </c>
      <c r="G48" s="501">
        <v>10343675</v>
      </c>
      <c r="H48" s="501">
        <v>9936115</v>
      </c>
      <c r="I48" s="501">
        <v>10176724</v>
      </c>
      <c r="J48" s="501">
        <v>20874507</v>
      </c>
      <c r="K48" s="501">
        <v>27175526</v>
      </c>
      <c r="L48" s="501">
        <v>21194572</v>
      </c>
      <c r="M48" s="501">
        <v>21516638</v>
      </c>
      <c r="N48" s="501">
        <v>6057030</v>
      </c>
      <c r="O48" s="501">
        <v>5980358</v>
      </c>
      <c r="P48" s="501">
        <v>5649943</v>
      </c>
      <c r="Q48" s="502">
        <v>5255976</v>
      </c>
      <c r="R48" s="501">
        <v>5285833</v>
      </c>
      <c r="S48" s="501">
        <v>5083115</v>
      </c>
      <c r="T48" s="502">
        <v>5007386</v>
      </c>
      <c r="U48" s="501">
        <v>4499827</v>
      </c>
      <c r="V48" s="501">
        <v>3943942</v>
      </c>
      <c r="W48" s="503">
        <v>3847954</v>
      </c>
    </row>
    <row r="49" spans="2:24" ht="11.25" customHeight="1" x14ac:dyDescent="0.2">
      <c r="B49" s="491" t="s">
        <v>564</v>
      </c>
      <c r="C49" s="501">
        <v>0</v>
      </c>
      <c r="D49" s="501">
        <v>0</v>
      </c>
      <c r="E49" s="501">
        <v>0</v>
      </c>
      <c r="F49" s="501">
        <v>0</v>
      </c>
      <c r="G49" s="501">
        <v>0</v>
      </c>
      <c r="H49" s="501">
        <v>0</v>
      </c>
      <c r="I49" s="501">
        <v>0</v>
      </c>
      <c r="J49" s="501">
        <v>0</v>
      </c>
      <c r="K49" s="501">
        <v>461436</v>
      </c>
      <c r="L49" s="501">
        <v>481015</v>
      </c>
      <c r="M49" s="501">
        <v>477331</v>
      </c>
      <c r="N49" s="501">
        <v>481697</v>
      </c>
      <c r="O49" s="501">
        <v>524341</v>
      </c>
      <c r="P49" s="501">
        <v>528586</v>
      </c>
      <c r="Q49" s="502">
        <v>552743</v>
      </c>
      <c r="R49" s="501">
        <v>552743</v>
      </c>
      <c r="S49" s="501">
        <v>546992</v>
      </c>
      <c r="T49" s="502">
        <v>547045</v>
      </c>
      <c r="U49" s="501">
        <v>528041</v>
      </c>
      <c r="V49" s="501">
        <v>540970</v>
      </c>
      <c r="W49" s="503">
        <v>543940</v>
      </c>
    </row>
    <row r="50" spans="2:24" ht="11.25" customHeight="1" x14ac:dyDescent="0.2">
      <c r="B50" s="491" t="s">
        <v>565</v>
      </c>
      <c r="C50" s="501">
        <v>794428</v>
      </c>
      <c r="D50" s="501">
        <v>770615</v>
      </c>
      <c r="E50" s="501">
        <v>787207</v>
      </c>
      <c r="F50" s="501">
        <v>781420</v>
      </c>
      <c r="G50" s="501">
        <v>798935</v>
      </c>
      <c r="H50" s="501">
        <v>819198</v>
      </c>
      <c r="I50" s="501">
        <v>925586</v>
      </c>
      <c r="J50" s="501">
        <v>972057</v>
      </c>
      <c r="K50" s="501">
        <v>0</v>
      </c>
      <c r="L50" s="501">
        <v>0</v>
      </c>
      <c r="M50" s="501">
        <v>0</v>
      </c>
      <c r="N50" s="501">
        <v>0</v>
      </c>
      <c r="O50" s="501">
        <v>0</v>
      </c>
      <c r="P50" s="501">
        <v>0</v>
      </c>
      <c r="Q50" s="502">
        <v>0</v>
      </c>
      <c r="R50" s="501">
        <v>0</v>
      </c>
      <c r="S50" s="501">
        <v>0</v>
      </c>
      <c r="T50" s="502">
        <v>0</v>
      </c>
      <c r="U50" s="501">
        <v>0</v>
      </c>
      <c r="V50" s="501">
        <v>0</v>
      </c>
      <c r="W50" s="503">
        <v>0</v>
      </c>
    </row>
    <row r="51" spans="2:24" ht="11.25" customHeight="1" x14ac:dyDescent="0.2">
      <c r="B51" s="544" t="s">
        <v>566</v>
      </c>
      <c r="C51" s="546">
        <v>54751623</v>
      </c>
      <c r="D51" s="546">
        <v>56158046</v>
      </c>
      <c r="E51" s="546">
        <v>56997520</v>
      </c>
      <c r="F51" s="546">
        <v>56264486</v>
      </c>
      <c r="G51" s="546">
        <v>57833638</v>
      </c>
      <c r="H51" s="546">
        <v>59086225</v>
      </c>
      <c r="I51" s="546">
        <v>60677801</v>
      </c>
      <c r="J51" s="546">
        <v>61640020</v>
      </c>
      <c r="K51" s="546">
        <v>68379906</v>
      </c>
      <c r="L51" s="546">
        <v>71258583</v>
      </c>
      <c r="M51" s="546">
        <v>66891700</v>
      </c>
      <c r="N51" s="546">
        <v>68365385</v>
      </c>
      <c r="O51" s="546">
        <v>63173143</v>
      </c>
      <c r="P51" s="546">
        <v>65390660</v>
      </c>
      <c r="Q51" s="546">
        <v>63325777</v>
      </c>
      <c r="R51" s="546">
        <f t="shared" ref="R51:S51" si="3">SUM(R46:R50)</f>
        <v>62589143</v>
      </c>
      <c r="S51" s="546">
        <f t="shared" si="3"/>
        <v>65335498</v>
      </c>
      <c r="T51" s="546">
        <v>63599711</v>
      </c>
      <c r="U51" s="546">
        <v>61813552</v>
      </c>
      <c r="V51" s="546">
        <v>61899478</v>
      </c>
      <c r="W51" s="547">
        <v>61683869</v>
      </c>
      <c r="X51" s="545"/>
    </row>
    <row r="52" spans="2:24" ht="11.25" customHeight="1" x14ac:dyDescent="0.2">
      <c r="B52" s="534" t="s">
        <v>567</v>
      </c>
      <c r="C52" s="509">
        <f t="shared" ref="C52:W52" si="4">C51*1.0625</f>
        <v>58173599.4375</v>
      </c>
      <c r="D52" s="509">
        <f t="shared" si="4"/>
        <v>59667923.875</v>
      </c>
      <c r="E52" s="509">
        <f t="shared" si="4"/>
        <v>60559865</v>
      </c>
      <c r="F52" s="509">
        <f t="shared" si="4"/>
        <v>59781016.375</v>
      </c>
      <c r="G52" s="509">
        <f t="shared" si="4"/>
        <v>61448240.375</v>
      </c>
      <c r="H52" s="509">
        <f t="shared" si="4"/>
        <v>62779114.0625</v>
      </c>
      <c r="I52" s="509">
        <f t="shared" si="4"/>
        <v>64470163.5625</v>
      </c>
      <c r="J52" s="509">
        <f t="shared" si="4"/>
        <v>65492521.25</v>
      </c>
      <c r="K52" s="509">
        <f t="shared" si="4"/>
        <v>72653650.125</v>
      </c>
      <c r="L52" s="509">
        <f t="shared" si="4"/>
        <v>75712244.4375</v>
      </c>
      <c r="M52" s="509">
        <f t="shared" si="4"/>
        <v>71072431.25</v>
      </c>
      <c r="N52" s="509">
        <f t="shared" si="4"/>
        <v>72638221.5625</v>
      </c>
      <c r="O52" s="509">
        <f t="shared" si="4"/>
        <v>67121464.4375</v>
      </c>
      <c r="P52" s="509">
        <f t="shared" si="4"/>
        <v>69477576.25</v>
      </c>
      <c r="Q52" s="509">
        <f t="shared" si="4"/>
        <v>67283638.0625</v>
      </c>
      <c r="R52" s="509">
        <f t="shared" si="4"/>
        <v>66500964.4375</v>
      </c>
      <c r="S52" s="509">
        <f t="shared" si="4"/>
        <v>69418966.625</v>
      </c>
      <c r="T52" s="509">
        <f t="shared" si="4"/>
        <v>67574692.9375</v>
      </c>
      <c r="U52" s="509">
        <f t="shared" si="4"/>
        <v>65676899</v>
      </c>
      <c r="V52" s="509">
        <f t="shared" si="4"/>
        <v>65768195.375</v>
      </c>
      <c r="W52" s="509">
        <f t="shared" si="4"/>
        <v>65539110.8125</v>
      </c>
    </row>
    <row r="53" spans="2:24" ht="11.25" customHeight="1" x14ac:dyDescent="0.2"/>
    <row r="54" spans="2:24" ht="11.25" customHeight="1" x14ac:dyDescent="0.2"/>
    <row r="55" spans="2:24" ht="11.25" customHeight="1" x14ac:dyDescent="0.2"/>
    <row r="56" spans="2:24" ht="11.25" customHeight="1" x14ac:dyDescent="0.3">
      <c r="C56" s="483" t="s">
        <v>568</v>
      </c>
      <c r="D56" s="536"/>
      <c r="E56" s="536"/>
      <c r="F56" s="537"/>
      <c r="G56" s="485"/>
      <c r="H56" s="466"/>
    </row>
    <row r="57" spans="2:24" ht="11.25" customHeight="1" x14ac:dyDescent="0.2"/>
    <row r="58" spans="2:24" ht="11.25" customHeight="1" x14ac:dyDescent="0.3">
      <c r="B58" s="487"/>
      <c r="C58" s="488">
        <v>1994</v>
      </c>
      <c r="D58" s="488">
        <v>1995</v>
      </c>
      <c r="E58" s="488">
        <v>1996</v>
      </c>
      <c r="F58" s="488">
        <v>1997</v>
      </c>
      <c r="G58" s="488">
        <v>1998</v>
      </c>
      <c r="H58" s="488">
        <v>1999</v>
      </c>
      <c r="I58" s="488">
        <v>2000</v>
      </c>
      <c r="J58" s="488">
        <v>2001</v>
      </c>
      <c r="K58" s="488">
        <v>2002</v>
      </c>
      <c r="L58" s="488">
        <v>2003</v>
      </c>
      <c r="M58" s="488">
        <v>2004</v>
      </c>
      <c r="N58" s="488">
        <v>2005</v>
      </c>
      <c r="O58" s="488">
        <v>2006</v>
      </c>
      <c r="P58" s="488">
        <v>2007</v>
      </c>
      <c r="Q58" s="488">
        <v>2008</v>
      </c>
      <c r="R58" s="488">
        <v>2009</v>
      </c>
      <c r="S58" s="488">
        <v>2010</v>
      </c>
      <c r="T58" s="488">
        <v>2011</v>
      </c>
      <c r="U58" s="488">
        <v>2012</v>
      </c>
      <c r="V58" s="488">
        <v>2013</v>
      </c>
      <c r="W58" s="490">
        <v>2014</v>
      </c>
    </row>
    <row r="59" spans="2:24" ht="11.25" customHeight="1" x14ac:dyDescent="0.2">
      <c r="B59" s="548" t="s">
        <v>569</v>
      </c>
      <c r="C59" s="549">
        <f t="shared" ref="C59:W59" si="5">C52-C28</f>
        <v>12833981.4375</v>
      </c>
      <c r="D59" s="535">
        <f t="shared" si="5"/>
        <v>13302280.875</v>
      </c>
      <c r="E59" s="535">
        <f t="shared" si="5"/>
        <v>14285248</v>
      </c>
      <c r="F59" s="535">
        <f t="shared" si="5"/>
        <v>13073620.375</v>
      </c>
      <c r="G59" s="535">
        <f t="shared" si="5"/>
        <v>10795223.375</v>
      </c>
      <c r="H59" s="535">
        <f t="shared" si="5"/>
        <v>11093493.0625</v>
      </c>
      <c r="I59" s="535">
        <f t="shared" si="5"/>
        <v>13324783.5625</v>
      </c>
      <c r="J59" s="535">
        <f t="shared" si="5"/>
        <v>16430181.25</v>
      </c>
      <c r="K59" s="535">
        <f t="shared" si="5"/>
        <v>24374562.125</v>
      </c>
      <c r="L59" s="535">
        <f t="shared" si="5"/>
        <v>23468007.4375</v>
      </c>
      <c r="M59" s="535">
        <f t="shared" si="5"/>
        <v>19019661.25</v>
      </c>
      <c r="N59" s="535">
        <f t="shared" si="5"/>
        <v>19976621.5625</v>
      </c>
      <c r="O59" s="535">
        <f t="shared" si="5"/>
        <v>18164584.4375</v>
      </c>
      <c r="P59" s="535">
        <f t="shared" si="5"/>
        <v>19279652.25</v>
      </c>
      <c r="Q59" s="535">
        <f t="shared" si="5"/>
        <v>19922685.0625</v>
      </c>
      <c r="R59" s="535">
        <f t="shared" si="5"/>
        <v>22726132.4375</v>
      </c>
      <c r="S59" s="535">
        <f t="shared" si="5"/>
        <v>25811700.625</v>
      </c>
      <c r="T59" s="535">
        <f t="shared" si="5"/>
        <v>25661405.9375</v>
      </c>
      <c r="U59" s="535">
        <f t="shared" si="5"/>
        <v>27867156</v>
      </c>
      <c r="V59" s="535">
        <f t="shared" si="5"/>
        <v>29917383.375</v>
      </c>
      <c r="W59" s="550">
        <f t="shared" si="5"/>
        <v>27705457.8125</v>
      </c>
    </row>
    <row r="60" spans="2:24" ht="11.25" customHeight="1" x14ac:dyDescent="0.2"/>
    <row r="61" spans="2:24" ht="11.25" customHeight="1" x14ac:dyDescent="0.2">
      <c r="C61" s="545"/>
    </row>
    <row r="62" spans="2:24" ht="11.25" customHeight="1" x14ac:dyDescent="0.3">
      <c r="E62" s="551" t="s">
        <v>570</v>
      </c>
      <c r="F62" s="552"/>
      <c r="G62" s="553"/>
      <c r="I62" s="468" t="s">
        <v>571</v>
      </c>
      <c r="X62" s="7">
        <f>W59/W52</f>
        <v>0.42273167073874696</v>
      </c>
    </row>
    <row r="63" spans="2:24" ht="11.25" customHeight="1" x14ac:dyDescent="0.3">
      <c r="E63" s="486"/>
      <c r="I63" s="468" t="s">
        <v>388</v>
      </c>
    </row>
    <row r="64" spans="2:24" ht="11.25" customHeight="1" x14ac:dyDescent="0.3">
      <c r="B64" s="486" t="s">
        <v>572</v>
      </c>
      <c r="E64" s="486"/>
      <c r="I64" s="545">
        <f>(B66*W59)/2000</f>
        <v>15344113.700296877</v>
      </c>
    </row>
    <row r="65" spans="2:14" ht="11.25" customHeight="1" x14ac:dyDescent="0.3">
      <c r="B65" s="468" t="s">
        <v>573</v>
      </c>
      <c r="E65" s="486"/>
    </row>
    <row r="66" spans="2:14" ht="11.25" customHeight="1" x14ac:dyDescent="0.3">
      <c r="B66" s="554">
        <v>1107.6600000000001</v>
      </c>
      <c r="E66" s="486"/>
    </row>
    <row r="67" spans="2:14" ht="11.25" customHeight="1" x14ac:dyDescent="0.2"/>
    <row r="68" spans="2:14" ht="11.25" customHeight="1" x14ac:dyDescent="0.25">
      <c r="B68" s="555" t="s">
        <v>72</v>
      </c>
      <c r="C68" s="556" t="s">
        <v>89</v>
      </c>
      <c r="D68" s="556" t="s">
        <v>549</v>
      </c>
      <c r="E68" s="556" t="s">
        <v>331</v>
      </c>
      <c r="F68" s="556" t="s">
        <v>574</v>
      </c>
      <c r="G68" s="556" t="s">
        <v>575</v>
      </c>
      <c r="H68" s="556" t="s">
        <v>576</v>
      </c>
      <c r="I68" s="556" t="s">
        <v>551</v>
      </c>
      <c r="J68" s="557" t="s">
        <v>577</v>
      </c>
      <c r="K68" s="558" t="s">
        <v>503</v>
      </c>
      <c r="L68" s="558" t="s">
        <v>578</v>
      </c>
      <c r="M68" s="558" t="s">
        <v>579</v>
      </c>
      <c r="N68" s="559" t="s">
        <v>580</v>
      </c>
    </row>
    <row r="69" spans="2:14" ht="11.25" customHeight="1" x14ac:dyDescent="0.2">
      <c r="B69" s="491"/>
      <c r="C69" s="492"/>
      <c r="D69" s="492"/>
      <c r="E69" s="492"/>
      <c r="F69" s="492"/>
      <c r="G69" s="492"/>
      <c r="H69" s="492"/>
      <c r="I69" s="492"/>
      <c r="J69" s="493"/>
      <c r="K69" s="492"/>
      <c r="L69" s="492"/>
      <c r="M69" s="492"/>
      <c r="N69" s="495"/>
    </row>
    <row r="70" spans="2:14" ht="11.25" customHeight="1" x14ac:dyDescent="0.25">
      <c r="B70" s="560" t="s">
        <v>581</v>
      </c>
      <c r="C70" s="561">
        <v>43.491799999999998</v>
      </c>
      <c r="D70" s="561">
        <v>34.716200000000001</v>
      </c>
      <c r="E70" s="561">
        <v>17.5059</v>
      </c>
      <c r="F70" s="561">
        <v>0.25280000000000002</v>
      </c>
      <c r="G70" s="561">
        <v>0.95079999999999998</v>
      </c>
      <c r="H70" s="561">
        <v>0.53169999999999995</v>
      </c>
      <c r="I70" s="561">
        <v>1.9456</v>
      </c>
      <c r="J70" s="562">
        <v>0.30099999999999999</v>
      </c>
      <c r="K70" s="563">
        <v>1E-4</v>
      </c>
      <c r="L70" s="563">
        <v>5.0500000000000003E-2</v>
      </c>
      <c r="M70" s="563">
        <v>0.22570000000000001</v>
      </c>
      <c r="N70" s="564">
        <f>SUM(C70:M70)</f>
        <v>99.972099999999998</v>
      </c>
    </row>
    <row r="71" spans="2:14" ht="11.25" customHeight="1" x14ac:dyDescent="0.2">
      <c r="B71" s="491"/>
      <c r="C71" s="492"/>
      <c r="D71" s="492"/>
      <c r="E71" s="492"/>
      <c r="F71" s="492"/>
      <c r="G71" s="492"/>
      <c r="H71" s="492"/>
      <c r="I71" s="492"/>
      <c r="J71" s="493"/>
      <c r="K71" s="565"/>
      <c r="L71" s="565"/>
      <c r="M71" s="565"/>
      <c r="N71" s="566"/>
    </row>
    <row r="72" spans="2:14" ht="11.25" customHeight="1" x14ac:dyDescent="0.2">
      <c r="B72" s="491" t="s">
        <v>582</v>
      </c>
      <c r="C72" s="501">
        <f t="shared" ref="C72:N72" si="6">(C70/100)*$W$59</f>
        <v>12049602.300896874</v>
      </c>
      <c r="D72" s="501">
        <f t="shared" si="6"/>
        <v>9618282.1451031249</v>
      </c>
      <c r="E72" s="501">
        <f t="shared" si="6"/>
        <v>4850089.739198437</v>
      </c>
      <c r="F72" s="501">
        <f t="shared" si="6"/>
        <v>70039.397350000014</v>
      </c>
      <c r="G72" s="501">
        <f t="shared" si="6"/>
        <v>263423.49288124999</v>
      </c>
      <c r="H72" s="501">
        <f t="shared" si="6"/>
        <v>147309.91918906249</v>
      </c>
      <c r="I72" s="501">
        <f t="shared" si="6"/>
        <v>539037.3872</v>
      </c>
      <c r="J72" s="501">
        <f t="shared" si="6"/>
        <v>83393.428015625002</v>
      </c>
      <c r="K72" s="501">
        <f t="shared" si="6"/>
        <v>27.705457812499997</v>
      </c>
      <c r="L72" s="501">
        <f t="shared" si="6"/>
        <v>13991.2561953125</v>
      </c>
      <c r="M72" s="501">
        <f t="shared" si="6"/>
        <v>62531.218282812508</v>
      </c>
      <c r="N72" s="503">
        <f t="shared" si="6"/>
        <v>27697727.989770312</v>
      </c>
    </row>
    <row r="73" spans="2:14" ht="11.25" customHeight="1" x14ac:dyDescent="0.2">
      <c r="B73" s="491"/>
      <c r="C73" s="492"/>
      <c r="D73" s="492"/>
      <c r="E73" s="492"/>
      <c r="F73" s="492"/>
      <c r="G73" s="492"/>
      <c r="H73" s="492"/>
      <c r="I73" s="492"/>
      <c r="J73" s="493"/>
      <c r="K73" s="565"/>
      <c r="L73" s="565"/>
      <c r="M73" s="565"/>
      <c r="N73" s="495"/>
    </row>
    <row r="74" spans="2:14" ht="11.25" customHeight="1" x14ac:dyDescent="0.25">
      <c r="B74" s="491" t="s">
        <v>583</v>
      </c>
      <c r="C74" s="567">
        <v>0.95</v>
      </c>
      <c r="D74" s="568"/>
      <c r="E74" s="569">
        <v>0.43</v>
      </c>
      <c r="F74" s="569">
        <v>1.18</v>
      </c>
      <c r="G74" s="568"/>
      <c r="H74" s="569">
        <v>1.52</v>
      </c>
      <c r="I74" s="568"/>
      <c r="J74" s="570">
        <v>0.11</v>
      </c>
      <c r="K74" s="571"/>
      <c r="L74" s="571"/>
      <c r="M74" s="571"/>
      <c r="N74" s="495"/>
    </row>
    <row r="75" spans="2:14" ht="11.25" customHeight="1" x14ac:dyDescent="0.2">
      <c r="B75" s="491"/>
      <c r="C75" s="492"/>
      <c r="D75" s="492"/>
      <c r="E75" s="492"/>
      <c r="F75" s="492"/>
      <c r="G75" s="492"/>
      <c r="H75" s="492"/>
      <c r="I75" s="492"/>
      <c r="J75" s="493"/>
      <c r="K75" s="565"/>
      <c r="L75" s="565"/>
      <c r="M75" s="565"/>
      <c r="N75" s="495"/>
    </row>
    <row r="76" spans="2:14" ht="11.25" customHeight="1" x14ac:dyDescent="0.25">
      <c r="B76" s="491" t="s">
        <v>584</v>
      </c>
      <c r="C76" s="501">
        <f>C72*C74</f>
        <v>11447122.18585203</v>
      </c>
      <c r="D76" s="568"/>
      <c r="E76" s="501">
        <f t="shared" ref="E76:F76" si="7">E72*E74</f>
        <v>2085538.5878553279</v>
      </c>
      <c r="F76" s="501">
        <f t="shared" si="7"/>
        <v>82646.488873000009</v>
      </c>
      <c r="G76" s="568"/>
      <c r="H76" s="501">
        <f>H72*H74</f>
        <v>223911.07716737498</v>
      </c>
      <c r="I76" s="568"/>
      <c r="J76" s="502">
        <f>J72*J74</f>
        <v>9173.2770817187502</v>
      </c>
      <c r="K76" s="571"/>
      <c r="L76" s="571"/>
      <c r="M76" s="571"/>
      <c r="N76" s="572">
        <f>SUM(C76:M76)</f>
        <v>13848391.616829451</v>
      </c>
    </row>
    <row r="77" spans="2:14" ht="11.25" customHeight="1" x14ac:dyDescent="0.2">
      <c r="B77" s="491"/>
      <c r="C77" s="492"/>
      <c r="D77" s="492"/>
      <c r="E77" s="492"/>
      <c r="F77" s="492"/>
      <c r="G77" s="492"/>
      <c r="H77" s="492"/>
      <c r="I77" s="492"/>
      <c r="J77" s="493"/>
      <c r="K77" s="565"/>
      <c r="L77" s="565"/>
      <c r="M77" s="565"/>
      <c r="N77" s="495"/>
    </row>
    <row r="78" spans="2:14" ht="11.25" customHeight="1" x14ac:dyDescent="0.25">
      <c r="B78" s="518" t="s">
        <v>585</v>
      </c>
      <c r="C78" s="573">
        <f>C76/1000000</f>
        <v>11.447122185852031</v>
      </c>
      <c r="D78" s="574"/>
      <c r="E78" s="573">
        <f t="shared" ref="E78:F78" si="8">E76/1000000</f>
        <v>2.0855385878553281</v>
      </c>
      <c r="F78" s="573">
        <f t="shared" si="8"/>
        <v>8.264648887300001E-2</v>
      </c>
      <c r="G78" s="574"/>
      <c r="H78" s="573">
        <f>H76/1000000</f>
        <v>0.22391107716737499</v>
      </c>
      <c r="I78" s="574"/>
      <c r="J78" s="575">
        <f>J76/1000000</f>
        <v>9.1732770817187503E-3</v>
      </c>
      <c r="K78" s="571"/>
      <c r="L78" s="571"/>
      <c r="M78" s="571"/>
      <c r="N78" s="576">
        <f>SUM(C78:M78)</f>
        <v>13.848391616829453</v>
      </c>
    </row>
    <row r="79" spans="2:14" ht="11.25" customHeight="1" x14ac:dyDescent="0.2">
      <c r="B79" s="577"/>
      <c r="C79" s="578"/>
      <c r="D79" s="578"/>
      <c r="E79" s="578"/>
      <c r="F79" s="578"/>
      <c r="G79" s="578"/>
      <c r="H79" s="578"/>
      <c r="I79" s="578"/>
      <c r="J79" s="578"/>
      <c r="K79" s="579"/>
      <c r="L79" s="579"/>
      <c r="M79" s="579"/>
      <c r="N79" s="580"/>
    </row>
    <row r="80" spans="2:14" ht="11.25" customHeight="1" x14ac:dyDescent="0.2"/>
    <row r="81" spans="2:23" ht="11.25" customHeight="1" x14ac:dyDescent="0.2"/>
    <row r="82" spans="2:23" ht="11.25" customHeight="1" x14ac:dyDescent="0.2"/>
    <row r="83" spans="2:23" ht="11.25" customHeight="1" x14ac:dyDescent="0.3">
      <c r="E83" s="2510" t="s">
        <v>586</v>
      </c>
      <c r="F83" s="2504"/>
      <c r="G83" s="2504"/>
      <c r="H83" s="2504"/>
      <c r="I83" s="2504"/>
      <c r="J83" s="2504"/>
    </row>
    <row r="84" spans="2:23" ht="11.25" customHeight="1" x14ac:dyDescent="0.2"/>
    <row r="85" spans="2:23" ht="11.25" customHeight="1" x14ac:dyDescent="0.3">
      <c r="B85" s="487"/>
      <c r="C85" s="488">
        <v>1994</v>
      </c>
      <c r="D85" s="488">
        <v>1995</v>
      </c>
      <c r="E85" s="488">
        <v>1996</v>
      </c>
      <c r="F85" s="488">
        <v>1997</v>
      </c>
      <c r="G85" s="488">
        <v>1998</v>
      </c>
      <c r="H85" s="488">
        <v>1999</v>
      </c>
      <c r="I85" s="488">
        <v>2000</v>
      </c>
      <c r="J85" s="488">
        <v>2001</v>
      </c>
      <c r="K85" s="488">
        <v>2002</v>
      </c>
      <c r="L85" s="488">
        <v>2003</v>
      </c>
      <c r="M85" s="488">
        <v>2004</v>
      </c>
      <c r="N85" s="488">
        <v>2005</v>
      </c>
      <c r="O85" s="488">
        <v>2006</v>
      </c>
      <c r="P85" s="488">
        <v>2007</v>
      </c>
      <c r="Q85" s="488">
        <v>2008</v>
      </c>
      <c r="R85" s="488">
        <v>2009</v>
      </c>
      <c r="S85" s="488">
        <v>2010</v>
      </c>
      <c r="T85" s="488">
        <v>2011</v>
      </c>
      <c r="U85" s="488">
        <v>2012</v>
      </c>
      <c r="V85" s="488">
        <v>2013</v>
      </c>
      <c r="W85" s="490">
        <v>2014</v>
      </c>
    </row>
    <row r="86" spans="2:23" ht="11.25" customHeight="1" x14ac:dyDescent="0.2">
      <c r="B86" s="534" t="s">
        <v>569</v>
      </c>
      <c r="C86" s="581">
        <f t="shared" ref="C86:W86" si="9">(C59*$B$66/2204.62)/1000000</f>
        <v>6.4481352246923516</v>
      </c>
      <c r="D86" s="581">
        <f t="shared" si="9"/>
        <v>6.6834213760205845</v>
      </c>
      <c r="E86" s="581">
        <f t="shared" si="9"/>
        <v>7.1772903265324643</v>
      </c>
      <c r="F86" s="581">
        <f t="shared" si="9"/>
        <v>6.5685362305397303</v>
      </c>
      <c r="G86" s="581">
        <f t="shared" si="9"/>
        <v>5.4238086942659063</v>
      </c>
      <c r="H86" s="581">
        <f t="shared" si="9"/>
        <v>5.573667355648027</v>
      </c>
      <c r="I86" s="581">
        <f t="shared" si="9"/>
        <v>6.6947273275388737</v>
      </c>
      <c r="J86" s="581">
        <f t="shared" si="9"/>
        <v>8.2549621083792228</v>
      </c>
      <c r="K86" s="581">
        <f t="shared" si="9"/>
        <v>12.246431350245169</v>
      </c>
      <c r="L86" s="581">
        <f t="shared" si="9"/>
        <v>11.790954050231447</v>
      </c>
      <c r="M86" s="581">
        <f t="shared" si="9"/>
        <v>9.5559860566333441</v>
      </c>
      <c r="N86" s="581">
        <f t="shared" si="9"/>
        <v>10.036788489589476</v>
      </c>
      <c r="O86" s="581">
        <f t="shared" si="9"/>
        <v>9.1263726166147698</v>
      </c>
      <c r="P86" s="581">
        <f t="shared" si="9"/>
        <v>9.6866124825298687</v>
      </c>
      <c r="Q86" s="581">
        <f t="shared" si="9"/>
        <v>10.009689350694792</v>
      </c>
      <c r="R86" s="581">
        <f t="shared" si="9"/>
        <v>11.418216225799119</v>
      </c>
      <c r="S86" s="581">
        <f t="shared" si="9"/>
        <v>12.968488135954271</v>
      </c>
      <c r="T86" s="581">
        <f t="shared" si="9"/>
        <v>12.892976068769789</v>
      </c>
      <c r="U86" s="581">
        <f t="shared" si="9"/>
        <v>14.001203842367394</v>
      </c>
      <c r="V86" s="581">
        <f t="shared" si="9"/>
        <v>15.031292861877558</v>
      </c>
      <c r="W86" s="581">
        <f t="shared" si="9"/>
        <v>13.919962352057841</v>
      </c>
    </row>
    <row r="87" spans="2:23" ht="11.25" customHeight="1" x14ac:dyDescent="0.2">
      <c r="R87" s="582">
        <f>N78</f>
        <v>13.848391616829453</v>
      </c>
    </row>
    <row r="88" spans="2:23" ht="11.25" customHeight="1" x14ac:dyDescent="0.2"/>
    <row r="89" spans="2:23" ht="11.25" customHeight="1" x14ac:dyDescent="0.2"/>
    <row r="90" spans="2:23" ht="11.25" customHeight="1" x14ac:dyDescent="0.2"/>
    <row r="91" spans="2:23" ht="11.25" customHeight="1" x14ac:dyDescent="0.2"/>
    <row r="92" spans="2:23" ht="11.25" customHeight="1" x14ac:dyDescent="0.2"/>
    <row r="93" spans="2:23" ht="11.25" customHeight="1" x14ac:dyDescent="0.2"/>
    <row r="94" spans="2:23" ht="11.25" customHeight="1" x14ac:dyDescent="0.2"/>
    <row r="95" spans="2:23" ht="11.25" customHeight="1" x14ac:dyDescent="0.2"/>
    <row r="96" spans="2:2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spans="2:2" ht="11.25" customHeight="1" x14ac:dyDescent="0.2"/>
    <row r="130" spans="2:2" ht="11.25" customHeight="1" x14ac:dyDescent="0.2"/>
    <row r="131" spans="2:2" ht="11.25" customHeight="1" x14ac:dyDescent="0.2"/>
    <row r="132" spans="2:2" ht="11.25" customHeight="1" x14ac:dyDescent="0.2"/>
    <row r="133" spans="2:2" ht="11.25" customHeight="1" x14ac:dyDescent="0.2"/>
    <row r="134" spans="2:2" ht="11.25" customHeight="1" x14ac:dyDescent="0.2">
      <c r="B134" s="583" t="s">
        <v>587</v>
      </c>
    </row>
    <row r="135" spans="2:2" ht="11.25" customHeight="1" x14ac:dyDescent="0.2"/>
    <row r="136" spans="2:2" ht="11.25" customHeight="1" x14ac:dyDescent="0.2">
      <c r="B136" s="583" t="s">
        <v>588</v>
      </c>
    </row>
    <row r="137" spans="2:2" ht="11.25" customHeight="1" x14ac:dyDescent="0.2"/>
    <row r="138" spans="2:2" ht="11.25" customHeight="1" x14ac:dyDescent="0.2"/>
    <row r="139" spans="2:2" ht="11.25" customHeight="1" x14ac:dyDescent="0.2"/>
    <row r="140" spans="2:2" ht="11.25" customHeight="1" x14ac:dyDescent="0.2"/>
    <row r="141" spans="2:2" ht="11.25" customHeight="1" x14ac:dyDescent="0.2"/>
    <row r="142" spans="2:2" ht="11.25" customHeight="1" x14ac:dyDescent="0.2"/>
    <row r="143" spans="2:2" ht="11.25" customHeight="1" x14ac:dyDescent="0.2"/>
    <row r="144" spans="2:2"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sheetProtection algorithmName="SHA-512" hashValue="lryHnQ0TWF94Lkt21aSzuvx/l9CKdr0IIeixjKH7d3DVEJ7hX2hm/TNo4g+fGS5qwno7ulW3C31bsn3naF+IKg==" saltValue="diXbdHS7QsfD5dyjzDr+AA==" spinCount="100000" sheet="1" objects="1" scenarios="1"/>
  <mergeCells count="1">
    <mergeCell ref="E83:J83"/>
  </mergeCells>
  <pageMargins left="0.75" right="0.75" top="1" bottom="1"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67"/>
  <sheetViews>
    <sheetView workbookViewId="0"/>
  </sheetViews>
  <sheetFormatPr defaultColWidth="16.83203125" defaultRowHeight="15" customHeight="1" x14ac:dyDescent="0.2"/>
  <cols>
    <col min="1" max="1" width="4.33203125" customWidth="1"/>
    <col min="2" max="2" width="27.6640625" customWidth="1"/>
    <col min="3" max="3" width="17.6640625" customWidth="1"/>
    <col min="4" max="4" width="14.6640625" customWidth="1"/>
    <col min="5" max="5" width="21.5" customWidth="1"/>
    <col min="6" max="6" width="13.6640625" customWidth="1"/>
    <col min="7" max="7" width="17.83203125" customWidth="1"/>
    <col min="8" max="8" width="21.1640625" customWidth="1"/>
    <col min="9" max="9" width="13.83203125" customWidth="1"/>
    <col min="10" max="10" width="18.5" customWidth="1"/>
    <col min="11" max="11" width="18.6640625" customWidth="1"/>
    <col min="12" max="12" width="15.1640625" customWidth="1"/>
    <col min="13" max="13" width="15.33203125" customWidth="1"/>
    <col min="14" max="14" width="15.5" customWidth="1"/>
    <col min="15" max="15" width="13.5" customWidth="1"/>
    <col min="16" max="16" width="13" customWidth="1"/>
    <col min="17" max="17" width="10.33203125" customWidth="1"/>
    <col min="18" max="18" width="12.1640625" customWidth="1"/>
    <col min="19" max="19" width="11" customWidth="1"/>
    <col min="20" max="20" width="15.6640625" customWidth="1"/>
    <col min="21" max="21" width="3.1640625" customWidth="1"/>
    <col min="22" max="22" width="8.83203125" customWidth="1"/>
    <col min="23" max="23" width="2.5" customWidth="1"/>
    <col min="24" max="24" width="11.1640625" customWidth="1"/>
    <col min="25" max="25" width="2.33203125" customWidth="1"/>
    <col min="26" max="26" width="10.5" customWidth="1"/>
    <col min="27" max="27" width="13.83203125" customWidth="1"/>
    <col min="28" max="28" width="2.6640625" customWidth="1"/>
    <col min="29" max="29" width="8.83203125" customWidth="1"/>
    <col min="30" max="30" width="1.5" customWidth="1"/>
    <col min="31" max="31" width="8.83203125" customWidth="1"/>
    <col min="32" max="32" width="3.1640625" customWidth="1"/>
    <col min="33" max="34" width="8.83203125" customWidth="1"/>
  </cols>
  <sheetData>
    <row r="1" spans="1:34" ht="33" x14ac:dyDescent="0.45">
      <c r="A1" s="9" t="s">
        <v>589</v>
      </c>
      <c r="B1" s="9"/>
      <c r="C1" s="481"/>
      <c r="D1" s="481"/>
      <c r="E1" s="482"/>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row>
    <row r="2" spans="1:34" ht="73.5" customHeight="1" x14ac:dyDescent="0.2">
      <c r="A2" s="2511"/>
      <c r="B2" s="2504"/>
      <c r="C2" s="2504"/>
      <c r="D2" s="2504"/>
      <c r="E2" s="2504"/>
      <c r="F2" s="2504"/>
      <c r="G2" s="2504"/>
      <c r="H2" s="2504"/>
      <c r="I2" s="2504"/>
      <c r="J2" s="2504"/>
      <c r="K2" s="2504"/>
      <c r="L2" s="481"/>
      <c r="M2" s="481"/>
      <c r="N2" s="481"/>
      <c r="O2" s="481"/>
      <c r="P2" s="481"/>
      <c r="Q2" s="481"/>
      <c r="R2" s="481"/>
      <c r="S2" s="481"/>
      <c r="T2" s="481"/>
      <c r="U2" s="481"/>
      <c r="V2" s="481"/>
      <c r="W2" s="481"/>
      <c r="X2" s="481"/>
      <c r="Y2" s="481"/>
      <c r="Z2" s="481"/>
      <c r="AA2" s="481"/>
      <c r="AB2" s="481"/>
      <c r="AC2" s="481"/>
      <c r="AD2" s="481"/>
      <c r="AE2" s="481"/>
      <c r="AF2" s="481"/>
      <c r="AG2" s="481"/>
      <c r="AH2" s="481"/>
    </row>
    <row r="4" spans="1:34" ht="21" x14ac:dyDescent="0.35">
      <c r="B4" s="2512" t="s">
        <v>590</v>
      </c>
      <c r="C4" s="2513"/>
      <c r="D4" s="2513"/>
      <c r="E4" s="2513"/>
      <c r="F4" s="2513"/>
      <c r="G4" s="2513"/>
      <c r="H4" s="2514"/>
      <c r="J4" s="2515" t="s">
        <v>591</v>
      </c>
      <c r="K4" s="2516"/>
      <c r="L4" s="2516"/>
      <c r="M4" s="2516"/>
      <c r="N4" s="2516"/>
    </row>
    <row r="5" spans="1:34" ht="21" x14ac:dyDescent="0.35">
      <c r="B5" s="584"/>
      <c r="C5" s="585"/>
      <c r="D5" s="585"/>
      <c r="E5" s="585"/>
      <c r="F5" s="585"/>
      <c r="G5" s="585"/>
      <c r="H5" s="586"/>
    </row>
    <row r="6" spans="1:34" ht="18" x14ac:dyDescent="0.35">
      <c r="B6" s="587"/>
      <c r="C6" s="2517" t="s">
        <v>592</v>
      </c>
      <c r="D6" s="2518"/>
      <c r="E6" s="2518"/>
      <c r="F6" s="2518"/>
      <c r="G6" s="2502"/>
      <c r="H6" s="588" t="s">
        <v>593</v>
      </c>
      <c r="J6" s="589" t="s">
        <v>594</v>
      </c>
      <c r="K6" s="590" t="s">
        <v>448</v>
      </c>
      <c r="L6" s="590" t="s">
        <v>141</v>
      </c>
      <c r="M6" s="591" t="s">
        <v>393</v>
      </c>
    </row>
    <row r="7" spans="1:34" x14ac:dyDescent="0.25">
      <c r="B7" s="592" t="s">
        <v>594</v>
      </c>
      <c r="C7" s="585" t="s">
        <v>448</v>
      </c>
      <c r="D7" s="585" t="s">
        <v>141</v>
      </c>
      <c r="E7" s="585" t="s">
        <v>595</v>
      </c>
      <c r="F7" s="585" t="s">
        <v>596</v>
      </c>
      <c r="G7" s="585" t="s">
        <v>597</v>
      </c>
      <c r="H7" s="593" t="s">
        <v>598</v>
      </c>
      <c r="J7" s="491">
        <v>24001</v>
      </c>
      <c r="K7" s="492">
        <v>4280036154280.2969</v>
      </c>
      <c r="L7" s="492">
        <v>1223659148582</v>
      </c>
      <c r="M7" s="495">
        <v>5503695302862.2969</v>
      </c>
    </row>
    <row r="8" spans="1:34" ht="11.25" x14ac:dyDescent="0.2">
      <c r="B8" s="587" t="s">
        <v>599</v>
      </c>
      <c r="C8" s="594">
        <v>311158338116.10889</v>
      </c>
      <c r="D8" s="594">
        <v>90845838546</v>
      </c>
      <c r="E8" s="594">
        <v>283539509</v>
      </c>
      <c r="F8" s="594">
        <v>444882798</v>
      </c>
      <c r="G8" s="594">
        <v>402732598969.10889</v>
      </c>
      <c r="H8" s="595">
        <f t="shared" ref="H8:H32" si="0">+G8/(10)^12</f>
        <v>0.4027325989691089</v>
      </c>
      <c r="I8" s="538"/>
      <c r="J8" s="491">
        <v>24003</v>
      </c>
      <c r="K8" s="492">
        <v>32566053060578</v>
      </c>
      <c r="L8" s="492">
        <v>8094351775894</v>
      </c>
      <c r="M8" s="495">
        <v>40660404836472</v>
      </c>
    </row>
    <row r="9" spans="1:34" ht="11.25" x14ac:dyDescent="0.2">
      <c r="B9" s="587" t="s">
        <v>600</v>
      </c>
      <c r="C9" s="594">
        <v>2365529455741</v>
      </c>
      <c r="D9" s="594">
        <v>600077902143</v>
      </c>
      <c r="E9" s="594">
        <v>531376386</v>
      </c>
      <c r="F9" s="594">
        <v>3671487068</v>
      </c>
      <c r="G9" s="594">
        <v>2969810221338</v>
      </c>
      <c r="H9" s="595">
        <f t="shared" si="0"/>
        <v>2.9698102213380002</v>
      </c>
      <c r="J9" s="491">
        <v>24005</v>
      </c>
      <c r="K9" s="492">
        <v>45141903077150</v>
      </c>
      <c r="L9" s="492">
        <v>12853426450302</v>
      </c>
      <c r="M9" s="495">
        <v>57995329527452</v>
      </c>
    </row>
    <row r="10" spans="1:34" ht="11.25" x14ac:dyDescent="0.2">
      <c r="B10" s="587" t="s">
        <v>601</v>
      </c>
      <c r="C10" s="594">
        <v>3276659290704.5068</v>
      </c>
      <c r="D10" s="594">
        <v>952965485988</v>
      </c>
      <c r="E10" s="594">
        <v>407928554</v>
      </c>
      <c r="F10" s="594">
        <v>4948139584</v>
      </c>
      <c r="G10" s="594">
        <v>4234980844830.5068</v>
      </c>
      <c r="H10" s="595">
        <f t="shared" si="0"/>
        <v>4.2349808448305071</v>
      </c>
      <c r="J10" s="491">
        <v>24009</v>
      </c>
      <c r="K10" s="492">
        <v>4055695040695.4961</v>
      </c>
      <c r="L10" s="492">
        <v>827579089436</v>
      </c>
      <c r="M10" s="495">
        <v>4883274130131.4961</v>
      </c>
    </row>
    <row r="11" spans="1:34" ht="11.25" x14ac:dyDescent="0.2">
      <c r="B11" s="587" t="s">
        <v>602</v>
      </c>
      <c r="C11" s="594">
        <v>295472617140.92529</v>
      </c>
      <c r="D11" s="594">
        <v>61345976601.394531</v>
      </c>
      <c r="E11" s="594">
        <v>90578467.296875</v>
      </c>
      <c r="F11" s="594">
        <v>456884344</v>
      </c>
      <c r="G11" s="594">
        <v>357366056553.6167</v>
      </c>
      <c r="H11" s="595">
        <f t="shared" si="0"/>
        <v>0.3573660565536167</v>
      </c>
      <c r="J11" s="491">
        <v>24011</v>
      </c>
      <c r="K11" s="492">
        <v>2104537816172.7891</v>
      </c>
      <c r="L11" s="492">
        <v>564019772211</v>
      </c>
      <c r="M11" s="495">
        <v>2668557588383.7891</v>
      </c>
    </row>
    <row r="12" spans="1:34" ht="11.25" x14ac:dyDescent="0.2">
      <c r="B12" s="587" t="s">
        <v>603</v>
      </c>
      <c r="C12" s="594">
        <v>153140656015.75119</v>
      </c>
      <c r="D12" s="594">
        <v>41801909956.086937</v>
      </c>
      <c r="E12" s="594">
        <v>13162147.4799805</v>
      </c>
      <c r="F12" s="594">
        <v>221991283.2109375</v>
      </c>
      <c r="G12" s="594">
        <v>195177719402.52905</v>
      </c>
      <c r="H12" s="595">
        <f t="shared" si="0"/>
        <v>0.19517771940252907</v>
      </c>
      <c r="J12" s="491">
        <v>24013</v>
      </c>
      <c r="K12" s="492">
        <v>7146787470855.793</v>
      </c>
      <c r="L12" s="492">
        <v>1717022127162</v>
      </c>
      <c r="M12" s="495">
        <v>8863809598017.793</v>
      </c>
    </row>
    <row r="13" spans="1:34" ht="11.25" x14ac:dyDescent="0.2">
      <c r="B13" s="587" t="s">
        <v>604</v>
      </c>
      <c r="C13" s="594">
        <v>520984298085.80029</v>
      </c>
      <c r="D13" s="594">
        <v>127287190411</v>
      </c>
      <c r="E13" s="594">
        <v>133850213</v>
      </c>
      <c r="F13" s="594">
        <v>853832083</v>
      </c>
      <c r="G13" s="594">
        <v>649259170792.80029</v>
      </c>
      <c r="H13" s="595">
        <f t="shared" si="0"/>
        <v>0.64925917079280027</v>
      </c>
      <c r="J13" s="491">
        <v>24015</v>
      </c>
      <c r="K13" s="492">
        <v>6744283919475.8125</v>
      </c>
      <c r="L13" s="492">
        <v>3453969890637</v>
      </c>
      <c r="M13" s="495">
        <v>10198253810112.813</v>
      </c>
    </row>
    <row r="14" spans="1:34" ht="11.25" x14ac:dyDescent="0.2">
      <c r="B14" s="587" t="s">
        <v>605</v>
      </c>
      <c r="C14" s="594">
        <v>489701556463.78174</v>
      </c>
      <c r="D14" s="594">
        <v>256311744535.82031</v>
      </c>
      <c r="E14" s="594">
        <v>366471063.99218804</v>
      </c>
      <c r="F14" s="594">
        <v>719052109</v>
      </c>
      <c r="G14" s="594">
        <v>747098824172.59424</v>
      </c>
      <c r="H14" s="595">
        <f t="shared" si="0"/>
        <v>0.74709882417259421</v>
      </c>
      <c r="J14" s="491">
        <v>24017</v>
      </c>
      <c r="K14" s="492">
        <v>6832377929265.0977</v>
      </c>
      <c r="L14" s="492">
        <v>1545990157594</v>
      </c>
      <c r="M14" s="495">
        <v>8378368086859.0977</v>
      </c>
    </row>
    <row r="15" spans="1:34" ht="11.25" x14ac:dyDescent="0.2">
      <c r="B15" s="587" t="s">
        <v>606</v>
      </c>
      <c r="C15" s="594">
        <v>497408956007.38965</v>
      </c>
      <c r="D15" s="594">
        <v>114597323057</v>
      </c>
      <c r="E15" s="594">
        <v>79709145</v>
      </c>
      <c r="F15" s="594">
        <v>735361765</v>
      </c>
      <c r="G15" s="594">
        <v>612821349974.38965</v>
      </c>
      <c r="H15" s="595">
        <f t="shared" si="0"/>
        <v>0.61282134997438964</v>
      </c>
      <c r="J15" s="491">
        <v>24019</v>
      </c>
      <c r="K15" s="492">
        <v>1914274819820.8857</v>
      </c>
      <c r="L15" s="492">
        <v>471894013032</v>
      </c>
      <c r="M15" s="495">
        <v>2386168832852.8857</v>
      </c>
    </row>
    <row r="16" spans="1:34" ht="11.25" x14ac:dyDescent="0.2">
      <c r="B16" s="587" t="s">
        <v>607</v>
      </c>
      <c r="C16" s="594">
        <v>139300530147.3728</v>
      </c>
      <c r="D16" s="594">
        <v>34974947135.703125</v>
      </c>
      <c r="E16" s="594">
        <v>142619728</v>
      </c>
      <c r="F16" s="594">
        <v>197214469.8984375</v>
      </c>
      <c r="G16" s="594">
        <v>174615311480.97437</v>
      </c>
      <c r="H16" s="595">
        <f t="shared" si="0"/>
        <v>0.17461531148097437</v>
      </c>
      <c r="J16" s="491">
        <v>24021</v>
      </c>
      <c r="K16" s="492">
        <v>16209390999801</v>
      </c>
      <c r="L16" s="492">
        <v>4395922045126</v>
      </c>
      <c r="M16" s="495">
        <v>20605313044927</v>
      </c>
    </row>
    <row r="17" spans="2:13" ht="11.25" x14ac:dyDescent="0.2">
      <c r="B17" s="587" t="s">
        <v>608</v>
      </c>
      <c r="C17" s="594">
        <v>1175978632181.4961</v>
      </c>
      <c r="D17" s="594">
        <v>325976488000.09766</v>
      </c>
      <c r="E17" s="594">
        <v>520331163</v>
      </c>
      <c r="F17" s="594">
        <v>1786501489</v>
      </c>
      <c r="G17" s="594">
        <v>1504261952833.5938</v>
      </c>
      <c r="H17" s="595">
        <f t="shared" si="0"/>
        <v>1.5042619528335937</v>
      </c>
      <c r="J17" s="491">
        <v>24023</v>
      </c>
      <c r="K17" s="492">
        <v>2661314367743.3428</v>
      </c>
      <c r="L17" s="492">
        <v>1042577016284.8203</v>
      </c>
      <c r="M17" s="495">
        <v>3703891384028.1631</v>
      </c>
    </row>
    <row r="18" spans="2:13" ht="11.25" x14ac:dyDescent="0.2">
      <c r="B18" s="587" t="s">
        <v>609</v>
      </c>
      <c r="C18" s="594">
        <v>193193457061.10022</v>
      </c>
      <c r="D18" s="594">
        <v>77477027629.850098</v>
      </c>
      <c r="E18" s="594">
        <v>190378646.59375101</v>
      </c>
      <c r="F18" s="594">
        <v>296891159.78076196</v>
      </c>
      <c r="G18" s="594">
        <v>271157754497.32483</v>
      </c>
      <c r="H18" s="595">
        <f t="shared" si="0"/>
        <v>0.27115775449732482</v>
      </c>
      <c r="J18" s="491">
        <v>24025</v>
      </c>
      <c r="K18" s="492">
        <v>13306072038543</v>
      </c>
      <c r="L18" s="492">
        <v>3644254227608</v>
      </c>
      <c r="M18" s="495">
        <v>16950326266151</v>
      </c>
    </row>
    <row r="19" spans="2:13" ht="11.25" x14ac:dyDescent="0.2">
      <c r="B19" s="587" t="s">
        <v>610</v>
      </c>
      <c r="C19" s="594">
        <v>966893111021.90723</v>
      </c>
      <c r="D19" s="594">
        <v>270179139437.70313</v>
      </c>
      <c r="E19" s="594">
        <v>392879720</v>
      </c>
      <c r="F19" s="594">
        <v>1515715503</v>
      </c>
      <c r="G19" s="594">
        <v>1238980845682.6104</v>
      </c>
      <c r="H19" s="595">
        <f t="shared" si="0"/>
        <v>1.2389808456826104</v>
      </c>
      <c r="J19" s="491">
        <v>24027</v>
      </c>
      <c r="K19" s="492">
        <v>21658030135189</v>
      </c>
      <c r="L19" s="492">
        <v>6098079785610</v>
      </c>
      <c r="M19" s="495">
        <v>27756109920799</v>
      </c>
    </row>
    <row r="20" spans="2:13" ht="11.25" x14ac:dyDescent="0.2">
      <c r="B20" s="587" t="s">
        <v>611</v>
      </c>
      <c r="C20" s="594">
        <v>1569661510972.4941</v>
      </c>
      <c r="D20" s="594">
        <v>452251373345</v>
      </c>
      <c r="E20" s="594">
        <v>440710917</v>
      </c>
      <c r="F20" s="594">
        <v>2364707337</v>
      </c>
      <c r="G20" s="594">
        <v>2024718302571.4941</v>
      </c>
      <c r="H20" s="595">
        <f t="shared" si="0"/>
        <v>2.0247183025714941</v>
      </c>
      <c r="J20" s="491">
        <v>24029</v>
      </c>
      <c r="K20" s="492">
        <v>1098745547980.1846</v>
      </c>
      <c r="L20" s="492">
        <v>418364776103</v>
      </c>
      <c r="M20" s="495">
        <v>1517110324083.1846</v>
      </c>
    </row>
    <row r="21" spans="2:13" ht="11.25" x14ac:dyDescent="0.2">
      <c r="B21" s="587" t="s">
        <v>612</v>
      </c>
      <c r="C21" s="594">
        <v>80097649525.063599</v>
      </c>
      <c r="D21" s="594">
        <v>31007291705.520512</v>
      </c>
      <c r="E21" s="594">
        <v>35683672.350097805</v>
      </c>
      <c r="F21" s="594">
        <v>109985837.796875</v>
      </c>
      <c r="G21" s="594">
        <v>111250610740.73108</v>
      </c>
      <c r="H21" s="595">
        <f t="shared" si="0"/>
        <v>0.11125061074073107</v>
      </c>
      <c r="J21" s="491">
        <v>24031</v>
      </c>
      <c r="K21" s="492">
        <v>41837935299884</v>
      </c>
      <c r="L21" s="492">
        <v>10041056043112</v>
      </c>
      <c r="M21" s="495">
        <v>51878991342996</v>
      </c>
    </row>
    <row r="22" spans="2:13" ht="11.25" x14ac:dyDescent="0.2">
      <c r="B22" s="587" t="s">
        <v>613</v>
      </c>
      <c r="C22" s="594">
        <v>3043825910422.7949</v>
      </c>
      <c r="D22" s="594">
        <v>744326561467</v>
      </c>
      <c r="E22" s="594">
        <v>1995437420</v>
      </c>
      <c r="F22" s="594">
        <v>4240754957</v>
      </c>
      <c r="G22" s="594">
        <v>3794388664266.7949</v>
      </c>
      <c r="H22" s="595">
        <f t="shared" si="0"/>
        <v>3.794388664266795</v>
      </c>
      <c r="J22" s="491">
        <v>24033</v>
      </c>
      <c r="K22" s="492">
        <v>48684618396250</v>
      </c>
      <c r="L22" s="492">
        <v>11957352187320</v>
      </c>
      <c r="M22" s="495">
        <v>60641970583570</v>
      </c>
    </row>
    <row r="23" spans="2:13" ht="11.25" x14ac:dyDescent="0.2">
      <c r="B23" s="587" t="s">
        <v>614</v>
      </c>
      <c r="C23" s="594">
        <v>3532404229283.9141</v>
      </c>
      <c r="D23" s="594">
        <v>886232713477</v>
      </c>
      <c r="E23" s="594">
        <v>1106136360</v>
      </c>
      <c r="F23" s="594">
        <v>4937597605</v>
      </c>
      <c r="G23" s="594">
        <v>4424680676725.9141</v>
      </c>
      <c r="H23" s="595">
        <f t="shared" si="0"/>
        <v>4.4246806767259139</v>
      </c>
      <c r="J23" s="491">
        <v>24035</v>
      </c>
      <c r="K23" s="492">
        <v>4842335679807.5879</v>
      </c>
      <c r="L23" s="492">
        <v>1947980742079</v>
      </c>
      <c r="M23" s="495">
        <v>6790316421886.5879</v>
      </c>
    </row>
    <row r="24" spans="2:13" ht="11.25" x14ac:dyDescent="0.2">
      <c r="B24" s="587" t="s">
        <v>615</v>
      </c>
      <c r="C24" s="594">
        <v>351037321315.25854</v>
      </c>
      <c r="D24" s="594">
        <v>144374730988.08984</v>
      </c>
      <c r="E24" s="594">
        <v>192247486.80078101</v>
      </c>
      <c r="F24" s="594">
        <v>521251494</v>
      </c>
      <c r="G24" s="594">
        <v>496125551284.14917</v>
      </c>
      <c r="H24" s="595">
        <f t="shared" si="0"/>
        <v>0.49612555128414915</v>
      </c>
      <c r="J24" s="491">
        <v>24037</v>
      </c>
      <c r="K24" s="492">
        <v>4844881923314.9023</v>
      </c>
      <c r="L24" s="492">
        <v>1163963776586</v>
      </c>
      <c r="M24" s="495">
        <v>6008845699900.9023</v>
      </c>
    </row>
    <row r="25" spans="2:13" ht="11.25" x14ac:dyDescent="0.2">
      <c r="B25" s="587" t="s">
        <v>616</v>
      </c>
      <c r="C25" s="594">
        <v>353804373747.85242</v>
      </c>
      <c r="D25" s="594">
        <v>86275601218.982422</v>
      </c>
      <c r="E25" s="594">
        <v>139997248.4921875</v>
      </c>
      <c r="F25" s="594">
        <v>505091717.60937512</v>
      </c>
      <c r="G25" s="594">
        <v>440725063932.9364</v>
      </c>
      <c r="H25" s="595">
        <f t="shared" si="0"/>
        <v>0.44072506393293642</v>
      </c>
      <c r="J25" s="491">
        <v>24039</v>
      </c>
      <c r="K25" s="492">
        <v>1414316815647.792</v>
      </c>
      <c r="L25" s="492">
        <v>345799782607</v>
      </c>
      <c r="M25" s="495">
        <v>1760116598254.792</v>
      </c>
    </row>
    <row r="26" spans="2:13" ht="11.25" x14ac:dyDescent="0.2">
      <c r="B26" s="587" t="s">
        <v>617</v>
      </c>
      <c r="C26" s="594">
        <v>102746605144.2157</v>
      </c>
      <c r="D26" s="594">
        <v>25627672906.572266</v>
      </c>
      <c r="E26" s="594">
        <v>106455427.29687509</v>
      </c>
      <c r="F26" s="594">
        <v>147918339.40625</v>
      </c>
      <c r="G26" s="594">
        <v>128628651817.49109</v>
      </c>
      <c r="H26" s="595">
        <f t="shared" si="0"/>
        <v>0.12862865181749109</v>
      </c>
      <c r="J26" s="491">
        <v>24041</v>
      </c>
      <c r="K26" s="492">
        <v>3202745880474.3418</v>
      </c>
      <c r="L26" s="492">
        <v>784749617080</v>
      </c>
      <c r="M26" s="495">
        <v>3987495497554.3418</v>
      </c>
    </row>
    <row r="27" spans="2:13" ht="11.25" x14ac:dyDescent="0.2">
      <c r="B27" s="587" t="s">
        <v>618</v>
      </c>
      <c r="C27" s="594">
        <v>232559900069.27731</v>
      </c>
      <c r="D27" s="594">
        <v>58160181786.804688</v>
      </c>
      <c r="E27" s="594">
        <v>38560041.479980499</v>
      </c>
      <c r="F27" s="594">
        <v>332638328.203125</v>
      </c>
      <c r="G27" s="594">
        <v>291091280225.76514</v>
      </c>
      <c r="H27" s="595">
        <f t="shared" si="0"/>
        <v>0.29109128022576514</v>
      </c>
      <c r="J27" s="491">
        <v>24043</v>
      </c>
      <c r="K27" s="492">
        <v>10142365767389.207</v>
      </c>
      <c r="L27" s="492">
        <v>6150986147688</v>
      </c>
      <c r="M27" s="495">
        <v>16293351915077.207</v>
      </c>
    </row>
    <row r="28" spans="2:13" ht="11.25" x14ac:dyDescent="0.2">
      <c r="B28" s="587" t="s">
        <v>619</v>
      </c>
      <c r="C28" s="594">
        <v>737010985308.54248</v>
      </c>
      <c r="D28" s="594">
        <v>456693523464</v>
      </c>
      <c r="E28" s="594">
        <v>412215943.80468607</v>
      </c>
      <c r="F28" s="594">
        <v>984260398</v>
      </c>
      <c r="G28" s="594">
        <v>1195100985114.3472</v>
      </c>
      <c r="H28" s="595">
        <f t="shared" si="0"/>
        <v>1.1951009851143473</v>
      </c>
      <c r="J28" s="491">
        <v>24045</v>
      </c>
      <c r="K28" s="492">
        <v>5372604195512.3965</v>
      </c>
      <c r="L28" s="492">
        <v>1144670919232</v>
      </c>
      <c r="M28" s="495">
        <v>6517275114744.3965</v>
      </c>
    </row>
    <row r="29" spans="2:13" ht="11.25" x14ac:dyDescent="0.2">
      <c r="B29" s="587" t="s">
        <v>620</v>
      </c>
      <c r="C29" s="594">
        <v>391006434369.70215</v>
      </c>
      <c r="D29" s="594">
        <v>84839208331</v>
      </c>
      <c r="E29" s="594">
        <v>294447804</v>
      </c>
      <c r="F29" s="594">
        <v>562250442</v>
      </c>
      <c r="G29" s="594">
        <v>476702340946.70215</v>
      </c>
      <c r="H29" s="595">
        <f t="shared" si="0"/>
        <v>0.47670234094670216</v>
      </c>
      <c r="J29" s="491">
        <v>24047</v>
      </c>
      <c r="K29" s="492">
        <v>3940291013796.1074</v>
      </c>
      <c r="L29" s="492">
        <v>910584256710</v>
      </c>
      <c r="M29" s="495">
        <v>4850875270506.1074</v>
      </c>
    </row>
    <row r="30" spans="2:13" ht="11.25" x14ac:dyDescent="0.2">
      <c r="B30" s="587" t="s">
        <v>621</v>
      </c>
      <c r="C30" s="594">
        <v>286400499874.11792</v>
      </c>
      <c r="D30" s="594">
        <v>67487678886.500008</v>
      </c>
      <c r="E30" s="594">
        <v>425463189</v>
      </c>
      <c r="F30" s="594">
        <v>416132007</v>
      </c>
      <c r="G30" s="594">
        <v>354729773956.61792</v>
      </c>
      <c r="H30" s="595">
        <f t="shared" si="0"/>
        <v>0.35472977395661792</v>
      </c>
      <c r="J30" s="491">
        <v>24510</v>
      </c>
      <c r="K30" s="492">
        <v>18905227025695</v>
      </c>
      <c r="L30" s="492">
        <v>4979440752818</v>
      </c>
      <c r="M30" s="495">
        <v>23884667778513</v>
      </c>
    </row>
    <row r="31" spans="2:13" ht="11.25" x14ac:dyDescent="0.2">
      <c r="B31" s="587" t="s">
        <v>622</v>
      </c>
      <c r="C31" s="594">
        <v>1373150909096.0996</v>
      </c>
      <c r="D31" s="594">
        <v>369096805785</v>
      </c>
      <c r="E31" s="594">
        <v>1607696558</v>
      </c>
      <c r="F31" s="594">
        <v>1941484308</v>
      </c>
      <c r="G31" s="594">
        <v>1745796895747.0996</v>
      </c>
      <c r="H31" s="595">
        <f t="shared" si="0"/>
        <v>1.7457968957470995</v>
      </c>
      <c r="J31" s="596" t="s">
        <v>393</v>
      </c>
      <c r="K31" s="597">
        <v>308906824375322.06</v>
      </c>
      <c r="L31" s="597">
        <v>85777694500813.813</v>
      </c>
      <c r="M31" s="598">
        <v>394684518876135.75</v>
      </c>
    </row>
    <row r="32" spans="2:13" x14ac:dyDescent="0.25">
      <c r="B32" s="599" t="s">
        <v>623</v>
      </c>
      <c r="C32" s="600">
        <v>22439127227816.469</v>
      </c>
      <c r="D32" s="600">
        <v>6360214316803.125</v>
      </c>
      <c r="E32" s="600">
        <v>9947876811.5874023</v>
      </c>
      <c r="F32" s="600">
        <v>32912026426.905762</v>
      </c>
      <c r="G32" s="600">
        <v>28842201447858.094</v>
      </c>
      <c r="H32" s="601">
        <f t="shared" si="0"/>
        <v>28.842201447858095</v>
      </c>
      <c r="J32" s="491" t="s">
        <v>624</v>
      </c>
      <c r="K32" s="501">
        <v>2839</v>
      </c>
      <c r="L32" s="501">
        <v>3167</v>
      </c>
      <c r="M32" s="602" t="s">
        <v>625</v>
      </c>
    </row>
    <row r="33" spans="2:34" ht="11.25" x14ac:dyDescent="0.2">
      <c r="B33" s="587"/>
      <c r="C33" s="594"/>
      <c r="D33" s="594"/>
      <c r="E33" s="594"/>
      <c r="F33" s="594"/>
      <c r="G33" s="594"/>
      <c r="H33" s="603"/>
      <c r="J33" s="491" t="s">
        <v>626</v>
      </c>
      <c r="K33" s="492">
        <v>41.762</v>
      </c>
      <c r="L33" s="492">
        <v>43.716999999999999</v>
      </c>
      <c r="M33" s="602" t="s">
        <v>627</v>
      </c>
    </row>
    <row r="34" spans="2:34" ht="11.25" x14ac:dyDescent="0.2">
      <c r="B34" s="604" t="s">
        <v>628</v>
      </c>
      <c r="C34" s="605">
        <f t="shared" ref="C34:G34" si="1">C32/1000000000000</f>
        <v>22.439127227816467</v>
      </c>
      <c r="D34" s="605">
        <f t="shared" si="1"/>
        <v>6.3602143168031251</v>
      </c>
      <c r="E34" s="605">
        <f t="shared" si="1"/>
        <v>9.9478768115874028E-3</v>
      </c>
      <c r="F34" s="605">
        <f t="shared" si="1"/>
        <v>3.2912026426905765E-2</v>
      </c>
      <c r="G34" s="605">
        <f t="shared" si="1"/>
        <v>28.842201447858095</v>
      </c>
      <c r="H34" s="606"/>
      <c r="J34" s="518"/>
      <c r="K34" s="519"/>
      <c r="L34" s="519"/>
      <c r="M34" s="607"/>
    </row>
    <row r="35" spans="2:34" x14ac:dyDescent="0.25">
      <c r="B35" s="608"/>
      <c r="C35" s="609"/>
      <c r="D35" s="609"/>
      <c r="E35" s="609"/>
      <c r="F35" s="609"/>
      <c r="G35" s="609"/>
      <c r="H35" s="610"/>
      <c r="J35" s="611" t="s">
        <v>629</v>
      </c>
      <c r="K35" s="612">
        <f t="shared" ref="K35:L35" si="2">+K31/(K32*K33)</f>
        <v>2605438469.7111106</v>
      </c>
      <c r="L35" s="612">
        <f t="shared" si="2"/>
        <v>619549419.31653035</v>
      </c>
      <c r="M35" s="613" t="s">
        <v>630</v>
      </c>
    </row>
    <row r="36" spans="2:34" x14ac:dyDescent="0.25">
      <c r="J36" s="614"/>
      <c r="K36" s="615">
        <f t="shared" ref="K36:L36" si="3">+K35/1000</f>
        <v>2605438.4697111105</v>
      </c>
      <c r="L36" s="615">
        <f t="shared" si="3"/>
        <v>619549.41931653034</v>
      </c>
      <c r="M36" s="616" t="s">
        <v>631</v>
      </c>
    </row>
    <row r="39" spans="2:34" x14ac:dyDescent="0.25">
      <c r="B39" s="617" t="s">
        <v>632</v>
      </c>
      <c r="C39" s="2"/>
      <c r="D39" s="2"/>
    </row>
    <row r="40" spans="2:34" x14ac:dyDescent="0.25">
      <c r="B40" s="618" t="s">
        <v>448</v>
      </c>
      <c r="C40" s="619">
        <v>124238</v>
      </c>
      <c r="D40" s="450" t="s">
        <v>633</v>
      </c>
      <c r="E40" s="2"/>
    </row>
    <row r="41" spans="2:34" x14ac:dyDescent="0.25">
      <c r="B41" s="618" t="s">
        <v>141</v>
      </c>
      <c r="C41" s="619">
        <v>138690</v>
      </c>
      <c r="D41" s="450" t="s">
        <v>633</v>
      </c>
      <c r="E41" s="2"/>
    </row>
    <row r="47" spans="2:34" ht="21" x14ac:dyDescent="0.4">
      <c r="B47" s="620" t="s">
        <v>634</v>
      </c>
      <c r="C47" s="621"/>
      <c r="D47" s="622"/>
      <c r="E47" s="623"/>
      <c r="F47" s="622"/>
      <c r="G47" s="624"/>
      <c r="H47" s="625"/>
      <c r="I47" s="626"/>
      <c r="J47" s="625"/>
      <c r="K47" s="627"/>
      <c r="L47" s="628"/>
      <c r="M47" s="627"/>
      <c r="N47" s="629"/>
      <c r="O47" s="629"/>
      <c r="P47" s="629"/>
      <c r="Q47" s="629"/>
      <c r="R47" s="629"/>
      <c r="S47" s="630"/>
      <c r="T47" s="466"/>
      <c r="U47" s="466"/>
      <c r="V47" s="466"/>
      <c r="W47" s="466"/>
      <c r="X47" s="466"/>
      <c r="Y47" s="466"/>
      <c r="Z47" s="466"/>
      <c r="AA47" s="466"/>
      <c r="AB47" s="466"/>
      <c r="AC47" s="466"/>
      <c r="AD47" s="466"/>
      <c r="AE47" s="466"/>
      <c r="AF47" s="466"/>
      <c r="AG47" s="466"/>
      <c r="AH47" s="466"/>
    </row>
    <row r="48" spans="2:34" ht="11.25" x14ac:dyDescent="0.2">
      <c r="B48" s="631"/>
      <c r="C48" s="466"/>
      <c r="D48" s="466"/>
      <c r="E48" s="466"/>
      <c r="F48" s="466"/>
      <c r="G48" s="466"/>
      <c r="H48" s="466"/>
      <c r="I48" s="466"/>
      <c r="J48" s="466"/>
      <c r="K48" s="466"/>
      <c r="L48" s="466"/>
      <c r="M48" s="466"/>
      <c r="N48" s="466"/>
      <c r="O48" s="466"/>
      <c r="P48" s="466"/>
      <c r="Q48" s="466"/>
      <c r="R48" s="466"/>
      <c r="S48" s="632"/>
      <c r="T48" s="466"/>
      <c r="U48" s="466"/>
      <c r="V48" s="466"/>
      <c r="W48" s="466"/>
      <c r="X48" s="466"/>
      <c r="Y48" s="466"/>
      <c r="Z48" s="466"/>
      <c r="AA48" s="466"/>
      <c r="AB48" s="466"/>
      <c r="AC48" s="466"/>
      <c r="AD48" s="466"/>
      <c r="AE48" s="466"/>
      <c r="AF48" s="466"/>
      <c r="AG48" s="466"/>
      <c r="AH48" s="466"/>
    </row>
    <row r="49" spans="2:34" ht="21" x14ac:dyDescent="0.4">
      <c r="B49" s="633" t="s">
        <v>635</v>
      </c>
      <c r="C49" s="634"/>
      <c r="D49" s="635"/>
      <c r="E49" s="635"/>
      <c r="F49" s="634"/>
      <c r="G49" s="634"/>
      <c r="H49" s="634"/>
      <c r="I49" s="634"/>
      <c r="J49" s="634"/>
      <c r="K49" s="634"/>
      <c r="L49" s="10"/>
      <c r="M49" s="10"/>
      <c r="N49" s="10"/>
      <c r="O49" s="10"/>
      <c r="P49" s="10"/>
      <c r="Q49" s="10"/>
      <c r="R49" s="10"/>
      <c r="S49" s="124"/>
      <c r="T49" s="466"/>
      <c r="U49" s="466"/>
      <c r="V49" s="466"/>
      <c r="W49" s="466"/>
      <c r="X49" s="466"/>
      <c r="Y49" s="466"/>
      <c r="Z49" s="466"/>
      <c r="AA49" s="466"/>
      <c r="AB49" s="466"/>
      <c r="AC49" s="466"/>
      <c r="AD49" s="466"/>
      <c r="AE49" s="466"/>
      <c r="AF49" s="466"/>
      <c r="AG49" s="466"/>
      <c r="AH49" s="466"/>
    </row>
    <row r="50" spans="2:34" ht="11.25" x14ac:dyDescent="0.2">
      <c r="B50" s="631"/>
      <c r="C50" s="466"/>
      <c r="D50" s="466"/>
      <c r="E50" s="466"/>
      <c r="F50" s="466"/>
      <c r="G50" s="466"/>
      <c r="H50" s="466"/>
      <c r="I50" s="466"/>
      <c r="J50" s="466"/>
      <c r="K50" s="466"/>
      <c r="L50" s="466"/>
      <c r="M50" s="466"/>
      <c r="N50" s="466"/>
      <c r="O50" s="466"/>
      <c r="P50" s="466"/>
      <c r="Q50" s="466"/>
      <c r="R50" s="466"/>
      <c r="S50" s="632"/>
      <c r="T50" s="466"/>
      <c r="U50" s="466"/>
      <c r="V50" s="466"/>
      <c r="W50" s="466"/>
      <c r="X50" s="466"/>
      <c r="Y50" s="466"/>
      <c r="Z50" s="466"/>
      <c r="AA50" s="466"/>
      <c r="AB50" s="466"/>
      <c r="AC50" s="466"/>
      <c r="AD50" s="466"/>
      <c r="AE50" s="466"/>
      <c r="AF50" s="466"/>
      <c r="AG50" s="466"/>
      <c r="AH50" s="466"/>
    </row>
    <row r="51" spans="2:34" ht="11.25" x14ac:dyDescent="0.2">
      <c r="B51" s="631"/>
      <c r="C51" s="466"/>
      <c r="D51" s="466"/>
      <c r="E51" s="466"/>
      <c r="F51" s="466"/>
      <c r="G51" s="466"/>
      <c r="H51" s="466"/>
      <c r="I51" s="466"/>
      <c r="J51" s="466"/>
      <c r="K51" s="466"/>
      <c r="L51" s="466"/>
      <c r="M51" s="466"/>
      <c r="N51" s="466"/>
      <c r="O51" s="466"/>
      <c r="P51" s="466"/>
      <c r="Q51" s="466"/>
      <c r="R51" s="466"/>
      <c r="S51" s="632"/>
      <c r="T51" s="466"/>
      <c r="U51" s="466"/>
      <c r="V51" s="466"/>
      <c r="W51" s="466"/>
      <c r="X51" s="466"/>
      <c r="Y51" s="466"/>
      <c r="Z51" s="466"/>
      <c r="AA51" s="466"/>
      <c r="AB51" s="466"/>
      <c r="AC51" s="466"/>
      <c r="AD51" s="466"/>
      <c r="AE51" s="466"/>
      <c r="AF51" s="466"/>
      <c r="AG51" s="466"/>
      <c r="AH51" s="466"/>
    </row>
    <row r="52" spans="2:34" ht="12.75" x14ac:dyDescent="0.25">
      <c r="B52" s="636"/>
      <c r="C52" s="466"/>
      <c r="D52" s="466"/>
      <c r="E52" s="481"/>
      <c r="F52" s="637"/>
      <c r="G52" s="637"/>
      <c r="H52" s="481"/>
      <c r="I52" s="481"/>
      <c r="J52" s="481"/>
      <c r="K52" s="481"/>
      <c r="L52" s="481"/>
      <c r="M52" s="638"/>
      <c r="N52" s="481"/>
      <c r="O52" s="481"/>
      <c r="P52" s="481"/>
      <c r="S52" s="632"/>
      <c r="T52" s="466"/>
      <c r="U52" s="466"/>
      <c r="V52" s="466"/>
      <c r="W52" s="466"/>
      <c r="X52" s="466"/>
      <c r="Y52" s="466"/>
      <c r="Z52" s="466"/>
      <c r="AA52" s="466"/>
      <c r="AB52" s="466"/>
      <c r="AC52" s="466"/>
      <c r="AD52" s="466"/>
      <c r="AE52" s="466"/>
      <c r="AF52" s="466"/>
      <c r="AG52" s="639"/>
      <c r="AH52" s="466"/>
    </row>
    <row r="53" spans="2:34" ht="12.75" x14ac:dyDescent="0.2">
      <c r="B53" s="640"/>
      <c r="C53" s="641" t="s">
        <v>396</v>
      </c>
      <c r="D53" s="642"/>
      <c r="E53" s="643"/>
      <c r="F53" s="643"/>
      <c r="G53" s="644" t="s">
        <v>636</v>
      </c>
      <c r="H53" s="645"/>
      <c r="I53" s="645"/>
      <c r="J53" s="645"/>
      <c r="K53" s="646"/>
      <c r="L53" s="466"/>
      <c r="M53" s="647"/>
      <c r="N53" s="648" t="s">
        <v>637</v>
      </c>
      <c r="O53" s="644"/>
      <c r="P53" s="644"/>
      <c r="Q53" s="644"/>
      <c r="R53" s="646"/>
      <c r="S53" s="632"/>
      <c r="T53" s="466"/>
      <c r="U53" s="466"/>
      <c r="V53" s="466"/>
      <c r="W53" s="466"/>
      <c r="X53" s="466"/>
      <c r="Y53" s="466"/>
      <c r="Z53" s="466"/>
      <c r="AA53" s="466"/>
      <c r="AB53" s="466"/>
      <c r="AC53" s="466"/>
      <c r="AD53" s="466"/>
      <c r="AE53" s="466"/>
      <c r="AF53" s="10"/>
      <c r="AG53" s="639"/>
      <c r="AH53" s="10"/>
    </row>
    <row r="54" spans="2:34" ht="22.5" x14ac:dyDescent="0.2">
      <c r="B54" s="649" t="s">
        <v>72</v>
      </c>
      <c r="C54" s="650" t="s">
        <v>638</v>
      </c>
      <c r="D54" s="651"/>
      <c r="E54" s="652" t="s">
        <v>639</v>
      </c>
      <c r="F54" s="652" t="s">
        <v>640</v>
      </c>
      <c r="G54" s="652" t="s">
        <v>641</v>
      </c>
      <c r="H54" s="653"/>
      <c r="I54" s="652" t="s">
        <v>642</v>
      </c>
      <c r="J54" s="653"/>
      <c r="K54" s="654" t="s">
        <v>643</v>
      </c>
      <c r="L54" s="655"/>
      <c r="M54" s="656" t="s">
        <v>644</v>
      </c>
      <c r="N54" s="652" t="s">
        <v>645</v>
      </c>
      <c r="O54" s="653"/>
      <c r="P54" s="652" t="s">
        <v>646</v>
      </c>
      <c r="Q54" s="653"/>
      <c r="R54" s="654" t="s">
        <v>647</v>
      </c>
      <c r="S54" s="632"/>
      <c r="T54" s="466"/>
      <c r="U54" s="466"/>
      <c r="V54" s="466"/>
      <c r="W54" s="466"/>
      <c r="X54" s="466"/>
      <c r="Y54" s="466"/>
      <c r="Z54" s="466"/>
      <c r="AA54" s="466"/>
      <c r="AB54" s="466"/>
      <c r="AC54" s="466"/>
      <c r="AD54" s="466"/>
      <c r="AE54" s="466"/>
      <c r="AF54" s="10"/>
      <c r="AG54" s="657"/>
      <c r="AH54" s="10"/>
    </row>
    <row r="55" spans="2:34" ht="12.75" x14ac:dyDescent="0.2">
      <c r="B55" s="658" t="s">
        <v>648</v>
      </c>
      <c r="C55" s="659">
        <f>L35</f>
        <v>619549419.31653035</v>
      </c>
      <c r="D55" s="660"/>
      <c r="E55" s="661">
        <v>3.1920000000000002</v>
      </c>
      <c r="F55" s="662">
        <v>4.0000000000000002E-4</v>
      </c>
      <c r="G55" s="663">
        <f t="shared" ref="G55:G56" si="4">C55*E55*F55/1000000000</f>
        <v>7.9104069858334603E-4</v>
      </c>
      <c r="H55" s="664" t="s">
        <v>649</v>
      </c>
      <c r="I55" s="665">
        <f>G55*310*12/44*1000</f>
        <v>66.878895425682884</v>
      </c>
      <c r="J55" s="664" t="s">
        <v>649</v>
      </c>
      <c r="K55" s="666">
        <f t="shared" ref="K55:K56" si="5">(I55*$D$65)/1000000</f>
        <v>1.7722907287805963E-2</v>
      </c>
      <c r="L55" s="657"/>
      <c r="M55" s="667">
        <v>2.3E-3</v>
      </c>
      <c r="N55" s="668">
        <f t="shared" ref="N55:N56" si="6">C55*E55*M55/1000000000</f>
        <v>4.5484840168542396E-3</v>
      </c>
      <c r="O55" s="669" t="s">
        <v>649</v>
      </c>
      <c r="P55" s="670">
        <f t="shared" ref="P55:P56" si="7">N55*1000</f>
        <v>4.54848401685424</v>
      </c>
      <c r="Q55" s="669" t="s">
        <v>649</v>
      </c>
      <c r="R55" s="666">
        <f t="shared" ref="R55:R56" si="8">(P55*$D$64)/1000000</f>
        <v>1.2735755247191873E-4</v>
      </c>
      <c r="S55" s="632"/>
      <c r="T55" s="466"/>
      <c r="U55" s="466"/>
      <c r="V55" s="466"/>
      <c r="W55" s="466"/>
      <c r="X55" s="466"/>
      <c r="Y55" s="466"/>
      <c r="Z55" s="466"/>
      <c r="AA55" s="466"/>
      <c r="AB55" s="466"/>
      <c r="AC55" s="466"/>
      <c r="AD55" s="466"/>
      <c r="AE55" s="466"/>
      <c r="AF55" s="10"/>
      <c r="AG55" s="671"/>
      <c r="AH55" s="10"/>
    </row>
    <row r="56" spans="2:34" ht="12.75" x14ac:dyDescent="0.2">
      <c r="B56" s="672" t="s">
        <v>650</v>
      </c>
      <c r="C56" s="673">
        <f>K35</f>
        <v>2605438469.7111106</v>
      </c>
      <c r="D56" s="674"/>
      <c r="E56" s="675">
        <v>2.8008999999999999</v>
      </c>
      <c r="F56" s="662">
        <v>4.0000000000000002E-4</v>
      </c>
      <c r="G56" s="663">
        <f t="shared" si="4"/>
        <v>2.9190290439255399E-3</v>
      </c>
      <c r="H56" s="664" t="s">
        <v>649</v>
      </c>
      <c r="I56" s="665">
        <f>G56*310*(12/44)*1000</f>
        <v>246.79063735006835</v>
      </c>
      <c r="J56" s="664" t="s">
        <v>649</v>
      </c>
      <c r="K56" s="666">
        <f t="shared" si="5"/>
        <v>6.5399518897768114E-2</v>
      </c>
      <c r="L56" s="10"/>
      <c r="M56" s="667">
        <v>4.4999999999999998E-2</v>
      </c>
      <c r="N56" s="668">
        <f t="shared" si="6"/>
        <v>0.32839076744162321</v>
      </c>
      <c r="O56" s="669" t="s">
        <v>649</v>
      </c>
      <c r="P56" s="670">
        <f t="shared" si="7"/>
        <v>328.39076744162321</v>
      </c>
      <c r="Q56" s="669" t="s">
        <v>649</v>
      </c>
      <c r="R56" s="666">
        <f t="shared" si="8"/>
        <v>9.1949414883654504E-3</v>
      </c>
      <c r="S56" s="632"/>
      <c r="T56" s="466"/>
      <c r="U56" s="466"/>
      <c r="V56" s="466"/>
      <c r="W56" s="466"/>
      <c r="X56" s="466"/>
      <c r="Y56" s="466"/>
      <c r="Z56" s="466"/>
      <c r="AA56" s="466"/>
      <c r="AB56" s="466"/>
      <c r="AC56" s="466"/>
      <c r="AD56" s="466"/>
      <c r="AE56" s="466"/>
      <c r="AF56" s="10"/>
      <c r="AG56" s="671"/>
      <c r="AH56" s="10"/>
    </row>
    <row r="57" spans="2:34" ht="22.5" x14ac:dyDescent="0.2">
      <c r="B57" s="672"/>
      <c r="C57" s="676"/>
      <c r="D57" s="677"/>
      <c r="E57" s="678"/>
      <c r="F57" s="678"/>
      <c r="G57" s="679" t="s">
        <v>651</v>
      </c>
      <c r="H57" s="680"/>
      <c r="I57" s="681"/>
      <c r="J57" s="680"/>
      <c r="K57" s="682">
        <f>(K55+K56)/1000000</f>
        <v>8.3122426185574084E-8</v>
      </c>
      <c r="L57" s="10"/>
      <c r="M57" s="683"/>
      <c r="N57" s="684"/>
      <c r="O57" s="680"/>
      <c r="P57" s="685"/>
      <c r="Q57" s="680"/>
      <c r="R57" s="686">
        <f>SUM(R55:R56)</f>
        <v>9.3222990408373691E-3</v>
      </c>
      <c r="S57" s="632"/>
      <c r="T57" s="466"/>
      <c r="U57" s="466"/>
      <c r="V57" s="466"/>
      <c r="W57" s="466"/>
      <c r="X57" s="466"/>
      <c r="Y57" s="466"/>
      <c r="Z57" s="466"/>
      <c r="AA57" s="466"/>
      <c r="AB57" s="466"/>
      <c r="AC57" s="466"/>
      <c r="AD57" s="466"/>
      <c r="AE57" s="466"/>
      <c r="AF57" s="10"/>
      <c r="AG57" s="671"/>
      <c r="AH57" s="10"/>
    </row>
    <row r="58" spans="2:34" ht="12.75" x14ac:dyDescent="0.2">
      <c r="B58" s="687"/>
      <c r="C58" s="688"/>
      <c r="D58" s="689"/>
      <c r="E58" s="690"/>
      <c r="F58" s="690"/>
      <c r="G58" s="691"/>
      <c r="H58" s="691"/>
      <c r="I58" s="691"/>
      <c r="J58" s="691"/>
      <c r="K58" s="692"/>
      <c r="L58" s="10"/>
      <c r="M58" s="693"/>
      <c r="N58" s="691"/>
      <c r="O58" s="691"/>
      <c r="P58" s="691"/>
      <c r="Q58" s="691"/>
      <c r="R58" s="692"/>
      <c r="S58" s="694"/>
      <c r="T58" s="466"/>
      <c r="U58" s="466"/>
      <c r="V58" s="466"/>
      <c r="W58" s="466"/>
      <c r="X58" s="466"/>
      <c r="Y58" s="466"/>
      <c r="Z58" s="466"/>
      <c r="AA58" s="466"/>
      <c r="AB58" s="466"/>
      <c r="AC58" s="466"/>
      <c r="AD58" s="466"/>
      <c r="AE58" s="466"/>
      <c r="AF58" s="466"/>
      <c r="AG58" s="466"/>
      <c r="AH58" s="466"/>
    </row>
    <row r="61" spans="2:34" ht="11.25" x14ac:dyDescent="0.2">
      <c r="C61" s="2501" t="s">
        <v>0</v>
      </c>
      <c r="D61" s="2502"/>
    </row>
    <row r="62" spans="2:34" ht="11.25" x14ac:dyDescent="0.2">
      <c r="C62" s="198"/>
      <c r="D62" s="198"/>
    </row>
    <row r="63" spans="2:34" ht="11.25" x14ac:dyDescent="0.2">
      <c r="C63" s="200" t="s">
        <v>4</v>
      </c>
      <c r="D63" s="201">
        <f>'Summ GHG Rpt Expanded'!G4</f>
        <v>1</v>
      </c>
    </row>
    <row r="64" spans="2:34" ht="11.25" x14ac:dyDescent="0.2">
      <c r="C64" s="200" t="s">
        <v>5</v>
      </c>
      <c r="D64" s="201">
        <f>'Summ GHG Rpt Expanded'!G5</f>
        <v>28</v>
      </c>
    </row>
    <row r="65" spans="3:4" ht="11.25" x14ac:dyDescent="0.2">
      <c r="C65" s="200" t="s">
        <v>6</v>
      </c>
      <c r="D65" s="201">
        <f>'Summ GHG Rpt Expanded'!G6</f>
        <v>265</v>
      </c>
    </row>
    <row r="66" spans="3:4" ht="11.25" x14ac:dyDescent="0.2">
      <c r="C66" s="200" t="s">
        <v>7</v>
      </c>
      <c r="D66" s="202">
        <f>'Summ GHG Rpt Expanded'!G7</f>
        <v>23500</v>
      </c>
    </row>
    <row r="67" spans="3:4" ht="11.25" x14ac:dyDescent="0.2">
      <c r="C67" s="200" t="s">
        <v>8</v>
      </c>
      <c r="D67" s="202">
        <f>'Summ GHG Rpt Expanded'!G8</f>
        <v>11100</v>
      </c>
    </row>
  </sheetData>
  <sheetProtection algorithmName="SHA-512" hashValue="y+lQGDkvNky3GfvX1JQJJ3wqmdutRluPMC53zY4dXdgORdagnZt3OH64rHP4eGEgzawukg8ES5diuFGH61XFzw==" saltValue="DMYQrgCHpByx77XHIHBIKQ==" spinCount="100000" sheet="1" objects="1" scenarios="1"/>
  <mergeCells count="5">
    <mergeCell ref="A2:K2"/>
    <mergeCell ref="B4:H4"/>
    <mergeCell ref="J4:N4"/>
    <mergeCell ref="C6:G6"/>
    <mergeCell ref="C61:D61"/>
  </mergeCells>
  <pageMargins left="0.26" right="0.16" top="0.75" bottom="0.75" header="0" footer="0"/>
  <pageSetup orientation="landscape"/>
  <rowBreaks count="1" manualBreakCount="1">
    <brk id="36" man="1"/>
  </rowBreaks>
  <colBreaks count="1" manualBreakCount="1">
    <brk id="9"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5250"/>
  <sheetViews>
    <sheetView workbookViewId="0"/>
  </sheetViews>
  <sheetFormatPr defaultColWidth="16.83203125" defaultRowHeight="15" customHeight="1" outlineLevelRow="2" x14ac:dyDescent="0.2"/>
  <cols>
    <col min="1" max="1" width="3.1640625" customWidth="1"/>
    <col min="2" max="2" width="26.1640625" customWidth="1"/>
    <col min="3" max="3" width="14.6640625" customWidth="1"/>
    <col min="4" max="4" width="29.1640625" customWidth="1"/>
    <col min="5" max="5" width="40.1640625" customWidth="1"/>
    <col min="6" max="7" width="14.83203125" customWidth="1"/>
    <col min="8" max="10" width="8.83203125" customWidth="1"/>
    <col min="11" max="11" width="27.6640625" customWidth="1"/>
  </cols>
  <sheetData>
    <row r="1" spans="1:11" ht="33" customHeight="1" x14ac:dyDescent="0.45">
      <c r="A1" s="9" t="s">
        <v>652</v>
      </c>
      <c r="B1" s="9"/>
      <c r="C1" s="481"/>
      <c r="D1" s="481"/>
      <c r="E1" s="482"/>
      <c r="F1" s="481"/>
      <c r="G1" s="481"/>
      <c r="H1" s="481"/>
      <c r="I1" s="481"/>
      <c r="J1" s="481"/>
      <c r="K1" s="481"/>
    </row>
    <row r="2" spans="1:11" ht="81" customHeight="1" x14ac:dyDescent="0.2">
      <c r="A2" s="2511"/>
      <c r="B2" s="2504"/>
      <c r="C2" s="2504"/>
      <c r="D2" s="2504"/>
      <c r="E2" s="2504"/>
      <c r="F2" s="2504"/>
      <c r="G2" s="2504"/>
      <c r="H2" s="2504"/>
      <c r="I2" s="2504"/>
      <c r="J2" s="2504"/>
      <c r="K2" s="2504"/>
    </row>
    <row r="3" spans="1:11" ht="11.25" customHeight="1" x14ac:dyDescent="0.2">
      <c r="B3" s="466"/>
      <c r="C3" s="466"/>
      <c r="D3" s="466"/>
      <c r="E3" s="466"/>
      <c r="F3" s="466"/>
      <c r="G3" s="466"/>
    </row>
    <row r="4" spans="1:11" ht="11.25" customHeight="1" x14ac:dyDescent="0.2">
      <c r="B4" s="2519" t="s">
        <v>653</v>
      </c>
      <c r="C4" s="2520"/>
      <c r="D4" s="2520"/>
      <c r="E4" s="2520"/>
      <c r="F4" s="2521"/>
      <c r="H4" s="2501" t="s">
        <v>0</v>
      </c>
      <c r="I4" s="2502"/>
    </row>
    <row r="5" spans="1:11" ht="11.25" customHeight="1" x14ac:dyDescent="0.2">
      <c r="B5" s="487"/>
      <c r="C5" s="444"/>
      <c r="D5" s="444"/>
      <c r="E5" s="444"/>
      <c r="F5" s="695"/>
      <c r="H5" s="198"/>
      <c r="I5" s="198"/>
    </row>
    <row r="6" spans="1:11" ht="11.25" customHeight="1" x14ac:dyDescent="0.2">
      <c r="B6" s="491"/>
      <c r="C6" s="492" t="s">
        <v>654</v>
      </c>
      <c r="D6" s="492" t="s">
        <v>655</v>
      </c>
      <c r="E6" s="492" t="s">
        <v>656</v>
      </c>
      <c r="F6" s="495" t="s">
        <v>657</v>
      </c>
      <c r="H6" s="200" t="s">
        <v>4</v>
      </c>
      <c r="I6" s="201">
        <f>'Summ GHG Rpt Expanded'!G4</f>
        <v>1</v>
      </c>
    </row>
    <row r="7" spans="1:11" ht="11.25" customHeight="1" x14ac:dyDescent="0.2">
      <c r="B7" s="491"/>
      <c r="C7" s="563" t="s">
        <v>658</v>
      </c>
      <c r="D7" s="563" t="s">
        <v>658</v>
      </c>
      <c r="E7" s="563" t="s">
        <v>659</v>
      </c>
      <c r="F7" s="696" t="s">
        <v>660</v>
      </c>
      <c r="H7" s="200" t="s">
        <v>5</v>
      </c>
      <c r="I7" s="201">
        <f>'Summ GHG Rpt Expanded'!G5</f>
        <v>28</v>
      </c>
    </row>
    <row r="8" spans="1:11" ht="11.25" customHeight="1" x14ac:dyDescent="0.2">
      <c r="B8" s="491" t="s">
        <v>661</v>
      </c>
      <c r="C8" s="670">
        <f t="shared" ref="C8:D8" si="0">F329</f>
        <v>213.28249540396209</v>
      </c>
      <c r="D8" s="670">
        <f t="shared" si="0"/>
        <v>16642.246187701403</v>
      </c>
      <c r="E8" s="697">
        <f t="shared" ref="E8:E12" si="1">C8*$I$7*0.907184/1000000</f>
        <v>5.4176210846953428E-3</v>
      </c>
      <c r="F8" s="698">
        <f t="shared" ref="F8:F12" si="2">D8*0.907184/1000000</f>
        <v>1.5097579465543709E-2</v>
      </c>
      <c r="H8" s="200" t="s">
        <v>6</v>
      </c>
      <c r="I8" s="201">
        <f>'Summ GHG Rpt Expanded'!G6</f>
        <v>265</v>
      </c>
    </row>
    <row r="9" spans="1:11" ht="11.25" customHeight="1" x14ac:dyDescent="0.2">
      <c r="B9" s="491" t="s">
        <v>662</v>
      </c>
      <c r="C9" s="670">
        <f t="shared" ref="C9:D9" si="3">F2798</f>
        <v>1218.0977114867603</v>
      </c>
      <c r="D9" s="670">
        <f t="shared" si="3"/>
        <v>1194330.697541289</v>
      </c>
      <c r="E9" s="697">
        <f t="shared" si="1"/>
        <v>3.0941085120327345E-2</v>
      </c>
      <c r="F9" s="698">
        <f t="shared" si="2"/>
        <v>1.0834776995182966</v>
      </c>
      <c r="H9" s="200" t="s">
        <v>7</v>
      </c>
      <c r="I9" s="202">
        <f>'Summ GHG Rpt Expanded'!G7</f>
        <v>23500</v>
      </c>
    </row>
    <row r="10" spans="1:11" ht="11.25" customHeight="1" x14ac:dyDescent="0.2">
      <c r="B10" s="491" t="s">
        <v>663</v>
      </c>
      <c r="C10" s="670">
        <f t="shared" ref="C10:D10" si="4">F3567</f>
        <v>28.073934767737196</v>
      </c>
      <c r="D10" s="670">
        <f t="shared" si="4"/>
        <v>182467.48142821679</v>
      </c>
      <c r="E10" s="697">
        <f t="shared" si="1"/>
        <v>7.1311028427337717E-4</v>
      </c>
      <c r="F10" s="698">
        <f t="shared" si="2"/>
        <v>0.16553157967197543</v>
      </c>
      <c r="H10" s="200" t="s">
        <v>8</v>
      </c>
      <c r="I10" s="202">
        <f>'Summ GHG Rpt Expanded'!G8</f>
        <v>11100</v>
      </c>
    </row>
    <row r="11" spans="1:11" ht="11.25" customHeight="1" x14ac:dyDescent="0.2">
      <c r="B11" s="491" t="s">
        <v>664</v>
      </c>
      <c r="C11" s="670">
        <f t="shared" ref="C11:D11" si="5">F3616</f>
        <v>0.1420740085064153</v>
      </c>
      <c r="D11" s="670">
        <f t="shared" si="5"/>
        <v>88359.709537281567</v>
      </c>
      <c r="E11" s="697">
        <f t="shared" si="1"/>
        <v>3.6088434853207482E-6</v>
      </c>
      <c r="F11" s="698">
        <f t="shared" si="2"/>
        <v>8.0158514736869246E-2</v>
      </c>
    </row>
    <row r="12" spans="1:11" ht="11.25" customHeight="1" x14ac:dyDescent="0.2">
      <c r="B12" s="491" t="s">
        <v>665</v>
      </c>
      <c r="C12" s="670">
        <f t="shared" ref="C12:D12" si="6">F5081</f>
        <v>6.6763646010321196</v>
      </c>
      <c r="D12" s="670">
        <f t="shared" si="6"/>
        <v>2109619.4317848776</v>
      </c>
      <c r="E12" s="697">
        <f t="shared" si="1"/>
        <v>1.6958735203823622E-4</v>
      </c>
      <c r="F12" s="698">
        <f t="shared" si="2"/>
        <v>1.9138129946043323</v>
      </c>
    </row>
    <row r="13" spans="1:11" ht="11.25" customHeight="1" x14ac:dyDescent="0.2">
      <c r="B13" s="534"/>
      <c r="C13" s="699">
        <f t="shared" ref="C13:F13" si="7">SUM(C8:C12)</f>
        <v>1466.2725802679981</v>
      </c>
      <c r="D13" s="699">
        <f t="shared" si="7"/>
        <v>3591419.5664793663</v>
      </c>
      <c r="E13" s="700">
        <f t="shared" si="7"/>
        <v>3.7245012684819626E-2</v>
      </c>
      <c r="F13" s="701">
        <f t="shared" si="7"/>
        <v>3.2580783679970171</v>
      </c>
    </row>
    <row r="14" spans="1:11" ht="11.25" customHeight="1" x14ac:dyDescent="0.2">
      <c r="B14" s="466"/>
      <c r="C14" s="466"/>
      <c r="D14" s="466"/>
      <c r="E14" s="466"/>
      <c r="F14" s="466"/>
      <c r="G14" s="466"/>
    </row>
    <row r="15" spans="1:11" ht="11.25" customHeight="1" x14ac:dyDescent="0.2">
      <c r="B15" s="702" t="s">
        <v>666</v>
      </c>
      <c r="C15" s="466"/>
      <c r="D15" s="466"/>
      <c r="E15" s="466"/>
      <c r="F15" s="466"/>
      <c r="G15" s="466"/>
    </row>
    <row r="16" spans="1:11" ht="11.25" customHeight="1" x14ac:dyDescent="0.35">
      <c r="B16" s="703" t="s">
        <v>667</v>
      </c>
      <c r="C16" s="703" t="s">
        <v>668</v>
      </c>
      <c r="D16" s="703" t="s">
        <v>669</v>
      </c>
      <c r="E16" s="703" t="s">
        <v>670</v>
      </c>
      <c r="F16" s="703" t="s">
        <v>671</v>
      </c>
      <c r="G16" s="703" t="s">
        <v>672</v>
      </c>
    </row>
    <row r="17" spans="2:7" ht="11.25" hidden="1" customHeight="1" outlineLevel="2" x14ac:dyDescent="0.25">
      <c r="B17" s="704" t="s">
        <v>673</v>
      </c>
      <c r="C17" s="704" t="s">
        <v>674</v>
      </c>
      <c r="D17" s="704" t="s">
        <v>675</v>
      </c>
      <c r="E17" s="704" t="s">
        <v>676</v>
      </c>
      <c r="F17" s="705">
        <v>1.536882996822734E-3</v>
      </c>
      <c r="G17" s="705">
        <v>3.8034520024112894E-2</v>
      </c>
    </row>
    <row r="18" spans="2:7" ht="11.25" hidden="1" customHeight="1" outlineLevel="2" x14ac:dyDescent="0.25">
      <c r="B18" s="704" t="s">
        <v>677</v>
      </c>
      <c r="C18" s="704" t="s">
        <v>674</v>
      </c>
      <c r="D18" s="704" t="s">
        <v>675</v>
      </c>
      <c r="E18" s="704" t="s">
        <v>676</v>
      </c>
      <c r="F18" s="705">
        <v>2.5504325386466391E-2</v>
      </c>
      <c r="G18" s="705">
        <v>0.63117670345983867</v>
      </c>
    </row>
    <row r="19" spans="2:7" ht="11.25" hidden="1" customHeight="1" outlineLevel="2" x14ac:dyDescent="0.25">
      <c r="B19" s="704" t="s">
        <v>678</v>
      </c>
      <c r="C19" s="704" t="s">
        <v>674</v>
      </c>
      <c r="D19" s="704" t="s">
        <v>675</v>
      </c>
      <c r="E19" s="704" t="s">
        <v>676</v>
      </c>
      <c r="F19" s="705">
        <v>5.9076043619418366E-2</v>
      </c>
      <c r="G19" s="705">
        <v>1.4620046933460145</v>
      </c>
    </row>
    <row r="20" spans="2:7" ht="11.25" hidden="1" customHeight="1" outlineLevel="2" x14ac:dyDescent="0.25">
      <c r="B20" s="704" t="s">
        <v>679</v>
      </c>
      <c r="C20" s="704" t="s">
        <v>674</v>
      </c>
      <c r="D20" s="704" t="s">
        <v>675</v>
      </c>
      <c r="E20" s="704" t="s">
        <v>676</v>
      </c>
      <c r="F20" s="705">
        <v>4.7941488509969368E-3</v>
      </c>
      <c r="G20" s="705">
        <v>0.11864478474667108</v>
      </c>
    </row>
    <row r="21" spans="2:7" ht="11.25" hidden="1" customHeight="1" outlineLevel="2" x14ac:dyDescent="0.25">
      <c r="B21" s="704" t="s">
        <v>680</v>
      </c>
      <c r="C21" s="704" t="s">
        <v>674</v>
      </c>
      <c r="D21" s="704" t="s">
        <v>675</v>
      </c>
      <c r="E21" s="704" t="s">
        <v>676</v>
      </c>
      <c r="F21" s="705">
        <v>8.8858136616269104E-4</v>
      </c>
      <c r="G21" s="705">
        <v>2.1990466408568322E-2</v>
      </c>
    </row>
    <row r="22" spans="2:7" ht="11.25" hidden="1" customHeight="1" outlineLevel="2" x14ac:dyDescent="0.25">
      <c r="B22" s="704" t="s">
        <v>681</v>
      </c>
      <c r="C22" s="704" t="s">
        <v>674</v>
      </c>
      <c r="D22" s="704" t="s">
        <v>675</v>
      </c>
      <c r="E22" s="704" t="s">
        <v>676</v>
      </c>
      <c r="F22" s="705">
        <v>7.4949082658301138E-3</v>
      </c>
      <c r="G22" s="705">
        <v>0.18548264520015595</v>
      </c>
    </row>
    <row r="23" spans="2:7" ht="11.25" hidden="1" customHeight="1" outlineLevel="2" x14ac:dyDescent="0.25">
      <c r="B23" s="704" t="s">
        <v>682</v>
      </c>
      <c r="C23" s="704" t="s">
        <v>674</v>
      </c>
      <c r="D23" s="704" t="s">
        <v>675</v>
      </c>
      <c r="E23" s="704" t="s">
        <v>676</v>
      </c>
      <c r="F23" s="705">
        <v>6.5793774874574424E-3</v>
      </c>
      <c r="G23" s="705">
        <v>0.1628252796547337</v>
      </c>
    </row>
    <row r="24" spans="2:7" ht="11.25" hidden="1" customHeight="1" outlineLevel="2" x14ac:dyDescent="0.25">
      <c r="B24" s="704" t="s">
        <v>683</v>
      </c>
      <c r="C24" s="704" t="s">
        <v>674</v>
      </c>
      <c r="D24" s="704" t="s">
        <v>675</v>
      </c>
      <c r="E24" s="704" t="s">
        <v>676</v>
      </c>
      <c r="F24" s="705">
        <v>1.0926796589862158E-2</v>
      </c>
      <c r="G24" s="705">
        <v>0.27041438970995041</v>
      </c>
    </row>
    <row r="25" spans="2:7" ht="11.25" hidden="1" customHeight="1" outlineLevel="2" x14ac:dyDescent="0.25">
      <c r="B25" s="704" t="s">
        <v>684</v>
      </c>
      <c r="C25" s="704" t="s">
        <v>674</v>
      </c>
      <c r="D25" s="704" t="s">
        <v>675</v>
      </c>
      <c r="E25" s="704" t="s">
        <v>676</v>
      </c>
      <c r="F25" s="705">
        <v>1.4262689421798693E-3</v>
      </c>
      <c r="G25" s="705">
        <v>3.52970905472434E-2</v>
      </c>
    </row>
    <row r="26" spans="2:7" ht="11.25" hidden="1" customHeight="1" outlineLevel="2" x14ac:dyDescent="0.25">
      <c r="B26" s="704" t="s">
        <v>685</v>
      </c>
      <c r="C26" s="704" t="s">
        <v>674</v>
      </c>
      <c r="D26" s="704" t="s">
        <v>675</v>
      </c>
      <c r="E26" s="704" t="s">
        <v>676</v>
      </c>
      <c r="F26" s="705">
        <v>1.3113157268405772E-2</v>
      </c>
      <c r="G26" s="705">
        <v>0.32452230721329678</v>
      </c>
    </row>
    <row r="27" spans="2:7" ht="11.25" hidden="1" customHeight="1" outlineLevel="2" x14ac:dyDescent="0.25">
      <c r="B27" s="704" t="s">
        <v>686</v>
      </c>
      <c r="C27" s="704" t="s">
        <v>674</v>
      </c>
      <c r="D27" s="704" t="s">
        <v>675</v>
      </c>
      <c r="E27" s="704" t="s">
        <v>676</v>
      </c>
      <c r="F27" s="705">
        <v>3.0830178309566867E-3</v>
      </c>
      <c r="G27" s="705">
        <v>7.6298037165207291E-2</v>
      </c>
    </row>
    <row r="28" spans="2:7" ht="11.25" hidden="1" customHeight="1" outlineLevel="2" x14ac:dyDescent="0.25">
      <c r="B28" s="704" t="s">
        <v>687</v>
      </c>
      <c r="C28" s="704" t="s">
        <v>674</v>
      </c>
      <c r="D28" s="704" t="s">
        <v>675</v>
      </c>
      <c r="E28" s="704" t="s">
        <v>676</v>
      </c>
      <c r="F28" s="705">
        <v>1.5792349637501455E-2</v>
      </c>
      <c r="G28" s="705">
        <v>0.39082648490303912</v>
      </c>
    </row>
    <row r="29" spans="2:7" ht="11.25" hidden="1" customHeight="1" outlineLevel="2" x14ac:dyDescent="0.25">
      <c r="B29" s="704" t="s">
        <v>688</v>
      </c>
      <c r="C29" s="704" t="s">
        <v>674</v>
      </c>
      <c r="D29" s="704" t="s">
        <v>675</v>
      </c>
      <c r="E29" s="704" t="s">
        <v>676</v>
      </c>
      <c r="F29" s="705">
        <v>1.1335508399852772E-2</v>
      </c>
      <c r="G29" s="705">
        <v>0.28052916827264052</v>
      </c>
    </row>
    <row r="30" spans="2:7" ht="11.25" hidden="1" customHeight="1" outlineLevel="2" x14ac:dyDescent="0.25">
      <c r="B30" s="704" t="s">
        <v>689</v>
      </c>
      <c r="C30" s="704" t="s">
        <v>674</v>
      </c>
      <c r="D30" s="704" t="s">
        <v>675</v>
      </c>
      <c r="E30" s="704" t="s">
        <v>676</v>
      </c>
      <c r="F30" s="705">
        <v>1.6759397143499147E-3</v>
      </c>
      <c r="G30" s="705">
        <v>4.1475881852695101E-2</v>
      </c>
    </row>
    <row r="31" spans="2:7" ht="11.25" hidden="1" customHeight="1" outlineLevel="2" x14ac:dyDescent="0.25">
      <c r="B31" s="704" t="s">
        <v>690</v>
      </c>
      <c r="C31" s="704" t="s">
        <v>674</v>
      </c>
      <c r="D31" s="704" t="s">
        <v>675</v>
      </c>
      <c r="E31" s="704" t="s">
        <v>676</v>
      </c>
      <c r="F31" s="705">
        <v>3.6898614004771145E-2</v>
      </c>
      <c r="G31" s="705">
        <v>0.91315991552201425</v>
      </c>
    </row>
    <row r="32" spans="2:7" ht="11.25" hidden="1" customHeight="1" outlineLevel="2" x14ac:dyDescent="0.25">
      <c r="B32" s="704" t="s">
        <v>691</v>
      </c>
      <c r="C32" s="704" t="s">
        <v>674</v>
      </c>
      <c r="D32" s="704" t="s">
        <v>675</v>
      </c>
      <c r="E32" s="704" t="s">
        <v>676</v>
      </c>
      <c r="F32" s="706">
        <v>4.2139372298977934E-2</v>
      </c>
      <c r="G32" s="705">
        <v>1.0428584449083387</v>
      </c>
    </row>
    <row r="33" spans="2:7" ht="11.25" hidden="1" customHeight="1" outlineLevel="2" x14ac:dyDescent="0.25">
      <c r="B33" s="704" t="s">
        <v>692</v>
      </c>
      <c r="C33" s="704" t="s">
        <v>674</v>
      </c>
      <c r="D33" s="704" t="s">
        <v>675</v>
      </c>
      <c r="E33" s="704" t="s">
        <v>676</v>
      </c>
      <c r="F33" s="706">
        <v>2.4642046781924443E-3</v>
      </c>
      <c r="G33" s="705">
        <v>6.0983751720908128E-2</v>
      </c>
    </row>
    <row r="34" spans="2:7" ht="11.25" hidden="1" customHeight="1" outlineLevel="2" x14ac:dyDescent="0.25">
      <c r="B34" s="704" t="s">
        <v>693</v>
      </c>
      <c r="C34" s="704" t="s">
        <v>674</v>
      </c>
      <c r="D34" s="704" t="s">
        <v>675</v>
      </c>
      <c r="E34" s="704" t="s">
        <v>676</v>
      </c>
      <c r="F34" s="706">
        <v>6.1511459337759223E-3</v>
      </c>
      <c r="G34" s="705">
        <v>0.15222757326723971</v>
      </c>
    </row>
    <row r="35" spans="2:7" ht="11.25" hidden="1" customHeight="1" outlineLevel="2" x14ac:dyDescent="0.25">
      <c r="B35" s="704" t="s">
        <v>694</v>
      </c>
      <c r="C35" s="704" t="s">
        <v>674</v>
      </c>
      <c r="D35" s="704" t="s">
        <v>675</v>
      </c>
      <c r="E35" s="704" t="s">
        <v>676</v>
      </c>
      <c r="F35" s="706">
        <v>6.8961494940410185E-4</v>
      </c>
      <c r="G35" s="705">
        <v>1.7066500942458269E-2</v>
      </c>
    </row>
    <row r="36" spans="2:7" ht="11.25" hidden="1" customHeight="1" outlineLevel="2" x14ac:dyDescent="0.25">
      <c r="B36" s="704" t="s">
        <v>695</v>
      </c>
      <c r="C36" s="704" t="s">
        <v>674</v>
      </c>
      <c r="D36" s="704" t="s">
        <v>675</v>
      </c>
      <c r="E36" s="704" t="s">
        <v>676</v>
      </c>
      <c r="F36" s="706">
        <v>3.2710550834010154E-3</v>
      </c>
      <c r="G36" s="705">
        <v>8.0951514053075588E-2</v>
      </c>
    </row>
    <row r="37" spans="2:7" ht="11.25" hidden="1" customHeight="1" outlineLevel="2" x14ac:dyDescent="0.25">
      <c r="B37" s="704" t="s">
        <v>696</v>
      </c>
      <c r="C37" s="704" t="s">
        <v>674</v>
      </c>
      <c r="D37" s="704" t="s">
        <v>675</v>
      </c>
      <c r="E37" s="704" t="s">
        <v>676</v>
      </c>
      <c r="F37" s="706">
        <v>8.1728673325834403E-3</v>
      </c>
      <c r="G37" s="705">
        <v>0.20226076880445151</v>
      </c>
    </row>
    <row r="38" spans="2:7" ht="11.25" hidden="1" customHeight="1" outlineLevel="2" x14ac:dyDescent="0.25">
      <c r="B38" s="704" t="s">
        <v>697</v>
      </c>
      <c r="C38" s="704" t="s">
        <v>674</v>
      </c>
      <c r="D38" s="704" t="s">
        <v>675</v>
      </c>
      <c r="E38" s="704" t="s">
        <v>676</v>
      </c>
      <c r="F38" s="706">
        <v>4.4716165448079933E-3</v>
      </c>
      <c r="G38" s="705">
        <v>0.11066290061093272</v>
      </c>
    </row>
    <row r="39" spans="2:7" ht="11.25" hidden="1" customHeight="1" outlineLevel="2" x14ac:dyDescent="0.25">
      <c r="B39" s="704" t="s">
        <v>698</v>
      </c>
      <c r="C39" s="704" t="s">
        <v>674</v>
      </c>
      <c r="D39" s="704" t="s">
        <v>675</v>
      </c>
      <c r="E39" s="704" t="s">
        <v>676</v>
      </c>
      <c r="F39" s="706">
        <v>4.9102281469096121E-3</v>
      </c>
      <c r="G39" s="705">
        <v>0.1215174373328049</v>
      </c>
    </row>
    <row r="40" spans="2:7" ht="11.25" hidden="1" customHeight="1" outlineLevel="2" x14ac:dyDescent="0.25">
      <c r="B40" s="704" t="s">
        <v>699</v>
      </c>
      <c r="C40" s="704" t="s">
        <v>674</v>
      </c>
      <c r="D40" s="704" t="s">
        <v>675</v>
      </c>
      <c r="E40" s="704" t="s">
        <v>676</v>
      </c>
      <c r="F40" s="706">
        <v>2.1032574139291268E-33</v>
      </c>
      <c r="G40" s="705">
        <v>5.2051066912620041E-32</v>
      </c>
    </row>
    <row r="41" spans="2:7" ht="11.25" hidden="1" customHeight="1" outlineLevel="2" x14ac:dyDescent="0.25">
      <c r="B41" s="704" t="s">
        <v>673</v>
      </c>
      <c r="C41" s="704" t="s">
        <v>700</v>
      </c>
      <c r="D41" s="704" t="s">
        <v>563</v>
      </c>
      <c r="E41" s="704" t="s">
        <v>676</v>
      </c>
      <c r="F41" s="706">
        <v>2.532990367871486</v>
      </c>
      <c r="G41" s="705">
        <v>213.16564248675621</v>
      </c>
    </row>
    <row r="42" spans="2:7" ht="11.25" hidden="1" customHeight="1" outlineLevel="2" x14ac:dyDescent="0.25">
      <c r="B42" s="704" t="s">
        <v>677</v>
      </c>
      <c r="C42" s="704" t="s">
        <v>700</v>
      </c>
      <c r="D42" s="704" t="s">
        <v>563</v>
      </c>
      <c r="E42" s="704" t="s">
        <v>676</v>
      </c>
      <c r="F42" s="705">
        <v>10.732806975830586</v>
      </c>
      <c r="G42" s="705">
        <v>903.22582637940388</v>
      </c>
    </row>
    <row r="43" spans="2:7" ht="11.25" hidden="1" customHeight="1" outlineLevel="2" x14ac:dyDescent="0.25">
      <c r="B43" s="704" t="s">
        <v>678</v>
      </c>
      <c r="C43" s="704" t="s">
        <v>700</v>
      </c>
      <c r="D43" s="704" t="s">
        <v>563</v>
      </c>
      <c r="E43" s="704" t="s">
        <v>676</v>
      </c>
      <c r="F43" s="705">
        <v>19.641874886445571</v>
      </c>
      <c r="G43" s="705">
        <v>1652.9765598251404</v>
      </c>
    </row>
    <row r="44" spans="2:7" ht="11.25" hidden="1" customHeight="1" outlineLevel="2" x14ac:dyDescent="0.25">
      <c r="B44" s="704" t="s">
        <v>679</v>
      </c>
      <c r="C44" s="704" t="s">
        <v>700</v>
      </c>
      <c r="D44" s="704" t="s">
        <v>563</v>
      </c>
      <c r="E44" s="704" t="s">
        <v>676</v>
      </c>
      <c r="F44" s="706">
        <v>0.525583808714988</v>
      </c>
      <c r="G44" s="705">
        <v>44.230936721427845</v>
      </c>
    </row>
    <row r="45" spans="2:7" ht="11.25" hidden="1" customHeight="1" outlineLevel="2" x14ac:dyDescent="0.25">
      <c r="B45" s="704" t="s">
        <v>680</v>
      </c>
      <c r="C45" s="704" t="s">
        <v>700</v>
      </c>
      <c r="D45" s="704" t="s">
        <v>563</v>
      </c>
      <c r="E45" s="704" t="s">
        <v>676</v>
      </c>
      <c r="F45" s="705">
        <v>1.2734412747806414</v>
      </c>
      <c r="G45" s="705">
        <v>107.16731443866195</v>
      </c>
    </row>
    <row r="46" spans="2:7" ht="11.25" hidden="1" customHeight="1" outlineLevel="2" x14ac:dyDescent="0.25">
      <c r="B46" s="704" t="s">
        <v>681</v>
      </c>
      <c r="C46" s="704" t="s">
        <v>700</v>
      </c>
      <c r="D46" s="704" t="s">
        <v>563</v>
      </c>
      <c r="E46" s="704" t="s">
        <v>676</v>
      </c>
      <c r="F46" s="705">
        <v>2.7375127664937215</v>
      </c>
      <c r="G46" s="705">
        <v>230.37752409074113</v>
      </c>
    </row>
    <row r="47" spans="2:7" ht="11.25" hidden="1" customHeight="1" outlineLevel="2" x14ac:dyDescent="0.25">
      <c r="B47" s="704" t="s">
        <v>682</v>
      </c>
      <c r="C47" s="704" t="s">
        <v>700</v>
      </c>
      <c r="D47" s="704" t="s">
        <v>563</v>
      </c>
      <c r="E47" s="704" t="s">
        <v>676</v>
      </c>
      <c r="F47" s="705">
        <v>2.4967155539909465</v>
      </c>
      <c r="G47" s="705">
        <v>210.11312856061414</v>
      </c>
    </row>
    <row r="48" spans="2:7" ht="11.25" hidden="1" customHeight="1" outlineLevel="2" x14ac:dyDescent="0.25">
      <c r="B48" s="704" t="s">
        <v>683</v>
      </c>
      <c r="C48" s="704" t="s">
        <v>700</v>
      </c>
      <c r="D48" s="704" t="s">
        <v>563</v>
      </c>
      <c r="E48" s="704" t="s">
        <v>676</v>
      </c>
      <c r="F48" s="705">
        <v>0.86786982752524555</v>
      </c>
      <c r="G48" s="705">
        <v>73.036230513804767</v>
      </c>
    </row>
    <row r="49" spans="2:7" ht="11.25" hidden="1" customHeight="1" outlineLevel="2" x14ac:dyDescent="0.25">
      <c r="B49" s="704" t="s">
        <v>684</v>
      </c>
      <c r="C49" s="704" t="s">
        <v>700</v>
      </c>
      <c r="D49" s="704" t="s">
        <v>563</v>
      </c>
      <c r="E49" s="704" t="s">
        <v>676</v>
      </c>
      <c r="F49" s="705">
        <v>1.7793456327241908</v>
      </c>
      <c r="G49" s="705">
        <v>149.7420988733648</v>
      </c>
    </row>
    <row r="50" spans="2:7" ht="11.25" hidden="1" customHeight="1" outlineLevel="2" x14ac:dyDescent="0.25">
      <c r="B50" s="704" t="s">
        <v>685</v>
      </c>
      <c r="C50" s="704" t="s">
        <v>700</v>
      </c>
      <c r="D50" s="704" t="s">
        <v>563</v>
      </c>
      <c r="E50" s="704" t="s">
        <v>676</v>
      </c>
      <c r="F50" s="705">
        <v>6.6242104081908568</v>
      </c>
      <c r="G50" s="705">
        <v>557.46516693808098</v>
      </c>
    </row>
    <row r="51" spans="2:7" ht="11.25" hidden="1" customHeight="1" outlineLevel="2" x14ac:dyDescent="0.25">
      <c r="B51" s="704" t="s">
        <v>686</v>
      </c>
      <c r="C51" s="704" t="s">
        <v>700</v>
      </c>
      <c r="D51" s="704" t="s">
        <v>563</v>
      </c>
      <c r="E51" s="704" t="s">
        <v>676</v>
      </c>
      <c r="F51" s="705">
        <v>0.65099898777861498</v>
      </c>
      <c r="G51" s="705">
        <v>54.785345111895403</v>
      </c>
    </row>
    <row r="52" spans="2:7" ht="11.25" hidden="1" customHeight="1" outlineLevel="2" x14ac:dyDescent="0.25">
      <c r="B52" s="704" t="s">
        <v>687</v>
      </c>
      <c r="C52" s="704" t="s">
        <v>700</v>
      </c>
      <c r="D52" s="704" t="s">
        <v>563</v>
      </c>
      <c r="E52" s="704" t="s">
        <v>676</v>
      </c>
      <c r="F52" s="705">
        <v>4.4207684572623789</v>
      </c>
      <c r="G52" s="705">
        <v>372.0332355345929</v>
      </c>
    </row>
    <row r="53" spans="2:7" ht="11.25" hidden="1" customHeight="1" outlineLevel="2" x14ac:dyDescent="0.25">
      <c r="B53" s="704" t="s">
        <v>688</v>
      </c>
      <c r="C53" s="704" t="s">
        <v>700</v>
      </c>
      <c r="D53" s="704" t="s">
        <v>563</v>
      </c>
      <c r="E53" s="704" t="s">
        <v>676</v>
      </c>
      <c r="F53" s="705">
        <v>6.0040862373129302</v>
      </c>
      <c r="G53" s="705">
        <v>505.27881869753662</v>
      </c>
    </row>
    <row r="54" spans="2:7" ht="11.25" hidden="1" customHeight="1" outlineLevel="2" x14ac:dyDescent="0.25">
      <c r="B54" s="704" t="s">
        <v>689</v>
      </c>
      <c r="C54" s="704" t="s">
        <v>700</v>
      </c>
      <c r="D54" s="704" t="s">
        <v>563</v>
      </c>
      <c r="E54" s="704" t="s">
        <v>676</v>
      </c>
      <c r="F54" s="705">
        <v>0.80789155494634468</v>
      </c>
      <c r="G54" s="705">
        <v>67.988785012324257</v>
      </c>
    </row>
    <row r="55" spans="2:7" ht="11.25" hidden="1" customHeight="1" outlineLevel="2" x14ac:dyDescent="0.25">
      <c r="B55" s="704" t="s">
        <v>690</v>
      </c>
      <c r="C55" s="704" t="s">
        <v>700</v>
      </c>
      <c r="D55" s="704" t="s">
        <v>563</v>
      </c>
      <c r="E55" s="704" t="s">
        <v>676</v>
      </c>
      <c r="F55" s="705">
        <v>11.113288835372778</v>
      </c>
      <c r="G55" s="705">
        <v>935.24610107167052</v>
      </c>
    </row>
    <row r="56" spans="2:7" ht="11.25" hidden="1" customHeight="1" outlineLevel="2" x14ac:dyDescent="0.25">
      <c r="B56" s="704" t="s">
        <v>691</v>
      </c>
      <c r="C56" s="704" t="s">
        <v>700</v>
      </c>
      <c r="D56" s="704" t="s">
        <v>563</v>
      </c>
      <c r="E56" s="704" t="s">
        <v>676</v>
      </c>
      <c r="F56" s="705">
        <v>8.1596736414453552</v>
      </c>
      <c r="G56" s="705">
        <v>686.68232802853174</v>
      </c>
    </row>
    <row r="57" spans="2:7" ht="11.25" hidden="1" customHeight="1" outlineLevel="2" x14ac:dyDescent="0.25">
      <c r="B57" s="704" t="s">
        <v>692</v>
      </c>
      <c r="C57" s="704" t="s">
        <v>700</v>
      </c>
      <c r="D57" s="704" t="s">
        <v>563</v>
      </c>
      <c r="E57" s="704" t="s">
        <v>676</v>
      </c>
      <c r="F57" s="705">
        <v>0.66836366761285226</v>
      </c>
      <c r="G57" s="705">
        <v>56.24675521920031</v>
      </c>
    </row>
    <row r="58" spans="2:7" ht="11.25" hidden="1" customHeight="1" outlineLevel="2" x14ac:dyDescent="0.25">
      <c r="B58" s="704" t="s">
        <v>693</v>
      </c>
      <c r="C58" s="704" t="s">
        <v>700</v>
      </c>
      <c r="D58" s="704" t="s">
        <v>563</v>
      </c>
      <c r="E58" s="704" t="s">
        <v>676</v>
      </c>
      <c r="F58" s="705">
        <v>0.36003682338414156</v>
      </c>
      <c r="G58" s="705">
        <v>30.29914592608592</v>
      </c>
    </row>
    <row r="59" spans="2:7" ht="11.25" hidden="1" customHeight="1" outlineLevel="2" x14ac:dyDescent="0.25">
      <c r="B59" s="704" t="s">
        <v>694</v>
      </c>
      <c r="C59" s="704" t="s">
        <v>700</v>
      </c>
      <c r="D59" s="704" t="s">
        <v>563</v>
      </c>
      <c r="E59" s="704" t="s">
        <v>676</v>
      </c>
      <c r="F59" s="705">
        <v>0.24504086625589908</v>
      </c>
      <c r="G59" s="705">
        <v>20.621605133530398</v>
      </c>
    </row>
    <row r="60" spans="2:7" ht="11.25" hidden="1" customHeight="1" outlineLevel="2" x14ac:dyDescent="0.25">
      <c r="B60" s="704" t="s">
        <v>695</v>
      </c>
      <c r="C60" s="704" t="s">
        <v>700</v>
      </c>
      <c r="D60" s="704" t="s">
        <v>563</v>
      </c>
      <c r="E60" s="704" t="s">
        <v>676</v>
      </c>
      <c r="F60" s="705">
        <v>1.72184696053828</v>
      </c>
      <c r="G60" s="705">
        <v>144.90328782563807</v>
      </c>
    </row>
    <row r="61" spans="2:7" ht="11.25" hidden="1" customHeight="1" outlineLevel="2" x14ac:dyDescent="0.25">
      <c r="B61" s="704" t="s">
        <v>696</v>
      </c>
      <c r="C61" s="704" t="s">
        <v>700</v>
      </c>
      <c r="D61" s="704" t="s">
        <v>563</v>
      </c>
      <c r="E61" s="704" t="s">
        <v>676</v>
      </c>
      <c r="F61" s="705">
        <v>6.1819795050413093</v>
      </c>
      <c r="G61" s="705">
        <v>520.24949159158075</v>
      </c>
    </row>
    <row r="62" spans="2:7" ht="11.25" hidden="1" customHeight="1" outlineLevel="2" x14ac:dyDescent="0.25">
      <c r="B62" s="704" t="s">
        <v>697</v>
      </c>
      <c r="C62" s="704" t="s">
        <v>700</v>
      </c>
      <c r="D62" s="704" t="s">
        <v>563</v>
      </c>
      <c r="E62" s="704" t="s">
        <v>676</v>
      </c>
      <c r="F62" s="705">
        <v>3.1241759318926765</v>
      </c>
      <c r="G62" s="705">
        <v>262.91739579379703</v>
      </c>
    </row>
    <row r="63" spans="2:7" ht="11.25" hidden="1" customHeight="1" outlineLevel="2" x14ac:dyDescent="0.25">
      <c r="B63" s="704" t="s">
        <v>698</v>
      </c>
      <c r="C63" s="704" t="s">
        <v>700</v>
      </c>
      <c r="D63" s="704" t="s">
        <v>563</v>
      </c>
      <c r="E63" s="704" t="s">
        <v>676</v>
      </c>
      <c r="F63" s="705">
        <v>0.81731815818166542</v>
      </c>
      <c r="G63" s="705">
        <v>68.781991958313071</v>
      </c>
    </row>
    <row r="64" spans="2:7" ht="11.25" hidden="1" customHeight="1" outlineLevel="2" x14ac:dyDescent="0.25">
      <c r="B64" s="704" t="s">
        <v>699</v>
      </c>
      <c r="C64" s="704" t="s">
        <v>700</v>
      </c>
      <c r="D64" s="704" t="s">
        <v>563</v>
      </c>
      <c r="E64" s="704" t="s">
        <v>676</v>
      </c>
      <c r="F64" s="705">
        <v>14.902749160859653</v>
      </c>
      <c r="G64" s="705">
        <v>1254.1506084976045</v>
      </c>
    </row>
    <row r="65" spans="2:7" ht="11.25" hidden="1" customHeight="1" outlineLevel="2" x14ac:dyDescent="0.25">
      <c r="B65" s="704" t="s">
        <v>673</v>
      </c>
      <c r="C65" s="704" t="s">
        <v>701</v>
      </c>
      <c r="D65" s="704" t="s">
        <v>563</v>
      </c>
      <c r="E65" s="704" t="s">
        <v>676</v>
      </c>
      <c r="F65" s="706">
        <v>2.7666735069338424E-3</v>
      </c>
      <c r="G65" s="705">
        <v>0.24227060685691709</v>
      </c>
    </row>
    <row r="66" spans="2:7" ht="11.25" hidden="1" customHeight="1" outlineLevel="2" x14ac:dyDescent="0.25">
      <c r="B66" s="704" t="s">
        <v>677</v>
      </c>
      <c r="C66" s="704" t="s">
        <v>701</v>
      </c>
      <c r="D66" s="704" t="s">
        <v>563</v>
      </c>
      <c r="E66" s="704" t="s">
        <v>676</v>
      </c>
      <c r="F66" s="706">
        <v>1.1722952699144907E-2</v>
      </c>
      <c r="G66" s="705">
        <v>1.0265490824245398</v>
      </c>
    </row>
    <row r="67" spans="2:7" ht="11.25" hidden="1" customHeight="1" outlineLevel="2" x14ac:dyDescent="0.25">
      <c r="B67" s="704" t="s">
        <v>678</v>
      </c>
      <c r="C67" s="704" t="s">
        <v>701</v>
      </c>
      <c r="D67" s="704" t="s">
        <v>563</v>
      </c>
      <c r="E67" s="704" t="s">
        <v>676</v>
      </c>
      <c r="F67" s="706">
        <v>2.1453937397864074E-2</v>
      </c>
      <c r="G67" s="705">
        <v>1.8786678090232631</v>
      </c>
    </row>
    <row r="68" spans="2:7" ht="11.25" hidden="1" customHeight="1" outlineLevel="2" x14ac:dyDescent="0.25">
      <c r="B68" s="704" t="s">
        <v>679</v>
      </c>
      <c r="C68" s="704" t="s">
        <v>701</v>
      </c>
      <c r="D68" s="704" t="s">
        <v>563</v>
      </c>
      <c r="E68" s="704" t="s">
        <v>676</v>
      </c>
      <c r="F68" s="706">
        <v>5.7407213601065523E-4</v>
      </c>
      <c r="G68" s="705">
        <v>5.0269935933692576E-2</v>
      </c>
    </row>
    <row r="69" spans="2:7" ht="11.25" hidden="1" customHeight="1" outlineLevel="2" x14ac:dyDescent="0.25">
      <c r="B69" s="704" t="s">
        <v>680</v>
      </c>
      <c r="C69" s="704" t="s">
        <v>701</v>
      </c>
      <c r="D69" s="704" t="s">
        <v>563</v>
      </c>
      <c r="E69" s="704" t="s">
        <v>676</v>
      </c>
      <c r="F69" s="706">
        <v>1.3909233292681907E-3</v>
      </c>
      <c r="G69" s="705">
        <v>0.12179963547139701</v>
      </c>
    </row>
    <row r="70" spans="2:7" ht="11.25" hidden="1" customHeight="1" outlineLevel="2" x14ac:dyDescent="0.25">
      <c r="B70" s="704" t="s">
        <v>681</v>
      </c>
      <c r="C70" s="704" t="s">
        <v>701</v>
      </c>
      <c r="D70" s="704" t="s">
        <v>563</v>
      </c>
      <c r="E70" s="704" t="s">
        <v>676</v>
      </c>
      <c r="F70" s="706">
        <v>2.990063603252126E-3</v>
      </c>
      <c r="G70" s="705">
        <v>0.2618322461845638</v>
      </c>
    </row>
    <row r="71" spans="2:7" ht="11.25" hidden="1" customHeight="1" outlineLevel="2" x14ac:dyDescent="0.25">
      <c r="B71" s="704" t="s">
        <v>682</v>
      </c>
      <c r="C71" s="704" t="s">
        <v>701</v>
      </c>
      <c r="D71" s="704" t="s">
        <v>563</v>
      </c>
      <c r="E71" s="704" t="s">
        <v>676</v>
      </c>
      <c r="F71" s="705">
        <v>2.7270519409397747E-3</v>
      </c>
      <c r="G71" s="705">
        <v>0.23880126946794777</v>
      </c>
    </row>
    <row r="72" spans="2:7" ht="11.25" hidden="1" customHeight="1" outlineLevel="2" x14ac:dyDescent="0.25">
      <c r="B72" s="704" t="s">
        <v>683</v>
      </c>
      <c r="C72" s="704" t="s">
        <v>701</v>
      </c>
      <c r="D72" s="704" t="s">
        <v>563</v>
      </c>
      <c r="E72" s="704" t="s">
        <v>676</v>
      </c>
      <c r="F72" s="705">
        <v>9.4793575132498488E-4</v>
      </c>
      <c r="G72" s="705">
        <v>8.3008300618627268E-2</v>
      </c>
    </row>
    <row r="73" spans="2:7" ht="11.25" hidden="1" customHeight="1" outlineLevel="2" x14ac:dyDescent="0.25">
      <c r="B73" s="704" t="s">
        <v>684</v>
      </c>
      <c r="C73" s="704" t="s">
        <v>701</v>
      </c>
      <c r="D73" s="704" t="s">
        <v>563</v>
      </c>
      <c r="E73" s="704" t="s">
        <v>676</v>
      </c>
      <c r="F73" s="705">
        <v>1.9434997358692458E-3</v>
      </c>
      <c r="G73" s="705">
        <v>0.1701873180705688</v>
      </c>
    </row>
    <row r="74" spans="2:7" ht="11.25" hidden="1" customHeight="1" outlineLevel="2" x14ac:dyDescent="0.25">
      <c r="B74" s="704" t="s">
        <v>685</v>
      </c>
      <c r="C74" s="704" t="s">
        <v>701</v>
      </c>
      <c r="D74" s="704" t="s">
        <v>563</v>
      </c>
      <c r="E74" s="704" t="s">
        <v>676</v>
      </c>
      <c r="F74" s="705">
        <v>7.2353318277866771E-3</v>
      </c>
      <c r="G74" s="705">
        <v>0.6335799022069778</v>
      </c>
    </row>
    <row r="75" spans="2:7" ht="11.25" hidden="1" customHeight="1" outlineLevel="2" x14ac:dyDescent="0.25">
      <c r="B75" s="704" t="s">
        <v>686</v>
      </c>
      <c r="C75" s="704" t="s">
        <v>701</v>
      </c>
      <c r="D75" s="704" t="s">
        <v>563</v>
      </c>
      <c r="E75" s="704" t="s">
        <v>676</v>
      </c>
      <c r="F75" s="705">
        <v>7.110573162100941E-4</v>
      </c>
      <c r="G75" s="705">
        <v>6.2265501264602507E-2</v>
      </c>
    </row>
    <row r="76" spans="2:7" ht="11.25" hidden="1" customHeight="1" outlineLevel="2" x14ac:dyDescent="0.25">
      <c r="B76" s="704" t="s">
        <v>687</v>
      </c>
      <c r="C76" s="704" t="s">
        <v>701</v>
      </c>
      <c r="D76" s="704" t="s">
        <v>563</v>
      </c>
      <c r="E76" s="704" t="s">
        <v>676</v>
      </c>
      <c r="F76" s="705">
        <v>4.8286152461180206E-3</v>
      </c>
      <c r="G76" s="705">
        <v>0.42282894972852297</v>
      </c>
    </row>
    <row r="77" spans="2:7" ht="11.25" hidden="1" customHeight="1" outlineLevel="2" x14ac:dyDescent="0.25">
      <c r="B77" s="704" t="s">
        <v>688</v>
      </c>
      <c r="C77" s="704" t="s">
        <v>701</v>
      </c>
      <c r="D77" s="704" t="s">
        <v>563</v>
      </c>
      <c r="E77" s="704" t="s">
        <v>676</v>
      </c>
      <c r="F77" s="705">
        <v>6.5579953774822933E-3</v>
      </c>
      <c r="G77" s="705">
        <v>0.57426694973909664</v>
      </c>
    </row>
    <row r="78" spans="2:7" ht="11.25" hidden="1" customHeight="1" outlineLevel="2" x14ac:dyDescent="0.25">
      <c r="B78" s="704" t="s">
        <v>689</v>
      </c>
      <c r="C78" s="704" t="s">
        <v>701</v>
      </c>
      <c r="D78" s="704" t="s">
        <v>563</v>
      </c>
      <c r="E78" s="704" t="s">
        <v>676</v>
      </c>
      <c r="F78" s="705">
        <v>8.8242405231895552E-4</v>
      </c>
      <c r="G78" s="705">
        <v>7.7271634760810351E-2</v>
      </c>
    </row>
    <row r="79" spans="2:7" ht="11.25" hidden="1" customHeight="1" outlineLevel="2" x14ac:dyDescent="0.25">
      <c r="B79" s="704" t="s">
        <v>690</v>
      </c>
      <c r="C79" s="704" t="s">
        <v>701</v>
      </c>
      <c r="D79" s="704" t="s">
        <v>563</v>
      </c>
      <c r="E79" s="704" t="s">
        <v>676</v>
      </c>
      <c r="F79" s="705">
        <v>1.2138550695201257E-2</v>
      </c>
      <c r="G79" s="705">
        <v>1.0629416503572149</v>
      </c>
    </row>
    <row r="80" spans="2:7" ht="11.25" hidden="1" customHeight="1" outlineLevel="2" x14ac:dyDescent="0.25">
      <c r="B80" s="704" t="s">
        <v>691</v>
      </c>
      <c r="C80" s="704" t="s">
        <v>701</v>
      </c>
      <c r="D80" s="704" t="s">
        <v>563</v>
      </c>
      <c r="E80" s="704" t="s">
        <v>676</v>
      </c>
      <c r="F80" s="705">
        <v>8.9124537392952959E-3</v>
      </c>
      <c r="G80" s="705">
        <v>0.78044015430036018</v>
      </c>
    </row>
    <row r="81" spans="2:7" ht="11.25" hidden="1" customHeight="1" outlineLevel="2" x14ac:dyDescent="0.25">
      <c r="B81" s="704" t="s">
        <v>692</v>
      </c>
      <c r="C81" s="704" t="s">
        <v>701</v>
      </c>
      <c r="D81" s="704" t="s">
        <v>563</v>
      </c>
      <c r="E81" s="704" t="s">
        <v>676</v>
      </c>
      <c r="F81" s="705">
        <v>7.3002420176954683E-4</v>
      </c>
      <c r="G81" s="705">
        <v>6.3926292161045492E-2</v>
      </c>
    </row>
    <row r="82" spans="2:7" ht="11.25" hidden="1" customHeight="1" outlineLevel="2" x14ac:dyDescent="0.25">
      <c r="B82" s="704" t="s">
        <v>693</v>
      </c>
      <c r="C82" s="704" t="s">
        <v>701</v>
      </c>
      <c r="D82" s="704" t="s">
        <v>563</v>
      </c>
      <c r="E82" s="704" t="s">
        <v>676</v>
      </c>
      <c r="F82" s="705">
        <v>3.9325242028912655E-4</v>
      </c>
      <c r="G82" s="705">
        <v>3.4436081857840216E-2</v>
      </c>
    </row>
    <row r="83" spans="2:7" ht="11.25" hidden="1" customHeight="1" outlineLevel="2" x14ac:dyDescent="0.25">
      <c r="B83" s="704" t="s">
        <v>694</v>
      </c>
      <c r="C83" s="704" t="s">
        <v>701</v>
      </c>
      <c r="D83" s="704" t="s">
        <v>563</v>
      </c>
      <c r="E83" s="704" t="s">
        <v>676</v>
      </c>
      <c r="F83" s="705">
        <v>2.6764760889826138E-4</v>
      </c>
      <c r="G83" s="705">
        <v>2.3437193144993505E-2</v>
      </c>
    </row>
    <row r="84" spans="2:7" ht="11.25" hidden="1" customHeight="1" outlineLevel="2" x14ac:dyDescent="0.25">
      <c r="B84" s="704" t="s">
        <v>695</v>
      </c>
      <c r="C84" s="704" t="s">
        <v>701</v>
      </c>
      <c r="D84" s="704" t="s">
        <v>563</v>
      </c>
      <c r="E84" s="704" t="s">
        <v>676</v>
      </c>
      <c r="F84" s="705">
        <v>1.8806967848898841E-3</v>
      </c>
      <c r="G84" s="705">
        <v>0.1646878637051129</v>
      </c>
    </row>
    <row r="85" spans="2:7" ht="11.25" hidden="1" customHeight="1" outlineLevel="2" x14ac:dyDescent="0.25">
      <c r="B85" s="704" t="s">
        <v>696</v>
      </c>
      <c r="C85" s="704" t="s">
        <v>701</v>
      </c>
      <c r="D85" s="704" t="s">
        <v>563</v>
      </c>
      <c r="E85" s="704" t="s">
        <v>676</v>
      </c>
      <c r="F85" s="705">
        <v>6.75230648301653E-3</v>
      </c>
      <c r="G85" s="705">
        <v>0.59128248366660552</v>
      </c>
    </row>
    <row r="86" spans="2:7" ht="11.25" hidden="1" customHeight="1" outlineLevel="2" x14ac:dyDescent="0.25">
      <c r="B86" s="704" t="s">
        <v>697</v>
      </c>
      <c r="C86" s="704" t="s">
        <v>701</v>
      </c>
      <c r="D86" s="704" t="s">
        <v>563</v>
      </c>
      <c r="E86" s="704" t="s">
        <v>676</v>
      </c>
      <c r="F86" s="705">
        <v>3.4124007360450651E-3</v>
      </c>
      <c r="G86" s="705">
        <v>0.29881513783050406</v>
      </c>
    </row>
    <row r="87" spans="2:7" ht="11.25" hidden="1" customHeight="1" outlineLevel="2" x14ac:dyDescent="0.25">
      <c r="B87" s="704" t="s">
        <v>698</v>
      </c>
      <c r="C87" s="704" t="s">
        <v>701</v>
      </c>
      <c r="D87" s="704" t="s">
        <v>563</v>
      </c>
      <c r="E87" s="704" t="s">
        <v>676</v>
      </c>
      <c r="F87" s="705">
        <v>8.927201693249918E-4</v>
      </c>
      <c r="G87" s="705">
        <v>7.8173266005564096E-2</v>
      </c>
    </row>
    <row r="88" spans="2:7" ht="11.25" hidden="1" customHeight="1" outlineLevel="2" x14ac:dyDescent="0.25">
      <c r="B88" s="704" t="s">
        <v>699</v>
      </c>
      <c r="C88" s="704" t="s">
        <v>701</v>
      </c>
      <c r="D88" s="704" t="s">
        <v>563</v>
      </c>
      <c r="E88" s="704" t="s">
        <v>676</v>
      </c>
      <c r="F88" s="705">
        <v>1.6277587764989873E-2</v>
      </c>
      <c r="G88" s="705">
        <v>1.4253882186188991</v>
      </c>
    </row>
    <row r="89" spans="2:7" ht="11.25" hidden="1" customHeight="1" outlineLevel="2" x14ac:dyDescent="0.25">
      <c r="B89" s="704" t="s">
        <v>673</v>
      </c>
      <c r="C89" s="704" t="s">
        <v>702</v>
      </c>
      <c r="D89" s="704" t="s">
        <v>563</v>
      </c>
      <c r="E89" s="704" t="s">
        <v>676</v>
      </c>
      <c r="F89" s="705">
        <v>1.290928290094334E-3</v>
      </c>
      <c r="G89" s="705">
        <v>0.13230678034539711</v>
      </c>
    </row>
    <row r="90" spans="2:7" ht="11.25" hidden="1" customHeight="1" outlineLevel="2" x14ac:dyDescent="0.25">
      <c r="B90" s="704" t="s">
        <v>677</v>
      </c>
      <c r="C90" s="704" t="s">
        <v>702</v>
      </c>
      <c r="D90" s="704" t="s">
        <v>563</v>
      </c>
      <c r="E90" s="704" t="s">
        <v>676</v>
      </c>
      <c r="F90" s="705">
        <v>5.469924400568496E-3</v>
      </c>
      <c r="G90" s="705">
        <v>0.56060988564558822</v>
      </c>
    </row>
    <row r="91" spans="2:7" ht="11.25" hidden="1" customHeight="1" outlineLevel="2" x14ac:dyDescent="0.25">
      <c r="B91" s="704" t="s">
        <v>678</v>
      </c>
      <c r="C91" s="704" t="s">
        <v>702</v>
      </c>
      <c r="D91" s="704" t="s">
        <v>563</v>
      </c>
      <c r="E91" s="704" t="s">
        <v>676</v>
      </c>
      <c r="F91" s="705">
        <v>1.0010396266193492E-2</v>
      </c>
      <c r="G91" s="705">
        <v>1.0259622047491872</v>
      </c>
    </row>
    <row r="92" spans="2:7" ht="11.25" hidden="1" customHeight="1" outlineLevel="2" x14ac:dyDescent="0.25">
      <c r="B92" s="704" t="s">
        <v>679</v>
      </c>
      <c r="C92" s="704" t="s">
        <v>702</v>
      </c>
      <c r="D92" s="704" t="s">
        <v>563</v>
      </c>
      <c r="E92" s="704" t="s">
        <v>676</v>
      </c>
      <c r="F92" s="705">
        <v>2.6786183078260454E-4</v>
      </c>
      <c r="G92" s="705">
        <v>2.7453049176611254E-2</v>
      </c>
    </row>
    <row r="93" spans="2:7" ht="11.25" hidden="1" customHeight="1" outlineLevel="2" x14ac:dyDescent="0.25">
      <c r="B93" s="704" t="s">
        <v>680</v>
      </c>
      <c r="C93" s="704" t="s">
        <v>702</v>
      </c>
      <c r="D93" s="704" t="s">
        <v>563</v>
      </c>
      <c r="E93" s="704" t="s">
        <v>676</v>
      </c>
      <c r="F93" s="705">
        <v>6.4900407666723811E-4</v>
      </c>
      <c r="G93" s="705">
        <v>6.6516154090592819E-2</v>
      </c>
    </row>
    <row r="94" spans="2:7" ht="11.25" hidden="1" customHeight="1" outlineLevel="2" x14ac:dyDescent="0.25">
      <c r="B94" s="704" t="s">
        <v>681</v>
      </c>
      <c r="C94" s="704" t="s">
        <v>702</v>
      </c>
      <c r="D94" s="704" t="s">
        <v>563</v>
      </c>
      <c r="E94" s="704" t="s">
        <v>676</v>
      </c>
      <c r="F94" s="705">
        <v>1.3951619912421932E-3</v>
      </c>
      <c r="G94" s="705">
        <v>0.14298973941631732</v>
      </c>
    </row>
    <row r="95" spans="2:7" ht="11.25" hidden="1" customHeight="1" outlineLevel="2" x14ac:dyDescent="0.25">
      <c r="B95" s="704" t="s">
        <v>682</v>
      </c>
      <c r="C95" s="704" t="s">
        <v>702</v>
      </c>
      <c r="D95" s="704" t="s">
        <v>563</v>
      </c>
      <c r="E95" s="704" t="s">
        <v>676</v>
      </c>
      <c r="F95" s="705">
        <v>1.2724412749742899E-3</v>
      </c>
      <c r="G95" s="705">
        <v>0.1304121831264648</v>
      </c>
    </row>
    <row r="96" spans="2:7" ht="11.25" hidden="1" customHeight="1" outlineLevel="2" x14ac:dyDescent="0.25">
      <c r="B96" s="704" t="s">
        <v>683</v>
      </c>
      <c r="C96" s="704" t="s">
        <v>702</v>
      </c>
      <c r="D96" s="704" t="s">
        <v>563</v>
      </c>
      <c r="E96" s="704" t="s">
        <v>676</v>
      </c>
      <c r="F96" s="705">
        <v>4.4230605894177188E-4</v>
      </c>
      <c r="G96" s="705">
        <v>4.5331826882669485E-2</v>
      </c>
    </row>
    <row r="97" spans="2:7" ht="11.25" hidden="1" customHeight="1" outlineLevel="2" x14ac:dyDescent="0.25">
      <c r="B97" s="704" t="s">
        <v>684</v>
      </c>
      <c r="C97" s="704" t="s">
        <v>702</v>
      </c>
      <c r="D97" s="704" t="s">
        <v>563</v>
      </c>
      <c r="E97" s="704" t="s">
        <v>676</v>
      </c>
      <c r="F97" s="705">
        <v>9.0683578067557295E-4</v>
      </c>
      <c r="G97" s="705">
        <v>9.2941240945229986E-2</v>
      </c>
    </row>
    <row r="98" spans="2:7" ht="11.25" hidden="1" customHeight="1" outlineLevel="2" x14ac:dyDescent="0.25">
      <c r="B98" s="704" t="s">
        <v>685</v>
      </c>
      <c r="C98" s="704" t="s">
        <v>702</v>
      </c>
      <c r="D98" s="704" t="s">
        <v>563</v>
      </c>
      <c r="E98" s="704" t="s">
        <v>676</v>
      </c>
      <c r="F98" s="705">
        <v>3.3759997027468227E-3</v>
      </c>
      <c r="G98" s="705">
        <v>0.34600521616470009</v>
      </c>
    </row>
    <row r="99" spans="2:7" ht="11.25" hidden="1" customHeight="1" outlineLevel="2" x14ac:dyDescent="0.25">
      <c r="B99" s="704" t="s">
        <v>686</v>
      </c>
      <c r="C99" s="704" t="s">
        <v>702</v>
      </c>
      <c r="D99" s="704" t="s">
        <v>563</v>
      </c>
      <c r="E99" s="704" t="s">
        <v>676</v>
      </c>
      <c r="F99" s="705">
        <v>3.3177862541556262E-4</v>
      </c>
      <c r="G99" s="705">
        <v>3.4003886235259705E-2</v>
      </c>
    </row>
    <row r="100" spans="2:7" ht="11.25" hidden="1" customHeight="1" outlineLevel="2" x14ac:dyDescent="0.25">
      <c r="B100" s="704" t="s">
        <v>687</v>
      </c>
      <c r="C100" s="704" t="s">
        <v>702</v>
      </c>
      <c r="D100" s="704" t="s">
        <v>563</v>
      </c>
      <c r="E100" s="704" t="s">
        <v>676</v>
      </c>
      <c r="F100" s="705">
        <v>2.2530262438766172E-3</v>
      </c>
      <c r="G100" s="705">
        <v>0.23091195476091103</v>
      </c>
    </row>
    <row r="101" spans="2:7" ht="11.25" hidden="1" customHeight="1" outlineLevel="2" x14ac:dyDescent="0.25">
      <c r="B101" s="704" t="s">
        <v>688</v>
      </c>
      <c r="C101" s="704" t="s">
        <v>702</v>
      </c>
      <c r="D101" s="704" t="s">
        <v>563</v>
      </c>
      <c r="E101" s="704" t="s">
        <v>676</v>
      </c>
      <c r="F101" s="705">
        <v>3.0599553165375549E-3</v>
      </c>
      <c r="G101" s="705">
        <v>0.31361378943299734</v>
      </c>
    </row>
    <row r="102" spans="2:7" ht="11.25" hidden="1" customHeight="1" outlineLevel="2" x14ac:dyDescent="0.25">
      <c r="B102" s="704" t="s">
        <v>689</v>
      </c>
      <c r="C102" s="704" t="s">
        <v>702</v>
      </c>
      <c r="D102" s="704" t="s">
        <v>563</v>
      </c>
      <c r="E102" s="704" t="s">
        <v>676</v>
      </c>
      <c r="F102" s="705">
        <v>4.1173847479322902E-4</v>
      </c>
      <c r="G102" s="705">
        <v>4.2198933099643982E-2</v>
      </c>
    </row>
    <row r="103" spans="2:7" ht="11.25" hidden="1" customHeight="1" outlineLevel="2" x14ac:dyDescent="0.25">
      <c r="B103" s="704" t="s">
        <v>690</v>
      </c>
      <c r="C103" s="704" t="s">
        <v>702</v>
      </c>
      <c r="D103" s="704" t="s">
        <v>563</v>
      </c>
      <c r="E103" s="704" t="s">
        <v>676</v>
      </c>
      <c r="F103" s="705">
        <v>5.6638350063655625E-3</v>
      </c>
      <c r="G103" s="705">
        <v>0.58048437271119324</v>
      </c>
    </row>
    <row r="104" spans="2:7" ht="11.25" hidden="1" customHeight="1" outlineLevel="2" x14ac:dyDescent="0.25">
      <c r="B104" s="704" t="s">
        <v>691</v>
      </c>
      <c r="C104" s="704" t="s">
        <v>702</v>
      </c>
      <c r="D104" s="704" t="s">
        <v>563</v>
      </c>
      <c r="E104" s="704" t="s">
        <v>676</v>
      </c>
      <c r="F104" s="705">
        <v>4.1585450109260253E-3</v>
      </c>
      <c r="G104" s="705">
        <v>0.42620699644563298</v>
      </c>
    </row>
    <row r="105" spans="2:7" ht="11.25" hidden="1" customHeight="1" outlineLevel="2" x14ac:dyDescent="0.25">
      <c r="B105" s="704" t="s">
        <v>692</v>
      </c>
      <c r="C105" s="704" t="s">
        <v>702</v>
      </c>
      <c r="D105" s="704" t="s">
        <v>563</v>
      </c>
      <c r="E105" s="704" t="s">
        <v>676</v>
      </c>
      <c r="F105" s="705">
        <v>3.4062882605200891E-4</v>
      </c>
      <c r="G105" s="705">
        <v>3.4910921467933669E-2</v>
      </c>
    </row>
    <row r="106" spans="2:7" ht="11.25" hidden="1" customHeight="1" outlineLevel="2" x14ac:dyDescent="0.25">
      <c r="B106" s="704" t="s">
        <v>693</v>
      </c>
      <c r="C106" s="704" t="s">
        <v>702</v>
      </c>
      <c r="D106" s="704" t="s">
        <v>563</v>
      </c>
      <c r="E106" s="704" t="s">
        <v>676</v>
      </c>
      <c r="F106" s="705">
        <v>1.834910913367069E-4</v>
      </c>
      <c r="G106" s="705">
        <v>1.8805951418760652E-2</v>
      </c>
    </row>
    <row r="107" spans="2:7" ht="11.25" hidden="1" customHeight="1" outlineLevel="2" x14ac:dyDescent="0.25">
      <c r="B107" s="704" t="s">
        <v>694</v>
      </c>
      <c r="C107" s="704" t="s">
        <v>702</v>
      </c>
      <c r="D107" s="704" t="s">
        <v>563</v>
      </c>
      <c r="E107" s="704" t="s">
        <v>676</v>
      </c>
      <c r="F107" s="705">
        <v>1.2488417288310729E-4</v>
      </c>
      <c r="G107" s="705">
        <v>1.279932916372006E-2</v>
      </c>
    </row>
    <row r="108" spans="2:7" ht="11.25" hidden="1" customHeight="1" outlineLevel="2" x14ac:dyDescent="0.25">
      <c r="B108" s="704" t="s">
        <v>695</v>
      </c>
      <c r="C108" s="704" t="s">
        <v>702</v>
      </c>
      <c r="D108" s="704" t="s">
        <v>563</v>
      </c>
      <c r="E108" s="704" t="s">
        <v>676</v>
      </c>
      <c r="F108" s="705">
        <v>8.7753213898184251E-4</v>
      </c>
      <c r="G108" s="705">
        <v>8.9937998181764581E-2</v>
      </c>
    </row>
    <row r="109" spans="2:7" ht="11.25" hidden="1" customHeight="1" outlineLevel="2" x14ac:dyDescent="0.25">
      <c r="B109" s="704" t="s">
        <v>696</v>
      </c>
      <c r="C109" s="704" t="s">
        <v>702</v>
      </c>
      <c r="D109" s="704" t="s">
        <v>563</v>
      </c>
      <c r="E109" s="704" t="s">
        <v>676</v>
      </c>
      <c r="F109" s="705">
        <v>3.1506203201479149E-3</v>
      </c>
      <c r="G109" s="705">
        <v>0.32290601891570331</v>
      </c>
    </row>
    <row r="110" spans="2:7" ht="11.25" hidden="1" customHeight="1" outlineLevel="2" x14ac:dyDescent="0.25">
      <c r="B110" s="704" t="s">
        <v>697</v>
      </c>
      <c r="C110" s="704" t="s">
        <v>702</v>
      </c>
      <c r="D110" s="704" t="s">
        <v>563</v>
      </c>
      <c r="E110" s="704" t="s">
        <v>676</v>
      </c>
      <c r="F110" s="705">
        <v>1.5922238874414682E-3</v>
      </c>
      <c r="G110" s="705">
        <v>0.16318646859922473</v>
      </c>
    </row>
    <row r="111" spans="2:7" ht="11.25" hidden="1" customHeight="1" outlineLevel="2" x14ac:dyDescent="0.25">
      <c r="B111" s="704" t="s">
        <v>698</v>
      </c>
      <c r="C111" s="704" t="s">
        <v>702</v>
      </c>
      <c r="D111" s="704" t="s">
        <v>563</v>
      </c>
      <c r="E111" s="704" t="s">
        <v>676</v>
      </c>
      <c r="F111" s="706">
        <v>4.1654248530158928E-4</v>
      </c>
      <c r="G111" s="705">
        <v>4.2691287401743709E-2</v>
      </c>
    </row>
    <row r="112" spans="2:7" ht="11.25" hidden="1" customHeight="1" outlineLevel="2" x14ac:dyDescent="0.25">
      <c r="B112" s="704" t="s">
        <v>699</v>
      </c>
      <c r="C112" s="704" t="s">
        <v>702</v>
      </c>
      <c r="D112" s="704" t="s">
        <v>563</v>
      </c>
      <c r="E112" s="704" t="s">
        <v>676</v>
      </c>
      <c r="F112" s="706">
        <v>7.5951166385988299E-3</v>
      </c>
      <c r="G112" s="705">
        <v>0.77842047012836568</v>
      </c>
    </row>
    <row r="113" spans="2:7" ht="11.25" hidden="1" customHeight="1" outlineLevel="2" x14ac:dyDescent="0.25">
      <c r="B113" s="704" t="s">
        <v>673</v>
      </c>
      <c r="C113" s="704" t="s">
        <v>703</v>
      </c>
      <c r="D113" s="704" t="s">
        <v>563</v>
      </c>
      <c r="E113" s="704" t="s">
        <v>676</v>
      </c>
      <c r="F113" s="706">
        <v>4.8520215838762787E-3</v>
      </c>
      <c r="G113" s="705">
        <v>0.47779736696586422</v>
      </c>
    </row>
    <row r="114" spans="2:7" ht="11.25" hidden="1" customHeight="1" outlineLevel="2" x14ac:dyDescent="0.25">
      <c r="B114" s="704" t="s">
        <v>677</v>
      </c>
      <c r="C114" s="704" t="s">
        <v>703</v>
      </c>
      <c r="D114" s="704" t="s">
        <v>563</v>
      </c>
      <c r="E114" s="704" t="s">
        <v>676</v>
      </c>
      <c r="F114" s="706">
        <v>3.2920788349754197E-2</v>
      </c>
      <c r="G114" s="705">
        <v>3.2418401485929378</v>
      </c>
    </row>
    <row r="115" spans="2:7" ht="11.25" hidden="1" customHeight="1" outlineLevel="2" x14ac:dyDescent="0.25">
      <c r="B115" s="704" t="s">
        <v>678</v>
      </c>
      <c r="C115" s="704" t="s">
        <v>703</v>
      </c>
      <c r="D115" s="704" t="s">
        <v>563</v>
      </c>
      <c r="E115" s="704" t="s">
        <v>676</v>
      </c>
      <c r="F115" s="706">
        <v>5.0397591695737681E-2</v>
      </c>
      <c r="G115" s="705">
        <v>4.9628529483172565</v>
      </c>
    </row>
    <row r="116" spans="2:7" ht="11.25" hidden="1" customHeight="1" outlineLevel="2" x14ac:dyDescent="0.25">
      <c r="B116" s="704" t="s">
        <v>679</v>
      </c>
      <c r="C116" s="704" t="s">
        <v>703</v>
      </c>
      <c r="D116" s="704" t="s">
        <v>563</v>
      </c>
      <c r="E116" s="704" t="s">
        <v>676</v>
      </c>
      <c r="F116" s="706">
        <v>5.3048338438391636E-3</v>
      </c>
      <c r="G116" s="705">
        <v>0.52238820230307681</v>
      </c>
    </row>
    <row r="117" spans="2:7" ht="11.25" hidden="1" customHeight="1" outlineLevel="2" x14ac:dyDescent="0.25">
      <c r="B117" s="704" t="s">
        <v>680</v>
      </c>
      <c r="C117" s="704" t="s">
        <v>703</v>
      </c>
      <c r="D117" s="704" t="s">
        <v>563</v>
      </c>
      <c r="E117" s="704" t="s">
        <v>676</v>
      </c>
      <c r="F117" s="706">
        <v>1.9898136166521564E-3</v>
      </c>
      <c r="G117" s="705">
        <v>0.1959448653117149</v>
      </c>
    </row>
    <row r="118" spans="2:7" ht="11.25" hidden="1" customHeight="1" outlineLevel="2" x14ac:dyDescent="0.25">
      <c r="B118" s="704" t="s">
        <v>681</v>
      </c>
      <c r="C118" s="704" t="s">
        <v>703</v>
      </c>
      <c r="D118" s="704" t="s">
        <v>563</v>
      </c>
      <c r="E118" s="704" t="s">
        <v>676</v>
      </c>
      <c r="F118" s="706">
        <v>1.0446601190335827E-2</v>
      </c>
      <c r="G118" s="705">
        <v>1.0287179392047801</v>
      </c>
    </row>
    <row r="119" spans="2:7" ht="11.25" hidden="1" customHeight="1" outlineLevel="2" x14ac:dyDescent="0.25">
      <c r="B119" s="704" t="s">
        <v>682</v>
      </c>
      <c r="C119" s="704" t="s">
        <v>703</v>
      </c>
      <c r="D119" s="704" t="s">
        <v>563</v>
      </c>
      <c r="E119" s="704" t="s">
        <v>676</v>
      </c>
      <c r="F119" s="706">
        <v>5.9251794879892931E-3</v>
      </c>
      <c r="G119" s="705">
        <v>0.5834760916552274</v>
      </c>
    </row>
    <row r="120" spans="2:7" ht="11.25" hidden="1" customHeight="1" outlineLevel="2" x14ac:dyDescent="0.25">
      <c r="B120" s="704" t="s">
        <v>683</v>
      </c>
      <c r="C120" s="704" t="s">
        <v>703</v>
      </c>
      <c r="D120" s="704" t="s">
        <v>563</v>
      </c>
      <c r="E120" s="704" t="s">
        <v>676</v>
      </c>
      <c r="F120" s="706">
        <v>8.4068897585988442E-3</v>
      </c>
      <c r="G120" s="705">
        <v>0.82786003444082434</v>
      </c>
    </row>
    <row r="121" spans="2:7" ht="11.25" hidden="1" customHeight="1" outlineLevel="2" x14ac:dyDescent="0.25">
      <c r="B121" s="704" t="s">
        <v>684</v>
      </c>
      <c r="C121" s="704" t="s">
        <v>703</v>
      </c>
      <c r="D121" s="704" t="s">
        <v>563</v>
      </c>
      <c r="E121" s="704" t="s">
        <v>676</v>
      </c>
      <c r="F121" s="706">
        <v>1.9994510529634402E-3</v>
      </c>
      <c r="G121" s="705">
        <v>0.19689411026007353</v>
      </c>
    </row>
    <row r="122" spans="2:7" ht="11.25" hidden="1" customHeight="1" outlineLevel="2" x14ac:dyDescent="0.25">
      <c r="B122" s="704" t="s">
        <v>685</v>
      </c>
      <c r="C122" s="704" t="s">
        <v>703</v>
      </c>
      <c r="D122" s="704" t="s">
        <v>563</v>
      </c>
      <c r="E122" s="704" t="s">
        <v>676</v>
      </c>
      <c r="F122" s="706">
        <v>1.37106111878736E-2</v>
      </c>
      <c r="G122" s="705">
        <v>1.350138312110257</v>
      </c>
    </row>
    <row r="123" spans="2:7" ht="11.25" hidden="1" customHeight="1" outlineLevel="2" x14ac:dyDescent="0.25">
      <c r="B123" s="704" t="s">
        <v>686</v>
      </c>
      <c r="C123" s="704" t="s">
        <v>703</v>
      </c>
      <c r="D123" s="704" t="s">
        <v>563</v>
      </c>
      <c r="E123" s="704" t="s">
        <v>676</v>
      </c>
      <c r="F123" s="706">
        <v>1.9614883757351816E-3</v>
      </c>
      <c r="G123" s="705">
        <v>0.19315559212488764</v>
      </c>
    </row>
    <row r="124" spans="2:7" ht="11.25" hidden="1" customHeight="1" outlineLevel="2" x14ac:dyDescent="0.25">
      <c r="B124" s="704" t="s">
        <v>687</v>
      </c>
      <c r="C124" s="704" t="s">
        <v>703</v>
      </c>
      <c r="D124" s="704" t="s">
        <v>563</v>
      </c>
      <c r="E124" s="704" t="s">
        <v>676</v>
      </c>
      <c r="F124" s="706">
        <v>1.4907752687707899E-2</v>
      </c>
      <c r="G124" s="705">
        <v>1.4680272332954276</v>
      </c>
    </row>
    <row r="125" spans="2:7" ht="11.25" hidden="1" customHeight="1" outlineLevel="2" x14ac:dyDescent="0.25">
      <c r="B125" s="704" t="s">
        <v>688</v>
      </c>
      <c r="C125" s="704" t="s">
        <v>703</v>
      </c>
      <c r="D125" s="704" t="s">
        <v>563</v>
      </c>
      <c r="E125" s="704" t="s">
        <v>676</v>
      </c>
      <c r="F125" s="706">
        <v>1.7041358695305989E-2</v>
      </c>
      <c r="G125" s="705">
        <v>1.6781308158979993</v>
      </c>
    </row>
    <row r="126" spans="2:7" ht="11.25" hidden="1" customHeight="1" outlineLevel="2" x14ac:dyDescent="0.25">
      <c r="B126" s="704" t="s">
        <v>689</v>
      </c>
      <c r="C126" s="704" t="s">
        <v>703</v>
      </c>
      <c r="D126" s="704" t="s">
        <v>563</v>
      </c>
      <c r="E126" s="704" t="s">
        <v>676</v>
      </c>
      <c r="F126" s="706">
        <v>1.7411838852450991E-3</v>
      </c>
      <c r="G126" s="705">
        <v>0.171461141410821</v>
      </c>
    </row>
    <row r="127" spans="2:7" ht="11.25" hidden="1" customHeight="1" outlineLevel="2" x14ac:dyDescent="0.25">
      <c r="B127" s="704" t="s">
        <v>690</v>
      </c>
      <c r="C127" s="704" t="s">
        <v>703</v>
      </c>
      <c r="D127" s="704" t="s">
        <v>563</v>
      </c>
      <c r="E127" s="704" t="s">
        <v>676</v>
      </c>
      <c r="F127" s="706">
        <v>5.9404895362686887E-2</v>
      </c>
      <c r="G127" s="705">
        <v>5.8498384358372366</v>
      </c>
    </row>
    <row r="128" spans="2:7" ht="11.25" hidden="1" customHeight="1" outlineLevel="2" x14ac:dyDescent="0.25">
      <c r="B128" s="704" t="s">
        <v>691</v>
      </c>
      <c r="C128" s="704" t="s">
        <v>703</v>
      </c>
      <c r="D128" s="704" t="s">
        <v>563</v>
      </c>
      <c r="E128" s="704" t="s">
        <v>676</v>
      </c>
      <c r="F128" s="706">
        <v>5.4271433616563024E-2</v>
      </c>
      <c r="G128" s="705">
        <v>5.3443289568528032</v>
      </c>
    </row>
    <row r="129" spans="2:7" ht="11.25" hidden="1" customHeight="1" outlineLevel="2" x14ac:dyDescent="0.25">
      <c r="B129" s="704" t="s">
        <v>692</v>
      </c>
      <c r="C129" s="704" t="s">
        <v>703</v>
      </c>
      <c r="D129" s="704" t="s">
        <v>563</v>
      </c>
      <c r="E129" s="704" t="s">
        <v>676</v>
      </c>
      <c r="F129" s="706">
        <v>2.8113244292540559E-3</v>
      </c>
      <c r="G129" s="705">
        <v>0.27684210169633239</v>
      </c>
    </row>
    <row r="130" spans="2:7" ht="11.25" hidden="1" customHeight="1" outlineLevel="2" x14ac:dyDescent="0.25">
      <c r="B130" s="704" t="s">
        <v>693</v>
      </c>
      <c r="C130" s="704" t="s">
        <v>703</v>
      </c>
      <c r="D130" s="704" t="s">
        <v>563</v>
      </c>
      <c r="E130" s="704" t="s">
        <v>676</v>
      </c>
      <c r="F130" s="706">
        <v>5.8979655580925563E-3</v>
      </c>
      <c r="G130" s="705">
        <v>0.58079662083387151</v>
      </c>
    </row>
    <row r="131" spans="2:7" ht="11.25" hidden="1" customHeight="1" outlineLevel="2" x14ac:dyDescent="0.25">
      <c r="B131" s="704" t="s">
        <v>694</v>
      </c>
      <c r="C131" s="704" t="s">
        <v>703</v>
      </c>
      <c r="D131" s="704" t="s">
        <v>563</v>
      </c>
      <c r="E131" s="704" t="s">
        <v>676</v>
      </c>
      <c r="F131" s="706">
        <v>1.6697065503527451E-3</v>
      </c>
      <c r="G131" s="705">
        <v>0.16442261115456147</v>
      </c>
    </row>
    <row r="132" spans="2:7" ht="11.25" hidden="1" customHeight="1" outlineLevel="2" x14ac:dyDescent="0.25">
      <c r="B132" s="704" t="s">
        <v>695</v>
      </c>
      <c r="C132" s="704" t="s">
        <v>703</v>
      </c>
      <c r="D132" s="704" t="s">
        <v>563</v>
      </c>
      <c r="E132" s="704" t="s">
        <v>676</v>
      </c>
      <c r="F132" s="706">
        <v>2.2533987461412514E-3</v>
      </c>
      <c r="G132" s="705">
        <v>0.22190133431064488</v>
      </c>
    </row>
    <row r="133" spans="2:7" ht="11.25" hidden="1" customHeight="1" outlineLevel="2" x14ac:dyDescent="0.25">
      <c r="B133" s="704" t="s">
        <v>696</v>
      </c>
      <c r="C133" s="704" t="s">
        <v>703</v>
      </c>
      <c r="D133" s="704" t="s">
        <v>563</v>
      </c>
      <c r="E133" s="704" t="s">
        <v>676</v>
      </c>
      <c r="F133" s="706">
        <v>8.8378041809940855E-3</v>
      </c>
      <c r="G133" s="705">
        <v>0.87029509507414582</v>
      </c>
    </row>
    <row r="134" spans="2:7" ht="11.25" hidden="1" customHeight="1" outlineLevel="2" x14ac:dyDescent="0.25">
      <c r="B134" s="704" t="s">
        <v>697</v>
      </c>
      <c r="C134" s="704" t="s">
        <v>703</v>
      </c>
      <c r="D134" s="704" t="s">
        <v>563</v>
      </c>
      <c r="E134" s="704" t="s">
        <v>676</v>
      </c>
      <c r="F134" s="706">
        <v>5.6495257359917041E-3</v>
      </c>
      <c r="G134" s="705">
        <v>0.55633182059210673</v>
      </c>
    </row>
    <row r="135" spans="2:7" ht="11.25" hidden="1" customHeight="1" outlineLevel="2" x14ac:dyDescent="0.25">
      <c r="B135" s="704" t="s">
        <v>698</v>
      </c>
      <c r="C135" s="704" t="s">
        <v>703</v>
      </c>
      <c r="D135" s="704" t="s">
        <v>563</v>
      </c>
      <c r="E135" s="704" t="s">
        <v>676</v>
      </c>
      <c r="F135" s="706">
        <v>3.1488719114527134E-3</v>
      </c>
      <c r="G135" s="705">
        <v>0.31008192109175148</v>
      </c>
    </row>
    <row r="136" spans="2:7" ht="11.25" hidden="1" customHeight="1" outlineLevel="2" x14ac:dyDescent="0.25">
      <c r="B136" s="704" t="s">
        <v>699</v>
      </c>
      <c r="C136" s="704" t="s">
        <v>703</v>
      </c>
      <c r="D136" s="704" t="s">
        <v>563</v>
      </c>
      <c r="E136" s="704" t="s">
        <v>676</v>
      </c>
      <c r="F136" s="705">
        <v>4.1710911083980409E-2</v>
      </c>
      <c r="G136" s="705">
        <v>4.1074430464458604</v>
      </c>
    </row>
    <row r="137" spans="2:7" ht="11.25" hidden="1" customHeight="1" outlineLevel="2" x14ac:dyDescent="0.25">
      <c r="B137" s="704" t="s">
        <v>673</v>
      </c>
      <c r="C137" s="704" t="s">
        <v>704</v>
      </c>
      <c r="D137" s="704" t="s">
        <v>563</v>
      </c>
      <c r="E137" s="704" t="s">
        <v>676</v>
      </c>
      <c r="F137" s="705">
        <v>4.3961793005563221E-3</v>
      </c>
      <c r="G137" s="705">
        <v>0.98860506487890709</v>
      </c>
    </row>
    <row r="138" spans="2:7" ht="11.25" hidden="1" customHeight="1" outlineLevel="2" x14ac:dyDescent="0.25">
      <c r="B138" s="704" t="s">
        <v>677</v>
      </c>
      <c r="C138" s="704" t="s">
        <v>704</v>
      </c>
      <c r="D138" s="704" t="s">
        <v>563</v>
      </c>
      <c r="E138" s="704" t="s">
        <v>676</v>
      </c>
      <c r="F138" s="705">
        <v>1.8627499771432986E-2</v>
      </c>
      <c r="G138" s="705">
        <v>4.1889197883083629</v>
      </c>
    </row>
    <row r="139" spans="2:7" ht="11.25" hidden="1" customHeight="1" outlineLevel="2" x14ac:dyDescent="0.25">
      <c r="B139" s="704" t="s">
        <v>678</v>
      </c>
      <c r="C139" s="704" t="s">
        <v>704</v>
      </c>
      <c r="D139" s="704" t="s">
        <v>563</v>
      </c>
      <c r="E139" s="704" t="s">
        <v>676</v>
      </c>
      <c r="F139" s="705">
        <v>3.4089813644482242E-2</v>
      </c>
      <c r="G139" s="705">
        <v>7.6660520537387367</v>
      </c>
    </row>
    <row r="140" spans="2:7" ht="11.25" hidden="1" customHeight="1" outlineLevel="2" x14ac:dyDescent="0.25">
      <c r="B140" s="704" t="s">
        <v>679</v>
      </c>
      <c r="C140" s="704" t="s">
        <v>704</v>
      </c>
      <c r="D140" s="704" t="s">
        <v>563</v>
      </c>
      <c r="E140" s="704" t="s">
        <v>676</v>
      </c>
      <c r="F140" s="705">
        <v>9.1218728997981302E-4</v>
      </c>
      <c r="G140" s="705">
        <v>0.20513106103028927</v>
      </c>
    </row>
    <row r="141" spans="2:7" ht="11.25" hidden="1" customHeight="1" outlineLevel="2" x14ac:dyDescent="0.25">
      <c r="B141" s="704" t="s">
        <v>680</v>
      </c>
      <c r="C141" s="704" t="s">
        <v>704</v>
      </c>
      <c r="D141" s="704" t="s">
        <v>563</v>
      </c>
      <c r="E141" s="704" t="s">
        <v>676</v>
      </c>
      <c r="F141" s="705">
        <v>2.2101454607684349E-3</v>
      </c>
      <c r="G141" s="705">
        <v>0.49701358835291365</v>
      </c>
    </row>
    <row r="142" spans="2:7" ht="11.25" hidden="1" customHeight="1" outlineLevel="2" x14ac:dyDescent="0.25">
      <c r="B142" s="704" t="s">
        <v>681</v>
      </c>
      <c r="C142" s="704" t="s">
        <v>704</v>
      </c>
      <c r="D142" s="704" t="s">
        <v>563</v>
      </c>
      <c r="E142" s="704" t="s">
        <v>676</v>
      </c>
      <c r="F142" s="705">
        <v>4.7511417125668427E-3</v>
      </c>
      <c r="G142" s="705">
        <v>1.0684285217783731</v>
      </c>
    </row>
    <row r="143" spans="2:7" ht="11.25" hidden="1" customHeight="1" outlineLevel="2" x14ac:dyDescent="0.25">
      <c r="B143" s="704" t="s">
        <v>682</v>
      </c>
      <c r="C143" s="704" t="s">
        <v>704</v>
      </c>
      <c r="D143" s="704" t="s">
        <v>563</v>
      </c>
      <c r="E143" s="704" t="s">
        <v>676</v>
      </c>
      <c r="F143" s="705">
        <v>4.3332199909993461E-3</v>
      </c>
      <c r="G143" s="705">
        <v>0.97444687523748119</v>
      </c>
    </row>
    <row r="144" spans="2:7" ht="11.25" hidden="1" customHeight="1" outlineLevel="2" x14ac:dyDescent="0.25">
      <c r="B144" s="704" t="s">
        <v>683</v>
      </c>
      <c r="C144" s="704" t="s">
        <v>704</v>
      </c>
      <c r="D144" s="704" t="s">
        <v>563</v>
      </c>
      <c r="E144" s="704" t="s">
        <v>676</v>
      </c>
      <c r="F144" s="705">
        <v>1.5062470471717943E-3</v>
      </c>
      <c r="G144" s="705">
        <v>0.33872230738413489</v>
      </c>
    </row>
    <row r="145" spans="2:7" ht="11.25" hidden="1" customHeight="1" outlineLevel="2" x14ac:dyDescent="0.25">
      <c r="B145" s="704" t="s">
        <v>684</v>
      </c>
      <c r="C145" s="704" t="s">
        <v>704</v>
      </c>
      <c r="D145" s="704" t="s">
        <v>563</v>
      </c>
      <c r="E145" s="704" t="s">
        <v>676</v>
      </c>
      <c r="F145" s="705">
        <v>3.0881733472456993E-3</v>
      </c>
      <c r="G145" s="705">
        <v>0.69446336971687661</v>
      </c>
    </row>
    <row r="146" spans="2:7" ht="11.25" hidden="1" customHeight="1" outlineLevel="2" x14ac:dyDescent="0.25">
      <c r="B146" s="704" t="s">
        <v>685</v>
      </c>
      <c r="C146" s="704" t="s">
        <v>704</v>
      </c>
      <c r="D146" s="704" t="s">
        <v>563</v>
      </c>
      <c r="E146" s="704" t="s">
        <v>676</v>
      </c>
      <c r="F146" s="705">
        <v>1.1496760275128923E-2</v>
      </c>
      <c r="G146" s="705">
        <v>2.5853714809949087</v>
      </c>
    </row>
    <row r="147" spans="2:7" ht="11.25" hidden="1" customHeight="1" outlineLevel="2" x14ac:dyDescent="0.25">
      <c r="B147" s="704" t="s">
        <v>686</v>
      </c>
      <c r="C147" s="704" t="s">
        <v>704</v>
      </c>
      <c r="D147" s="704" t="s">
        <v>563</v>
      </c>
      <c r="E147" s="704" t="s">
        <v>676</v>
      </c>
      <c r="F147" s="705">
        <v>1.1298534715402395E-3</v>
      </c>
      <c r="G147" s="705">
        <v>0.25407949195764584</v>
      </c>
    </row>
    <row r="148" spans="2:7" ht="11.25" hidden="1" customHeight="1" outlineLevel="2" x14ac:dyDescent="0.25">
      <c r="B148" s="704" t="s">
        <v>687</v>
      </c>
      <c r="C148" s="704" t="s">
        <v>704</v>
      </c>
      <c r="D148" s="704" t="s">
        <v>563</v>
      </c>
      <c r="E148" s="704" t="s">
        <v>676</v>
      </c>
      <c r="F148" s="705">
        <v>7.6725515794938727E-3</v>
      </c>
      <c r="G148" s="705">
        <v>1.7253894890159618</v>
      </c>
    </row>
    <row r="149" spans="2:7" ht="11.25" hidden="1" customHeight="1" outlineLevel="2" x14ac:dyDescent="0.25">
      <c r="B149" s="704" t="s">
        <v>688</v>
      </c>
      <c r="C149" s="704" t="s">
        <v>704</v>
      </c>
      <c r="D149" s="704" t="s">
        <v>563</v>
      </c>
      <c r="E149" s="704" t="s">
        <v>676</v>
      </c>
      <c r="F149" s="705">
        <v>1.0420498150320831E-2</v>
      </c>
      <c r="G149" s="705">
        <v>2.3433433444127614</v>
      </c>
    </row>
    <row r="150" spans="2:7" ht="11.25" hidden="1" customHeight="1" outlineLevel="2" x14ac:dyDescent="0.25">
      <c r="B150" s="704" t="s">
        <v>689</v>
      </c>
      <c r="C150" s="704" t="s">
        <v>704</v>
      </c>
      <c r="D150" s="704" t="s">
        <v>563</v>
      </c>
      <c r="E150" s="704" t="s">
        <v>676</v>
      </c>
      <c r="F150" s="705">
        <v>1.4021513275295136E-3</v>
      </c>
      <c r="G150" s="705">
        <v>0.3153132179011241</v>
      </c>
    </row>
    <row r="151" spans="2:7" ht="11.25" hidden="1" customHeight="1" outlineLevel="2" x14ac:dyDescent="0.25">
      <c r="B151" s="704" t="s">
        <v>690</v>
      </c>
      <c r="C151" s="704" t="s">
        <v>704</v>
      </c>
      <c r="D151" s="704" t="s">
        <v>563</v>
      </c>
      <c r="E151" s="704" t="s">
        <v>676</v>
      </c>
      <c r="F151" s="705">
        <v>1.9287872620061427E-2</v>
      </c>
      <c r="G151" s="705">
        <v>4.3374215486181953</v>
      </c>
    </row>
    <row r="152" spans="2:7" ht="11.25" hidden="1" customHeight="1" outlineLevel="2" x14ac:dyDescent="0.25">
      <c r="B152" s="704" t="s">
        <v>691</v>
      </c>
      <c r="C152" s="704" t="s">
        <v>704</v>
      </c>
      <c r="D152" s="704" t="s">
        <v>563</v>
      </c>
      <c r="E152" s="704" t="s">
        <v>676</v>
      </c>
      <c r="F152" s="705">
        <v>1.4161659329402389E-2</v>
      </c>
      <c r="G152" s="705">
        <v>3.1846512598461714</v>
      </c>
    </row>
    <row r="153" spans="2:7" ht="11.25" hidden="1" customHeight="1" outlineLevel="2" x14ac:dyDescent="0.25">
      <c r="B153" s="704" t="s">
        <v>692</v>
      </c>
      <c r="C153" s="704" t="s">
        <v>704</v>
      </c>
      <c r="D153" s="704" t="s">
        <v>563</v>
      </c>
      <c r="E153" s="704" t="s">
        <v>676</v>
      </c>
      <c r="F153" s="705">
        <v>1.1599918887828015E-3</v>
      </c>
      <c r="G153" s="705">
        <v>0.26085683132209403</v>
      </c>
    </row>
    <row r="154" spans="2:7" ht="11.25" hidden="1" customHeight="1" outlineLevel="2" x14ac:dyDescent="0.25">
      <c r="B154" s="704" t="s">
        <v>693</v>
      </c>
      <c r="C154" s="704" t="s">
        <v>704</v>
      </c>
      <c r="D154" s="704" t="s">
        <v>563</v>
      </c>
      <c r="E154" s="704" t="s">
        <v>676</v>
      </c>
      <c r="F154" s="705">
        <v>6.2486825847824932E-4</v>
      </c>
      <c r="G154" s="705">
        <v>0.14051943488253016</v>
      </c>
    </row>
    <row r="155" spans="2:7" ht="11.25" hidden="1" customHeight="1" outlineLevel="2" x14ac:dyDescent="0.25">
      <c r="B155" s="704" t="s">
        <v>694</v>
      </c>
      <c r="C155" s="704" t="s">
        <v>704</v>
      </c>
      <c r="D155" s="704" t="s">
        <v>563</v>
      </c>
      <c r="E155" s="704" t="s">
        <v>676</v>
      </c>
      <c r="F155" s="705">
        <v>4.2528531127553992E-4</v>
      </c>
      <c r="G155" s="705">
        <v>9.5637407154123388E-2</v>
      </c>
    </row>
    <row r="156" spans="2:7" ht="11.25" hidden="1" customHeight="1" outlineLevel="2" x14ac:dyDescent="0.25">
      <c r="B156" s="704" t="s">
        <v>695</v>
      </c>
      <c r="C156" s="704" t="s">
        <v>704</v>
      </c>
      <c r="D156" s="704" t="s">
        <v>563</v>
      </c>
      <c r="E156" s="704" t="s">
        <v>676</v>
      </c>
      <c r="F156" s="706">
        <v>2.9883838937917869E-3</v>
      </c>
      <c r="G156" s="705">
        <v>0.67202237579671587</v>
      </c>
    </row>
    <row r="157" spans="2:7" ht="11.25" hidden="1" customHeight="1" outlineLevel="2" x14ac:dyDescent="0.25">
      <c r="B157" s="704" t="s">
        <v>696</v>
      </c>
      <c r="C157" s="704" t="s">
        <v>704</v>
      </c>
      <c r="D157" s="704" t="s">
        <v>563</v>
      </c>
      <c r="E157" s="704" t="s">
        <v>676</v>
      </c>
      <c r="F157" s="706">
        <v>1.0729249828688158E-2</v>
      </c>
      <c r="G157" s="705">
        <v>2.4127739414839184</v>
      </c>
    </row>
    <row r="158" spans="2:7" ht="11.25" hidden="1" customHeight="1" outlineLevel="2" x14ac:dyDescent="0.25">
      <c r="B158" s="704" t="s">
        <v>697</v>
      </c>
      <c r="C158" s="704" t="s">
        <v>704</v>
      </c>
      <c r="D158" s="704" t="s">
        <v>563</v>
      </c>
      <c r="E158" s="704" t="s">
        <v>676</v>
      </c>
      <c r="F158" s="706">
        <v>5.4222234021296493E-3</v>
      </c>
      <c r="G158" s="705">
        <v>1.2193389800143624</v>
      </c>
    </row>
    <row r="159" spans="2:7" ht="11.25" hidden="1" customHeight="1" outlineLevel="2" x14ac:dyDescent="0.25">
      <c r="B159" s="704" t="s">
        <v>698</v>
      </c>
      <c r="C159" s="704" t="s">
        <v>704</v>
      </c>
      <c r="D159" s="704" t="s">
        <v>563</v>
      </c>
      <c r="E159" s="704" t="s">
        <v>676</v>
      </c>
      <c r="F159" s="706">
        <v>1.4185125764654308E-3</v>
      </c>
      <c r="G159" s="705">
        <v>0.31899215764213895</v>
      </c>
    </row>
    <row r="160" spans="2:7" ht="11.25" hidden="1" customHeight="1" outlineLevel="2" x14ac:dyDescent="0.25">
      <c r="B160" s="704" t="s">
        <v>699</v>
      </c>
      <c r="C160" s="704" t="s">
        <v>704</v>
      </c>
      <c r="D160" s="704" t="s">
        <v>563</v>
      </c>
      <c r="E160" s="704" t="s">
        <v>676</v>
      </c>
      <c r="F160" s="706">
        <v>2.5864722077660659E-2</v>
      </c>
      <c r="G160" s="705">
        <v>5.8164117203327166</v>
      </c>
    </row>
    <row r="161" spans="2:7" ht="11.25" hidden="1" customHeight="1" outlineLevel="2" x14ac:dyDescent="0.25">
      <c r="B161" s="704" t="s">
        <v>673</v>
      </c>
      <c r="C161" s="704" t="s">
        <v>705</v>
      </c>
      <c r="D161" s="704" t="s">
        <v>44</v>
      </c>
      <c r="E161" s="704" t="s">
        <v>676</v>
      </c>
      <c r="F161" s="706">
        <v>4.3147287449559672E-4</v>
      </c>
      <c r="G161" s="705">
        <v>4.5241801433031853E-3</v>
      </c>
    </row>
    <row r="162" spans="2:7" ht="11.25" hidden="1" customHeight="1" outlineLevel="2" x14ac:dyDescent="0.25">
      <c r="B162" s="704" t="s">
        <v>677</v>
      </c>
      <c r="C162" s="704" t="s">
        <v>705</v>
      </c>
      <c r="D162" s="704" t="s">
        <v>44</v>
      </c>
      <c r="E162" s="704" t="s">
        <v>676</v>
      </c>
      <c r="F162" s="706">
        <v>8.0203678606623956E-4</v>
      </c>
      <c r="G162" s="705">
        <v>8.4096959418351637E-3</v>
      </c>
    </row>
    <row r="163" spans="2:7" ht="11.25" hidden="1" customHeight="1" outlineLevel="2" x14ac:dyDescent="0.25">
      <c r="B163" s="704" t="s">
        <v>678</v>
      </c>
      <c r="C163" s="704" t="s">
        <v>705</v>
      </c>
      <c r="D163" s="704" t="s">
        <v>44</v>
      </c>
      <c r="E163" s="704" t="s">
        <v>676</v>
      </c>
      <c r="F163" s="705">
        <v>1.6407709416962728E-3</v>
      </c>
      <c r="G163" s="705">
        <v>1.7204203193938922E-2</v>
      </c>
    </row>
    <row r="164" spans="2:7" ht="11.25" hidden="1" customHeight="1" outlineLevel="2" x14ac:dyDescent="0.25">
      <c r="B164" s="704" t="s">
        <v>679</v>
      </c>
      <c r="C164" s="704" t="s">
        <v>705</v>
      </c>
      <c r="D164" s="704" t="s">
        <v>44</v>
      </c>
      <c r="E164" s="704" t="s">
        <v>676</v>
      </c>
      <c r="F164" s="705">
        <v>5.7737119690176022E-4</v>
      </c>
      <c r="G164" s="705">
        <v>6.053981427425986E-3</v>
      </c>
    </row>
    <row r="165" spans="2:7" ht="11.25" hidden="1" customHeight="1" outlineLevel="2" x14ac:dyDescent="0.25">
      <c r="B165" s="704" t="s">
        <v>680</v>
      </c>
      <c r="C165" s="704" t="s">
        <v>705</v>
      </c>
      <c r="D165" s="704" t="s">
        <v>44</v>
      </c>
      <c r="E165" s="704" t="s">
        <v>676</v>
      </c>
      <c r="F165" s="705">
        <v>3.7582376872225902E-3</v>
      </c>
      <c r="G165" s="705">
        <v>3.9406791329006916E-2</v>
      </c>
    </row>
    <row r="166" spans="2:7" ht="11.25" hidden="1" customHeight="1" outlineLevel="2" x14ac:dyDescent="0.25">
      <c r="B166" s="704" t="s">
        <v>681</v>
      </c>
      <c r="C166" s="704" t="s">
        <v>705</v>
      </c>
      <c r="D166" s="704" t="s">
        <v>44</v>
      </c>
      <c r="E166" s="704" t="s">
        <v>676</v>
      </c>
      <c r="F166" s="705">
        <v>4.2533460494318213E-3</v>
      </c>
      <c r="G166" s="705">
        <v>4.4598149027652925E-2</v>
      </c>
    </row>
    <row r="167" spans="2:7" ht="11.25" hidden="1" customHeight="1" outlineLevel="2" x14ac:dyDescent="0.25">
      <c r="B167" s="704" t="s">
        <v>682</v>
      </c>
      <c r="C167" s="704" t="s">
        <v>705</v>
      </c>
      <c r="D167" s="704" t="s">
        <v>44</v>
      </c>
      <c r="E167" s="704" t="s">
        <v>676</v>
      </c>
      <c r="F167" s="705">
        <v>2.0682796276645086E-3</v>
      </c>
      <c r="G167" s="705">
        <v>2.1686815434195272E-2</v>
      </c>
    </row>
    <row r="168" spans="2:7" ht="11.25" hidden="1" customHeight="1" outlineLevel="2" x14ac:dyDescent="0.25">
      <c r="B168" s="704" t="s">
        <v>683</v>
      </c>
      <c r="C168" s="704" t="s">
        <v>705</v>
      </c>
      <c r="D168" s="704" t="s">
        <v>44</v>
      </c>
      <c r="E168" s="704" t="s">
        <v>676</v>
      </c>
      <c r="F168" s="705">
        <v>9.7222965737891152E-4</v>
      </c>
      <c r="G168" s="705">
        <v>1.0194253944075232E-2</v>
      </c>
    </row>
    <row r="169" spans="2:7" ht="11.25" hidden="1" customHeight="1" outlineLevel="2" x14ac:dyDescent="0.25">
      <c r="B169" s="704" t="s">
        <v>684</v>
      </c>
      <c r="C169" s="704" t="s">
        <v>705</v>
      </c>
      <c r="D169" s="704" t="s">
        <v>44</v>
      </c>
      <c r="E169" s="704" t="s">
        <v>676</v>
      </c>
      <c r="F169" s="705">
        <v>3.391552308856796E-3</v>
      </c>
      <c r="G169" s="705">
        <v>3.5561874275231255E-2</v>
      </c>
    </row>
    <row r="170" spans="2:7" ht="11.25" hidden="1" customHeight="1" outlineLevel="2" x14ac:dyDescent="0.25">
      <c r="B170" s="704" t="s">
        <v>685</v>
      </c>
      <c r="C170" s="704" t="s">
        <v>705</v>
      </c>
      <c r="D170" s="704" t="s">
        <v>44</v>
      </c>
      <c r="E170" s="704" t="s">
        <v>676</v>
      </c>
      <c r="F170" s="705">
        <v>5.1748950403822198E-3</v>
      </c>
      <c r="G170" s="705">
        <v>5.4261097359322816E-2</v>
      </c>
    </row>
    <row r="171" spans="2:7" ht="11.25" hidden="1" customHeight="1" outlineLevel="2" x14ac:dyDescent="0.25">
      <c r="B171" s="704" t="s">
        <v>686</v>
      </c>
      <c r="C171" s="704" t="s">
        <v>705</v>
      </c>
      <c r="D171" s="704" t="s">
        <v>44</v>
      </c>
      <c r="E171" s="704" t="s">
        <v>676</v>
      </c>
      <c r="F171" s="705">
        <v>1.5828463196395886E-3</v>
      </c>
      <c r="G171" s="705">
        <v>1.6596837648040048E-2</v>
      </c>
    </row>
    <row r="172" spans="2:7" ht="11.25" hidden="1" customHeight="1" outlineLevel="2" x14ac:dyDescent="0.25">
      <c r="B172" s="704" t="s">
        <v>687</v>
      </c>
      <c r="C172" s="704" t="s">
        <v>705</v>
      </c>
      <c r="D172" s="704" t="s">
        <v>44</v>
      </c>
      <c r="E172" s="704" t="s">
        <v>676</v>
      </c>
      <c r="F172" s="705">
        <v>1.9375120688498867E-3</v>
      </c>
      <c r="G172" s="705">
        <v>2.0315657061078053E-2</v>
      </c>
    </row>
    <row r="173" spans="2:7" ht="11.25" hidden="1" customHeight="1" outlineLevel="2" x14ac:dyDescent="0.25">
      <c r="B173" s="704" t="s">
        <v>688</v>
      </c>
      <c r="C173" s="704" t="s">
        <v>705</v>
      </c>
      <c r="D173" s="704" t="s">
        <v>44</v>
      </c>
      <c r="E173" s="704" t="s">
        <v>676</v>
      </c>
      <c r="F173" s="705">
        <v>8.78927474647749E-4</v>
      </c>
      <c r="G173" s="705">
        <v>9.2159480498441235E-3</v>
      </c>
    </row>
    <row r="174" spans="2:7" ht="11.25" hidden="1" customHeight="1" outlineLevel="2" x14ac:dyDescent="0.25">
      <c r="B174" s="704" t="s">
        <v>689</v>
      </c>
      <c r="C174" s="704" t="s">
        <v>705</v>
      </c>
      <c r="D174" s="704" t="s">
        <v>44</v>
      </c>
      <c r="E174" s="704" t="s">
        <v>676</v>
      </c>
      <c r="F174" s="705">
        <v>4.29329223625233E-3</v>
      </c>
      <c r="G174" s="705">
        <v>4.5016969795523533E-2</v>
      </c>
    </row>
    <row r="175" spans="2:7" ht="11.25" hidden="1" customHeight="1" outlineLevel="2" x14ac:dyDescent="0.25">
      <c r="B175" s="704" t="s">
        <v>690</v>
      </c>
      <c r="C175" s="704" t="s">
        <v>705</v>
      </c>
      <c r="D175" s="704" t="s">
        <v>44</v>
      </c>
      <c r="E175" s="704" t="s">
        <v>676</v>
      </c>
      <c r="F175" s="705">
        <v>1.8822735087613647E-3</v>
      </c>
      <c r="G175" s="705">
        <v>1.9736453541678158E-2</v>
      </c>
    </row>
    <row r="176" spans="2:7" ht="11.25" hidden="1" customHeight="1" outlineLevel="2" x14ac:dyDescent="0.25">
      <c r="B176" s="704" t="s">
        <v>691</v>
      </c>
      <c r="C176" s="704" t="s">
        <v>705</v>
      </c>
      <c r="D176" s="704" t="s">
        <v>44</v>
      </c>
      <c r="E176" s="704" t="s">
        <v>676</v>
      </c>
      <c r="F176" s="705">
        <v>7.3592815236315904E-4</v>
      </c>
      <c r="G176" s="705">
        <v>7.7165293315870015E-3</v>
      </c>
    </row>
    <row r="177" spans="2:7" ht="11.25" hidden="1" customHeight="1" outlineLevel="2" x14ac:dyDescent="0.25">
      <c r="B177" s="704" t="s">
        <v>692</v>
      </c>
      <c r="C177" s="704" t="s">
        <v>705</v>
      </c>
      <c r="D177" s="704" t="s">
        <v>44</v>
      </c>
      <c r="E177" s="704" t="s">
        <v>676</v>
      </c>
      <c r="F177" s="705">
        <v>5.3050709967671899E-3</v>
      </c>
      <c r="G177" s="705">
        <v>5.5625941880867565E-2</v>
      </c>
    </row>
    <row r="178" spans="2:7" ht="11.25" hidden="1" customHeight="1" outlineLevel="2" x14ac:dyDescent="0.25">
      <c r="B178" s="704" t="s">
        <v>693</v>
      </c>
      <c r="C178" s="704" t="s">
        <v>705</v>
      </c>
      <c r="D178" s="704" t="s">
        <v>44</v>
      </c>
      <c r="E178" s="704" t="s">
        <v>676</v>
      </c>
      <c r="F178" s="705">
        <v>1.4548921803044272E-3</v>
      </c>
      <c r="G178" s="705">
        <v>1.5255175063975276E-2</v>
      </c>
    </row>
    <row r="179" spans="2:7" ht="11.25" hidden="1" customHeight="1" outlineLevel="2" x14ac:dyDescent="0.25">
      <c r="B179" s="704" t="s">
        <v>694</v>
      </c>
      <c r="C179" s="704" t="s">
        <v>705</v>
      </c>
      <c r="D179" s="704" t="s">
        <v>44</v>
      </c>
      <c r="E179" s="704" t="s">
        <v>676</v>
      </c>
      <c r="F179" s="705">
        <v>1.3113418607978474E-3</v>
      </c>
      <c r="G179" s="705">
        <v>1.3749991193070452E-2</v>
      </c>
    </row>
    <row r="180" spans="2:7" ht="11.25" hidden="1" customHeight="1" outlineLevel="2" x14ac:dyDescent="0.25">
      <c r="B180" s="704" t="s">
        <v>695</v>
      </c>
      <c r="C180" s="704" t="s">
        <v>705</v>
      </c>
      <c r="D180" s="704" t="s">
        <v>44</v>
      </c>
      <c r="E180" s="704" t="s">
        <v>676</v>
      </c>
      <c r="F180" s="705">
        <v>3.4191745537725774E-3</v>
      </c>
      <c r="G180" s="705">
        <v>3.5851449410055768E-2</v>
      </c>
    </row>
    <row r="181" spans="2:7" ht="11.25" hidden="1" customHeight="1" outlineLevel="2" x14ac:dyDescent="0.25">
      <c r="B181" s="704" t="s">
        <v>696</v>
      </c>
      <c r="C181" s="704" t="s">
        <v>705</v>
      </c>
      <c r="D181" s="704" t="s">
        <v>44</v>
      </c>
      <c r="E181" s="704" t="s">
        <v>676</v>
      </c>
      <c r="F181" s="705">
        <v>3.124689634286176E-3</v>
      </c>
      <c r="G181" s="705">
        <v>3.276373852340473E-2</v>
      </c>
    </row>
    <row r="182" spans="2:7" ht="11.25" hidden="1" customHeight="1" outlineLevel="2" x14ac:dyDescent="0.25">
      <c r="B182" s="704" t="s">
        <v>697</v>
      </c>
      <c r="C182" s="704" t="s">
        <v>705</v>
      </c>
      <c r="D182" s="704" t="s">
        <v>44</v>
      </c>
      <c r="E182" s="704" t="s">
        <v>676</v>
      </c>
      <c r="F182" s="705">
        <v>2.4001418362239058E-3</v>
      </c>
      <c r="G182" s="705">
        <v>2.5166540181020464E-2</v>
      </c>
    </row>
    <row r="183" spans="2:7" ht="11.25" hidden="1" customHeight="1" outlineLevel="2" x14ac:dyDescent="0.25">
      <c r="B183" s="704" t="s">
        <v>698</v>
      </c>
      <c r="C183" s="704" t="s">
        <v>705</v>
      </c>
      <c r="D183" s="704" t="s">
        <v>44</v>
      </c>
      <c r="E183" s="704" t="s">
        <v>676</v>
      </c>
      <c r="F183" s="705">
        <v>3.6489075330967988E-3</v>
      </c>
      <c r="G183" s="705">
        <v>3.8260359086493709E-2</v>
      </c>
    </row>
    <row r="184" spans="2:7" ht="11.25" hidden="1" customHeight="1" outlineLevel="2" x14ac:dyDescent="0.25">
      <c r="B184" s="704" t="s">
        <v>699</v>
      </c>
      <c r="C184" s="704" t="s">
        <v>705</v>
      </c>
      <c r="D184" s="704" t="s">
        <v>44</v>
      </c>
      <c r="E184" s="704" t="s">
        <v>676</v>
      </c>
      <c r="F184" s="705">
        <v>4.200799385365748E-34</v>
      </c>
      <c r="G184" s="705">
        <v>4.4047226276265358E-33</v>
      </c>
    </row>
    <row r="185" spans="2:7" ht="11.25" hidden="1" customHeight="1" outlineLevel="2" x14ac:dyDescent="0.25">
      <c r="B185" s="704" t="s">
        <v>673</v>
      </c>
      <c r="C185" s="704" t="s">
        <v>706</v>
      </c>
      <c r="D185" s="704" t="s">
        <v>44</v>
      </c>
      <c r="E185" s="704" t="s">
        <v>676</v>
      </c>
      <c r="F185" s="705">
        <v>1.369523116886923E-4</v>
      </c>
      <c r="G185" s="705">
        <v>1.4355735687638863E-3</v>
      </c>
    </row>
    <row r="186" spans="2:7" ht="11.25" hidden="1" customHeight="1" outlineLevel="2" x14ac:dyDescent="0.25">
      <c r="B186" s="704" t="s">
        <v>677</v>
      </c>
      <c r="C186" s="704" t="s">
        <v>706</v>
      </c>
      <c r="D186" s="704" t="s">
        <v>44</v>
      </c>
      <c r="E186" s="704" t="s">
        <v>676</v>
      </c>
      <c r="F186" s="705">
        <v>2.5457200493700523E-4</v>
      </c>
      <c r="G186" s="705">
        <v>2.6684954758890646E-3</v>
      </c>
    </row>
    <row r="187" spans="2:7" ht="11.25" hidden="1" customHeight="1" outlineLevel="2" x14ac:dyDescent="0.25">
      <c r="B187" s="704" t="s">
        <v>678</v>
      </c>
      <c r="C187" s="704" t="s">
        <v>706</v>
      </c>
      <c r="D187" s="704" t="s">
        <v>44</v>
      </c>
      <c r="E187" s="704" t="s">
        <v>676</v>
      </c>
      <c r="F187" s="705">
        <v>5.2079235839338513E-4</v>
      </c>
      <c r="G187" s="705">
        <v>5.4590912505382647E-3</v>
      </c>
    </row>
    <row r="188" spans="2:7" ht="11.25" hidden="1" customHeight="1" outlineLevel="2" x14ac:dyDescent="0.25">
      <c r="B188" s="704" t="s">
        <v>679</v>
      </c>
      <c r="C188" s="704" t="s">
        <v>706</v>
      </c>
      <c r="D188" s="704" t="s">
        <v>44</v>
      </c>
      <c r="E188" s="704" t="s">
        <v>676</v>
      </c>
      <c r="F188" s="705">
        <v>1.8326147044912667E-4</v>
      </c>
      <c r="G188" s="705">
        <v>1.9209996296307914E-3</v>
      </c>
    </row>
    <row r="189" spans="2:7" ht="11.25" hidden="1" customHeight="1" outlineLevel="2" x14ac:dyDescent="0.25">
      <c r="B189" s="704" t="s">
        <v>680</v>
      </c>
      <c r="C189" s="704" t="s">
        <v>706</v>
      </c>
      <c r="D189" s="704" t="s">
        <v>44</v>
      </c>
      <c r="E189" s="704" t="s">
        <v>676</v>
      </c>
      <c r="F189" s="705">
        <v>1.1928905128021508E-3</v>
      </c>
      <c r="G189" s="705">
        <v>1.2504225608388613E-2</v>
      </c>
    </row>
    <row r="190" spans="2:7" ht="11.25" hidden="1" customHeight="1" outlineLevel="2" x14ac:dyDescent="0.25">
      <c r="B190" s="704" t="s">
        <v>681</v>
      </c>
      <c r="C190" s="704" t="s">
        <v>706</v>
      </c>
      <c r="D190" s="704" t="s">
        <v>44</v>
      </c>
      <c r="E190" s="704" t="s">
        <v>676</v>
      </c>
      <c r="F190" s="705">
        <v>1.3500417245570933E-3</v>
      </c>
      <c r="G190" s="705">
        <v>1.4151521909207126E-2</v>
      </c>
    </row>
    <row r="191" spans="2:7" ht="11.25" hidden="1" customHeight="1" outlineLevel="2" x14ac:dyDescent="0.25">
      <c r="B191" s="704" t="s">
        <v>682</v>
      </c>
      <c r="C191" s="704" t="s">
        <v>706</v>
      </c>
      <c r="D191" s="704" t="s">
        <v>44</v>
      </c>
      <c r="E191" s="704" t="s">
        <v>676</v>
      </c>
      <c r="F191" s="705">
        <v>6.5648644225652769E-4</v>
      </c>
      <c r="G191" s="705">
        <v>6.8814713045801685E-3</v>
      </c>
    </row>
    <row r="192" spans="2:7" ht="11.25" hidden="1" customHeight="1" outlineLevel="2" x14ac:dyDescent="0.25">
      <c r="B192" s="704" t="s">
        <v>683</v>
      </c>
      <c r="C192" s="704" t="s">
        <v>706</v>
      </c>
      <c r="D192" s="704" t="s">
        <v>44</v>
      </c>
      <c r="E192" s="704" t="s">
        <v>676</v>
      </c>
      <c r="F192" s="705">
        <v>3.085925658816548E-4</v>
      </c>
      <c r="G192" s="705">
        <v>3.2347549403924977E-3</v>
      </c>
    </row>
    <row r="193" spans="2:7" ht="11.25" hidden="1" customHeight="1" outlineLevel="2" x14ac:dyDescent="0.25">
      <c r="B193" s="704" t="s">
        <v>684</v>
      </c>
      <c r="C193" s="704" t="s">
        <v>706</v>
      </c>
      <c r="D193" s="704" t="s">
        <v>44</v>
      </c>
      <c r="E193" s="704" t="s">
        <v>676</v>
      </c>
      <c r="F193" s="705">
        <v>1.076502278820164E-3</v>
      </c>
      <c r="G193" s="705">
        <v>1.128420282450621E-2</v>
      </c>
    </row>
    <row r="194" spans="2:7" ht="11.25" hidden="1" customHeight="1" outlineLevel="2" x14ac:dyDescent="0.25">
      <c r="B194" s="704" t="s">
        <v>685</v>
      </c>
      <c r="C194" s="704" t="s">
        <v>706</v>
      </c>
      <c r="D194" s="704" t="s">
        <v>44</v>
      </c>
      <c r="E194" s="704" t="s">
        <v>676</v>
      </c>
      <c r="F194" s="705">
        <v>1.6425478012366643E-3</v>
      </c>
      <c r="G194" s="705">
        <v>1.7217656209220562E-2</v>
      </c>
    </row>
    <row r="195" spans="2:7" ht="11.25" hidden="1" customHeight="1" outlineLevel="2" x14ac:dyDescent="0.25">
      <c r="B195" s="704" t="s">
        <v>686</v>
      </c>
      <c r="C195" s="704" t="s">
        <v>706</v>
      </c>
      <c r="D195" s="704" t="s">
        <v>44</v>
      </c>
      <c r="E195" s="704" t="s">
        <v>676</v>
      </c>
      <c r="F195" s="706">
        <v>5.0240652197165985E-4</v>
      </c>
      <c r="G195" s="705">
        <v>5.2663669447277871E-3</v>
      </c>
    </row>
    <row r="196" spans="2:7" ht="11.25" hidden="1" customHeight="1" outlineLevel="2" x14ac:dyDescent="0.25">
      <c r="B196" s="704" t="s">
        <v>687</v>
      </c>
      <c r="C196" s="704" t="s">
        <v>706</v>
      </c>
      <c r="D196" s="704" t="s">
        <v>44</v>
      </c>
      <c r="E196" s="704" t="s">
        <v>676</v>
      </c>
      <c r="F196" s="706">
        <v>6.149799093528519E-4</v>
      </c>
      <c r="G196" s="705">
        <v>6.4463958634388314E-3</v>
      </c>
    </row>
    <row r="197" spans="2:7" ht="11.25" hidden="1" customHeight="1" outlineLevel="2" x14ac:dyDescent="0.25">
      <c r="B197" s="704" t="s">
        <v>688</v>
      </c>
      <c r="C197" s="704" t="s">
        <v>706</v>
      </c>
      <c r="D197" s="704" t="s">
        <v>44</v>
      </c>
      <c r="E197" s="704" t="s">
        <v>676</v>
      </c>
      <c r="F197" s="706">
        <v>2.7897788547375608E-4</v>
      </c>
      <c r="G197" s="705">
        <v>2.9243257256889184E-3</v>
      </c>
    </row>
    <row r="198" spans="2:7" ht="11.25" hidden="1" customHeight="1" outlineLevel="2" x14ac:dyDescent="0.25">
      <c r="B198" s="704" t="s">
        <v>689</v>
      </c>
      <c r="C198" s="704" t="s">
        <v>706</v>
      </c>
      <c r="D198" s="704" t="s">
        <v>44</v>
      </c>
      <c r="E198" s="704" t="s">
        <v>676</v>
      </c>
      <c r="F198" s="706">
        <v>1.362720595555842E-3</v>
      </c>
      <c r="G198" s="705">
        <v>1.4284437682007142E-2</v>
      </c>
    </row>
    <row r="199" spans="2:7" ht="11.25" hidden="1" customHeight="1" outlineLevel="2" x14ac:dyDescent="0.25">
      <c r="B199" s="704" t="s">
        <v>690</v>
      </c>
      <c r="C199" s="704" t="s">
        <v>706</v>
      </c>
      <c r="D199" s="704" t="s">
        <v>44</v>
      </c>
      <c r="E199" s="704" t="s">
        <v>676</v>
      </c>
      <c r="F199" s="706">
        <v>5.974461337778761E-4</v>
      </c>
      <c r="G199" s="705">
        <v>6.2626053433086377E-3</v>
      </c>
    </row>
    <row r="200" spans="2:7" ht="11.25" hidden="1" customHeight="1" outlineLevel="2" x14ac:dyDescent="0.25">
      <c r="B200" s="704" t="s">
        <v>691</v>
      </c>
      <c r="C200" s="704" t="s">
        <v>706</v>
      </c>
      <c r="D200" s="704" t="s">
        <v>44</v>
      </c>
      <c r="E200" s="704" t="s">
        <v>676</v>
      </c>
      <c r="F200" s="706">
        <v>2.3358868129536717E-4</v>
      </c>
      <c r="G200" s="705">
        <v>2.448542456148312E-3</v>
      </c>
    </row>
    <row r="201" spans="2:7" ht="11.25" hidden="1" customHeight="1" outlineLevel="2" x14ac:dyDescent="0.25">
      <c r="B201" s="704" t="s">
        <v>692</v>
      </c>
      <c r="C201" s="704" t="s">
        <v>706</v>
      </c>
      <c r="D201" s="704" t="s">
        <v>44</v>
      </c>
      <c r="E201" s="704" t="s">
        <v>676</v>
      </c>
      <c r="F201" s="706">
        <v>1.6838655096871808E-3</v>
      </c>
      <c r="G201" s="705">
        <v>1.7650753244989902E-2</v>
      </c>
    </row>
    <row r="202" spans="2:7" ht="11.25" hidden="1" customHeight="1" outlineLevel="2" x14ac:dyDescent="0.25">
      <c r="B202" s="704" t="s">
        <v>693</v>
      </c>
      <c r="C202" s="704" t="s">
        <v>706</v>
      </c>
      <c r="D202" s="704" t="s">
        <v>44</v>
      </c>
      <c r="E202" s="704" t="s">
        <v>676</v>
      </c>
      <c r="F202" s="705">
        <v>4.6179308262847318E-4</v>
      </c>
      <c r="G202" s="705">
        <v>4.8406461299982098E-3</v>
      </c>
    </row>
    <row r="203" spans="2:7" ht="11.25" hidden="1" customHeight="1" outlineLevel="2" x14ac:dyDescent="0.25">
      <c r="B203" s="704" t="s">
        <v>694</v>
      </c>
      <c r="C203" s="704" t="s">
        <v>706</v>
      </c>
      <c r="D203" s="704" t="s">
        <v>44</v>
      </c>
      <c r="E203" s="704" t="s">
        <v>676</v>
      </c>
      <c r="F203" s="705">
        <v>4.1622898023167804E-4</v>
      </c>
      <c r="G203" s="705">
        <v>4.3630306474377878E-3</v>
      </c>
    </row>
    <row r="204" spans="2:7" ht="11.25" hidden="1" customHeight="1" outlineLevel="2" x14ac:dyDescent="0.25">
      <c r="B204" s="704" t="s">
        <v>695</v>
      </c>
      <c r="C204" s="704" t="s">
        <v>706</v>
      </c>
      <c r="D204" s="704" t="s">
        <v>44</v>
      </c>
      <c r="E204" s="704" t="s">
        <v>676</v>
      </c>
      <c r="F204" s="705">
        <v>1.0852692042733196E-3</v>
      </c>
      <c r="G204" s="705">
        <v>1.1376103977405802E-2</v>
      </c>
    </row>
    <row r="205" spans="2:7" ht="11.25" hidden="1" customHeight="1" outlineLevel="2" x14ac:dyDescent="0.25">
      <c r="B205" s="704" t="s">
        <v>696</v>
      </c>
      <c r="C205" s="704" t="s">
        <v>706</v>
      </c>
      <c r="D205" s="704" t="s">
        <v>44</v>
      </c>
      <c r="E205" s="704" t="s">
        <v>676</v>
      </c>
      <c r="F205" s="706">
        <v>9.9179742514262292E-4</v>
      </c>
      <c r="G205" s="705">
        <v>1.039631237114472E-2</v>
      </c>
    </row>
    <row r="206" spans="2:7" ht="11.25" hidden="1" customHeight="1" outlineLevel="2" x14ac:dyDescent="0.25">
      <c r="B206" s="704" t="s">
        <v>697</v>
      </c>
      <c r="C206" s="704" t="s">
        <v>706</v>
      </c>
      <c r="D206" s="704" t="s">
        <v>44</v>
      </c>
      <c r="E206" s="704" t="s">
        <v>676</v>
      </c>
      <c r="F206" s="705">
        <v>7.6182226558378576E-4</v>
      </c>
      <c r="G206" s="705">
        <v>7.9856339589474065E-3</v>
      </c>
    </row>
    <row r="207" spans="2:7" ht="11.25" hidden="1" customHeight="1" outlineLevel="2" x14ac:dyDescent="0.25">
      <c r="B207" s="704" t="s">
        <v>698</v>
      </c>
      <c r="C207" s="704" t="s">
        <v>706</v>
      </c>
      <c r="D207" s="704" t="s">
        <v>44</v>
      </c>
      <c r="E207" s="704" t="s">
        <v>676</v>
      </c>
      <c r="F207" s="705">
        <v>1.1581897293172774E-3</v>
      </c>
      <c r="G207" s="705">
        <v>1.2140467766144313E-2</v>
      </c>
    </row>
    <row r="208" spans="2:7" ht="11.25" hidden="1" customHeight="1" outlineLevel="2" x14ac:dyDescent="0.25">
      <c r="B208" s="704" t="s">
        <v>699</v>
      </c>
      <c r="C208" s="704" t="s">
        <v>706</v>
      </c>
      <c r="D208" s="704" t="s">
        <v>44</v>
      </c>
      <c r="E208" s="704" t="s">
        <v>676</v>
      </c>
      <c r="F208" s="706">
        <v>2.6369596790981116E-35</v>
      </c>
      <c r="G208" s="705">
        <v>2.7641370213079294E-34</v>
      </c>
    </row>
    <row r="209" spans="2:7" ht="11.25" hidden="1" customHeight="1" outlineLevel="2" x14ac:dyDescent="0.25">
      <c r="B209" s="704" t="s">
        <v>673</v>
      </c>
      <c r="C209" s="704" t="s">
        <v>707</v>
      </c>
      <c r="D209" s="704" t="s">
        <v>562</v>
      </c>
      <c r="E209" s="704" t="s">
        <v>676</v>
      </c>
      <c r="F209" s="705">
        <v>0.80389029621148067</v>
      </c>
      <c r="G209" s="705">
        <v>22.323202308482106</v>
      </c>
    </row>
    <row r="210" spans="2:7" ht="11.25" hidden="1" customHeight="1" outlineLevel="2" x14ac:dyDescent="0.25">
      <c r="B210" s="704" t="s">
        <v>677</v>
      </c>
      <c r="C210" s="704" t="s">
        <v>707</v>
      </c>
      <c r="D210" s="704" t="s">
        <v>562</v>
      </c>
      <c r="E210" s="704" t="s">
        <v>676</v>
      </c>
      <c r="F210" s="705">
        <v>8.1502164299902571</v>
      </c>
      <c r="G210" s="705">
        <v>226.32283468358179</v>
      </c>
    </row>
    <row r="211" spans="2:7" ht="11.25" hidden="1" customHeight="1" outlineLevel="2" x14ac:dyDescent="0.25">
      <c r="B211" s="704" t="s">
        <v>678</v>
      </c>
      <c r="C211" s="704" t="s">
        <v>707</v>
      </c>
      <c r="D211" s="704" t="s">
        <v>562</v>
      </c>
      <c r="E211" s="704" t="s">
        <v>676</v>
      </c>
      <c r="F211" s="705">
        <v>12.466476998302486</v>
      </c>
      <c r="G211" s="705">
        <v>340.74661593145191</v>
      </c>
    </row>
    <row r="212" spans="2:7" ht="11.25" hidden="1" customHeight="1" outlineLevel="2" x14ac:dyDescent="0.25">
      <c r="B212" s="704" t="s">
        <v>679</v>
      </c>
      <c r="C212" s="704" t="s">
        <v>707</v>
      </c>
      <c r="D212" s="704" t="s">
        <v>562</v>
      </c>
      <c r="E212" s="704" t="s">
        <v>676</v>
      </c>
      <c r="F212" s="706">
        <v>0.45759936476541224</v>
      </c>
      <c r="G212" s="705">
        <v>12.707056676741562</v>
      </c>
    </row>
    <row r="213" spans="2:7" ht="11.25" hidden="1" customHeight="1" outlineLevel="2" x14ac:dyDescent="0.25">
      <c r="B213" s="704" t="s">
        <v>680</v>
      </c>
      <c r="C213" s="704" t="s">
        <v>707</v>
      </c>
      <c r="D213" s="704" t="s">
        <v>562</v>
      </c>
      <c r="E213" s="704" t="s">
        <v>676</v>
      </c>
      <c r="F213" s="706">
        <v>0.32155618159207844</v>
      </c>
      <c r="G213" s="705">
        <v>8.9292837239369938</v>
      </c>
    </row>
    <row r="214" spans="2:7" ht="11.25" hidden="1" customHeight="1" outlineLevel="2" x14ac:dyDescent="0.25">
      <c r="B214" s="704" t="s">
        <v>681</v>
      </c>
      <c r="C214" s="704" t="s">
        <v>707</v>
      </c>
      <c r="D214" s="704" t="s">
        <v>562</v>
      </c>
      <c r="E214" s="704" t="s">
        <v>676</v>
      </c>
      <c r="F214" s="706">
        <v>2.0530121720126187</v>
      </c>
      <c r="G214" s="705">
        <v>57.010031357646497</v>
      </c>
    </row>
    <row r="215" spans="2:7" ht="11.25" hidden="1" customHeight="1" outlineLevel="2" x14ac:dyDescent="0.25">
      <c r="B215" s="704" t="s">
        <v>682</v>
      </c>
      <c r="C215" s="704" t="s">
        <v>707</v>
      </c>
      <c r="D215" s="704" t="s">
        <v>562</v>
      </c>
      <c r="E215" s="704" t="s">
        <v>676</v>
      </c>
      <c r="F215" s="705">
        <v>0.79152314227951082</v>
      </c>
      <c r="G215" s="705">
        <v>21.979777353708155</v>
      </c>
    </row>
    <row r="216" spans="2:7" ht="11.25" hidden="1" customHeight="1" outlineLevel="2" x14ac:dyDescent="0.25">
      <c r="B216" s="704" t="s">
        <v>683</v>
      </c>
      <c r="C216" s="704" t="s">
        <v>707</v>
      </c>
      <c r="D216" s="704" t="s">
        <v>562</v>
      </c>
      <c r="E216" s="704" t="s">
        <v>676</v>
      </c>
      <c r="F216" s="705">
        <v>0.93993347307302555</v>
      </c>
      <c r="G216" s="705">
        <v>26.100982031370055</v>
      </c>
    </row>
    <row r="217" spans="2:7" ht="11.25" hidden="1" customHeight="1" outlineLevel="2" x14ac:dyDescent="0.25">
      <c r="B217" s="704" t="s">
        <v>684</v>
      </c>
      <c r="C217" s="704" t="s">
        <v>707</v>
      </c>
      <c r="D217" s="704" t="s">
        <v>562</v>
      </c>
      <c r="E217" s="704" t="s">
        <v>676</v>
      </c>
      <c r="F217" s="705">
        <v>0.58127444167930864</v>
      </c>
      <c r="G217" s="705">
        <v>16.141390455217483</v>
      </c>
    </row>
    <row r="218" spans="2:7" ht="11.25" hidden="1" customHeight="1" outlineLevel="2" x14ac:dyDescent="0.25">
      <c r="B218" s="704" t="s">
        <v>685</v>
      </c>
      <c r="C218" s="704" t="s">
        <v>707</v>
      </c>
      <c r="D218" s="704" t="s">
        <v>562</v>
      </c>
      <c r="E218" s="704" t="s">
        <v>676</v>
      </c>
      <c r="F218" s="705">
        <v>2.8940065278472278</v>
      </c>
      <c r="G218" s="705">
        <v>80.363539269096719</v>
      </c>
    </row>
    <row r="219" spans="2:7" ht="11.25" hidden="1" customHeight="1" outlineLevel="2" x14ac:dyDescent="0.25">
      <c r="B219" s="704" t="s">
        <v>686</v>
      </c>
      <c r="C219" s="704" t="s">
        <v>707</v>
      </c>
      <c r="D219" s="704" t="s">
        <v>562</v>
      </c>
      <c r="E219" s="704" t="s">
        <v>676</v>
      </c>
      <c r="F219" s="705">
        <v>0.43286396927672166</v>
      </c>
      <c r="G219" s="705">
        <v>12.020187405879009</v>
      </c>
    </row>
    <row r="220" spans="2:7" ht="11.25" hidden="1" customHeight="1" outlineLevel="2" x14ac:dyDescent="0.25">
      <c r="B220" s="704" t="s">
        <v>687</v>
      </c>
      <c r="C220" s="704" t="s">
        <v>707</v>
      </c>
      <c r="D220" s="704" t="s">
        <v>562</v>
      </c>
      <c r="E220" s="704" t="s">
        <v>676</v>
      </c>
      <c r="F220" s="705">
        <v>2.7826968199379243</v>
      </c>
      <c r="G220" s="705">
        <v>77.272648231711429</v>
      </c>
    </row>
    <row r="221" spans="2:7" ht="11.25" hidden="1" customHeight="1" outlineLevel="2" x14ac:dyDescent="0.25">
      <c r="B221" s="704" t="s">
        <v>688</v>
      </c>
      <c r="C221" s="704" t="s">
        <v>707</v>
      </c>
      <c r="D221" s="704" t="s">
        <v>562</v>
      </c>
      <c r="E221" s="704" t="s">
        <v>676</v>
      </c>
      <c r="F221" s="705">
        <v>7.3957932096994758</v>
      </c>
      <c r="G221" s="705">
        <v>205.37351360308639</v>
      </c>
    </row>
    <row r="222" spans="2:7" ht="11.25" hidden="1" customHeight="1" outlineLevel="2" x14ac:dyDescent="0.25">
      <c r="B222" s="704" t="s">
        <v>689</v>
      </c>
      <c r="C222" s="704" t="s">
        <v>707</v>
      </c>
      <c r="D222" s="704" t="s">
        <v>562</v>
      </c>
      <c r="E222" s="704" t="s">
        <v>676</v>
      </c>
      <c r="F222" s="705">
        <v>0.45787966256603563</v>
      </c>
      <c r="G222" s="705">
        <v>12.714840924623184</v>
      </c>
    </row>
    <row r="223" spans="2:7" ht="11.25" hidden="1" customHeight="1" outlineLevel="2" x14ac:dyDescent="0.25">
      <c r="B223" s="704" t="s">
        <v>690</v>
      </c>
      <c r="C223" s="704" t="s">
        <v>707</v>
      </c>
      <c r="D223" s="704" t="s">
        <v>562</v>
      </c>
      <c r="E223" s="704" t="s">
        <v>676</v>
      </c>
      <c r="F223" s="705">
        <v>10.895809456793888</v>
      </c>
      <c r="G223" s="705">
        <v>302.56525324110635</v>
      </c>
    </row>
    <row r="224" spans="2:7" ht="11.25" hidden="1" customHeight="1" outlineLevel="2" x14ac:dyDescent="0.25">
      <c r="B224" s="704" t="s">
        <v>691</v>
      </c>
      <c r="C224" s="704" t="s">
        <v>707</v>
      </c>
      <c r="D224" s="704" t="s">
        <v>562</v>
      </c>
      <c r="E224" s="704" t="s">
        <v>676</v>
      </c>
      <c r="F224" s="705">
        <v>8.3233571286583228</v>
      </c>
      <c r="G224" s="705">
        <v>231.13105238481612</v>
      </c>
    </row>
    <row r="225" spans="2:7" ht="11.25" hidden="1" customHeight="1" outlineLevel="2" x14ac:dyDescent="0.25">
      <c r="B225" s="704" t="s">
        <v>692</v>
      </c>
      <c r="C225" s="704" t="s">
        <v>707</v>
      </c>
      <c r="D225" s="704" t="s">
        <v>562</v>
      </c>
      <c r="E225" s="704" t="s">
        <v>676</v>
      </c>
      <c r="F225" s="705">
        <v>0.97703593809878764</v>
      </c>
      <c r="G225" s="705">
        <v>27.131288254133135</v>
      </c>
    </row>
    <row r="226" spans="2:7" ht="11.25" hidden="1" customHeight="1" outlineLevel="2" x14ac:dyDescent="0.25">
      <c r="B226" s="704" t="s">
        <v>693</v>
      </c>
      <c r="C226" s="704" t="s">
        <v>707</v>
      </c>
      <c r="D226" s="704" t="s">
        <v>562</v>
      </c>
      <c r="E226" s="704" t="s">
        <v>676</v>
      </c>
      <c r="F226" s="706">
        <v>0.44523152539822219</v>
      </c>
      <c r="G226" s="705">
        <v>12.363623190069534</v>
      </c>
    </row>
    <row r="227" spans="2:7" ht="11.25" hidden="1" customHeight="1" outlineLevel="2" x14ac:dyDescent="0.25">
      <c r="B227" s="704" t="s">
        <v>694</v>
      </c>
      <c r="C227" s="704" t="s">
        <v>707</v>
      </c>
      <c r="D227" s="704" t="s">
        <v>562</v>
      </c>
      <c r="E227" s="704" t="s">
        <v>676</v>
      </c>
      <c r="F227" s="706">
        <v>0.18551328676898304</v>
      </c>
      <c r="G227" s="705">
        <v>5.1515106412369462</v>
      </c>
    </row>
    <row r="228" spans="2:7" ht="11.25" hidden="1" customHeight="1" outlineLevel="2" x14ac:dyDescent="0.25">
      <c r="B228" s="704" t="s">
        <v>695</v>
      </c>
      <c r="C228" s="704" t="s">
        <v>707</v>
      </c>
      <c r="D228" s="704" t="s">
        <v>562</v>
      </c>
      <c r="E228" s="704" t="s">
        <v>676</v>
      </c>
      <c r="F228" s="705">
        <v>0.8286253371338661</v>
      </c>
      <c r="G228" s="705">
        <v>23.010059382546729</v>
      </c>
    </row>
    <row r="229" spans="2:7" ht="11.25" hidden="1" customHeight="1" outlineLevel="2" x14ac:dyDescent="0.25">
      <c r="B229" s="704" t="s">
        <v>696</v>
      </c>
      <c r="C229" s="704" t="s">
        <v>707</v>
      </c>
      <c r="D229" s="704" t="s">
        <v>562</v>
      </c>
      <c r="E229" s="704" t="s">
        <v>676</v>
      </c>
      <c r="F229" s="705">
        <v>1.8674995986614304</v>
      </c>
      <c r="G229" s="705">
        <v>51.858542427595189</v>
      </c>
    </row>
    <row r="230" spans="2:7" ht="11.25" hidden="1" customHeight="1" outlineLevel="2" x14ac:dyDescent="0.25">
      <c r="B230" s="704" t="s">
        <v>697</v>
      </c>
      <c r="C230" s="704" t="s">
        <v>707</v>
      </c>
      <c r="D230" s="704" t="s">
        <v>562</v>
      </c>
      <c r="E230" s="704" t="s">
        <v>676</v>
      </c>
      <c r="F230" s="705">
        <v>1.6201484591108302</v>
      </c>
      <c r="G230" s="705">
        <v>44.989842843554328</v>
      </c>
    </row>
    <row r="231" spans="2:7" ht="11.25" hidden="1" customHeight="1" outlineLevel="2" x14ac:dyDescent="0.25">
      <c r="B231" s="704" t="s">
        <v>698</v>
      </c>
      <c r="C231" s="704" t="s">
        <v>707</v>
      </c>
      <c r="D231" s="704" t="s">
        <v>562</v>
      </c>
      <c r="E231" s="704" t="s">
        <v>676</v>
      </c>
      <c r="F231" s="705">
        <v>1.0141385558556011</v>
      </c>
      <c r="G231" s="705">
        <v>28.161586421188282</v>
      </c>
    </row>
    <row r="232" spans="2:7" ht="11.25" hidden="1" customHeight="1" outlineLevel="2" x14ac:dyDescent="0.25">
      <c r="B232" s="704" t="s">
        <v>699</v>
      </c>
      <c r="C232" s="704" t="s">
        <v>707</v>
      </c>
      <c r="D232" s="704" t="s">
        <v>562</v>
      </c>
      <c r="E232" s="704" t="s">
        <v>676</v>
      </c>
      <c r="F232" s="705">
        <v>7.8657579870359395</v>
      </c>
      <c r="G232" s="705">
        <v>218.42403159830533</v>
      </c>
    </row>
    <row r="233" spans="2:7" ht="11.25" hidden="1" customHeight="1" outlineLevel="2" x14ac:dyDescent="0.25">
      <c r="B233" s="704" t="s">
        <v>673</v>
      </c>
      <c r="C233" s="704" t="s">
        <v>708</v>
      </c>
      <c r="D233" s="704" t="s">
        <v>562</v>
      </c>
      <c r="E233" s="704" t="s">
        <v>676</v>
      </c>
      <c r="F233" s="705">
        <v>3.0820012848344892E-2</v>
      </c>
      <c r="G233" s="705">
        <v>1.1203546486198888</v>
      </c>
    </row>
    <row r="234" spans="2:7" ht="11.25" hidden="1" customHeight="1" outlineLevel="2" x14ac:dyDescent="0.25">
      <c r="B234" s="704" t="s">
        <v>677</v>
      </c>
      <c r="C234" s="704" t="s">
        <v>708</v>
      </c>
      <c r="D234" s="704" t="s">
        <v>562</v>
      </c>
      <c r="E234" s="704" t="s">
        <v>676</v>
      </c>
      <c r="F234" s="705">
        <v>0.31246768022732224</v>
      </c>
      <c r="G234" s="705">
        <v>11.358677462985122</v>
      </c>
    </row>
    <row r="235" spans="2:7" ht="11.25" hidden="1" customHeight="1" outlineLevel="2" x14ac:dyDescent="0.25">
      <c r="B235" s="704" t="s">
        <v>678</v>
      </c>
      <c r="C235" s="704" t="s">
        <v>708</v>
      </c>
      <c r="D235" s="704" t="s">
        <v>562</v>
      </c>
      <c r="E235" s="704" t="s">
        <v>676</v>
      </c>
      <c r="F235" s="705">
        <v>0.47044393202359197</v>
      </c>
      <c r="G235" s="705">
        <v>17.37411697467277</v>
      </c>
    </row>
    <row r="236" spans="2:7" ht="11.25" hidden="1" customHeight="1" outlineLevel="2" x14ac:dyDescent="0.25">
      <c r="B236" s="704" t="s">
        <v>679</v>
      </c>
      <c r="C236" s="704" t="s">
        <v>708</v>
      </c>
      <c r="D236" s="704" t="s">
        <v>562</v>
      </c>
      <c r="E236" s="704" t="s">
        <v>676</v>
      </c>
      <c r="F236" s="705">
        <v>1.7543707988243121E-2</v>
      </c>
      <c r="G236" s="705">
        <v>0.63774025382771027</v>
      </c>
    </row>
    <row r="237" spans="2:7" ht="11.25" hidden="1" customHeight="1" outlineLevel="2" x14ac:dyDescent="0.25">
      <c r="B237" s="704" t="s">
        <v>680</v>
      </c>
      <c r="C237" s="704" t="s">
        <v>708</v>
      </c>
      <c r="D237" s="704" t="s">
        <v>562</v>
      </c>
      <c r="E237" s="704" t="s">
        <v>676</v>
      </c>
      <c r="F237" s="705">
        <v>1.2328011684503582E-2</v>
      </c>
      <c r="G237" s="705">
        <v>0.44814172465763152</v>
      </c>
    </row>
    <row r="238" spans="2:7" ht="11.25" hidden="1" customHeight="1" outlineLevel="2" x14ac:dyDescent="0.25">
      <c r="B238" s="704" t="s">
        <v>681</v>
      </c>
      <c r="C238" s="704" t="s">
        <v>708</v>
      </c>
      <c r="D238" s="704" t="s">
        <v>562</v>
      </c>
      <c r="E238" s="704" t="s">
        <v>676</v>
      </c>
      <c r="F238" s="705">
        <v>7.8709602870745632E-2</v>
      </c>
      <c r="G238" s="705">
        <v>2.8612134238946356</v>
      </c>
    </row>
    <row r="239" spans="2:7" ht="11.25" hidden="1" customHeight="1" outlineLevel="2" x14ac:dyDescent="0.25">
      <c r="B239" s="704" t="s">
        <v>682</v>
      </c>
      <c r="C239" s="704" t="s">
        <v>708</v>
      </c>
      <c r="D239" s="704" t="s">
        <v>562</v>
      </c>
      <c r="E239" s="704" t="s">
        <v>676</v>
      </c>
      <c r="F239" s="705">
        <v>3.0345865254220984E-2</v>
      </c>
      <c r="G239" s="705">
        <v>1.1031182470573777</v>
      </c>
    </row>
    <row r="240" spans="2:7" ht="11.25" hidden="1" customHeight="1" outlineLevel="2" x14ac:dyDescent="0.25">
      <c r="B240" s="704" t="s">
        <v>683</v>
      </c>
      <c r="C240" s="704" t="s">
        <v>708</v>
      </c>
      <c r="D240" s="704" t="s">
        <v>562</v>
      </c>
      <c r="E240" s="704" t="s">
        <v>676</v>
      </c>
      <c r="F240" s="705">
        <v>3.6035731103460943E-2</v>
      </c>
      <c r="G240" s="705">
        <v>1.3099533293498919</v>
      </c>
    </row>
    <row r="241" spans="2:7" ht="11.25" hidden="1" customHeight="1" outlineLevel="2" x14ac:dyDescent="0.25">
      <c r="B241" s="704" t="s">
        <v>684</v>
      </c>
      <c r="C241" s="704" t="s">
        <v>708</v>
      </c>
      <c r="D241" s="704" t="s">
        <v>562</v>
      </c>
      <c r="E241" s="704" t="s">
        <v>676</v>
      </c>
      <c r="F241" s="705">
        <v>2.2285249245554545E-2</v>
      </c>
      <c r="G241" s="705">
        <v>0.81010283897226931</v>
      </c>
    </row>
    <row r="242" spans="2:7" ht="11.25" hidden="1" customHeight="1" outlineLevel="2" x14ac:dyDescent="0.25">
      <c r="B242" s="704" t="s">
        <v>685</v>
      </c>
      <c r="C242" s="704" t="s">
        <v>708</v>
      </c>
      <c r="D242" s="704" t="s">
        <v>562</v>
      </c>
      <c r="E242" s="704" t="s">
        <v>676</v>
      </c>
      <c r="F242" s="705">
        <v>0.11095210001795748</v>
      </c>
      <c r="G242" s="705">
        <v>4.0332771965903778</v>
      </c>
    </row>
    <row r="243" spans="2:7" ht="11.25" hidden="1" customHeight="1" outlineLevel="2" x14ac:dyDescent="0.25">
      <c r="B243" s="704" t="s">
        <v>686</v>
      </c>
      <c r="C243" s="704" t="s">
        <v>708</v>
      </c>
      <c r="D243" s="704" t="s">
        <v>562</v>
      </c>
      <c r="E243" s="704" t="s">
        <v>676</v>
      </c>
      <c r="F243" s="705">
        <v>1.65953890168536E-2</v>
      </c>
      <c r="G243" s="705">
        <v>0.60326811648002643</v>
      </c>
    </row>
    <row r="244" spans="2:7" ht="11.25" hidden="1" customHeight="1" outlineLevel="2" x14ac:dyDescent="0.25">
      <c r="B244" s="704" t="s">
        <v>687</v>
      </c>
      <c r="C244" s="704" t="s">
        <v>708</v>
      </c>
      <c r="D244" s="704" t="s">
        <v>562</v>
      </c>
      <c r="E244" s="704" t="s">
        <v>676</v>
      </c>
      <c r="F244" s="705">
        <v>0.10668472970592245</v>
      </c>
      <c r="G244" s="705">
        <v>3.8781524742745832</v>
      </c>
    </row>
    <row r="245" spans="2:7" ht="11.25" hidden="1" customHeight="1" outlineLevel="2" x14ac:dyDescent="0.25">
      <c r="B245" s="704" t="s">
        <v>688</v>
      </c>
      <c r="C245" s="704" t="s">
        <v>708</v>
      </c>
      <c r="D245" s="704" t="s">
        <v>562</v>
      </c>
      <c r="E245" s="704" t="s">
        <v>676</v>
      </c>
      <c r="F245" s="705">
        <v>0.28354423042470622</v>
      </c>
      <c r="G245" s="705">
        <v>10.307266369421551</v>
      </c>
    </row>
    <row r="246" spans="2:7" ht="11.25" hidden="1" customHeight="1" outlineLevel="2" x14ac:dyDescent="0.25">
      <c r="B246" s="704" t="s">
        <v>689</v>
      </c>
      <c r="C246" s="704" t="s">
        <v>708</v>
      </c>
      <c r="D246" s="704" t="s">
        <v>562</v>
      </c>
      <c r="E246" s="704" t="s">
        <v>676</v>
      </c>
      <c r="F246" s="705">
        <v>1.7554447475995934E-2</v>
      </c>
      <c r="G246" s="705">
        <v>0.63813102666113275</v>
      </c>
    </row>
    <row r="247" spans="2:7" ht="11.25" hidden="1" customHeight="1" outlineLevel="2" x14ac:dyDescent="0.25">
      <c r="B247" s="704" t="s">
        <v>690</v>
      </c>
      <c r="C247" s="704" t="s">
        <v>708</v>
      </c>
      <c r="D247" s="704" t="s">
        <v>562</v>
      </c>
      <c r="E247" s="704" t="s">
        <v>676</v>
      </c>
      <c r="F247" s="705">
        <v>0.41772985581005884</v>
      </c>
      <c r="G247" s="705">
        <v>15.185114246318433</v>
      </c>
    </row>
    <row r="248" spans="2:7" ht="11.25" hidden="1" customHeight="1" outlineLevel="2" x14ac:dyDescent="0.25">
      <c r="B248" s="704" t="s">
        <v>691</v>
      </c>
      <c r="C248" s="704" t="s">
        <v>708</v>
      </c>
      <c r="D248" s="704" t="s">
        <v>562</v>
      </c>
      <c r="E248" s="704" t="s">
        <v>676</v>
      </c>
      <c r="F248" s="705">
        <v>0.31910583205520271</v>
      </c>
      <c r="G248" s="705">
        <v>11.5999817643679</v>
      </c>
    </row>
    <row r="249" spans="2:7" ht="11.25" hidden="1" customHeight="1" outlineLevel="2" x14ac:dyDescent="0.25">
      <c r="B249" s="704" t="s">
        <v>692</v>
      </c>
      <c r="C249" s="704" t="s">
        <v>708</v>
      </c>
      <c r="D249" s="704" t="s">
        <v>562</v>
      </c>
      <c r="E249" s="704" t="s">
        <v>676</v>
      </c>
      <c r="F249" s="705">
        <v>3.7458184472513867E-2</v>
      </c>
      <c r="G249" s="705">
        <v>1.3616620042505496</v>
      </c>
    </row>
    <row r="250" spans="2:7" ht="11.25" hidden="1" customHeight="1" outlineLevel="2" x14ac:dyDescent="0.25">
      <c r="B250" s="704" t="s">
        <v>693</v>
      </c>
      <c r="C250" s="704" t="s">
        <v>708</v>
      </c>
      <c r="D250" s="704" t="s">
        <v>562</v>
      </c>
      <c r="E250" s="704" t="s">
        <v>676</v>
      </c>
      <c r="F250" s="705">
        <v>1.7069548546124459E-2</v>
      </c>
      <c r="G250" s="705">
        <v>0.62050435499914391</v>
      </c>
    </row>
    <row r="251" spans="2:7" ht="11.25" hidden="1" customHeight="1" outlineLevel="2" x14ac:dyDescent="0.25">
      <c r="B251" s="704" t="s">
        <v>694</v>
      </c>
      <c r="C251" s="704" t="s">
        <v>708</v>
      </c>
      <c r="D251" s="704" t="s">
        <v>562</v>
      </c>
      <c r="E251" s="704" t="s">
        <v>676</v>
      </c>
      <c r="F251" s="705">
        <v>7.1123124991880138E-3</v>
      </c>
      <c r="G251" s="705">
        <v>0.25854331046833284</v>
      </c>
    </row>
    <row r="252" spans="2:7" ht="11.25" hidden="1" customHeight="1" outlineLevel="2" x14ac:dyDescent="0.25">
      <c r="B252" s="704" t="s">
        <v>695</v>
      </c>
      <c r="C252" s="704" t="s">
        <v>708</v>
      </c>
      <c r="D252" s="704" t="s">
        <v>562</v>
      </c>
      <c r="E252" s="704" t="s">
        <v>676</v>
      </c>
      <c r="F252" s="705">
        <v>3.1768328983932448E-2</v>
      </c>
      <c r="G252" s="705">
        <v>1.1548271877610636</v>
      </c>
    </row>
    <row r="253" spans="2:7" ht="11.25" hidden="1" customHeight="1" outlineLevel="2" x14ac:dyDescent="0.25">
      <c r="B253" s="704" t="s">
        <v>696</v>
      </c>
      <c r="C253" s="704" t="s">
        <v>708</v>
      </c>
      <c r="D253" s="704" t="s">
        <v>562</v>
      </c>
      <c r="E253" s="704" t="s">
        <v>676</v>
      </c>
      <c r="F253" s="705">
        <v>7.1597260727998824E-2</v>
      </c>
      <c r="G253" s="705">
        <v>2.6026707618678606</v>
      </c>
    </row>
    <row r="254" spans="2:7" ht="11.25" hidden="1" customHeight="1" outlineLevel="2" x14ac:dyDescent="0.25">
      <c r="B254" s="704" t="s">
        <v>697</v>
      </c>
      <c r="C254" s="704" t="s">
        <v>708</v>
      </c>
      <c r="D254" s="704" t="s">
        <v>562</v>
      </c>
      <c r="E254" s="704" t="s">
        <v>676</v>
      </c>
      <c r="F254" s="705">
        <v>6.2114199145451354E-2</v>
      </c>
      <c r="G254" s="705">
        <v>2.2579461629686737</v>
      </c>
    </row>
    <row r="255" spans="2:7" ht="11.25" hidden="1" customHeight="1" outlineLevel="2" x14ac:dyDescent="0.25">
      <c r="B255" s="704" t="s">
        <v>698</v>
      </c>
      <c r="C255" s="704" t="s">
        <v>708</v>
      </c>
      <c r="D255" s="704" t="s">
        <v>562</v>
      </c>
      <c r="E255" s="704" t="s">
        <v>676</v>
      </c>
      <c r="F255" s="705">
        <v>3.8880617557343837E-2</v>
      </c>
      <c r="G255" s="705">
        <v>1.4133705507282956</v>
      </c>
    </row>
    <row r="256" spans="2:7" ht="11.25" hidden="1" customHeight="1" outlineLevel="2" x14ac:dyDescent="0.25">
      <c r="B256" s="704" t="s">
        <v>699</v>
      </c>
      <c r="C256" s="704" t="s">
        <v>708</v>
      </c>
      <c r="D256" s="704" t="s">
        <v>562</v>
      </c>
      <c r="E256" s="704" t="s">
        <v>676</v>
      </c>
      <c r="F256" s="705">
        <v>0.30156209923680644</v>
      </c>
      <c r="G256" s="705">
        <v>10.96223943213959</v>
      </c>
    </row>
    <row r="257" spans="2:7" ht="11.25" hidden="1" customHeight="1" outlineLevel="2" x14ac:dyDescent="0.25">
      <c r="B257" s="704" t="s">
        <v>673</v>
      </c>
      <c r="C257" s="704" t="s">
        <v>709</v>
      </c>
      <c r="D257" s="704" t="s">
        <v>562</v>
      </c>
      <c r="E257" s="704" t="s">
        <v>676</v>
      </c>
      <c r="F257" s="705">
        <v>2.2126505603820529E-2</v>
      </c>
      <c r="G257" s="705">
        <v>1.5518808101577897</v>
      </c>
    </row>
    <row r="258" spans="2:7" ht="11.25" hidden="1" customHeight="1" outlineLevel="2" x14ac:dyDescent="0.25">
      <c r="B258" s="704" t="s">
        <v>677</v>
      </c>
      <c r="C258" s="704" t="s">
        <v>709</v>
      </c>
      <c r="D258" s="704" t="s">
        <v>562</v>
      </c>
      <c r="E258" s="704" t="s">
        <v>676</v>
      </c>
      <c r="F258" s="705">
        <v>0.22432880827507179</v>
      </c>
      <c r="G258" s="705">
        <v>15.733691800152682</v>
      </c>
    </row>
    <row r="259" spans="2:7" ht="11.25" hidden="1" customHeight="1" outlineLevel="2" x14ac:dyDescent="0.25">
      <c r="B259" s="704" t="s">
        <v>678</v>
      </c>
      <c r="C259" s="704" t="s">
        <v>709</v>
      </c>
      <c r="D259" s="704" t="s">
        <v>562</v>
      </c>
      <c r="E259" s="704" t="s">
        <v>676</v>
      </c>
      <c r="F259" s="705">
        <v>0.34313093907309017</v>
      </c>
      <c r="G259" s="705">
        <v>24.066112630568846</v>
      </c>
    </row>
    <row r="260" spans="2:7" ht="11.25" hidden="1" customHeight="1" outlineLevel="2" x14ac:dyDescent="0.25">
      <c r="B260" s="704" t="s">
        <v>679</v>
      </c>
      <c r="C260" s="704" t="s">
        <v>709</v>
      </c>
      <c r="D260" s="704" t="s">
        <v>562</v>
      </c>
      <c r="E260" s="704" t="s">
        <v>676</v>
      </c>
      <c r="F260" s="705">
        <v>1.2595095281793192E-2</v>
      </c>
      <c r="G260" s="705">
        <v>0.88337908455013547</v>
      </c>
    </row>
    <row r="261" spans="2:7" ht="11.25" hidden="1" customHeight="1" outlineLevel="2" x14ac:dyDescent="0.25">
      <c r="B261" s="704" t="s">
        <v>680</v>
      </c>
      <c r="C261" s="704" t="s">
        <v>709</v>
      </c>
      <c r="D261" s="704" t="s">
        <v>562</v>
      </c>
      <c r="E261" s="704" t="s">
        <v>676</v>
      </c>
      <c r="F261" s="705">
        <v>8.8506123491543607E-3</v>
      </c>
      <c r="G261" s="705">
        <v>0.62075257486488022</v>
      </c>
    </row>
    <row r="262" spans="2:7" ht="11.25" hidden="1" customHeight="1" outlineLevel="2" x14ac:dyDescent="0.25">
      <c r="B262" s="704" t="s">
        <v>681</v>
      </c>
      <c r="C262" s="704" t="s">
        <v>709</v>
      </c>
      <c r="D262" s="704" t="s">
        <v>562</v>
      </c>
      <c r="E262" s="704" t="s">
        <v>676</v>
      </c>
      <c r="F262" s="705">
        <v>5.6507694617332536E-2</v>
      </c>
      <c r="G262" s="705">
        <v>3.9632664729696248</v>
      </c>
    </row>
    <row r="263" spans="2:7" ht="11.25" hidden="1" customHeight="1" outlineLevel="2" x14ac:dyDescent="0.25">
      <c r="B263" s="704" t="s">
        <v>682</v>
      </c>
      <c r="C263" s="704" t="s">
        <v>709</v>
      </c>
      <c r="D263" s="704" t="s">
        <v>562</v>
      </c>
      <c r="E263" s="704" t="s">
        <v>676</v>
      </c>
      <c r="F263" s="705">
        <v>2.1786092390987586E-2</v>
      </c>
      <c r="G263" s="705">
        <v>1.5280055082165012</v>
      </c>
    </row>
    <row r="264" spans="2:7" ht="11.25" hidden="1" customHeight="1" outlineLevel="2" x14ac:dyDescent="0.25">
      <c r="B264" s="704" t="s">
        <v>683</v>
      </c>
      <c r="C264" s="704" t="s">
        <v>709</v>
      </c>
      <c r="D264" s="704" t="s">
        <v>562</v>
      </c>
      <c r="E264" s="704" t="s">
        <v>676</v>
      </c>
      <c r="F264" s="705">
        <v>2.5870986359397209E-2</v>
      </c>
      <c r="G264" s="705">
        <v>1.8145070878291276</v>
      </c>
    </row>
    <row r="265" spans="2:7" ht="11.25" hidden="1" customHeight="1" outlineLevel="2" x14ac:dyDescent="0.25">
      <c r="B265" s="704" t="s">
        <v>684</v>
      </c>
      <c r="C265" s="704" t="s">
        <v>709</v>
      </c>
      <c r="D265" s="704" t="s">
        <v>562</v>
      </c>
      <c r="E265" s="704" t="s">
        <v>676</v>
      </c>
      <c r="F265" s="705">
        <v>1.5999167104088559E-2</v>
      </c>
      <c r="G265" s="705">
        <v>1.1221293777027717</v>
      </c>
    </row>
    <row r="266" spans="2:7" ht="11.25" hidden="1" customHeight="1" outlineLevel="2" x14ac:dyDescent="0.25">
      <c r="B266" s="704" t="s">
        <v>685</v>
      </c>
      <c r="C266" s="704" t="s">
        <v>709</v>
      </c>
      <c r="D266" s="704" t="s">
        <v>562</v>
      </c>
      <c r="E266" s="704" t="s">
        <v>676</v>
      </c>
      <c r="F266" s="705">
        <v>7.9655401992502456E-2</v>
      </c>
      <c r="G266" s="705">
        <v>5.5867712213196885</v>
      </c>
    </row>
    <row r="267" spans="2:7" ht="11.25" hidden="1" customHeight="1" outlineLevel="2" x14ac:dyDescent="0.25">
      <c r="B267" s="704" t="s">
        <v>686</v>
      </c>
      <c r="C267" s="704" t="s">
        <v>709</v>
      </c>
      <c r="D267" s="704" t="s">
        <v>562</v>
      </c>
      <c r="E267" s="704" t="s">
        <v>676</v>
      </c>
      <c r="F267" s="705">
        <v>1.1914278289997571E-2</v>
      </c>
      <c r="G267" s="705">
        <v>0.83562722800012534</v>
      </c>
    </row>
    <row r="268" spans="2:7" ht="11.25" hidden="1" customHeight="1" outlineLevel="2" x14ac:dyDescent="0.25">
      <c r="B268" s="704" t="s">
        <v>687</v>
      </c>
      <c r="C268" s="704" t="s">
        <v>709</v>
      </c>
      <c r="D268" s="704" t="s">
        <v>562</v>
      </c>
      <c r="E268" s="704" t="s">
        <v>676</v>
      </c>
      <c r="F268" s="705">
        <v>7.6591716168153481E-2</v>
      </c>
      <c r="G268" s="705">
        <v>5.3718982900224015</v>
      </c>
    </row>
    <row r="269" spans="2:7" ht="11.25" hidden="1" customHeight="1" outlineLevel="2" x14ac:dyDescent="0.25">
      <c r="B269" s="704" t="s">
        <v>688</v>
      </c>
      <c r="C269" s="704" t="s">
        <v>709</v>
      </c>
      <c r="D269" s="704" t="s">
        <v>562</v>
      </c>
      <c r="E269" s="704" t="s">
        <v>676</v>
      </c>
      <c r="F269" s="705">
        <v>0.2035638211704178</v>
      </c>
      <c r="G269" s="705">
        <v>14.277294563293603</v>
      </c>
    </row>
    <row r="270" spans="2:7" ht="11.25" hidden="1" customHeight="1" outlineLevel="2" x14ac:dyDescent="0.25">
      <c r="B270" s="704" t="s">
        <v>689</v>
      </c>
      <c r="C270" s="704" t="s">
        <v>709</v>
      </c>
      <c r="D270" s="704" t="s">
        <v>562</v>
      </c>
      <c r="E270" s="704" t="s">
        <v>676</v>
      </c>
      <c r="F270" s="705">
        <v>1.2602822046007678E-2</v>
      </c>
      <c r="G270" s="705">
        <v>0.88391979965758738</v>
      </c>
    </row>
    <row r="271" spans="2:7" ht="11.25" hidden="1" customHeight="1" outlineLevel="2" x14ac:dyDescent="0.25">
      <c r="B271" s="704" t="s">
        <v>690</v>
      </c>
      <c r="C271" s="704" t="s">
        <v>709</v>
      </c>
      <c r="D271" s="704" t="s">
        <v>562</v>
      </c>
      <c r="E271" s="704" t="s">
        <v>676</v>
      </c>
      <c r="F271" s="705">
        <v>0.29989947010126278</v>
      </c>
      <c r="G271" s="705">
        <v>21.033963650974869</v>
      </c>
    </row>
    <row r="272" spans="2:7" ht="11.25" hidden="1" customHeight="1" outlineLevel="2" x14ac:dyDescent="0.25">
      <c r="B272" s="704" t="s">
        <v>691</v>
      </c>
      <c r="C272" s="704" t="s">
        <v>709</v>
      </c>
      <c r="D272" s="704" t="s">
        <v>562</v>
      </c>
      <c r="E272" s="704" t="s">
        <v>676</v>
      </c>
      <c r="F272" s="705">
        <v>0.22909449030175949</v>
      </c>
      <c r="G272" s="705">
        <v>16.067940127399936</v>
      </c>
    </row>
    <row r="273" spans="2:7" ht="11.25" hidden="1" customHeight="1" outlineLevel="2" x14ac:dyDescent="0.25">
      <c r="B273" s="704" t="s">
        <v>692</v>
      </c>
      <c r="C273" s="704" t="s">
        <v>709</v>
      </c>
      <c r="D273" s="704" t="s">
        <v>562</v>
      </c>
      <c r="E273" s="704" t="s">
        <v>676</v>
      </c>
      <c r="F273" s="705">
        <v>2.6892229931785205E-2</v>
      </c>
      <c r="G273" s="705">
        <v>1.8861312120538736</v>
      </c>
    </row>
    <row r="274" spans="2:7" ht="11.25" hidden="1" customHeight="1" outlineLevel="2" x14ac:dyDescent="0.25">
      <c r="B274" s="704" t="s">
        <v>693</v>
      </c>
      <c r="C274" s="704" t="s">
        <v>709</v>
      </c>
      <c r="D274" s="704" t="s">
        <v>562</v>
      </c>
      <c r="E274" s="704" t="s">
        <v>676</v>
      </c>
      <c r="F274" s="705">
        <v>1.2254690431152205E-2</v>
      </c>
      <c r="G274" s="705">
        <v>0.85950329113721513</v>
      </c>
    </row>
    <row r="275" spans="2:7" ht="11.25" hidden="1" customHeight="1" outlineLevel="2" x14ac:dyDescent="0.25">
      <c r="B275" s="704" t="s">
        <v>694</v>
      </c>
      <c r="C275" s="704" t="s">
        <v>709</v>
      </c>
      <c r="D275" s="704" t="s">
        <v>562</v>
      </c>
      <c r="E275" s="704" t="s">
        <v>676</v>
      </c>
      <c r="F275" s="705">
        <v>5.1061178969264345E-3</v>
      </c>
      <c r="G275" s="705">
        <v>0.35812635250793856</v>
      </c>
    </row>
    <row r="276" spans="2:7" ht="11.25" hidden="1" customHeight="1" outlineLevel="2" x14ac:dyDescent="0.25">
      <c r="B276" s="704" t="s">
        <v>695</v>
      </c>
      <c r="C276" s="704" t="s">
        <v>709</v>
      </c>
      <c r="D276" s="704" t="s">
        <v>562</v>
      </c>
      <c r="E276" s="704" t="s">
        <v>676</v>
      </c>
      <c r="F276" s="705">
        <v>2.2807327588897228E-2</v>
      </c>
      <c r="G276" s="705">
        <v>1.5996316381951805</v>
      </c>
    </row>
    <row r="277" spans="2:7" ht="11.25" hidden="1" customHeight="1" outlineLevel="2" x14ac:dyDescent="0.25">
      <c r="B277" s="704" t="s">
        <v>696</v>
      </c>
      <c r="C277" s="704" t="s">
        <v>709</v>
      </c>
      <c r="D277" s="704" t="s">
        <v>562</v>
      </c>
      <c r="E277" s="704" t="s">
        <v>676</v>
      </c>
      <c r="F277" s="705">
        <v>5.1401582455882416E-2</v>
      </c>
      <c r="G277" s="705">
        <v>3.6051392396005935</v>
      </c>
    </row>
    <row r="278" spans="2:7" ht="11.25" hidden="1" customHeight="1" outlineLevel="2" x14ac:dyDescent="0.25">
      <c r="B278" s="704" t="s">
        <v>697</v>
      </c>
      <c r="C278" s="704" t="s">
        <v>709</v>
      </c>
      <c r="D278" s="704" t="s">
        <v>562</v>
      </c>
      <c r="E278" s="704" t="s">
        <v>676</v>
      </c>
      <c r="F278" s="705">
        <v>4.4593407557090681E-2</v>
      </c>
      <c r="G278" s="705">
        <v>3.1276383486012045</v>
      </c>
    </row>
    <row r="279" spans="2:7" ht="11.25" hidden="1" customHeight="1" outlineLevel="2" x14ac:dyDescent="0.25">
      <c r="B279" s="704" t="s">
        <v>698</v>
      </c>
      <c r="C279" s="704" t="s">
        <v>709</v>
      </c>
      <c r="D279" s="704" t="s">
        <v>562</v>
      </c>
      <c r="E279" s="704" t="s">
        <v>676</v>
      </c>
      <c r="F279" s="705">
        <v>2.7913444141903009E-2</v>
      </c>
      <c r="G279" s="705">
        <v>1.9577563776975262</v>
      </c>
    </row>
    <row r="280" spans="2:7" ht="11.25" hidden="1" customHeight="1" outlineLevel="2" x14ac:dyDescent="0.25">
      <c r="B280" s="704" t="s">
        <v>699</v>
      </c>
      <c r="C280" s="704" t="s">
        <v>709</v>
      </c>
      <c r="D280" s="704" t="s">
        <v>562</v>
      </c>
      <c r="E280" s="704" t="s">
        <v>676</v>
      </c>
      <c r="F280" s="705">
        <v>0.21649947585021689</v>
      </c>
      <c r="G280" s="705">
        <v>15.184567052122661</v>
      </c>
    </row>
    <row r="281" spans="2:7" ht="11.25" hidden="1" customHeight="1" outlineLevel="2" x14ac:dyDescent="0.25">
      <c r="B281" s="704" t="s">
        <v>673</v>
      </c>
      <c r="C281" s="704" t="s">
        <v>710</v>
      </c>
      <c r="D281" s="704" t="s">
        <v>562</v>
      </c>
      <c r="E281" s="704" t="s">
        <v>676</v>
      </c>
      <c r="F281" s="705">
        <v>0.26247878185096873</v>
      </c>
      <c r="G281" s="705">
        <v>54.927756521867629</v>
      </c>
    </row>
    <row r="282" spans="2:7" ht="11.25" hidden="1" customHeight="1" outlineLevel="2" x14ac:dyDescent="0.25">
      <c r="B282" s="704" t="s">
        <v>677</v>
      </c>
      <c r="C282" s="704" t="s">
        <v>710</v>
      </c>
      <c r="D282" s="704" t="s">
        <v>562</v>
      </c>
      <c r="E282" s="704" t="s">
        <v>676</v>
      </c>
      <c r="F282" s="705">
        <v>2.6281236090389046</v>
      </c>
      <c r="G282" s="705">
        <v>549.97583847754686</v>
      </c>
    </row>
    <row r="283" spans="2:7" ht="11.25" hidden="1" customHeight="1" outlineLevel="2" x14ac:dyDescent="0.25">
      <c r="B283" s="704" t="s">
        <v>678</v>
      </c>
      <c r="C283" s="704" t="s">
        <v>710</v>
      </c>
      <c r="D283" s="704" t="s">
        <v>562</v>
      </c>
      <c r="E283" s="704" t="s">
        <v>676</v>
      </c>
      <c r="F283" s="705">
        <v>4.0199516030353193</v>
      </c>
      <c r="G283" s="705">
        <v>841.23768857037055</v>
      </c>
    </row>
    <row r="284" spans="2:7" ht="11.25" hidden="1" customHeight="1" outlineLevel="2" x14ac:dyDescent="0.25">
      <c r="B284" s="704" t="s">
        <v>679</v>
      </c>
      <c r="C284" s="704" t="s">
        <v>710</v>
      </c>
      <c r="D284" s="704" t="s">
        <v>562</v>
      </c>
      <c r="E284" s="704" t="s">
        <v>676</v>
      </c>
      <c r="F284" s="705">
        <v>0.14755787278165058</v>
      </c>
      <c r="G284" s="705">
        <v>30.878775200898904</v>
      </c>
    </row>
    <row r="285" spans="2:7" ht="11.25" hidden="1" customHeight="1" outlineLevel="2" x14ac:dyDescent="0.25">
      <c r="B285" s="704" t="s">
        <v>680</v>
      </c>
      <c r="C285" s="704" t="s">
        <v>710</v>
      </c>
      <c r="D285" s="704" t="s">
        <v>562</v>
      </c>
      <c r="E285" s="704" t="s">
        <v>676</v>
      </c>
      <c r="F285" s="705">
        <v>0.1036892906838866</v>
      </c>
      <c r="G285" s="705">
        <v>21.698588080993254</v>
      </c>
    </row>
    <row r="286" spans="2:7" ht="11.25" hidden="1" customHeight="1" outlineLevel="2" x14ac:dyDescent="0.25">
      <c r="B286" s="704" t="s">
        <v>681</v>
      </c>
      <c r="C286" s="704" t="s">
        <v>710</v>
      </c>
      <c r="D286" s="704" t="s">
        <v>562</v>
      </c>
      <c r="E286" s="704" t="s">
        <v>676</v>
      </c>
      <c r="F286" s="705">
        <v>0.66201618483337998</v>
      </c>
      <c r="G286" s="705">
        <v>138.53727196872038</v>
      </c>
    </row>
    <row r="287" spans="2:7" ht="11.25" hidden="1" customHeight="1" outlineLevel="2" x14ac:dyDescent="0.25">
      <c r="B287" s="704" t="s">
        <v>682</v>
      </c>
      <c r="C287" s="704" t="s">
        <v>710</v>
      </c>
      <c r="D287" s="704" t="s">
        <v>562</v>
      </c>
      <c r="E287" s="704" t="s">
        <v>676</v>
      </c>
      <c r="F287" s="705">
        <v>0.25523512839652945</v>
      </c>
      <c r="G287" s="705">
        <v>53.411924720210095</v>
      </c>
    </row>
    <row r="288" spans="2:7" ht="11.25" hidden="1" customHeight="1" outlineLevel="2" x14ac:dyDescent="0.25">
      <c r="B288" s="704" t="s">
        <v>683</v>
      </c>
      <c r="C288" s="704" t="s">
        <v>710</v>
      </c>
      <c r="D288" s="704" t="s">
        <v>562</v>
      </c>
      <c r="E288" s="704" t="s">
        <v>676</v>
      </c>
      <c r="F288" s="705">
        <v>0.30309192013613762</v>
      </c>
      <c r="G288" s="705">
        <v>63.42664529103574</v>
      </c>
    </row>
    <row r="289" spans="2:7" ht="11.25" hidden="1" customHeight="1" outlineLevel="2" x14ac:dyDescent="0.25">
      <c r="B289" s="704" t="s">
        <v>684</v>
      </c>
      <c r="C289" s="704" t="s">
        <v>710</v>
      </c>
      <c r="D289" s="704" t="s">
        <v>562</v>
      </c>
      <c r="E289" s="704" t="s">
        <v>676</v>
      </c>
      <c r="F289" s="705">
        <v>0.18743832256555615</v>
      </c>
      <c r="G289" s="705">
        <v>39.22438184348573</v>
      </c>
    </row>
    <row r="290" spans="2:7" ht="11.25" hidden="1" customHeight="1" outlineLevel="2" x14ac:dyDescent="0.25">
      <c r="B290" s="704" t="s">
        <v>685</v>
      </c>
      <c r="C290" s="704" t="s">
        <v>710</v>
      </c>
      <c r="D290" s="704" t="s">
        <v>562</v>
      </c>
      <c r="E290" s="704" t="s">
        <v>676</v>
      </c>
      <c r="F290" s="705">
        <v>0.93320323895943269</v>
      </c>
      <c r="G290" s="705">
        <v>195.28737619111058</v>
      </c>
    </row>
    <row r="291" spans="2:7" ht="11.25" hidden="1" customHeight="1" outlineLevel="2" x14ac:dyDescent="0.25">
      <c r="B291" s="704" t="s">
        <v>686</v>
      </c>
      <c r="C291" s="704" t="s">
        <v>710</v>
      </c>
      <c r="D291" s="704" t="s">
        <v>562</v>
      </c>
      <c r="E291" s="704" t="s">
        <v>676</v>
      </c>
      <c r="F291" s="705">
        <v>0.13958170785634988</v>
      </c>
      <c r="G291" s="705">
        <v>29.209630368554183</v>
      </c>
    </row>
    <row r="292" spans="2:7" ht="11.25" hidden="1" customHeight="1" outlineLevel="2" x14ac:dyDescent="0.25">
      <c r="B292" s="704" t="s">
        <v>687</v>
      </c>
      <c r="C292" s="704" t="s">
        <v>710</v>
      </c>
      <c r="D292" s="704" t="s">
        <v>562</v>
      </c>
      <c r="E292" s="704" t="s">
        <v>676</v>
      </c>
      <c r="F292" s="705">
        <v>0.89731112300669391</v>
      </c>
      <c r="G292" s="705">
        <v>187.77625373243035</v>
      </c>
    </row>
    <row r="293" spans="2:7" ht="11.25" hidden="1" customHeight="1" outlineLevel="2" x14ac:dyDescent="0.25">
      <c r="B293" s="704" t="s">
        <v>688</v>
      </c>
      <c r="C293" s="704" t="s">
        <v>710</v>
      </c>
      <c r="D293" s="704" t="s">
        <v>562</v>
      </c>
      <c r="E293" s="704" t="s">
        <v>676</v>
      </c>
      <c r="F293" s="705">
        <v>2.3848521572137651</v>
      </c>
      <c r="G293" s="705">
        <v>499.06767720562118</v>
      </c>
    </row>
    <row r="294" spans="2:7" ht="11.25" hidden="1" customHeight="1" outlineLevel="2" x14ac:dyDescent="0.25">
      <c r="B294" s="704" t="s">
        <v>689</v>
      </c>
      <c r="C294" s="704" t="s">
        <v>710</v>
      </c>
      <c r="D294" s="704" t="s">
        <v>562</v>
      </c>
      <c r="E294" s="704" t="s">
        <v>676</v>
      </c>
      <c r="F294" s="705">
        <v>0.14764831004826631</v>
      </c>
      <c r="G294" s="705">
        <v>30.897689713160869</v>
      </c>
    </row>
    <row r="295" spans="2:7" ht="11.25" hidden="1" customHeight="1" outlineLevel="2" x14ac:dyDescent="0.25">
      <c r="B295" s="704" t="s">
        <v>690</v>
      </c>
      <c r="C295" s="704" t="s">
        <v>710</v>
      </c>
      <c r="D295" s="704" t="s">
        <v>562</v>
      </c>
      <c r="E295" s="704" t="s">
        <v>676</v>
      </c>
      <c r="F295" s="705">
        <v>3.513470422790975</v>
      </c>
      <c r="G295" s="705">
        <v>735.24816769713982</v>
      </c>
    </row>
    <row r="296" spans="2:7" ht="11.25" hidden="1" customHeight="1" outlineLevel="2" x14ac:dyDescent="0.25">
      <c r="B296" s="704" t="s">
        <v>691</v>
      </c>
      <c r="C296" s="704" t="s">
        <v>710</v>
      </c>
      <c r="D296" s="704" t="s">
        <v>562</v>
      </c>
      <c r="E296" s="704" t="s">
        <v>676</v>
      </c>
      <c r="F296" s="705">
        <v>2.683956332832051</v>
      </c>
      <c r="G296" s="705">
        <v>561.6596612133518</v>
      </c>
    </row>
    <row r="297" spans="2:7" ht="11.25" hidden="1" customHeight="1" outlineLevel="2" x14ac:dyDescent="0.25">
      <c r="B297" s="704" t="s">
        <v>692</v>
      </c>
      <c r="C297" s="704" t="s">
        <v>710</v>
      </c>
      <c r="D297" s="704" t="s">
        <v>562</v>
      </c>
      <c r="E297" s="704" t="s">
        <v>676</v>
      </c>
      <c r="F297" s="705">
        <v>0.31505591050933679</v>
      </c>
      <c r="G297" s="705">
        <v>65.93032710244583</v>
      </c>
    </row>
    <row r="298" spans="2:7" ht="11.25" hidden="1" customHeight="1" outlineLevel="2" x14ac:dyDescent="0.25">
      <c r="B298" s="704" t="s">
        <v>693</v>
      </c>
      <c r="C298" s="704" t="s">
        <v>710</v>
      </c>
      <c r="D298" s="704" t="s">
        <v>562</v>
      </c>
      <c r="E298" s="704" t="s">
        <v>676</v>
      </c>
      <c r="F298" s="705">
        <v>0.14356985771390601</v>
      </c>
      <c r="G298" s="705">
        <v>30.044210736543562</v>
      </c>
    </row>
    <row r="299" spans="2:7" ht="11.25" hidden="1" customHeight="1" outlineLevel="2" x14ac:dyDescent="0.25">
      <c r="B299" s="704" t="s">
        <v>694</v>
      </c>
      <c r="C299" s="704" t="s">
        <v>710</v>
      </c>
      <c r="D299" s="704" t="s">
        <v>562</v>
      </c>
      <c r="E299" s="704" t="s">
        <v>676</v>
      </c>
      <c r="F299" s="705">
        <v>5.9820733071715031E-2</v>
      </c>
      <c r="G299" s="705">
        <v>12.518425573434866</v>
      </c>
    </row>
    <row r="300" spans="2:7" ht="11.25" hidden="1" customHeight="1" outlineLevel="2" x14ac:dyDescent="0.25">
      <c r="B300" s="704" t="s">
        <v>695</v>
      </c>
      <c r="C300" s="704" t="s">
        <v>710</v>
      </c>
      <c r="D300" s="704" t="s">
        <v>562</v>
      </c>
      <c r="E300" s="704" t="s">
        <v>676</v>
      </c>
      <c r="F300" s="705">
        <v>0.26719934941387496</v>
      </c>
      <c r="G300" s="705">
        <v>55.915601097845638</v>
      </c>
    </row>
    <row r="301" spans="2:7" ht="11.25" hidden="1" customHeight="1" outlineLevel="2" x14ac:dyDescent="0.25">
      <c r="B301" s="704" t="s">
        <v>696</v>
      </c>
      <c r="C301" s="704" t="s">
        <v>710</v>
      </c>
      <c r="D301" s="704" t="s">
        <v>562</v>
      </c>
      <c r="E301" s="704" t="s">
        <v>676</v>
      </c>
      <c r="F301" s="705">
        <v>0.60219551463713816</v>
      </c>
      <c r="G301" s="705">
        <v>126.01866617678417</v>
      </c>
    </row>
    <row r="302" spans="2:7" ht="11.25" hidden="1" customHeight="1" outlineLevel="2" x14ac:dyDescent="0.25">
      <c r="B302" s="704" t="s">
        <v>697</v>
      </c>
      <c r="C302" s="704" t="s">
        <v>710</v>
      </c>
      <c r="D302" s="704" t="s">
        <v>562</v>
      </c>
      <c r="E302" s="704" t="s">
        <v>676</v>
      </c>
      <c r="F302" s="705">
        <v>0.52243437838819229</v>
      </c>
      <c r="G302" s="705">
        <v>109.32740132390965</v>
      </c>
    </row>
    <row r="303" spans="2:7" ht="11.25" hidden="1" customHeight="1" outlineLevel="2" x14ac:dyDescent="0.25">
      <c r="B303" s="704" t="s">
        <v>698</v>
      </c>
      <c r="C303" s="704" t="s">
        <v>710</v>
      </c>
      <c r="D303" s="704" t="s">
        <v>562</v>
      </c>
      <c r="E303" s="704" t="s">
        <v>676</v>
      </c>
      <c r="F303" s="705">
        <v>0.32701980654527202</v>
      </c>
      <c r="G303" s="705">
        <v>68.434006398427684</v>
      </c>
    </row>
    <row r="304" spans="2:7" ht="11.25" hidden="1" customHeight="1" outlineLevel="2" x14ac:dyDescent="0.25">
      <c r="B304" s="704" t="s">
        <v>699</v>
      </c>
      <c r="C304" s="704" t="s">
        <v>710</v>
      </c>
      <c r="D304" s="704" t="s">
        <v>562</v>
      </c>
      <c r="E304" s="704" t="s">
        <v>676</v>
      </c>
      <c r="F304" s="705">
        <v>2.5364016897199861</v>
      </c>
      <c r="G304" s="705">
        <v>530.78105237226794</v>
      </c>
    </row>
    <row r="305" spans="2:7" ht="11.25" hidden="1" customHeight="1" outlineLevel="2" x14ac:dyDescent="0.25">
      <c r="B305" s="704" t="s">
        <v>673</v>
      </c>
      <c r="C305" s="704" t="s">
        <v>711</v>
      </c>
      <c r="D305" s="704" t="s">
        <v>712</v>
      </c>
      <c r="E305" s="704" t="s">
        <v>676</v>
      </c>
      <c r="F305" s="705">
        <v>3.136151520901011E-33</v>
      </c>
      <c r="G305" s="705">
        <v>7.3601632656396319E-31</v>
      </c>
    </row>
    <row r="306" spans="2:7" ht="11.25" hidden="1" customHeight="1" outlineLevel="2" x14ac:dyDescent="0.25">
      <c r="B306" s="704" t="s">
        <v>677</v>
      </c>
      <c r="C306" s="704" t="s">
        <v>711</v>
      </c>
      <c r="D306" s="704" t="s">
        <v>712</v>
      </c>
      <c r="E306" s="704" t="s">
        <v>676</v>
      </c>
      <c r="F306" s="705">
        <v>3.136151520901011E-33</v>
      </c>
      <c r="G306" s="705">
        <v>7.3601632656396319E-31</v>
      </c>
    </row>
    <row r="307" spans="2:7" ht="11.25" hidden="1" customHeight="1" outlineLevel="2" x14ac:dyDescent="0.25">
      <c r="B307" s="704" t="s">
        <v>678</v>
      </c>
      <c r="C307" s="704" t="s">
        <v>711</v>
      </c>
      <c r="D307" s="704" t="s">
        <v>712</v>
      </c>
      <c r="E307" s="704" t="s">
        <v>676</v>
      </c>
      <c r="F307" s="705">
        <v>5.968856006320887E-2</v>
      </c>
      <c r="G307" s="705">
        <v>13.648946798389323</v>
      </c>
    </row>
    <row r="308" spans="2:7" ht="11.25" hidden="1" customHeight="1" outlineLevel="2" x14ac:dyDescent="0.25">
      <c r="B308" s="704" t="s">
        <v>679</v>
      </c>
      <c r="C308" s="704" t="s">
        <v>711</v>
      </c>
      <c r="D308" s="704" t="s">
        <v>712</v>
      </c>
      <c r="E308" s="704" t="s">
        <v>676</v>
      </c>
      <c r="F308" s="705">
        <v>3.136151520901011E-33</v>
      </c>
      <c r="G308" s="705">
        <v>7.3601632656396319E-31</v>
      </c>
    </row>
    <row r="309" spans="2:7" ht="11.25" hidden="1" customHeight="1" outlineLevel="2" x14ac:dyDescent="0.25">
      <c r="B309" s="704" t="s">
        <v>680</v>
      </c>
      <c r="C309" s="704" t="s">
        <v>711</v>
      </c>
      <c r="D309" s="704" t="s">
        <v>712</v>
      </c>
      <c r="E309" s="704" t="s">
        <v>676</v>
      </c>
      <c r="F309" s="705">
        <v>3.136151520901011E-33</v>
      </c>
      <c r="G309" s="705">
        <v>7.3601632656396319E-31</v>
      </c>
    </row>
    <row r="310" spans="2:7" ht="11.25" hidden="1" customHeight="1" outlineLevel="2" x14ac:dyDescent="0.25">
      <c r="B310" s="704" t="s">
        <v>681</v>
      </c>
      <c r="C310" s="704" t="s">
        <v>711</v>
      </c>
      <c r="D310" s="704" t="s">
        <v>712</v>
      </c>
      <c r="E310" s="704" t="s">
        <v>676</v>
      </c>
      <c r="F310" s="705">
        <v>5.968856006320887E-2</v>
      </c>
      <c r="G310" s="705">
        <v>13.648946798389323</v>
      </c>
    </row>
    <row r="311" spans="2:7" ht="11.25" hidden="1" customHeight="1" outlineLevel="2" x14ac:dyDescent="0.25">
      <c r="B311" s="704" t="s">
        <v>682</v>
      </c>
      <c r="C311" s="704" t="s">
        <v>711</v>
      </c>
      <c r="D311" s="704" t="s">
        <v>712</v>
      </c>
      <c r="E311" s="704" t="s">
        <v>676</v>
      </c>
      <c r="F311" s="705">
        <v>3.136151520901011E-33</v>
      </c>
      <c r="G311" s="705">
        <v>7.3601632656396319E-31</v>
      </c>
    </row>
    <row r="312" spans="2:7" ht="11.25" hidden="1" customHeight="1" outlineLevel="2" x14ac:dyDescent="0.25">
      <c r="B312" s="704" t="s">
        <v>683</v>
      </c>
      <c r="C312" s="704" t="s">
        <v>711</v>
      </c>
      <c r="D312" s="704" t="s">
        <v>712</v>
      </c>
      <c r="E312" s="704" t="s">
        <v>676</v>
      </c>
      <c r="F312" s="705">
        <v>3.136151520901011E-33</v>
      </c>
      <c r="G312" s="705">
        <v>7.3601632656396319E-31</v>
      </c>
    </row>
    <row r="313" spans="2:7" ht="11.25" hidden="1" customHeight="1" outlineLevel="2" x14ac:dyDescent="0.25">
      <c r="B313" s="704" t="s">
        <v>684</v>
      </c>
      <c r="C313" s="704" t="s">
        <v>711</v>
      </c>
      <c r="D313" s="704" t="s">
        <v>712</v>
      </c>
      <c r="E313" s="704" t="s">
        <v>676</v>
      </c>
      <c r="F313" s="705">
        <v>3.136151520901011E-33</v>
      </c>
      <c r="G313" s="705">
        <v>7.3601632656396319E-31</v>
      </c>
    </row>
    <row r="314" spans="2:7" ht="11.25" hidden="1" customHeight="1" outlineLevel="2" x14ac:dyDescent="0.25">
      <c r="B314" s="704" t="s">
        <v>685</v>
      </c>
      <c r="C314" s="704" t="s">
        <v>711</v>
      </c>
      <c r="D314" s="704" t="s">
        <v>712</v>
      </c>
      <c r="E314" s="704" t="s">
        <v>676</v>
      </c>
      <c r="F314" s="705">
        <v>3.136151520901011E-33</v>
      </c>
      <c r="G314" s="705">
        <v>7.3601632656396319E-31</v>
      </c>
    </row>
    <row r="315" spans="2:7" ht="11.25" hidden="1" customHeight="1" outlineLevel="2" x14ac:dyDescent="0.25">
      <c r="B315" s="704" t="s">
        <v>686</v>
      </c>
      <c r="C315" s="704" t="s">
        <v>711</v>
      </c>
      <c r="D315" s="704" t="s">
        <v>712</v>
      </c>
      <c r="E315" s="704" t="s">
        <v>676</v>
      </c>
      <c r="F315" s="705">
        <v>3.136151520901011E-33</v>
      </c>
      <c r="G315" s="705">
        <v>7.3601632656396319E-31</v>
      </c>
    </row>
    <row r="316" spans="2:7" ht="11.25" hidden="1" customHeight="1" outlineLevel="2" x14ac:dyDescent="0.25">
      <c r="B316" s="704" t="s">
        <v>687</v>
      </c>
      <c r="C316" s="704" t="s">
        <v>711</v>
      </c>
      <c r="D316" s="704" t="s">
        <v>712</v>
      </c>
      <c r="E316" s="704" t="s">
        <v>676</v>
      </c>
      <c r="F316" s="705">
        <v>2.7131161235763937E-2</v>
      </c>
      <c r="G316" s="705">
        <v>6.204061191161367</v>
      </c>
    </row>
    <row r="317" spans="2:7" ht="11.25" hidden="1" customHeight="1" outlineLevel="2" x14ac:dyDescent="0.25">
      <c r="B317" s="704" t="s">
        <v>688</v>
      </c>
      <c r="C317" s="704" t="s">
        <v>711</v>
      </c>
      <c r="D317" s="704" t="s">
        <v>712</v>
      </c>
      <c r="E317" s="704" t="s">
        <v>676</v>
      </c>
      <c r="F317" s="705">
        <v>2.1704919503229895E-2</v>
      </c>
      <c r="G317" s="705">
        <v>4.963250424254591</v>
      </c>
    </row>
    <row r="318" spans="2:7" ht="11.25" hidden="1" customHeight="1" outlineLevel="2" x14ac:dyDescent="0.25">
      <c r="B318" s="704" t="s">
        <v>689</v>
      </c>
      <c r="C318" s="704" t="s">
        <v>711</v>
      </c>
      <c r="D318" s="704" t="s">
        <v>712</v>
      </c>
      <c r="E318" s="704" t="s">
        <v>676</v>
      </c>
      <c r="F318" s="705">
        <v>8.0555630568600212E-2</v>
      </c>
      <c r="G318" s="705">
        <v>18.420607807258381</v>
      </c>
    </row>
    <row r="319" spans="2:7" ht="11.25" hidden="1" customHeight="1" outlineLevel="2" x14ac:dyDescent="0.25">
      <c r="B319" s="704" t="s">
        <v>690</v>
      </c>
      <c r="C319" s="704" t="s">
        <v>711</v>
      </c>
      <c r="D319" s="704" t="s">
        <v>712</v>
      </c>
      <c r="E319" s="704" t="s">
        <v>676</v>
      </c>
      <c r="F319" s="705">
        <v>3.136151520901011E-33</v>
      </c>
      <c r="G319" s="705">
        <v>7.3601632656396319E-31</v>
      </c>
    </row>
    <row r="320" spans="2:7" ht="11.25" hidden="1" customHeight="1" outlineLevel="2" x14ac:dyDescent="0.25">
      <c r="B320" s="704" t="s">
        <v>691</v>
      </c>
      <c r="C320" s="704" t="s">
        <v>711</v>
      </c>
      <c r="D320" s="704" t="s">
        <v>712</v>
      </c>
      <c r="E320" s="704" t="s">
        <v>676</v>
      </c>
      <c r="F320" s="705">
        <v>3.1359396728E-33</v>
      </c>
      <c r="G320" s="705">
        <v>7.3524077000000003E-31</v>
      </c>
    </row>
    <row r="321" spans="2:7" ht="11.25" hidden="1" customHeight="1" outlineLevel="2" x14ac:dyDescent="0.25">
      <c r="B321" s="704" t="s">
        <v>692</v>
      </c>
      <c r="C321" s="704" t="s">
        <v>711</v>
      </c>
      <c r="D321" s="704" t="s">
        <v>712</v>
      </c>
      <c r="E321" s="704" t="s">
        <v>676</v>
      </c>
      <c r="F321" s="705">
        <v>3.1361515209010083E-33</v>
      </c>
      <c r="G321" s="705">
        <v>7.3601632656396091E-31</v>
      </c>
    </row>
    <row r="322" spans="2:7" ht="11.25" hidden="1" customHeight="1" outlineLevel="2" x14ac:dyDescent="0.25">
      <c r="B322" s="704" t="s">
        <v>693</v>
      </c>
      <c r="C322" s="704" t="s">
        <v>711</v>
      </c>
      <c r="D322" s="704" t="s">
        <v>712</v>
      </c>
      <c r="E322" s="704" t="s">
        <v>676</v>
      </c>
      <c r="F322" s="705">
        <v>3.136151520901011E-33</v>
      </c>
      <c r="G322" s="705">
        <v>7.3601632656396319E-31</v>
      </c>
    </row>
    <row r="323" spans="2:7" ht="11.25" hidden="1" customHeight="1" outlineLevel="2" x14ac:dyDescent="0.25">
      <c r="B323" s="704" t="s">
        <v>694</v>
      </c>
      <c r="C323" s="704" t="s">
        <v>711</v>
      </c>
      <c r="D323" s="704" t="s">
        <v>712</v>
      </c>
      <c r="E323" s="704" t="s">
        <v>676</v>
      </c>
      <c r="F323" s="705">
        <v>3.136151520901011E-33</v>
      </c>
      <c r="G323" s="705">
        <v>7.3601632656396319E-31</v>
      </c>
    </row>
    <row r="324" spans="2:7" ht="11.25" hidden="1" customHeight="1" outlineLevel="2" x14ac:dyDescent="0.25">
      <c r="B324" s="704" t="s">
        <v>695</v>
      </c>
      <c r="C324" s="704" t="s">
        <v>711</v>
      </c>
      <c r="D324" s="704" t="s">
        <v>712</v>
      </c>
      <c r="E324" s="704" t="s">
        <v>676</v>
      </c>
      <c r="F324" s="705">
        <v>3.136151520901011E-33</v>
      </c>
      <c r="G324" s="705">
        <v>7.3601632656396319E-31</v>
      </c>
    </row>
    <row r="325" spans="2:7" ht="11.25" hidden="1" customHeight="1" outlineLevel="2" x14ac:dyDescent="0.25">
      <c r="B325" s="704" t="s">
        <v>696</v>
      </c>
      <c r="C325" s="704" t="s">
        <v>711</v>
      </c>
      <c r="D325" s="704" t="s">
        <v>712</v>
      </c>
      <c r="E325" s="704" t="s">
        <v>676</v>
      </c>
      <c r="F325" s="705">
        <v>2.1704919503229895E-2</v>
      </c>
      <c r="G325" s="705">
        <v>4.963250424254591</v>
      </c>
    </row>
    <row r="326" spans="2:7" ht="11.25" hidden="1" customHeight="1" outlineLevel="2" x14ac:dyDescent="0.25">
      <c r="B326" s="704" t="s">
        <v>697</v>
      </c>
      <c r="C326" s="704" t="s">
        <v>711</v>
      </c>
      <c r="D326" s="704" t="s">
        <v>712</v>
      </c>
      <c r="E326" s="704" t="s">
        <v>676</v>
      </c>
      <c r="F326" s="705">
        <v>3.1359396728E-33</v>
      </c>
      <c r="G326" s="705">
        <v>7.3524077000000003E-31</v>
      </c>
    </row>
    <row r="327" spans="2:7" ht="11.25" hidden="1" customHeight="1" outlineLevel="2" x14ac:dyDescent="0.25">
      <c r="B327" s="704" t="s">
        <v>698</v>
      </c>
      <c r="C327" s="704" t="s">
        <v>711</v>
      </c>
      <c r="D327" s="704" t="s">
        <v>712</v>
      </c>
      <c r="E327" s="704" t="s">
        <v>676</v>
      </c>
      <c r="F327" s="705">
        <v>3.1359396728E-33</v>
      </c>
      <c r="G327" s="705">
        <v>7.3524077000000003E-31</v>
      </c>
    </row>
    <row r="328" spans="2:7" ht="11.25" hidden="1" customHeight="1" outlineLevel="2" x14ac:dyDescent="0.25">
      <c r="B328" s="704" t="s">
        <v>699</v>
      </c>
      <c r="C328" s="704" t="s">
        <v>711</v>
      </c>
      <c r="D328" s="704" t="s">
        <v>712</v>
      </c>
      <c r="E328" s="704" t="s">
        <v>676</v>
      </c>
      <c r="F328" s="705">
        <v>5.968856006320887E-2</v>
      </c>
      <c r="G328" s="705">
        <v>13.648946798389323</v>
      </c>
    </row>
    <row r="329" spans="2:7" ht="11.25" hidden="1" customHeight="1" outlineLevel="1" x14ac:dyDescent="0.25">
      <c r="B329" s="704"/>
      <c r="C329" s="704"/>
      <c r="D329" s="704"/>
      <c r="E329" s="707" t="s">
        <v>713</v>
      </c>
      <c r="F329" s="705">
        <f t="shared" ref="F329:G329" si="8">SUBTOTAL(9,F17:F328)</f>
        <v>213.28249540396209</v>
      </c>
      <c r="G329" s="705">
        <f t="shared" si="8"/>
        <v>16642.246187701403</v>
      </c>
    </row>
    <row r="330" spans="2:7" ht="11.25" hidden="1" customHeight="1" outlineLevel="2" x14ac:dyDescent="0.25">
      <c r="B330" s="704" t="s">
        <v>673</v>
      </c>
      <c r="C330" s="704" t="s">
        <v>714</v>
      </c>
      <c r="D330" s="704" t="s">
        <v>715</v>
      </c>
      <c r="E330" s="704" t="s">
        <v>448</v>
      </c>
      <c r="F330" s="705">
        <v>1.3477423744660915</v>
      </c>
      <c r="G330" s="705">
        <v>341.6860885079401</v>
      </c>
    </row>
    <row r="331" spans="2:7" ht="11.25" hidden="1" customHeight="1" outlineLevel="2" x14ac:dyDescent="0.25">
      <c r="B331" s="704" t="s">
        <v>677</v>
      </c>
      <c r="C331" s="704" t="s">
        <v>714</v>
      </c>
      <c r="D331" s="704" t="s">
        <v>715</v>
      </c>
      <c r="E331" s="704" t="s">
        <v>448</v>
      </c>
      <c r="F331" s="705">
        <v>2.8270450232675479</v>
      </c>
      <c r="G331" s="705">
        <v>715.67271940801993</v>
      </c>
    </row>
    <row r="332" spans="2:7" ht="11.25" hidden="1" customHeight="1" outlineLevel="2" x14ac:dyDescent="0.25">
      <c r="B332" s="704" t="s">
        <v>678</v>
      </c>
      <c r="C332" s="704" t="s">
        <v>714</v>
      </c>
      <c r="D332" s="704" t="s">
        <v>715</v>
      </c>
      <c r="E332" s="704" t="s">
        <v>448</v>
      </c>
      <c r="F332" s="705">
        <v>1.4115162662922598</v>
      </c>
      <c r="G332" s="705">
        <v>357.83638726176002</v>
      </c>
    </row>
    <row r="333" spans="2:7" ht="11.25" hidden="1" customHeight="1" outlineLevel="2" x14ac:dyDescent="0.25">
      <c r="B333" s="704" t="s">
        <v>680</v>
      </c>
      <c r="C333" s="704" t="s">
        <v>714</v>
      </c>
      <c r="D333" s="704" t="s">
        <v>715</v>
      </c>
      <c r="E333" s="704" t="s">
        <v>448</v>
      </c>
      <c r="F333" s="705">
        <v>1.411431061829955</v>
      </c>
      <c r="G333" s="705">
        <v>357.83638726176002</v>
      </c>
    </row>
    <row r="334" spans="2:7" ht="11.25" hidden="1" customHeight="1" outlineLevel="2" x14ac:dyDescent="0.25">
      <c r="B334" s="704" t="s">
        <v>681</v>
      </c>
      <c r="C334" s="704" t="s">
        <v>714</v>
      </c>
      <c r="D334" s="704" t="s">
        <v>715</v>
      </c>
      <c r="E334" s="704" t="s">
        <v>448</v>
      </c>
      <c r="F334" s="705">
        <v>1.4115162662922598</v>
      </c>
      <c r="G334" s="705">
        <v>357.83638726176002</v>
      </c>
    </row>
    <row r="335" spans="2:7" ht="11.25" hidden="1" customHeight="1" outlineLevel="2" x14ac:dyDescent="0.25">
      <c r="B335" s="704" t="s">
        <v>682</v>
      </c>
      <c r="C335" s="704" t="s">
        <v>714</v>
      </c>
      <c r="D335" s="704" t="s">
        <v>715</v>
      </c>
      <c r="E335" s="704" t="s">
        <v>448</v>
      </c>
      <c r="F335" s="705">
        <v>3.7640427742339102</v>
      </c>
      <c r="G335" s="705">
        <v>954.23028225580015</v>
      </c>
    </row>
    <row r="336" spans="2:7" ht="11.25" hidden="1" customHeight="1" outlineLevel="2" x14ac:dyDescent="0.25">
      <c r="B336" s="704" t="s">
        <v>683</v>
      </c>
      <c r="C336" s="704" t="s">
        <v>714</v>
      </c>
      <c r="D336" s="704" t="s">
        <v>715</v>
      </c>
      <c r="E336" s="704" t="s">
        <v>448</v>
      </c>
      <c r="F336" s="705">
        <v>1.4115162662922598</v>
      </c>
      <c r="G336" s="705">
        <v>357.83638726176002</v>
      </c>
    </row>
    <row r="337" spans="2:7" ht="11.25" hidden="1" customHeight="1" outlineLevel="2" x14ac:dyDescent="0.25">
      <c r="B337" s="704" t="s">
        <v>684</v>
      </c>
      <c r="C337" s="704" t="s">
        <v>714</v>
      </c>
      <c r="D337" s="704" t="s">
        <v>715</v>
      </c>
      <c r="E337" s="704" t="s">
        <v>448</v>
      </c>
      <c r="F337" s="705">
        <v>0.47047698372110658</v>
      </c>
      <c r="G337" s="705">
        <v>119.27879467744539</v>
      </c>
    </row>
    <row r="338" spans="2:7" ht="11.25" hidden="1" customHeight="1" outlineLevel="2" x14ac:dyDescent="0.25">
      <c r="B338" s="704" t="s">
        <v>685</v>
      </c>
      <c r="C338" s="704" t="s">
        <v>714</v>
      </c>
      <c r="D338" s="704" t="s">
        <v>715</v>
      </c>
      <c r="E338" s="704" t="s">
        <v>448</v>
      </c>
      <c r="F338" s="705">
        <v>1.4115162662922598</v>
      </c>
      <c r="G338" s="705">
        <v>357.83638726176002</v>
      </c>
    </row>
    <row r="339" spans="2:7" ht="11.25" hidden="1" customHeight="1" outlineLevel="2" x14ac:dyDescent="0.25">
      <c r="B339" s="704" t="s">
        <v>686</v>
      </c>
      <c r="C339" s="704" t="s">
        <v>714</v>
      </c>
      <c r="D339" s="704" t="s">
        <v>715</v>
      </c>
      <c r="E339" s="704" t="s">
        <v>448</v>
      </c>
      <c r="F339" s="705">
        <v>1.411431061829955</v>
      </c>
      <c r="G339" s="705">
        <v>357.83638726176002</v>
      </c>
    </row>
    <row r="340" spans="2:7" ht="11.25" hidden="1" customHeight="1" outlineLevel="2" x14ac:dyDescent="0.25">
      <c r="B340" s="704" t="s">
        <v>687</v>
      </c>
      <c r="C340" s="704" t="s">
        <v>714</v>
      </c>
      <c r="D340" s="704" t="s">
        <v>715</v>
      </c>
      <c r="E340" s="704" t="s">
        <v>448</v>
      </c>
      <c r="F340" s="705">
        <v>2.3525272841134837</v>
      </c>
      <c r="G340" s="705">
        <v>596.39401624814002</v>
      </c>
    </row>
    <row r="341" spans="2:7" ht="11.25" hidden="1" customHeight="1" outlineLevel="2" x14ac:dyDescent="0.25">
      <c r="B341" s="704" t="s">
        <v>688</v>
      </c>
      <c r="C341" s="704" t="s">
        <v>714</v>
      </c>
      <c r="D341" s="704" t="s">
        <v>715</v>
      </c>
      <c r="E341" s="704" t="s">
        <v>448</v>
      </c>
      <c r="F341" s="705">
        <v>0.47050534946622041</v>
      </c>
      <c r="G341" s="705">
        <v>119.27879467744539</v>
      </c>
    </row>
    <row r="342" spans="2:7" ht="11.25" hidden="1" customHeight="1" outlineLevel="2" x14ac:dyDescent="0.25">
      <c r="B342" s="704" t="s">
        <v>689</v>
      </c>
      <c r="C342" s="704" t="s">
        <v>714</v>
      </c>
      <c r="D342" s="704" t="s">
        <v>715</v>
      </c>
      <c r="E342" s="704" t="s">
        <v>448</v>
      </c>
      <c r="F342" s="705">
        <v>2.1661625763248415</v>
      </c>
      <c r="G342" s="705">
        <v>549.17044737302001</v>
      </c>
    </row>
    <row r="343" spans="2:7" ht="11.25" hidden="1" customHeight="1" outlineLevel="2" x14ac:dyDescent="0.25">
      <c r="B343" s="704" t="s">
        <v>690</v>
      </c>
      <c r="C343" s="704" t="s">
        <v>714</v>
      </c>
      <c r="D343" s="704" t="s">
        <v>715</v>
      </c>
      <c r="E343" s="704" t="s">
        <v>448</v>
      </c>
      <c r="F343" s="705">
        <v>2.8230314851747247</v>
      </c>
      <c r="G343" s="705">
        <v>715.67271940801993</v>
      </c>
    </row>
    <row r="344" spans="2:7" ht="11.25" hidden="1" customHeight="1" outlineLevel="2" x14ac:dyDescent="0.25">
      <c r="B344" s="704" t="s">
        <v>691</v>
      </c>
      <c r="C344" s="704" t="s">
        <v>714</v>
      </c>
      <c r="D344" s="704" t="s">
        <v>715</v>
      </c>
      <c r="E344" s="704" t="s">
        <v>448</v>
      </c>
      <c r="F344" s="705">
        <v>1.4115162663082719</v>
      </c>
      <c r="G344" s="705">
        <v>357.83638726176002</v>
      </c>
    </row>
    <row r="345" spans="2:7" ht="11.25" hidden="1" customHeight="1" outlineLevel="2" x14ac:dyDescent="0.25">
      <c r="B345" s="704" t="s">
        <v>692</v>
      </c>
      <c r="C345" s="704" t="s">
        <v>714</v>
      </c>
      <c r="D345" s="704" t="s">
        <v>715</v>
      </c>
      <c r="E345" s="704" t="s">
        <v>448</v>
      </c>
      <c r="F345" s="705">
        <v>0.94101062915501865</v>
      </c>
      <c r="G345" s="705">
        <v>238.55749708809904</v>
      </c>
    </row>
    <row r="346" spans="2:7" ht="11.25" hidden="1" customHeight="1" outlineLevel="2" x14ac:dyDescent="0.25">
      <c r="B346" s="704" t="s">
        <v>693</v>
      </c>
      <c r="C346" s="704" t="s">
        <v>714</v>
      </c>
      <c r="D346" s="704" t="s">
        <v>715</v>
      </c>
      <c r="E346" s="704" t="s">
        <v>448</v>
      </c>
      <c r="F346" s="705">
        <v>0.94095400949200236</v>
      </c>
      <c r="G346" s="705">
        <v>238.55749708809904</v>
      </c>
    </row>
    <row r="347" spans="2:7" ht="11.25" hidden="1" customHeight="1" outlineLevel="2" x14ac:dyDescent="0.25">
      <c r="B347" s="704" t="s">
        <v>696</v>
      </c>
      <c r="C347" s="704" t="s">
        <v>714</v>
      </c>
      <c r="D347" s="704" t="s">
        <v>715</v>
      </c>
      <c r="E347" s="704" t="s">
        <v>448</v>
      </c>
      <c r="F347" s="705">
        <v>1.411431061829955</v>
      </c>
      <c r="G347" s="705">
        <v>357.83638726176002</v>
      </c>
    </row>
    <row r="348" spans="2:7" ht="11.25" hidden="1" customHeight="1" outlineLevel="2" x14ac:dyDescent="0.25">
      <c r="B348" s="704" t="s">
        <v>697</v>
      </c>
      <c r="C348" s="704" t="s">
        <v>714</v>
      </c>
      <c r="D348" s="704" t="s">
        <v>715</v>
      </c>
      <c r="E348" s="704" t="s">
        <v>448</v>
      </c>
      <c r="F348" s="705">
        <v>1.4114310618249204</v>
      </c>
      <c r="G348" s="705">
        <v>357.83638726176002</v>
      </c>
    </row>
    <row r="349" spans="2:7" ht="11.25" hidden="1" customHeight="1" outlineLevel="2" x14ac:dyDescent="0.25">
      <c r="B349" s="704" t="s">
        <v>698</v>
      </c>
      <c r="C349" s="704" t="s">
        <v>714</v>
      </c>
      <c r="D349" s="704" t="s">
        <v>715</v>
      </c>
      <c r="E349" s="704" t="s">
        <v>448</v>
      </c>
      <c r="F349" s="705">
        <v>1.8819082221943775</v>
      </c>
      <c r="G349" s="705">
        <v>477.11495593981999</v>
      </c>
    </row>
    <row r="350" spans="2:7" ht="11.25" hidden="1" customHeight="1" outlineLevel="2" x14ac:dyDescent="0.25">
      <c r="B350" s="704" t="s">
        <v>673</v>
      </c>
      <c r="C350" s="704" t="s">
        <v>716</v>
      </c>
      <c r="D350" s="704" t="s">
        <v>715</v>
      </c>
      <c r="E350" s="704" t="s">
        <v>448</v>
      </c>
      <c r="F350" s="705">
        <v>1.2217467237388766E-33</v>
      </c>
      <c r="G350" s="705">
        <v>1.4883506685854614E-30</v>
      </c>
    </row>
    <row r="351" spans="2:7" ht="11.25" hidden="1" customHeight="1" outlineLevel="2" x14ac:dyDescent="0.25">
      <c r="B351" s="704" t="s">
        <v>677</v>
      </c>
      <c r="C351" s="704" t="s">
        <v>716</v>
      </c>
      <c r="D351" s="704" t="s">
        <v>715</v>
      </c>
      <c r="E351" s="704" t="s">
        <v>448</v>
      </c>
      <c r="F351" s="705">
        <v>4.2915814961880154E-35</v>
      </c>
      <c r="G351" s="705">
        <v>5.2178122498499936E-32</v>
      </c>
    </row>
    <row r="352" spans="2:7" ht="11.25" hidden="1" customHeight="1" outlineLevel="2" x14ac:dyDescent="0.25">
      <c r="B352" s="704" t="s">
        <v>678</v>
      </c>
      <c r="C352" s="704" t="s">
        <v>716</v>
      </c>
      <c r="D352" s="704" t="s">
        <v>715</v>
      </c>
      <c r="E352" s="704" t="s">
        <v>448</v>
      </c>
      <c r="F352" s="705">
        <v>1.220677049326443E-33</v>
      </c>
      <c r="G352" s="705">
        <v>1.4883506685854614E-30</v>
      </c>
    </row>
    <row r="353" spans="2:7" ht="11.25" hidden="1" customHeight="1" outlineLevel="2" x14ac:dyDescent="0.25">
      <c r="B353" s="704" t="s">
        <v>679</v>
      </c>
      <c r="C353" s="704" t="s">
        <v>716</v>
      </c>
      <c r="D353" s="704" t="s">
        <v>715</v>
      </c>
      <c r="E353" s="704" t="s">
        <v>448</v>
      </c>
      <c r="F353" s="705">
        <v>3.4382141394124677E-35</v>
      </c>
      <c r="G353" s="705">
        <v>4.1921589853032535E-32</v>
      </c>
    </row>
    <row r="354" spans="2:7" ht="11.25" hidden="1" customHeight="1" outlineLevel="2" x14ac:dyDescent="0.25">
      <c r="B354" s="704" t="s">
        <v>680</v>
      </c>
      <c r="C354" s="704" t="s">
        <v>716</v>
      </c>
      <c r="D354" s="704" t="s">
        <v>715</v>
      </c>
      <c r="E354" s="704" t="s">
        <v>448</v>
      </c>
      <c r="F354" s="705">
        <v>1.2217467237388766E-33</v>
      </c>
      <c r="G354" s="705">
        <v>1.4883506685854614E-30</v>
      </c>
    </row>
    <row r="355" spans="2:7" ht="11.25" hidden="1" customHeight="1" outlineLevel="2" x14ac:dyDescent="0.25">
      <c r="B355" s="704" t="s">
        <v>681</v>
      </c>
      <c r="C355" s="704" t="s">
        <v>716</v>
      </c>
      <c r="D355" s="704" t="s">
        <v>715</v>
      </c>
      <c r="E355" s="704" t="s">
        <v>448</v>
      </c>
      <c r="F355" s="705">
        <v>1.220677049326443E-33</v>
      </c>
      <c r="G355" s="705">
        <v>1.4883506685854614E-30</v>
      </c>
    </row>
    <row r="356" spans="2:7" ht="11.25" hidden="1" customHeight="1" outlineLevel="2" x14ac:dyDescent="0.25">
      <c r="B356" s="704" t="s">
        <v>682</v>
      </c>
      <c r="C356" s="704" t="s">
        <v>716</v>
      </c>
      <c r="D356" s="704" t="s">
        <v>715</v>
      </c>
      <c r="E356" s="704" t="s">
        <v>448</v>
      </c>
      <c r="F356" s="705">
        <v>2.2012928122670537E-34</v>
      </c>
      <c r="G356" s="705">
        <v>2.6839964376933469E-31</v>
      </c>
    </row>
    <row r="357" spans="2:7" ht="11.25" hidden="1" customHeight="1" outlineLevel="2" x14ac:dyDescent="0.25">
      <c r="B357" s="704" t="s">
        <v>683</v>
      </c>
      <c r="C357" s="704" t="s">
        <v>716</v>
      </c>
      <c r="D357" s="704" t="s">
        <v>715</v>
      </c>
      <c r="E357" s="704" t="s">
        <v>448</v>
      </c>
      <c r="F357" s="705">
        <v>1.220677049326443E-33</v>
      </c>
      <c r="G357" s="705">
        <v>1.4883506685854614E-30</v>
      </c>
    </row>
    <row r="358" spans="2:7" ht="11.25" hidden="1" customHeight="1" outlineLevel="2" x14ac:dyDescent="0.25">
      <c r="B358" s="704" t="s">
        <v>684</v>
      </c>
      <c r="C358" s="704" t="s">
        <v>716</v>
      </c>
      <c r="D358" s="704" t="s">
        <v>715</v>
      </c>
      <c r="E358" s="704" t="s">
        <v>448</v>
      </c>
      <c r="F358" s="705">
        <v>1.3055530020460593E-33</v>
      </c>
      <c r="G358" s="705">
        <v>1.5904447834644856E-30</v>
      </c>
    </row>
    <row r="359" spans="2:7" ht="11.25" hidden="1" customHeight="1" outlineLevel="2" x14ac:dyDescent="0.25">
      <c r="B359" s="704" t="s">
        <v>685</v>
      </c>
      <c r="C359" s="704" t="s">
        <v>716</v>
      </c>
      <c r="D359" s="704" t="s">
        <v>715</v>
      </c>
      <c r="E359" s="704" t="s">
        <v>448</v>
      </c>
      <c r="F359" s="705">
        <v>1.220677049326443E-33</v>
      </c>
      <c r="G359" s="705">
        <v>1.4883506685854614E-30</v>
      </c>
    </row>
    <row r="360" spans="2:7" ht="11.25" hidden="1" customHeight="1" outlineLevel="2" x14ac:dyDescent="0.25">
      <c r="B360" s="704" t="s">
        <v>686</v>
      </c>
      <c r="C360" s="704" t="s">
        <v>716</v>
      </c>
      <c r="D360" s="704" t="s">
        <v>715</v>
      </c>
      <c r="E360" s="704" t="s">
        <v>448</v>
      </c>
      <c r="F360" s="705">
        <v>0.71736616966103828</v>
      </c>
      <c r="G360" s="705">
        <v>873.90651490484379</v>
      </c>
    </row>
    <row r="361" spans="2:7" ht="11.25" hidden="1" customHeight="1" outlineLevel="2" x14ac:dyDescent="0.25">
      <c r="B361" s="704" t="s">
        <v>687</v>
      </c>
      <c r="C361" s="704" t="s">
        <v>716</v>
      </c>
      <c r="D361" s="704" t="s">
        <v>715</v>
      </c>
      <c r="E361" s="704" t="s">
        <v>448</v>
      </c>
      <c r="F361" s="705">
        <v>1.1430547029828198E-33</v>
      </c>
      <c r="G361" s="705">
        <v>1.3937069903059726E-30</v>
      </c>
    </row>
    <row r="362" spans="2:7" ht="11.25" hidden="1" customHeight="1" outlineLevel="2" x14ac:dyDescent="0.25">
      <c r="B362" s="704" t="s">
        <v>688</v>
      </c>
      <c r="C362" s="704" t="s">
        <v>716</v>
      </c>
      <c r="D362" s="704" t="s">
        <v>715</v>
      </c>
      <c r="E362" s="704" t="s">
        <v>448</v>
      </c>
      <c r="F362" s="705">
        <v>1.3044101874851183E-33</v>
      </c>
      <c r="G362" s="705">
        <v>1.5904447834644856E-30</v>
      </c>
    </row>
    <row r="363" spans="2:7" ht="11.25" hidden="1" customHeight="1" outlineLevel="2" x14ac:dyDescent="0.25">
      <c r="B363" s="704" t="s">
        <v>689</v>
      </c>
      <c r="C363" s="704" t="s">
        <v>716</v>
      </c>
      <c r="D363" s="704" t="s">
        <v>715</v>
      </c>
      <c r="E363" s="704" t="s">
        <v>448</v>
      </c>
      <c r="F363" s="705">
        <v>2.1174128959979998E-33</v>
      </c>
      <c r="G363" s="705">
        <v>2.5816114851933079E-30</v>
      </c>
    </row>
    <row r="364" spans="2:7" ht="11.25" hidden="1" customHeight="1" outlineLevel="2" x14ac:dyDescent="0.25">
      <c r="B364" s="704" t="s">
        <v>690</v>
      </c>
      <c r="C364" s="704" t="s">
        <v>716</v>
      </c>
      <c r="D364" s="704" t="s">
        <v>715</v>
      </c>
      <c r="E364" s="704" t="s">
        <v>448</v>
      </c>
      <c r="F364" s="705">
        <v>4.2794073780183934E-35</v>
      </c>
      <c r="G364" s="705">
        <v>5.2178122498499936E-32</v>
      </c>
    </row>
    <row r="365" spans="2:7" ht="11.25" hidden="1" customHeight="1" outlineLevel="2" x14ac:dyDescent="0.25">
      <c r="B365" s="704" t="s">
        <v>691</v>
      </c>
      <c r="C365" s="704" t="s">
        <v>716</v>
      </c>
      <c r="D365" s="704" t="s">
        <v>715</v>
      </c>
      <c r="E365" s="704" t="s">
        <v>448</v>
      </c>
      <c r="F365" s="705">
        <v>1.2211720872999998E-33</v>
      </c>
      <c r="G365" s="705">
        <v>1.4909845060000002E-30</v>
      </c>
    </row>
    <row r="366" spans="2:7" ht="11.25" hidden="1" customHeight="1" outlineLevel="2" x14ac:dyDescent="0.25">
      <c r="B366" s="704" t="s">
        <v>692</v>
      </c>
      <c r="C366" s="704" t="s">
        <v>716</v>
      </c>
      <c r="D366" s="704" t="s">
        <v>715</v>
      </c>
      <c r="E366" s="704" t="s">
        <v>448</v>
      </c>
      <c r="F366" s="705">
        <v>1.6991312156860277E-33</v>
      </c>
      <c r="G366" s="705">
        <v>2.0717209505030632E-30</v>
      </c>
    </row>
    <row r="367" spans="2:7" ht="11.25" hidden="1" customHeight="1" outlineLevel="2" x14ac:dyDescent="0.25">
      <c r="B367" s="704" t="s">
        <v>693</v>
      </c>
      <c r="C367" s="704" t="s">
        <v>716</v>
      </c>
      <c r="D367" s="704" t="s">
        <v>715</v>
      </c>
      <c r="E367" s="704" t="s">
        <v>448</v>
      </c>
      <c r="F367" s="705">
        <v>1.7006194569637756E-33</v>
      </c>
      <c r="G367" s="705">
        <v>2.0717209505030705E-30</v>
      </c>
    </row>
    <row r="368" spans="2:7" ht="11.25" hidden="1" customHeight="1" outlineLevel="2" x14ac:dyDescent="0.25">
      <c r="B368" s="704" t="s">
        <v>694</v>
      </c>
      <c r="C368" s="704" t="s">
        <v>716</v>
      </c>
      <c r="D368" s="704" t="s">
        <v>715</v>
      </c>
      <c r="E368" s="704" t="s">
        <v>448</v>
      </c>
      <c r="F368" s="705">
        <v>3.4412263012536057E-35</v>
      </c>
      <c r="G368" s="705">
        <v>4.1921589853032535E-32</v>
      </c>
    </row>
    <row r="369" spans="2:7" ht="11.25" hidden="1" customHeight="1" outlineLevel="2" x14ac:dyDescent="0.25">
      <c r="B369" s="704" t="s">
        <v>695</v>
      </c>
      <c r="C369" s="704" t="s">
        <v>716</v>
      </c>
      <c r="D369" s="704" t="s">
        <v>715</v>
      </c>
      <c r="E369" s="704" t="s">
        <v>448</v>
      </c>
      <c r="F369" s="705">
        <v>3.4412263012536057E-35</v>
      </c>
      <c r="G369" s="705">
        <v>4.1921589853032535E-32</v>
      </c>
    </row>
    <row r="370" spans="2:7" ht="11.25" hidden="1" customHeight="1" outlineLevel="2" x14ac:dyDescent="0.25">
      <c r="B370" s="704" t="s">
        <v>696</v>
      </c>
      <c r="C370" s="704" t="s">
        <v>716</v>
      </c>
      <c r="D370" s="704" t="s">
        <v>715</v>
      </c>
      <c r="E370" s="704" t="s">
        <v>448</v>
      </c>
      <c r="F370" s="705">
        <v>1.2217467237388766E-33</v>
      </c>
      <c r="G370" s="705">
        <v>1.4883506685854614E-30</v>
      </c>
    </row>
    <row r="371" spans="2:7" ht="11.25" hidden="1" customHeight="1" outlineLevel="2" x14ac:dyDescent="0.25">
      <c r="B371" s="704" t="s">
        <v>697</v>
      </c>
      <c r="C371" s="704" t="s">
        <v>716</v>
      </c>
      <c r="D371" s="704" t="s">
        <v>715</v>
      </c>
      <c r="E371" s="704" t="s">
        <v>448</v>
      </c>
      <c r="F371" s="705">
        <v>1.2209185559999999E-33</v>
      </c>
      <c r="G371" s="705">
        <v>1.4909845060000002E-30</v>
      </c>
    </row>
    <row r="372" spans="2:7" ht="11.25" hidden="1" customHeight="1" outlineLevel="2" x14ac:dyDescent="0.25">
      <c r="B372" s="704" t="s">
        <v>698</v>
      </c>
      <c r="C372" s="704" t="s">
        <v>716</v>
      </c>
      <c r="D372" s="704" t="s">
        <v>715</v>
      </c>
      <c r="E372" s="704" t="s">
        <v>448</v>
      </c>
      <c r="F372" s="705">
        <v>2.0888774499999998E-33</v>
      </c>
      <c r="G372" s="705">
        <v>2.5436905559999998E-30</v>
      </c>
    </row>
    <row r="373" spans="2:7" ht="11.25" hidden="1" customHeight="1" outlineLevel="2" x14ac:dyDescent="0.25">
      <c r="B373" s="704" t="s">
        <v>699</v>
      </c>
      <c r="C373" s="704" t="s">
        <v>716</v>
      </c>
      <c r="D373" s="704" t="s">
        <v>715</v>
      </c>
      <c r="E373" s="704" t="s">
        <v>448</v>
      </c>
      <c r="F373" s="705">
        <v>3.4382141394124677E-35</v>
      </c>
      <c r="G373" s="705">
        <v>4.1921589853032535E-32</v>
      </c>
    </row>
    <row r="374" spans="2:7" ht="11.25" hidden="1" customHeight="1" outlineLevel="2" x14ac:dyDescent="0.25">
      <c r="B374" s="704" t="s">
        <v>673</v>
      </c>
      <c r="C374" s="704" t="s">
        <v>717</v>
      </c>
      <c r="D374" s="704" t="s">
        <v>715</v>
      </c>
      <c r="E374" s="704" t="s">
        <v>448</v>
      </c>
      <c r="F374" s="705">
        <v>1.5118312018812359</v>
      </c>
      <c r="G374" s="705">
        <v>413.18481786908904</v>
      </c>
    </row>
    <row r="375" spans="2:7" ht="11.25" hidden="1" customHeight="1" outlineLevel="2" x14ac:dyDescent="0.25">
      <c r="B375" s="704" t="s">
        <v>677</v>
      </c>
      <c r="C375" s="704" t="s">
        <v>717</v>
      </c>
      <c r="D375" s="704" t="s">
        <v>715</v>
      </c>
      <c r="E375" s="704" t="s">
        <v>448</v>
      </c>
      <c r="F375" s="705">
        <v>3.0281428506067716</v>
      </c>
      <c r="G375" s="705">
        <v>826.36984331692997</v>
      </c>
    </row>
    <row r="376" spans="2:7" ht="11.25" hidden="1" customHeight="1" outlineLevel="2" x14ac:dyDescent="0.25">
      <c r="B376" s="704" t="s">
        <v>678</v>
      </c>
      <c r="C376" s="704" t="s">
        <v>717</v>
      </c>
      <c r="D376" s="704" t="s">
        <v>715</v>
      </c>
      <c r="E376" s="704" t="s">
        <v>448</v>
      </c>
      <c r="F376" s="705">
        <v>1.5119219198278302</v>
      </c>
      <c r="G376" s="705">
        <v>413.18481786908904</v>
      </c>
    </row>
    <row r="377" spans="2:7" ht="11.25" hidden="1" customHeight="1" outlineLevel="2" x14ac:dyDescent="0.25">
      <c r="B377" s="704" t="s">
        <v>679</v>
      </c>
      <c r="C377" s="704" t="s">
        <v>717</v>
      </c>
      <c r="D377" s="704" t="s">
        <v>715</v>
      </c>
      <c r="E377" s="704" t="s">
        <v>448</v>
      </c>
      <c r="F377" s="705">
        <v>2.5727498841494662E-34</v>
      </c>
      <c r="G377" s="705">
        <v>7.0309237561352104E-32</v>
      </c>
    </row>
    <row r="378" spans="2:7" ht="11.25" hidden="1" customHeight="1" outlineLevel="2" x14ac:dyDescent="0.25">
      <c r="B378" s="704" t="s">
        <v>680</v>
      </c>
      <c r="C378" s="704" t="s">
        <v>717</v>
      </c>
      <c r="D378" s="704" t="s">
        <v>715</v>
      </c>
      <c r="E378" s="704" t="s">
        <v>448</v>
      </c>
      <c r="F378" s="705">
        <v>1.5118312018812359</v>
      </c>
      <c r="G378" s="705">
        <v>413.18481786908904</v>
      </c>
    </row>
    <row r="379" spans="2:7" ht="11.25" hidden="1" customHeight="1" outlineLevel="2" x14ac:dyDescent="0.25">
      <c r="B379" s="704" t="s">
        <v>681</v>
      </c>
      <c r="C379" s="704" t="s">
        <v>717</v>
      </c>
      <c r="D379" s="704" t="s">
        <v>715</v>
      </c>
      <c r="E379" s="704" t="s">
        <v>448</v>
      </c>
      <c r="F379" s="705">
        <v>1.5119219198278302</v>
      </c>
      <c r="G379" s="705">
        <v>413.18481786908904</v>
      </c>
    </row>
    <row r="380" spans="2:7" ht="11.25" hidden="1" customHeight="1" outlineLevel="2" x14ac:dyDescent="0.25">
      <c r="B380" s="704" t="s">
        <v>682</v>
      </c>
      <c r="C380" s="704" t="s">
        <v>717</v>
      </c>
      <c r="D380" s="704" t="s">
        <v>715</v>
      </c>
      <c r="E380" s="704" t="s">
        <v>448</v>
      </c>
      <c r="F380" s="705">
        <v>4.0317920525453079</v>
      </c>
      <c r="G380" s="705">
        <v>1101.8254873556698</v>
      </c>
    </row>
    <row r="381" spans="2:7" ht="11.25" hidden="1" customHeight="1" outlineLevel="2" x14ac:dyDescent="0.25">
      <c r="B381" s="704" t="s">
        <v>683</v>
      </c>
      <c r="C381" s="704" t="s">
        <v>717</v>
      </c>
      <c r="D381" s="704" t="s">
        <v>715</v>
      </c>
      <c r="E381" s="704" t="s">
        <v>448</v>
      </c>
      <c r="F381" s="705">
        <v>1.5119219198278302</v>
      </c>
      <c r="G381" s="705">
        <v>413.18481786908904</v>
      </c>
    </row>
    <row r="382" spans="2:7" ht="11.25" hidden="1" customHeight="1" outlineLevel="2" x14ac:dyDescent="0.25">
      <c r="B382" s="704" t="s">
        <v>684</v>
      </c>
      <c r="C382" s="704" t="s">
        <v>717</v>
      </c>
      <c r="D382" s="704" t="s">
        <v>715</v>
      </c>
      <c r="E382" s="704" t="s">
        <v>448</v>
      </c>
      <c r="F382" s="705">
        <v>0.50394366596309903</v>
      </c>
      <c r="G382" s="705">
        <v>137.72835295817683</v>
      </c>
    </row>
    <row r="383" spans="2:7" ht="11.25" hidden="1" customHeight="1" outlineLevel="2" x14ac:dyDescent="0.25">
      <c r="B383" s="704" t="s">
        <v>685</v>
      </c>
      <c r="C383" s="704" t="s">
        <v>717</v>
      </c>
      <c r="D383" s="704" t="s">
        <v>715</v>
      </c>
      <c r="E383" s="704" t="s">
        <v>448</v>
      </c>
      <c r="F383" s="705">
        <v>1.5119219198278302</v>
      </c>
      <c r="G383" s="705">
        <v>413.18481786908904</v>
      </c>
    </row>
    <row r="384" spans="2:7" ht="11.25" hidden="1" customHeight="1" outlineLevel="2" x14ac:dyDescent="0.25">
      <c r="B384" s="704" t="s">
        <v>686</v>
      </c>
      <c r="C384" s="704" t="s">
        <v>717</v>
      </c>
      <c r="D384" s="704" t="s">
        <v>715</v>
      </c>
      <c r="E384" s="704" t="s">
        <v>448</v>
      </c>
      <c r="F384" s="705">
        <v>1.5118312018812359</v>
      </c>
      <c r="G384" s="705">
        <v>413.18481786908904</v>
      </c>
    </row>
    <row r="385" spans="2:7" ht="11.25" hidden="1" customHeight="1" outlineLevel="2" x14ac:dyDescent="0.25">
      <c r="B385" s="704" t="s">
        <v>687</v>
      </c>
      <c r="C385" s="704" t="s">
        <v>717</v>
      </c>
      <c r="D385" s="704" t="s">
        <v>715</v>
      </c>
      <c r="E385" s="704" t="s">
        <v>448</v>
      </c>
      <c r="F385" s="705">
        <v>2.51986940727451</v>
      </c>
      <c r="G385" s="705">
        <v>688.64149439337996</v>
      </c>
    </row>
    <row r="386" spans="2:7" ht="11.25" hidden="1" customHeight="1" outlineLevel="2" x14ac:dyDescent="0.25">
      <c r="B386" s="704" t="s">
        <v>688</v>
      </c>
      <c r="C386" s="704" t="s">
        <v>717</v>
      </c>
      <c r="D386" s="704" t="s">
        <v>715</v>
      </c>
      <c r="E386" s="704" t="s">
        <v>448</v>
      </c>
      <c r="F386" s="705">
        <v>0.5039738901659363</v>
      </c>
      <c r="G386" s="705">
        <v>137.72835295817683</v>
      </c>
    </row>
    <row r="387" spans="2:7" ht="11.25" hidden="1" customHeight="1" outlineLevel="2" x14ac:dyDescent="0.25">
      <c r="B387" s="704" t="s">
        <v>689</v>
      </c>
      <c r="C387" s="704" t="s">
        <v>717</v>
      </c>
      <c r="D387" s="704" t="s">
        <v>715</v>
      </c>
      <c r="E387" s="704" t="s">
        <v>448</v>
      </c>
      <c r="F387" s="705">
        <v>2.320248947582443</v>
      </c>
      <c r="G387" s="705">
        <v>634.11361969864902</v>
      </c>
    </row>
    <row r="388" spans="2:7" ht="11.25" hidden="1" customHeight="1" outlineLevel="2" x14ac:dyDescent="0.25">
      <c r="B388" s="704" t="s">
        <v>690</v>
      </c>
      <c r="C388" s="704" t="s">
        <v>717</v>
      </c>
      <c r="D388" s="704" t="s">
        <v>715</v>
      </c>
      <c r="E388" s="704" t="s">
        <v>448</v>
      </c>
      <c r="F388" s="705">
        <v>3.0238444471910184</v>
      </c>
      <c r="G388" s="705">
        <v>826.36984331692997</v>
      </c>
    </row>
    <row r="389" spans="2:7" ht="11.25" hidden="1" customHeight="1" outlineLevel="2" x14ac:dyDescent="0.25">
      <c r="B389" s="704" t="s">
        <v>691</v>
      </c>
      <c r="C389" s="704" t="s">
        <v>717</v>
      </c>
      <c r="D389" s="704" t="s">
        <v>715</v>
      </c>
      <c r="E389" s="704" t="s">
        <v>448</v>
      </c>
      <c r="F389" s="705">
        <v>1.5119219198637137</v>
      </c>
      <c r="G389" s="705">
        <v>413.18481786782138</v>
      </c>
    </row>
    <row r="390" spans="2:7" ht="11.25" hidden="1" customHeight="1" outlineLevel="2" x14ac:dyDescent="0.25">
      <c r="B390" s="704" t="s">
        <v>692</v>
      </c>
      <c r="C390" s="704" t="s">
        <v>717</v>
      </c>
      <c r="D390" s="704" t="s">
        <v>715</v>
      </c>
      <c r="E390" s="704" t="s">
        <v>448</v>
      </c>
      <c r="F390" s="705">
        <v>1.0079476137810657</v>
      </c>
      <c r="G390" s="705">
        <v>275.45650629490206</v>
      </c>
    </row>
    <row r="391" spans="2:7" ht="11.25" hidden="1" customHeight="1" outlineLevel="2" x14ac:dyDescent="0.25">
      <c r="B391" s="704" t="s">
        <v>693</v>
      </c>
      <c r="C391" s="704" t="s">
        <v>717</v>
      </c>
      <c r="D391" s="704" t="s">
        <v>715</v>
      </c>
      <c r="E391" s="704" t="s">
        <v>448</v>
      </c>
      <c r="F391" s="705">
        <v>1.0078872714417808</v>
      </c>
      <c r="G391" s="705">
        <v>275.45650629490206</v>
      </c>
    </row>
    <row r="392" spans="2:7" ht="11.25" hidden="1" customHeight="1" outlineLevel="2" x14ac:dyDescent="0.25">
      <c r="B392" s="704" t="s">
        <v>694</v>
      </c>
      <c r="C392" s="704" t="s">
        <v>717</v>
      </c>
      <c r="D392" s="704" t="s">
        <v>715</v>
      </c>
      <c r="E392" s="704" t="s">
        <v>448</v>
      </c>
      <c r="F392" s="705">
        <v>2.5725958477969523E-34</v>
      </c>
      <c r="G392" s="705">
        <v>7.0309237561352104E-32</v>
      </c>
    </row>
    <row r="393" spans="2:7" ht="11.25" hidden="1" customHeight="1" outlineLevel="2" x14ac:dyDescent="0.25">
      <c r="B393" s="704" t="s">
        <v>695</v>
      </c>
      <c r="C393" s="704" t="s">
        <v>717</v>
      </c>
      <c r="D393" s="704" t="s">
        <v>715</v>
      </c>
      <c r="E393" s="704" t="s">
        <v>448</v>
      </c>
      <c r="F393" s="705">
        <v>2.5725958477969523E-34</v>
      </c>
      <c r="G393" s="705">
        <v>7.0309237561352104E-32</v>
      </c>
    </row>
    <row r="394" spans="2:7" ht="11.25" hidden="1" customHeight="1" outlineLevel="2" x14ac:dyDescent="0.25">
      <c r="B394" s="704" t="s">
        <v>696</v>
      </c>
      <c r="C394" s="704" t="s">
        <v>717</v>
      </c>
      <c r="D394" s="704" t="s">
        <v>715</v>
      </c>
      <c r="E394" s="704" t="s">
        <v>448</v>
      </c>
      <c r="F394" s="705">
        <v>1.5118312018812359</v>
      </c>
      <c r="G394" s="705">
        <v>413.18481786908904</v>
      </c>
    </row>
    <row r="395" spans="2:7" ht="11.25" hidden="1" customHeight="1" outlineLevel="2" x14ac:dyDescent="0.25">
      <c r="B395" s="704" t="s">
        <v>697</v>
      </c>
      <c r="C395" s="704" t="s">
        <v>717</v>
      </c>
      <c r="D395" s="704" t="s">
        <v>715</v>
      </c>
      <c r="E395" s="704" t="s">
        <v>448</v>
      </c>
      <c r="F395" s="705">
        <v>1.5118312018958091</v>
      </c>
      <c r="G395" s="705">
        <v>413.18481786782138</v>
      </c>
    </row>
    <row r="396" spans="2:7" ht="11.25" hidden="1" customHeight="1" outlineLevel="2" x14ac:dyDescent="0.25">
      <c r="B396" s="704" t="s">
        <v>698</v>
      </c>
      <c r="C396" s="704" t="s">
        <v>717</v>
      </c>
      <c r="D396" s="704" t="s">
        <v>715</v>
      </c>
      <c r="E396" s="704" t="s">
        <v>448</v>
      </c>
      <c r="F396" s="705">
        <v>2.0157752595077456</v>
      </c>
      <c r="G396" s="705">
        <v>550.91278721908009</v>
      </c>
    </row>
    <row r="397" spans="2:7" ht="11.25" hidden="1" customHeight="1" outlineLevel="2" x14ac:dyDescent="0.25">
      <c r="B397" s="704" t="s">
        <v>699</v>
      </c>
      <c r="C397" s="704" t="s">
        <v>717</v>
      </c>
      <c r="D397" s="704" t="s">
        <v>715</v>
      </c>
      <c r="E397" s="704" t="s">
        <v>448</v>
      </c>
      <c r="F397" s="705">
        <v>2.5727498841494662E-34</v>
      </c>
      <c r="G397" s="705">
        <v>7.0309237561352104E-32</v>
      </c>
    </row>
    <row r="398" spans="2:7" ht="11.25" hidden="1" customHeight="1" outlineLevel="2" x14ac:dyDescent="0.25">
      <c r="B398" s="704" t="s">
        <v>673</v>
      </c>
      <c r="C398" s="704" t="s">
        <v>718</v>
      </c>
      <c r="D398" s="704" t="s">
        <v>715</v>
      </c>
      <c r="E398" s="704" t="s">
        <v>448</v>
      </c>
      <c r="F398" s="705">
        <v>9.6810498399260481E-2</v>
      </c>
      <c r="G398" s="705">
        <v>106.22956157076491</v>
      </c>
    </row>
    <row r="399" spans="2:7" ht="11.25" hidden="1" customHeight="1" outlineLevel="2" x14ac:dyDescent="0.25">
      <c r="B399" s="704" t="s">
        <v>677</v>
      </c>
      <c r="C399" s="704" t="s">
        <v>718</v>
      </c>
      <c r="D399" s="704" t="s">
        <v>715</v>
      </c>
      <c r="E399" s="704" t="s">
        <v>448</v>
      </c>
      <c r="F399" s="705">
        <v>0.19390782594176903</v>
      </c>
      <c r="G399" s="705">
        <v>212.45914634475341</v>
      </c>
    </row>
    <row r="400" spans="2:7" ht="11.25" hidden="1" customHeight="1" outlineLevel="2" x14ac:dyDescent="0.25">
      <c r="B400" s="704" t="s">
        <v>678</v>
      </c>
      <c r="C400" s="704" t="s">
        <v>718</v>
      </c>
      <c r="D400" s="704" t="s">
        <v>715</v>
      </c>
      <c r="E400" s="704" t="s">
        <v>448</v>
      </c>
      <c r="F400" s="705">
        <v>9.6816320427786207E-2</v>
      </c>
      <c r="G400" s="705">
        <v>106.22956157076491</v>
      </c>
    </row>
    <row r="401" spans="2:7" ht="11.25" hidden="1" customHeight="1" outlineLevel="2" x14ac:dyDescent="0.25">
      <c r="B401" s="704" t="s">
        <v>679</v>
      </c>
      <c r="C401" s="704" t="s">
        <v>718</v>
      </c>
      <c r="D401" s="704" t="s">
        <v>715</v>
      </c>
      <c r="E401" s="704" t="s">
        <v>448</v>
      </c>
      <c r="F401" s="705">
        <v>1.0335191748071537E-33</v>
      </c>
      <c r="G401" s="705">
        <v>1.1418625961266794E-30</v>
      </c>
    </row>
    <row r="402" spans="2:7" ht="11.25" hidden="1" customHeight="1" outlineLevel="2" x14ac:dyDescent="0.25">
      <c r="B402" s="704" t="s">
        <v>680</v>
      </c>
      <c r="C402" s="704" t="s">
        <v>718</v>
      </c>
      <c r="D402" s="704" t="s">
        <v>715</v>
      </c>
      <c r="E402" s="704" t="s">
        <v>448</v>
      </c>
      <c r="F402" s="705">
        <v>9.6810498399260481E-2</v>
      </c>
      <c r="G402" s="705">
        <v>106.22956157076491</v>
      </c>
    </row>
    <row r="403" spans="2:7" ht="11.25" hidden="1" customHeight="1" outlineLevel="2" x14ac:dyDescent="0.25">
      <c r="B403" s="704" t="s">
        <v>681</v>
      </c>
      <c r="C403" s="704" t="s">
        <v>718</v>
      </c>
      <c r="D403" s="704" t="s">
        <v>715</v>
      </c>
      <c r="E403" s="704" t="s">
        <v>448</v>
      </c>
      <c r="F403" s="705">
        <v>9.6816320427786207E-2</v>
      </c>
      <c r="G403" s="705">
        <v>106.22956157076491</v>
      </c>
    </row>
    <row r="404" spans="2:7" ht="11.25" hidden="1" customHeight="1" outlineLevel="2" x14ac:dyDescent="0.25">
      <c r="B404" s="704" t="s">
        <v>682</v>
      </c>
      <c r="C404" s="704" t="s">
        <v>718</v>
      </c>
      <c r="D404" s="704" t="s">
        <v>715</v>
      </c>
      <c r="E404" s="704" t="s">
        <v>448</v>
      </c>
      <c r="F404" s="705">
        <v>0.25817679020102169</v>
      </c>
      <c r="G404" s="705">
        <v>283.27889607704628</v>
      </c>
    </row>
    <row r="405" spans="2:7" ht="11.25" hidden="1" customHeight="1" outlineLevel="2" x14ac:dyDescent="0.25">
      <c r="B405" s="704" t="s">
        <v>683</v>
      </c>
      <c r="C405" s="704" t="s">
        <v>718</v>
      </c>
      <c r="D405" s="704" t="s">
        <v>715</v>
      </c>
      <c r="E405" s="704" t="s">
        <v>448</v>
      </c>
      <c r="F405" s="705">
        <v>9.6816320427786207E-2</v>
      </c>
      <c r="G405" s="705">
        <v>106.22956157076491</v>
      </c>
    </row>
    <row r="406" spans="2:7" ht="11.25" hidden="1" customHeight="1" outlineLevel="2" x14ac:dyDescent="0.25">
      <c r="B406" s="704" t="s">
        <v>684</v>
      </c>
      <c r="C406" s="704" t="s">
        <v>718</v>
      </c>
      <c r="D406" s="704" t="s">
        <v>715</v>
      </c>
      <c r="E406" s="704" t="s">
        <v>448</v>
      </c>
      <c r="F406" s="705">
        <v>3.2270168844169445E-2</v>
      </c>
      <c r="G406" s="705">
        <v>35.409863596027456</v>
      </c>
    </row>
    <row r="407" spans="2:7" ht="11.25" hidden="1" customHeight="1" outlineLevel="2" x14ac:dyDescent="0.25">
      <c r="B407" s="704" t="s">
        <v>685</v>
      </c>
      <c r="C407" s="704" t="s">
        <v>718</v>
      </c>
      <c r="D407" s="704" t="s">
        <v>715</v>
      </c>
      <c r="E407" s="704" t="s">
        <v>448</v>
      </c>
      <c r="F407" s="705">
        <v>9.6816320427786207E-2</v>
      </c>
      <c r="G407" s="705">
        <v>106.22956157076491</v>
      </c>
    </row>
    <row r="408" spans="2:7" ht="11.25" hidden="1" customHeight="1" outlineLevel="2" x14ac:dyDescent="0.25">
      <c r="B408" s="704" t="s">
        <v>686</v>
      </c>
      <c r="C408" s="704" t="s">
        <v>718</v>
      </c>
      <c r="D408" s="704" t="s">
        <v>715</v>
      </c>
      <c r="E408" s="704" t="s">
        <v>448</v>
      </c>
      <c r="F408" s="705">
        <v>9.6810498399260481E-2</v>
      </c>
      <c r="G408" s="705">
        <v>106.22956157076491</v>
      </c>
    </row>
    <row r="409" spans="2:7" ht="11.25" hidden="1" customHeight="1" outlineLevel="2" x14ac:dyDescent="0.25">
      <c r="B409" s="704" t="s">
        <v>687</v>
      </c>
      <c r="C409" s="704" t="s">
        <v>718</v>
      </c>
      <c r="D409" s="704" t="s">
        <v>715</v>
      </c>
      <c r="E409" s="704" t="s">
        <v>448</v>
      </c>
      <c r="F409" s="705">
        <v>0.16136052086180849</v>
      </c>
      <c r="G409" s="705">
        <v>177.049330128191</v>
      </c>
    </row>
    <row r="410" spans="2:7" ht="11.25" hidden="1" customHeight="1" outlineLevel="2" x14ac:dyDescent="0.25">
      <c r="B410" s="704" t="s">
        <v>688</v>
      </c>
      <c r="C410" s="704" t="s">
        <v>718</v>
      </c>
      <c r="D410" s="704" t="s">
        <v>715</v>
      </c>
      <c r="E410" s="704" t="s">
        <v>448</v>
      </c>
      <c r="F410" s="705">
        <v>3.2272107233087044E-2</v>
      </c>
      <c r="G410" s="705">
        <v>35.409863596027456</v>
      </c>
    </row>
    <row r="411" spans="2:7" ht="11.25" hidden="1" customHeight="1" outlineLevel="2" x14ac:dyDescent="0.25">
      <c r="B411" s="704" t="s">
        <v>689</v>
      </c>
      <c r="C411" s="704" t="s">
        <v>718</v>
      </c>
      <c r="D411" s="704" t="s">
        <v>715</v>
      </c>
      <c r="E411" s="704" t="s">
        <v>448</v>
      </c>
      <c r="F411" s="705">
        <v>0.1485777577174219</v>
      </c>
      <c r="G411" s="705">
        <v>163.03018305966535</v>
      </c>
    </row>
    <row r="412" spans="2:7" ht="11.25" hidden="1" customHeight="1" outlineLevel="2" x14ac:dyDescent="0.25">
      <c r="B412" s="704" t="s">
        <v>690</v>
      </c>
      <c r="C412" s="704" t="s">
        <v>718</v>
      </c>
      <c r="D412" s="704" t="s">
        <v>715</v>
      </c>
      <c r="E412" s="704" t="s">
        <v>448</v>
      </c>
      <c r="F412" s="705">
        <v>0.19363265633184704</v>
      </c>
      <c r="G412" s="705">
        <v>212.45914634475341</v>
      </c>
    </row>
    <row r="413" spans="2:7" ht="11.25" hidden="1" customHeight="1" outlineLevel="2" x14ac:dyDescent="0.25">
      <c r="B413" s="704" t="s">
        <v>691</v>
      </c>
      <c r="C413" s="704" t="s">
        <v>718</v>
      </c>
      <c r="D413" s="704" t="s">
        <v>715</v>
      </c>
      <c r="E413" s="704" t="s">
        <v>448</v>
      </c>
      <c r="F413" s="705">
        <v>9.681632042604961E-2</v>
      </c>
      <c r="G413" s="705">
        <v>106.22956157090668</v>
      </c>
    </row>
    <row r="414" spans="2:7" ht="11.25" hidden="1" customHeight="1" outlineLevel="2" x14ac:dyDescent="0.25">
      <c r="B414" s="704" t="s">
        <v>692</v>
      </c>
      <c r="C414" s="704" t="s">
        <v>718</v>
      </c>
      <c r="D414" s="704" t="s">
        <v>715</v>
      </c>
      <c r="E414" s="704" t="s">
        <v>448</v>
      </c>
      <c r="F414" s="705">
        <v>6.4544225624817819E-2</v>
      </c>
      <c r="G414" s="705">
        <v>70.81972060486072</v>
      </c>
    </row>
    <row r="415" spans="2:7" ht="11.25" hidden="1" customHeight="1" outlineLevel="2" x14ac:dyDescent="0.25">
      <c r="B415" s="704" t="s">
        <v>693</v>
      </c>
      <c r="C415" s="704" t="s">
        <v>718</v>
      </c>
      <c r="D415" s="704" t="s">
        <v>715</v>
      </c>
      <c r="E415" s="704" t="s">
        <v>448</v>
      </c>
      <c r="F415" s="705">
        <v>6.4540336974387241E-2</v>
      </c>
      <c r="G415" s="705">
        <v>70.819720604860905</v>
      </c>
    </row>
    <row r="416" spans="2:7" ht="11.25" hidden="1" customHeight="1" outlineLevel="2" x14ac:dyDescent="0.25">
      <c r="B416" s="704" t="s">
        <v>694</v>
      </c>
      <c r="C416" s="704" t="s">
        <v>718</v>
      </c>
      <c r="D416" s="704" t="s">
        <v>715</v>
      </c>
      <c r="E416" s="704" t="s">
        <v>448</v>
      </c>
      <c r="F416" s="705">
        <v>1.0334569929962253E-33</v>
      </c>
      <c r="G416" s="705">
        <v>1.1418625961266794E-30</v>
      </c>
    </row>
    <row r="417" spans="2:7" ht="11.25" hidden="1" customHeight="1" outlineLevel="2" x14ac:dyDescent="0.25">
      <c r="B417" s="704" t="s">
        <v>695</v>
      </c>
      <c r="C417" s="704" t="s">
        <v>718</v>
      </c>
      <c r="D417" s="704" t="s">
        <v>715</v>
      </c>
      <c r="E417" s="704" t="s">
        <v>448</v>
      </c>
      <c r="F417" s="705">
        <v>1.0334569929962253E-33</v>
      </c>
      <c r="G417" s="705">
        <v>1.1418625961266794E-30</v>
      </c>
    </row>
    <row r="418" spans="2:7" ht="11.25" hidden="1" customHeight="1" outlineLevel="2" x14ac:dyDescent="0.25">
      <c r="B418" s="704" t="s">
        <v>696</v>
      </c>
      <c r="C418" s="704" t="s">
        <v>718</v>
      </c>
      <c r="D418" s="704" t="s">
        <v>715</v>
      </c>
      <c r="E418" s="704" t="s">
        <v>448</v>
      </c>
      <c r="F418" s="705">
        <v>9.6810498399260481E-2</v>
      </c>
      <c r="G418" s="705">
        <v>106.22956157076491</v>
      </c>
    </row>
    <row r="419" spans="2:7" ht="11.25" hidden="1" customHeight="1" outlineLevel="2" x14ac:dyDescent="0.25">
      <c r="B419" s="704" t="s">
        <v>697</v>
      </c>
      <c r="C419" s="704" t="s">
        <v>718</v>
      </c>
      <c r="D419" s="704" t="s">
        <v>715</v>
      </c>
      <c r="E419" s="704" t="s">
        <v>448</v>
      </c>
      <c r="F419" s="705">
        <v>9.6810498400065392E-2</v>
      </c>
      <c r="G419" s="705">
        <v>106.22956157090668</v>
      </c>
    </row>
    <row r="420" spans="2:7" ht="11.25" hidden="1" customHeight="1" outlineLevel="2" x14ac:dyDescent="0.25">
      <c r="B420" s="704" t="s">
        <v>698</v>
      </c>
      <c r="C420" s="704" t="s">
        <v>718</v>
      </c>
      <c r="D420" s="704" t="s">
        <v>715</v>
      </c>
      <c r="E420" s="704" t="s">
        <v>448</v>
      </c>
      <c r="F420" s="705">
        <v>0.12908065053309148</v>
      </c>
      <c r="G420" s="705">
        <v>141.6394103892313</v>
      </c>
    </row>
    <row r="421" spans="2:7" ht="11.25" hidden="1" customHeight="1" outlineLevel="2" x14ac:dyDescent="0.25">
      <c r="B421" s="704" t="s">
        <v>699</v>
      </c>
      <c r="C421" s="704" t="s">
        <v>718</v>
      </c>
      <c r="D421" s="704" t="s">
        <v>715</v>
      </c>
      <c r="E421" s="704" t="s">
        <v>448</v>
      </c>
      <c r="F421" s="705">
        <v>1.0335191748071537E-33</v>
      </c>
      <c r="G421" s="705">
        <v>1.1418625961266794E-30</v>
      </c>
    </row>
    <row r="422" spans="2:7" ht="11.25" hidden="1" customHeight="1" outlineLevel="2" x14ac:dyDescent="0.25">
      <c r="B422" s="704" t="s">
        <v>673</v>
      </c>
      <c r="C422" s="704" t="s">
        <v>719</v>
      </c>
      <c r="D422" s="704" t="s">
        <v>675</v>
      </c>
      <c r="E422" s="704" t="s">
        <v>448</v>
      </c>
      <c r="F422" s="705">
        <v>6.6142066426953796E-3</v>
      </c>
      <c r="G422" s="705">
        <v>4.0781214534397945</v>
      </c>
    </row>
    <row r="423" spans="2:7" ht="11.25" hidden="1" customHeight="1" outlineLevel="2" x14ac:dyDescent="0.25">
      <c r="B423" s="704" t="s">
        <v>677</v>
      </c>
      <c r="C423" s="704" t="s">
        <v>719</v>
      </c>
      <c r="D423" s="704" t="s">
        <v>675</v>
      </c>
      <c r="E423" s="704" t="s">
        <v>448</v>
      </c>
      <c r="F423" s="705">
        <v>0.10993362970885104</v>
      </c>
      <c r="G423" s="705">
        <v>67.675765490648899</v>
      </c>
    </row>
    <row r="424" spans="2:7" ht="11.25" hidden="1" customHeight="1" outlineLevel="2" x14ac:dyDescent="0.25">
      <c r="B424" s="704" t="s">
        <v>678</v>
      </c>
      <c r="C424" s="704" t="s">
        <v>719</v>
      </c>
      <c r="D424" s="704" t="s">
        <v>675</v>
      </c>
      <c r="E424" s="704" t="s">
        <v>448</v>
      </c>
      <c r="F424" s="705">
        <v>0.25423180037772825</v>
      </c>
      <c r="G424" s="705">
        <v>156.75842373389</v>
      </c>
    </row>
    <row r="425" spans="2:7" ht="11.25" hidden="1" customHeight="1" outlineLevel="2" x14ac:dyDescent="0.25">
      <c r="B425" s="704" t="s">
        <v>679</v>
      </c>
      <c r="C425" s="704" t="s">
        <v>719</v>
      </c>
      <c r="D425" s="704" t="s">
        <v>675</v>
      </c>
      <c r="E425" s="704" t="s">
        <v>448</v>
      </c>
      <c r="F425" s="705">
        <v>2.0631445284043697E-2</v>
      </c>
      <c r="G425" s="705">
        <v>12.721273690325667</v>
      </c>
    </row>
    <row r="426" spans="2:7" ht="11.25" hidden="1" customHeight="1" outlineLevel="2" x14ac:dyDescent="0.25">
      <c r="B426" s="704" t="s">
        <v>680</v>
      </c>
      <c r="C426" s="704" t="s">
        <v>719</v>
      </c>
      <c r="D426" s="704" t="s">
        <v>675</v>
      </c>
      <c r="E426" s="704" t="s">
        <v>448</v>
      </c>
      <c r="F426" s="705">
        <v>3.8241466601556108E-3</v>
      </c>
      <c r="G426" s="705">
        <v>2.35785193736552</v>
      </c>
    </row>
    <row r="427" spans="2:7" ht="11.25" hidden="1" customHeight="1" outlineLevel="2" x14ac:dyDescent="0.25">
      <c r="B427" s="704" t="s">
        <v>681</v>
      </c>
      <c r="C427" s="704" t="s">
        <v>719</v>
      </c>
      <c r="D427" s="704" t="s">
        <v>675</v>
      </c>
      <c r="E427" s="704" t="s">
        <v>448</v>
      </c>
      <c r="F427" s="705">
        <v>3.2254060077489016E-2</v>
      </c>
      <c r="G427" s="705">
        <v>19.887731334232267</v>
      </c>
    </row>
    <row r="428" spans="2:7" ht="11.25" hidden="1" customHeight="1" outlineLevel="2" x14ac:dyDescent="0.25">
      <c r="B428" s="704" t="s">
        <v>682</v>
      </c>
      <c r="C428" s="704" t="s">
        <v>719</v>
      </c>
      <c r="D428" s="704" t="s">
        <v>675</v>
      </c>
      <c r="E428" s="704" t="s">
        <v>448</v>
      </c>
      <c r="F428" s="705">
        <v>2.831409721607598E-2</v>
      </c>
      <c r="G428" s="705">
        <v>17.458386212742795</v>
      </c>
    </row>
    <row r="429" spans="2:7" ht="11.25" hidden="1" customHeight="1" outlineLevel="2" x14ac:dyDescent="0.25">
      <c r="B429" s="704" t="s">
        <v>683</v>
      </c>
      <c r="C429" s="704" t="s">
        <v>719</v>
      </c>
      <c r="D429" s="704" t="s">
        <v>675</v>
      </c>
      <c r="E429" s="704" t="s">
        <v>448</v>
      </c>
      <c r="F429" s="705">
        <v>4.7023004921730199E-2</v>
      </c>
      <c r="G429" s="705">
        <v>28.994252933285665</v>
      </c>
    </row>
    <row r="430" spans="2:7" ht="11.25" hidden="1" customHeight="1" outlineLevel="2" x14ac:dyDescent="0.25">
      <c r="B430" s="704" t="s">
        <v>684</v>
      </c>
      <c r="C430" s="704" t="s">
        <v>719</v>
      </c>
      <c r="D430" s="704" t="s">
        <v>675</v>
      </c>
      <c r="E430" s="704" t="s">
        <v>448</v>
      </c>
      <c r="F430" s="705">
        <v>6.1381652320116314E-3</v>
      </c>
      <c r="G430" s="705">
        <v>3.7846042591765872</v>
      </c>
    </row>
    <row r="431" spans="2:7" ht="11.25" hidden="1" customHeight="1" outlineLevel="2" x14ac:dyDescent="0.25">
      <c r="B431" s="704" t="s">
        <v>685</v>
      </c>
      <c r="C431" s="704" t="s">
        <v>719</v>
      </c>
      <c r="D431" s="704" t="s">
        <v>675</v>
      </c>
      <c r="E431" s="704" t="s">
        <v>448</v>
      </c>
      <c r="F431" s="705">
        <v>5.6432016791064001E-2</v>
      </c>
      <c r="G431" s="705">
        <v>34.79579389867969</v>
      </c>
    </row>
    <row r="432" spans="2:7" ht="11.25" hidden="1" customHeight="1" outlineLevel="2" x14ac:dyDescent="0.25">
      <c r="B432" s="704" t="s">
        <v>686</v>
      </c>
      <c r="C432" s="704" t="s">
        <v>719</v>
      </c>
      <c r="D432" s="704" t="s">
        <v>675</v>
      </c>
      <c r="E432" s="704" t="s">
        <v>448</v>
      </c>
      <c r="F432" s="705">
        <v>1.32682386388562E-2</v>
      </c>
      <c r="G432" s="705">
        <v>8.1807958750023744</v>
      </c>
    </row>
    <row r="433" spans="2:7" ht="11.25" hidden="1" customHeight="1" outlineLevel="2" x14ac:dyDescent="0.25">
      <c r="B433" s="704" t="s">
        <v>687</v>
      </c>
      <c r="C433" s="704" t="s">
        <v>719</v>
      </c>
      <c r="D433" s="704" t="s">
        <v>675</v>
      </c>
      <c r="E433" s="704" t="s">
        <v>448</v>
      </c>
      <c r="F433" s="705">
        <v>6.7961842942288839E-2</v>
      </c>
      <c r="G433" s="705">
        <v>41.904982176211163</v>
      </c>
    </row>
    <row r="434" spans="2:7" ht="11.25" hidden="1" customHeight="1" outlineLevel="2" x14ac:dyDescent="0.25">
      <c r="B434" s="704" t="s">
        <v>688</v>
      </c>
      <c r="C434" s="704" t="s">
        <v>719</v>
      </c>
      <c r="D434" s="704" t="s">
        <v>675</v>
      </c>
      <c r="E434" s="704" t="s">
        <v>448</v>
      </c>
      <c r="F434" s="705">
        <v>4.9618769245660173E-2</v>
      </c>
      <c r="G434" s="705">
        <v>30.59442219638921</v>
      </c>
    </row>
    <row r="435" spans="2:7" ht="11.25" hidden="1" customHeight="1" outlineLevel="2" x14ac:dyDescent="0.25">
      <c r="B435" s="704" t="s">
        <v>689</v>
      </c>
      <c r="C435" s="704" t="s">
        <v>719</v>
      </c>
      <c r="D435" s="704" t="s">
        <v>675</v>
      </c>
      <c r="E435" s="704" t="s">
        <v>448</v>
      </c>
      <c r="F435" s="705">
        <v>7.2120705077942469E-3</v>
      </c>
      <c r="G435" s="705">
        <v>4.4471078879485164</v>
      </c>
    </row>
    <row r="436" spans="2:7" ht="11.25" hidden="1" customHeight="1" outlineLevel="2" x14ac:dyDescent="0.25">
      <c r="B436" s="704" t="s">
        <v>690</v>
      </c>
      <c r="C436" s="704" t="s">
        <v>719</v>
      </c>
      <c r="D436" s="704" t="s">
        <v>675</v>
      </c>
      <c r="E436" s="704" t="s">
        <v>448</v>
      </c>
      <c r="F436" s="705">
        <v>0.15879187237622408</v>
      </c>
      <c r="G436" s="705">
        <v>97.91055057553001</v>
      </c>
    </row>
    <row r="437" spans="2:7" ht="11.25" hidden="1" customHeight="1" outlineLevel="2" x14ac:dyDescent="0.25">
      <c r="B437" s="704" t="s">
        <v>691</v>
      </c>
      <c r="C437" s="704" t="s">
        <v>719</v>
      </c>
      <c r="D437" s="704" t="s">
        <v>675</v>
      </c>
      <c r="E437" s="704" t="s">
        <v>448</v>
      </c>
      <c r="F437" s="705">
        <v>0.18134529092924773</v>
      </c>
      <c r="G437" s="705">
        <v>111.81691434088999</v>
      </c>
    </row>
    <row r="438" spans="2:7" ht="11.25" hidden="1" customHeight="1" outlineLevel="2" x14ac:dyDescent="0.25">
      <c r="B438" s="704" t="s">
        <v>692</v>
      </c>
      <c r="C438" s="704" t="s">
        <v>719</v>
      </c>
      <c r="D438" s="704" t="s">
        <v>675</v>
      </c>
      <c r="E438" s="704" t="s">
        <v>448</v>
      </c>
      <c r="F438" s="705">
        <v>1.0604619274059066E-2</v>
      </c>
      <c r="G438" s="705">
        <v>6.5387739529594233</v>
      </c>
    </row>
    <row r="439" spans="2:7" ht="11.25" hidden="1" customHeight="1" outlineLevel="2" x14ac:dyDescent="0.25">
      <c r="B439" s="704" t="s">
        <v>693</v>
      </c>
      <c r="C439" s="704" t="s">
        <v>719</v>
      </c>
      <c r="D439" s="704" t="s">
        <v>675</v>
      </c>
      <c r="E439" s="704" t="s">
        <v>448</v>
      </c>
      <c r="F439" s="705">
        <v>2.6472402191234014E-2</v>
      </c>
      <c r="G439" s="705">
        <v>16.322078259626778</v>
      </c>
    </row>
    <row r="440" spans="2:7" ht="11.25" hidden="1" customHeight="1" outlineLevel="2" x14ac:dyDescent="0.25">
      <c r="B440" s="704" t="s">
        <v>694</v>
      </c>
      <c r="C440" s="704" t="s">
        <v>719</v>
      </c>
      <c r="D440" s="704" t="s">
        <v>675</v>
      </c>
      <c r="E440" s="704" t="s">
        <v>448</v>
      </c>
      <c r="F440" s="705">
        <v>2.9678647239818096E-3</v>
      </c>
      <c r="G440" s="705">
        <v>1.8298959194922924</v>
      </c>
    </row>
    <row r="441" spans="2:7" ht="11.25" hidden="1" customHeight="1" outlineLevel="2" x14ac:dyDescent="0.25">
      <c r="B441" s="704" t="s">
        <v>695</v>
      </c>
      <c r="C441" s="704" t="s">
        <v>719</v>
      </c>
      <c r="D441" s="704" t="s">
        <v>675</v>
      </c>
      <c r="E441" s="704" t="s">
        <v>448</v>
      </c>
      <c r="F441" s="705">
        <v>1.407748781196686E-2</v>
      </c>
      <c r="G441" s="705">
        <v>8.6797465434181333</v>
      </c>
    </row>
    <row r="442" spans="2:7" ht="11.25" hidden="1" customHeight="1" outlineLevel="2" x14ac:dyDescent="0.25">
      <c r="B442" s="704" t="s">
        <v>696</v>
      </c>
      <c r="C442" s="704" t="s">
        <v>719</v>
      </c>
      <c r="D442" s="704" t="s">
        <v>675</v>
      </c>
      <c r="E442" s="704" t="s">
        <v>448</v>
      </c>
      <c r="F442" s="705">
        <v>3.517318137833534E-2</v>
      </c>
      <c r="G442" s="705">
        <v>21.686718417543439</v>
      </c>
    </row>
    <row r="443" spans="2:7" ht="11.25" hidden="1" customHeight="1" outlineLevel="2" x14ac:dyDescent="0.25">
      <c r="B443" s="704" t="s">
        <v>697</v>
      </c>
      <c r="C443" s="704" t="s">
        <v>719</v>
      </c>
      <c r="D443" s="704" t="s">
        <v>675</v>
      </c>
      <c r="E443" s="704" t="s">
        <v>448</v>
      </c>
      <c r="F443" s="705">
        <v>1.9244278157094008E-2</v>
      </c>
      <c r="G443" s="705">
        <v>11.865440688714433</v>
      </c>
    </row>
    <row r="444" spans="2:7" ht="11.25" hidden="1" customHeight="1" outlineLevel="2" x14ac:dyDescent="0.25">
      <c r="B444" s="704" t="s">
        <v>698</v>
      </c>
      <c r="C444" s="704" t="s">
        <v>719</v>
      </c>
      <c r="D444" s="704" t="s">
        <v>675</v>
      </c>
      <c r="E444" s="704" t="s">
        <v>448</v>
      </c>
      <c r="F444" s="705">
        <v>2.1131908312469021E-2</v>
      </c>
      <c r="G444" s="705">
        <v>13.029291131872442</v>
      </c>
    </row>
    <row r="445" spans="2:7" ht="11.25" hidden="1" customHeight="1" outlineLevel="2" x14ac:dyDescent="0.25">
      <c r="B445" s="704" t="s">
        <v>699</v>
      </c>
      <c r="C445" s="704" t="s">
        <v>719</v>
      </c>
      <c r="D445" s="704" t="s">
        <v>675</v>
      </c>
      <c r="E445" s="704" t="s">
        <v>448</v>
      </c>
      <c r="F445" s="705">
        <v>3.5412565478112333E-32</v>
      </c>
      <c r="G445" s="705">
        <v>2.1835275101326463E-29</v>
      </c>
    </row>
    <row r="446" spans="2:7" ht="11.25" hidden="1" customHeight="1" outlineLevel="2" x14ac:dyDescent="0.25">
      <c r="B446" s="704" t="s">
        <v>673</v>
      </c>
      <c r="C446" s="704" t="s">
        <v>720</v>
      </c>
      <c r="D446" s="704" t="s">
        <v>675</v>
      </c>
      <c r="E446" s="704" t="s">
        <v>448</v>
      </c>
      <c r="F446" s="705">
        <v>5.4662198972995637E-4</v>
      </c>
      <c r="G446" s="705">
        <v>0.26449728365327957</v>
      </c>
    </row>
    <row r="447" spans="2:7" ht="11.25" hidden="1" customHeight="1" outlineLevel="2" x14ac:dyDescent="0.25">
      <c r="B447" s="704" t="s">
        <v>677</v>
      </c>
      <c r="C447" s="704" t="s">
        <v>720</v>
      </c>
      <c r="D447" s="704" t="s">
        <v>675</v>
      </c>
      <c r="E447" s="704" t="s">
        <v>448</v>
      </c>
      <c r="F447" s="705">
        <v>9.0853139453660504E-3</v>
      </c>
      <c r="G447" s="705">
        <v>4.3892895127946501</v>
      </c>
    </row>
    <row r="448" spans="2:7" ht="11.25" hidden="1" customHeight="1" outlineLevel="2" x14ac:dyDescent="0.25">
      <c r="B448" s="704" t="s">
        <v>678</v>
      </c>
      <c r="C448" s="704" t="s">
        <v>720</v>
      </c>
      <c r="D448" s="704" t="s">
        <v>675</v>
      </c>
      <c r="E448" s="704" t="s">
        <v>448</v>
      </c>
      <c r="F448" s="705">
        <v>2.101064081655047E-2</v>
      </c>
      <c r="G448" s="705">
        <v>10.166973271129594</v>
      </c>
    </row>
    <row r="449" spans="2:7" ht="11.25" hidden="1" customHeight="1" outlineLevel="2" x14ac:dyDescent="0.25">
      <c r="B449" s="704" t="s">
        <v>679</v>
      </c>
      <c r="C449" s="704" t="s">
        <v>720</v>
      </c>
      <c r="D449" s="704" t="s">
        <v>675</v>
      </c>
      <c r="E449" s="704" t="s">
        <v>448</v>
      </c>
      <c r="F449" s="705">
        <v>1.7050567190388078E-3</v>
      </c>
      <c r="G449" s="705">
        <v>0.82507144090894846</v>
      </c>
    </row>
    <row r="450" spans="2:7" ht="11.25" hidden="1" customHeight="1" outlineLevel="2" x14ac:dyDescent="0.25">
      <c r="B450" s="704" t="s">
        <v>680</v>
      </c>
      <c r="C450" s="704" t="s">
        <v>720</v>
      </c>
      <c r="D450" s="704" t="s">
        <v>675</v>
      </c>
      <c r="E450" s="704" t="s">
        <v>448</v>
      </c>
      <c r="F450" s="705">
        <v>3.1604112825400006E-4</v>
      </c>
      <c r="G450" s="705">
        <v>0.15292472094797713</v>
      </c>
    </row>
    <row r="451" spans="2:7" ht="11.25" hidden="1" customHeight="1" outlineLevel="2" x14ac:dyDescent="0.25">
      <c r="B451" s="704" t="s">
        <v>681</v>
      </c>
      <c r="C451" s="704" t="s">
        <v>720</v>
      </c>
      <c r="D451" s="704" t="s">
        <v>675</v>
      </c>
      <c r="E451" s="704" t="s">
        <v>448</v>
      </c>
      <c r="F451" s="705">
        <v>2.6655918382907213E-3</v>
      </c>
      <c r="G451" s="705">
        <v>1.2898718591712275</v>
      </c>
    </row>
    <row r="452" spans="2:7" ht="11.25" hidden="1" customHeight="1" outlineLevel="2" x14ac:dyDescent="0.25">
      <c r="B452" s="704" t="s">
        <v>682</v>
      </c>
      <c r="C452" s="704" t="s">
        <v>720</v>
      </c>
      <c r="D452" s="704" t="s">
        <v>675</v>
      </c>
      <c r="E452" s="704" t="s">
        <v>448</v>
      </c>
      <c r="F452" s="705">
        <v>2.3399820483735166E-3</v>
      </c>
      <c r="G452" s="705">
        <v>1.1323096956475525</v>
      </c>
    </row>
    <row r="453" spans="2:7" ht="11.25" hidden="1" customHeight="1" outlineLevel="2" x14ac:dyDescent="0.25">
      <c r="B453" s="704" t="s">
        <v>683</v>
      </c>
      <c r="C453" s="704" t="s">
        <v>720</v>
      </c>
      <c r="D453" s="704" t="s">
        <v>675</v>
      </c>
      <c r="E453" s="704" t="s">
        <v>448</v>
      </c>
      <c r="F453" s="705">
        <v>3.8861550060538558E-3</v>
      </c>
      <c r="G453" s="705">
        <v>1.8804986909237289</v>
      </c>
    </row>
    <row r="454" spans="2:7" ht="11.25" hidden="1" customHeight="1" outlineLevel="2" x14ac:dyDescent="0.25">
      <c r="B454" s="704" t="s">
        <v>684</v>
      </c>
      <c r="C454" s="704" t="s">
        <v>720</v>
      </c>
      <c r="D454" s="704" t="s">
        <v>675</v>
      </c>
      <c r="E454" s="704" t="s">
        <v>448</v>
      </c>
      <c r="F454" s="705">
        <v>5.0728000224050187E-4</v>
      </c>
      <c r="G454" s="705">
        <v>0.24546074132132004</v>
      </c>
    </row>
    <row r="455" spans="2:7" ht="11.25" hidden="1" customHeight="1" outlineLevel="2" x14ac:dyDescent="0.25">
      <c r="B455" s="704" t="s">
        <v>685</v>
      </c>
      <c r="C455" s="704" t="s">
        <v>720</v>
      </c>
      <c r="D455" s="704" t="s">
        <v>675</v>
      </c>
      <c r="E455" s="704" t="s">
        <v>448</v>
      </c>
      <c r="F455" s="706">
        <v>4.6637487505090044E-3</v>
      </c>
      <c r="G455" s="705">
        <v>2.2567726403499706</v>
      </c>
    </row>
    <row r="456" spans="2:7" ht="11.25" hidden="1" customHeight="1" outlineLevel="2" x14ac:dyDescent="0.25">
      <c r="B456" s="704" t="s">
        <v>686</v>
      </c>
      <c r="C456" s="704" t="s">
        <v>720</v>
      </c>
      <c r="D456" s="704" t="s">
        <v>675</v>
      </c>
      <c r="E456" s="704" t="s">
        <v>448</v>
      </c>
      <c r="F456" s="706">
        <v>1.0965351104998881E-3</v>
      </c>
      <c r="G456" s="705">
        <v>0.5305870703047566</v>
      </c>
    </row>
    <row r="457" spans="2:7" ht="11.25" hidden="1" customHeight="1" outlineLevel="2" x14ac:dyDescent="0.25">
      <c r="B457" s="704" t="s">
        <v>687</v>
      </c>
      <c r="C457" s="704" t="s">
        <v>720</v>
      </c>
      <c r="D457" s="704" t="s">
        <v>675</v>
      </c>
      <c r="E457" s="704" t="s">
        <v>448</v>
      </c>
      <c r="F457" s="706">
        <v>5.6166115686636583E-3</v>
      </c>
      <c r="G457" s="705">
        <v>2.7178603956773437</v>
      </c>
    </row>
    <row r="458" spans="2:7" ht="11.25" hidden="1" customHeight="1" outlineLevel="2" x14ac:dyDescent="0.25">
      <c r="B458" s="704" t="s">
        <v>688</v>
      </c>
      <c r="C458" s="704" t="s">
        <v>720</v>
      </c>
      <c r="D458" s="704" t="s">
        <v>675</v>
      </c>
      <c r="E458" s="704" t="s">
        <v>448</v>
      </c>
      <c r="F458" s="706">
        <v>4.100675207601834E-3</v>
      </c>
      <c r="G458" s="705">
        <v>1.950838716154796</v>
      </c>
    </row>
    <row r="459" spans="2:7" ht="11.25" hidden="1" customHeight="1" outlineLevel="2" x14ac:dyDescent="0.25">
      <c r="B459" s="704" t="s">
        <v>689</v>
      </c>
      <c r="C459" s="704" t="s">
        <v>720</v>
      </c>
      <c r="D459" s="704" t="s">
        <v>675</v>
      </c>
      <c r="E459" s="704" t="s">
        <v>448</v>
      </c>
      <c r="F459" s="706">
        <v>5.960318728065638E-4</v>
      </c>
      <c r="G459" s="705">
        <v>0.28842900913736824</v>
      </c>
    </row>
    <row r="460" spans="2:7" ht="11.25" hidden="1" customHeight="1" outlineLevel="2" x14ac:dyDescent="0.25">
      <c r="B460" s="704" t="s">
        <v>690</v>
      </c>
      <c r="C460" s="704" t="s">
        <v>720</v>
      </c>
      <c r="D460" s="704" t="s">
        <v>675</v>
      </c>
      <c r="E460" s="704" t="s">
        <v>448</v>
      </c>
      <c r="F460" s="706">
        <v>1.3123134057555816E-2</v>
      </c>
      <c r="G460" s="705">
        <v>6.3502453908605618</v>
      </c>
    </row>
    <row r="461" spans="2:7" ht="11.25" hidden="1" customHeight="1" outlineLevel="2" x14ac:dyDescent="0.25">
      <c r="B461" s="704" t="s">
        <v>691</v>
      </c>
      <c r="C461" s="704" t="s">
        <v>720</v>
      </c>
      <c r="D461" s="704" t="s">
        <v>675</v>
      </c>
      <c r="E461" s="704" t="s">
        <v>448</v>
      </c>
      <c r="F461" s="706">
        <v>1.4987029963989262E-2</v>
      </c>
      <c r="G461" s="705">
        <v>7.2521749093737817</v>
      </c>
    </row>
    <row r="462" spans="2:7" ht="11.25" hidden="1" customHeight="1" outlineLevel="2" x14ac:dyDescent="0.25">
      <c r="B462" s="704" t="s">
        <v>692</v>
      </c>
      <c r="C462" s="704" t="s">
        <v>720</v>
      </c>
      <c r="D462" s="704" t="s">
        <v>675</v>
      </c>
      <c r="E462" s="704" t="s">
        <v>448</v>
      </c>
      <c r="F462" s="706">
        <v>8.7640416714515081E-4</v>
      </c>
      <c r="G462" s="705">
        <v>0.42408910148486262</v>
      </c>
    </row>
    <row r="463" spans="2:7" ht="11.25" hidden="1" customHeight="1" outlineLevel="2" x14ac:dyDescent="0.25">
      <c r="B463" s="704" t="s">
        <v>693</v>
      </c>
      <c r="C463" s="704" t="s">
        <v>720</v>
      </c>
      <c r="D463" s="704" t="s">
        <v>675</v>
      </c>
      <c r="E463" s="704" t="s">
        <v>448</v>
      </c>
      <c r="F463" s="706">
        <v>2.1877739589571546E-3</v>
      </c>
      <c r="G463" s="705">
        <v>1.0586112153629859</v>
      </c>
    </row>
    <row r="464" spans="2:7" ht="11.25" hidden="1" customHeight="1" outlineLevel="2" x14ac:dyDescent="0.25">
      <c r="B464" s="704" t="s">
        <v>694</v>
      </c>
      <c r="C464" s="704" t="s">
        <v>720</v>
      </c>
      <c r="D464" s="704" t="s">
        <v>675</v>
      </c>
      <c r="E464" s="704" t="s">
        <v>448</v>
      </c>
      <c r="F464" s="706">
        <v>2.4527519442586764E-4</v>
      </c>
      <c r="G464" s="705">
        <v>0.11868275617538034</v>
      </c>
    </row>
    <row r="465" spans="2:7" ht="11.25" hidden="1" customHeight="1" outlineLevel="2" x14ac:dyDescent="0.25">
      <c r="B465" s="704" t="s">
        <v>695</v>
      </c>
      <c r="C465" s="704" t="s">
        <v>720</v>
      </c>
      <c r="D465" s="704" t="s">
        <v>675</v>
      </c>
      <c r="E465" s="704" t="s">
        <v>448</v>
      </c>
      <c r="F465" s="705">
        <v>1.163414060314573E-3</v>
      </c>
      <c r="G465" s="705">
        <v>0.56294819605911628</v>
      </c>
    </row>
    <row r="466" spans="2:7" ht="11.25" hidden="1" customHeight="1" outlineLevel="2" x14ac:dyDescent="0.25">
      <c r="B466" s="704" t="s">
        <v>696</v>
      </c>
      <c r="C466" s="704" t="s">
        <v>720</v>
      </c>
      <c r="D466" s="704" t="s">
        <v>675</v>
      </c>
      <c r="E466" s="704" t="s">
        <v>448</v>
      </c>
      <c r="F466" s="705">
        <v>2.9068378987493751E-3</v>
      </c>
      <c r="G466" s="705">
        <v>1.4065487171092856</v>
      </c>
    </row>
    <row r="467" spans="2:7" ht="11.25" hidden="1" customHeight="1" outlineLevel="2" x14ac:dyDescent="0.25">
      <c r="B467" s="704" t="s">
        <v>697</v>
      </c>
      <c r="C467" s="704" t="s">
        <v>720</v>
      </c>
      <c r="D467" s="704" t="s">
        <v>675</v>
      </c>
      <c r="E467" s="704" t="s">
        <v>448</v>
      </c>
      <c r="F467" s="706">
        <v>1.5904162180314235E-3</v>
      </c>
      <c r="G467" s="705">
        <v>0.76956439274527377</v>
      </c>
    </row>
    <row r="468" spans="2:7" ht="11.25" hidden="1" customHeight="1" outlineLevel="2" x14ac:dyDescent="0.25">
      <c r="B468" s="704" t="s">
        <v>698</v>
      </c>
      <c r="C468" s="704" t="s">
        <v>720</v>
      </c>
      <c r="D468" s="704" t="s">
        <v>675</v>
      </c>
      <c r="E468" s="704" t="s">
        <v>448</v>
      </c>
      <c r="F468" s="705">
        <v>1.7464174400634005E-3</v>
      </c>
      <c r="G468" s="705">
        <v>0.84504895157953897</v>
      </c>
    </row>
    <row r="469" spans="2:7" ht="11.25" hidden="1" customHeight="1" outlineLevel="2" x14ac:dyDescent="0.25">
      <c r="B469" s="704" t="s">
        <v>699</v>
      </c>
      <c r="C469" s="704" t="s">
        <v>720</v>
      </c>
      <c r="D469" s="704" t="s">
        <v>675</v>
      </c>
      <c r="E469" s="704" t="s">
        <v>448</v>
      </c>
      <c r="F469" s="705">
        <v>2.8902979356398801E-36</v>
      </c>
      <c r="G469" s="705">
        <v>1.3986064880122206E-33</v>
      </c>
    </row>
    <row r="470" spans="2:7" ht="11.25" hidden="1" customHeight="1" outlineLevel="2" x14ac:dyDescent="0.25">
      <c r="B470" s="704" t="s">
        <v>673</v>
      </c>
      <c r="C470" s="704" t="s">
        <v>721</v>
      </c>
      <c r="D470" s="704" t="s">
        <v>675</v>
      </c>
      <c r="E470" s="704" t="s">
        <v>448</v>
      </c>
      <c r="F470" s="705">
        <v>6.6197567832325984E-4</v>
      </c>
      <c r="G470" s="705">
        <v>0.31619112362015922</v>
      </c>
    </row>
    <row r="471" spans="2:7" ht="11.25" hidden="1" customHeight="1" outlineLevel="2" x14ac:dyDescent="0.25">
      <c r="B471" s="704" t="s">
        <v>677</v>
      </c>
      <c r="C471" s="704" t="s">
        <v>721</v>
      </c>
      <c r="D471" s="704" t="s">
        <v>675</v>
      </c>
      <c r="E471" s="704" t="s">
        <v>448</v>
      </c>
      <c r="F471" s="705">
        <v>1.1002583213390581E-2</v>
      </c>
      <c r="G471" s="705">
        <v>5.247141629432253</v>
      </c>
    </row>
    <row r="472" spans="2:7" ht="11.25" hidden="1" customHeight="1" outlineLevel="2" x14ac:dyDescent="0.25">
      <c r="B472" s="704" t="s">
        <v>678</v>
      </c>
      <c r="C472" s="704" t="s">
        <v>721</v>
      </c>
      <c r="D472" s="704" t="s">
        <v>675</v>
      </c>
      <c r="E472" s="704" t="s">
        <v>448</v>
      </c>
      <c r="F472" s="705">
        <v>2.5444486903657672E-2</v>
      </c>
      <c r="G472" s="705">
        <v>12.154028362756007</v>
      </c>
    </row>
    <row r="473" spans="2:7" ht="11.25" hidden="1" customHeight="1" outlineLevel="2" x14ac:dyDescent="0.25">
      <c r="B473" s="704" t="s">
        <v>679</v>
      </c>
      <c r="C473" s="704" t="s">
        <v>721</v>
      </c>
      <c r="D473" s="704" t="s">
        <v>675</v>
      </c>
      <c r="E473" s="704" t="s">
        <v>448</v>
      </c>
      <c r="F473" s="705">
        <v>2.0648751630465232E-3</v>
      </c>
      <c r="G473" s="705">
        <v>0.98632557143672683</v>
      </c>
    </row>
    <row r="474" spans="2:7" ht="11.25" hidden="1" customHeight="1" outlineLevel="2" x14ac:dyDescent="0.25">
      <c r="B474" s="704" t="s">
        <v>680</v>
      </c>
      <c r="C474" s="704" t="s">
        <v>721</v>
      </c>
      <c r="D474" s="704" t="s">
        <v>675</v>
      </c>
      <c r="E474" s="704" t="s">
        <v>448</v>
      </c>
      <c r="F474" s="705">
        <v>3.8273525970081477E-4</v>
      </c>
      <c r="G474" s="705">
        <v>0.18281261623010847</v>
      </c>
    </row>
    <row r="475" spans="2:7" ht="11.25" hidden="1" customHeight="1" outlineLevel="2" x14ac:dyDescent="0.25">
      <c r="B475" s="704" t="s">
        <v>681</v>
      </c>
      <c r="C475" s="704" t="s">
        <v>721</v>
      </c>
      <c r="D475" s="704" t="s">
        <v>675</v>
      </c>
      <c r="E475" s="704" t="s">
        <v>448</v>
      </c>
      <c r="F475" s="705">
        <v>3.2281092787773548E-3</v>
      </c>
      <c r="G475" s="705">
        <v>1.541965957314734</v>
      </c>
    </row>
    <row r="476" spans="2:7" ht="11.25" hidden="1" customHeight="1" outlineLevel="2" x14ac:dyDescent="0.25">
      <c r="B476" s="704" t="s">
        <v>682</v>
      </c>
      <c r="C476" s="704" t="s">
        <v>721</v>
      </c>
      <c r="D476" s="704" t="s">
        <v>675</v>
      </c>
      <c r="E476" s="704" t="s">
        <v>448</v>
      </c>
      <c r="F476" s="705">
        <v>2.8337853370237467E-3</v>
      </c>
      <c r="G476" s="705">
        <v>1.3536104730910752</v>
      </c>
    </row>
    <row r="477" spans="2:7" ht="11.25" hidden="1" customHeight="1" outlineLevel="2" x14ac:dyDescent="0.25">
      <c r="B477" s="704" t="s">
        <v>683</v>
      </c>
      <c r="C477" s="704" t="s">
        <v>721</v>
      </c>
      <c r="D477" s="704" t="s">
        <v>675</v>
      </c>
      <c r="E477" s="704" t="s">
        <v>448</v>
      </c>
      <c r="F477" s="705">
        <v>4.7062498248481438E-3</v>
      </c>
      <c r="G477" s="705">
        <v>2.2480263058801304</v>
      </c>
    </row>
    <row r="478" spans="2:7" ht="11.25" hidden="1" customHeight="1" outlineLevel="2" x14ac:dyDescent="0.25">
      <c r="B478" s="704" t="s">
        <v>684</v>
      </c>
      <c r="C478" s="704" t="s">
        <v>721</v>
      </c>
      <c r="D478" s="704" t="s">
        <v>675</v>
      </c>
      <c r="E478" s="704" t="s">
        <v>448</v>
      </c>
      <c r="F478" s="705">
        <v>6.143311872427806E-4</v>
      </c>
      <c r="G478" s="705">
        <v>0.29343393742941043</v>
      </c>
    </row>
    <row r="479" spans="2:7" ht="11.25" hidden="1" customHeight="1" outlineLevel="2" x14ac:dyDescent="0.25">
      <c r="B479" s="704" t="s">
        <v>685</v>
      </c>
      <c r="C479" s="704" t="s">
        <v>721</v>
      </c>
      <c r="D479" s="704" t="s">
        <v>675</v>
      </c>
      <c r="E479" s="704" t="s">
        <v>448</v>
      </c>
      <c r="F479" s="705">
        <v>5.6479332725819118E-3</v>
      </c>
      <c r="G479" s="705">
        <v>2.6978405243683277</v>
      </c>
    </row>
    <row r="480" spans="2:7" ht="11.25" hidden="1" customHeight="1" outlineLevel="2" x14ac:dyDescent="0.25">
      <c r="B480" s="704" t="s">
        <v>686</v>
      </c>
      <c r="C480" s="704" t="s">
        <v>721</v>
      </c>
      <c r="D480" s="704" t="s">
        <v>675</v>
      </c>
      <c r="E480" s="704" t="s">
        <v>448</v>
      </c>
      <c r="F480" s="705">
        <v>1.3279353571128522E-3</v>
      </c>
      <c r="G480" s="705">
        <v>0.63428543019629435</v>
      </c>
    </row>
    <row r="481" spans="2:7" ht="11.25" hidden="1" customHeight="1" outlineLevel="2" x14ac:dyDescent="0.25">
      <c r="B481" s="704" t="s">
        <v>687</v>
      </c>
      <c r="C481" s="704" t="s">
        <v>721</v>
      </c>
      <c r="D481" s="704" t="s">
        <v>675</v>
      </c>
      <c r="E481" s="704" t="s">
        <v>448</v>
      </c>
      <c r="F481" s="705">
        <v>6.8018803120296276E-3</v>
      </c>
      <c r="G481" s="705">
        <v>3.2490445916957351</v>
      </c>
    </row>
    <row r="482" spans="2:7" ht="11.25" hidden="1" customHeight="1" outlineLevel="2" x14ac:dyDescent="0.25">
      <c r="B482" s="704" t="s">
        <v>688</v>
      </c>
      <c r="C482" s="704" t="s">
        <v>721</v>
      </c>
      <c r="D482" s="704" t="s">
        <v>675</v>
      </c>
      <c r="E482" s="704" t="s">
        <v>448</v>
      </c>
      <c r="F482" s="705">
        <v>4.8822887855141878E-3</v>
      </c>
      <c r="G482" s="705">
        <v>2.3321135738375212</v>
      </c>
    </row>
    <row r="483" spans="2:7" ht="11.25" hidden="1" customHeight="1" outlineLevel="2" x14ac:dyDescent="0.25">
      <c r="B483" s="704" t="s">
        <v>689</v>
      </c>
      <c r="C483" s="704" t="s">
        <v>721</v>
      </c>
      <c r="D483" s="704" t="s">
        <v>675</v>
      </c>
      <c r="E483" s="704" t="s">
        <v>448</v>
      </c>
      <c r="F483" s="705">
        <v>7.2181178896538699E-4</v>
      </c>
      <c r="G483" s="705">
        <v>0.34480002932806286</v>
      </c>
    </row>
    <row r="484" spans="2:7" ht="11.25" hidden="1" customHeight="1" outlineLevel="2" x14ac:dyDescent="0.25">
      <c r="B484" s="704" t="s">
        <v>690</v>
      </c>
      <c r="C484" s="704" t="s">
        <v>721</v>
      </c>
      <c r="D484" s="704" t="s">
        <v>675</v>
      </c>
      <c r="E484" s="704" t="s">
        <v>448</v>
      </c>
      <c r="F484" s="705">
        <v>1.5892489644145653E-2</v>
      </c>
      <c r="G484" s="705">
        <v>7.5913514638175048</v>
      </c>
    </row>
    <row r="485" spans="2:7" ht="11.25" hidden="1" customHeight="1" outlineLevel="2" x14ac:dyDescent="0.25">
      <c r="B485" s="704" t="s">
        <v>691</v>
      </c>
      <c r="C485" s="704" t="s">
        <v>721</v>
      </c>
      <c r="D485" s="704" t="s">
        <v>675</v>
      </c>
      <c r="E485" s="704" t="s">
        <v>448</v>
      </c>
      <c r="F485" s="705">
        <v>1.8149742295306144E-2</v>
      </c>
      <c r="G485" s="705">
        <v>8.6695588916122048</v>
      </c>
    </row>
    <row r="486" spans="2:7" ht="11.25" hidden="1" customHeight="1" outlineLevel="2" x14ac:dyDescent="0.25">
      <c r="B486" s="704" t="s">
        <v>692</v>
      </c>
      <c r="C486" s="704" t="s">
        <v>721</v>
      </c>
      <c r="D486" s="704" t="s">
        <v>675</v>
      </c>
      <c r="E486" s="704" t="s">
        <v>448</v>
      </c>
      <c r="F486" s="705">
        <v>1.0613511505053344E-3</v>
      </c>
      <c r="G486" s="705">
        <v>0.50697402839239536</v>
      </c>
    </row>
    <row r="487" spans="2:7" ht="11.25" hidden="1" customHeight="1" outlineLevel="2" x14ac:dyDescent="0.25">
      <c r="B487" s="704" t="s">
        <v>693</v>
      </c>
      <c r="C487" s="704" t="s">
        <v>721</v>
      </c>
      <c r="D487" s="704" t="s">
        <v>675</v>
      </c>
      <c r="E487" s="704" t="s">
        <v>448</v>
      </c>
      <c r="F487" s="705">
        <v>2.6494584373682752E-3</v>
      </c>
      <c r="G487" s="705">
        <v>1.2655084996041481</v>
      </c>
    </row>
    <row r="488" spans="2:7" ht="11.25" hidden="1" customHeight="1" outlineLevel="2" x14ac:dyDescent="0.25">
      <c r="B488" s="704" t="s">
        <v>694</v>
      </c>
      <c r="C488" s="704" t="s">
        <v>721</v>
      </c>
      <c r="D488" s="704" t="s">
        <v>675</v>
      </c>
      <c r="E488" s="704" t="s">
        <v>448</v>
      </c>
      <c r="F488" s="706">
        <v>2.9703540670810504E-4</v>
      </c>
      <c r="G488" s="705">
        <v>0.14187828630458424</v>
      </c>
    </row>
    <row r="489" spans="2:7" ht="11.25" hidden="1" customHeight="1" outlineLevel="2" x14ac:dyDescent="0.25">
      <c r="B489" s="704" t="s">
        <v>695</v>
      </c>
      <c r="C489" s="704" t="s">
        <v>721</v>
      </c>
      <c r="D489" s="704" t="s">
        <v>675</v>
      </c>
      <c r="E489" s="704" t="s">
        <v>448</v>
      </c>
      <c r="F489" s="706">
        <v>1.4089290509412425E-3</v>
      </c>
      <c r="G489" s="705">
        <v>0.67297192237005377</v>
      </c>
    </row>
    <row r="490" spans="2:7" ht="11.25" hidden="1" customHeight="1" outlineLevel="2" x14ac:dyDescent="0.25">
      <c r="B490" s="704" t="s">
        <v>696</v>
      </c>
      <c r="C490" s="704" t="s">
        <v>721</v>
      </c>
      <c r="D490" s="704" t="s">
        <v>675</v>
      </c>
      <c r="E490" s="704" t="s">
        <v>448</v>
      </c>
      <c r="F490" s="706">
        <v>3.5202661179795044E-3</v>
      </c>
      <c r="G490" s="705">
        <v>1.6814466360981202</v>
      </c>
    </row>
    <row r="491" spans="2:7" ht="11.25" hidden="1" customHeight="1" outlineLevel="2" x14ac:dyDescent="0.25">
      <c r="B491" s="704" t="s">
        <v>697</v>
      </c>
      <c r="C491" s="704" t="s">
        <v>721</v>
      </c>
      <c r="D491" s="704" t="s">
        <v>675</v>
      </c>
      <c r="E491" s="704" t="s">
        <v>448</v>
      </c>
      <c r="F491" s="706">
        <v>1.9260422297550503E-3</v>
      </c>
      <c r="G491" s="705">
        <v>0.91996928261994704</v>
      </c>
    </row>
    <row r="492" spans="2:7" ht="11.25" hidden="1" customHeight="1" outlineLevel="2" x14ac:dyDescent="0.25">
      <c r="B492" s="704" t="s">
        <v>698</v>
      </c>
      <c r="C492" s="704" t="s">
        <v>721</v>
      </c>
      <c r="D492" s="704" t="s">
        <v>675</v>
      </c>
      <c r="E492" s="704" t="s">
        <v>448</v>
      </c>
      <c r="F492" s="706">
        <v>2.1149624201932541E-3</v>
      </c>
      <c r="G492" s="705">
        <v>1.0102068298667202</v>
      </c>
    </row>
    <row r="493" spans="2:7" ht="11.25" hidden="1" customHeight="1" outlineLevel="2" x14ac:dyDescent="0.25">
      <c r="B493" s="704" t="s">
        <v>699</v>
      </c>
      <c r="C493" s="704" t="s">
        <v>721</v>
      </c>
      <c r="D493" s="704" t="s">
        <v>675</v>
      </c>
      <c r="E493" s="704" t="s">
        <v>448</v>
      </c>
      <c r="F493" s="706">
        <v>1.3519278733937264E-38</v>
      </c>
      <c r="G493" s="705">
        <v>6.4577358924786549E-36</v>
      </c>
    </row>
    <row r="494" spans="2:7" ht="11.25" hidden="1" customHeight="1" outlineLevel="2" x14ac:dyDescent="0.25">
      <c r="B494" s="704" t="s">
        <v>673</v>
      </c>
      <c r="C494" s="704" t="s">
        <v>722</v>
      </c>
      <c r="D494" s="704" t="s">
        <v>675</v>
      </c>
      <c r="E494" s="704" t="s">
        <v>448</v>
      </c>
      <c r="F494" s="705">
        <v>5.2823638013481499E-6</v>
      </c>
      <c r="G494" s="705">
        <v>2.3678055738047899E-3</v>
      </c>
    </row>
    <row r="495" spans="2:7" ht="11.25" hidden="1" customHeight="1" outlineLevel="2" x14ac:dyDescent="0.25">
      <c r="B495" s="704" t="s">
        <v>677</v>
      </c>
      <c r="C495" s="704" t="s">
        <v>722</v>
      </c>
      <c r="D495" s="704" t="s">
        <v>675</v>
      </c>
      <c r="E495" s="704" t="s">
        <v>448</v>
      </c>
      <c r="F495" s="705">
        <v>8.7797244029837665E-5</v>
      </c>
      <c r="G495" s="705">
        <v>3.9293332053138043E-2</v>
      </c>
    </row>
    <row r="496" spans="2:7" ht="11.25" hidden="1" customHeight="1" outlineLevel="2" x14ac:dyDescent="0.25">
      <c r="B496" s="704" t="s">
        <v>678</v>
      </c>
      <c r="C496" s="704" t="s">
        <v>722</v>
      </c>
      <c r="D496" s="704" t="s">
        <v>675</v>
      </c>
      <c r="E496" s="704" t="s">
        <v>448</v>
      </c>
      <c r="F496" s="705">
        <v>2.0303928770964839E-4</v>
      </c>
      <c r="G496" s="705">
        <v>9.1015814963650923E-2</v>
      </c>
    </row>
    <row r="497" spans="2:7" ht="11.25" hidden="1" customHeight="1" outlineLevel="2" x14ac:dyDescent="0.25">
      <c r="B497" s="704" t="s">
        <v>679</v>
      </c>
      <c r="C497" s="704" t="s">
        <v>722</v>
      </c>
      <c r="D497" s="704" t="s">
        <v>675</v>
      </c>
      <c r="E497" s="704" t="s">
        <v>448</v>
      </c>
      <c r="F497" s="705">
        <v>1.6477079170293763E-5</v>
      </c>
      <c r="G497" s="705">
        <v>7.386129578566482E-3</v>
      </c>
    </row>
    <row r="498" spans="2:7" ht="11.25" hidden="1" customHeight="1" outlineLevel="2" x14ac:dyDescent="0.25">
      <c r="B498" s="704" t="s">
        <v>680</v>
      </c>
      <c r="C498" s="704" t="s">
        <v>722</v>
      </c>
      <c r="D498" s="704" t="s">
        <v>675</v>
      </c>
      <c r="E498" s="704" t="s">
        <v>448</v>
      </c>
      <c r="F498" s="705">
        <v>3.0541113355160695E-6</v>
      </c>
      <c r="G498" s="705">
        <v>1.3689968930802891E-3</v>
      </c>
    </row>
    <row r="499" spans="2:7" ht="11.25" hidden="1" customHeight="1" outlineLevel="2" x14ac:dyDescent="0.25">
      <c r="B499" s="704" t="s">
        <v>681</v>
      </c>
      <c r="C499" s="704" t="s">
        <v>722</v>
      </c>
      <c r="D499" s="704" t="s">
        <v>675</v>
      </c>
      <c r="E499" s="704" t="s">
        <v>448</v>
      </c>
      <c r="F499" s="705">
        <v>2.5759343432986885E-5</v>
      </c>
      <c r="G499" s="705">
        <v>1.1547057780689584E-2</v>
      </c>
    </row>
    <row r="500" spans="2:7" ht="11.25" hidden="1" customHeight="1" outlineLevel="2" x14ac:dyDescent="0.25">
      <c r="B500" s="704" t="s">
        <v>682</v>
      </c>
      <c r="C500" s="704" t="s">
        <v>722</v>
      </c>
      <c r="D500" s="704" t="s">
        <v>675</v>
      </c>
      <c r="E500" s="704" t="s">
        <v>448</v>
      </c>
      <c r="F500" s="705">
        <v>2.2612755307283487E-5</v>
      </c>
      <c r="G500" s="705">
        <v>1.0136550015673464E-2</v>
      </c>
    </row>
    <row r="501" spans="2:7" ht="11.25" hidden="1" customHeight="1" outlineLevel="2" x14ac:dyDescent="0.25">
      <c r="B501" s="704" t="s">
        <v>683</v>
      </c>
      <c r="C501" s="704" t="s">
        <v>722</v>
      </c>
      <c r="D501" s="704" t="s">
        <v>675</v>
      </c>
      <c r="E501" s="704" t="s">
        <v>448</v>
      </c>
      <c r="F501" s="705">
        <v>3.7554461960430758E-5</v>
      </c>
      <c r="G501" s="705">
        <v>1.6834409662155065E-2</v>
      </c>
    </row>
    <row r="502" spans="2:7" ht="11.25" hidden="1" customHeight="1" outlineLevel="2" x14ac:dyDescent="0.25">
      <c r="B502" s="704" t="s">
        <v>684</v>
      </c>
      <c r="C502" s="704" t="s">
        <v>722</v>
      </c>
      <c r="D502" s="704" t="s">
        <v>675</v>
      </c>
      <c r="E502" s="704" t="s">
        <v>448</v>
      </c>
      <c r="F502" s="705">
        <v>4.9021773039386317E-6</v>
      </c>
      <c r="G502" s="705">
        <v>2.1973888000769012E-3</v>
      </c>
    </row>
    <row r="503" spans="2:7" ht="11.25" hidden="1" customHeight="1" outlineLevel="2" x14ac:dyDescent="0.25">
      <c r="B503" s="704" t="s">
        <v>685</v>
      </c>
      <c r="C503" s="704" t="s">
        <v>722</v>
      </c>
      <c r="D503" s="704" t="s">
        <v>675</v>
      </c>
      <c r="E503" s="704" t="s">
        <v>448</v>
      </c>
      <c r="F503" s="705">
        <v>4.5068812018824153E-5</v>
      </c>
      <c r="G503" s="705">
        <v>2.0202845517011805E-2</v>
      </c>
    </row>
    <row r="504" spans="2:7" ht="11.25" hidden="1" customHeight="1" outlineLevel="2" x14ac:dyDescent="0.25">
      <c r="B504" s="704" t="s">
        <v>686</v>
      </c>
      <c r="C504" s="704" t="s">
        <v>722</v>
      </c>
      <c r="D504" s="704" t="s">
        <v>675</v>
      </c>
      <c r="E504" s="704" t="s">
        <v>448</v>
      </c>
      <c r="F504" s="705">
        <v>1.0596524500070237E-5</v>
      </c>
      <c r="G504" s="705">
        <v>4.7498633042904817E-3</v>
      </c>
    </row>
    <row r="505" spans="2:7" ht="11.25" hidden="1" customHeight="1" outlineLevel="2" x14ac:dyDescent="0.25">
      <c r="B505" s="704" t="s">
        <v>687</v>
      </c>
      <c r="C505" s="704" t="s">
        <v>722</v>
      </c>
      <c r="D505" s="704" t="s">
        <v>675</v>
      </c>
      <c r="E505" s="704" t="s">
        <v>448</v>
      </c>
      <c r="F505" s="705">
        <v>5.4276949246530487E-5</v>
      </c>
      <c r="G505" s="705">
        <v>2.4330548023878712E-2</v>
      </c>
    </row>
    <row r="506" spans="2:7" ht="11.25" hidden="1" customHeight="1" outlineLevel="2" x14ac:dyDescent="0.25">
      <c r="B506" s="704" t="s">
        <v>688</v>
      </c>
      <c r="C506" s="704" t="s">
        <v>722</v>
      </c>
      <c r="D506" s="704" t="s">
        <v>675</v>
      </c>
      <c r="E506" s="704" t="s">
        <v>448</v>
      </c>
      <c r="F506" s="705">
        <v>3.8959156024615297E-5</v>
      </c>
      <c r="G506" s="705">
        <v>1.7464107267778705E-2</v>
      </c>
    </row>
    <row r="507" spans="2:7" ht="11.25" hidden="1" customHeight="1" outlineLevel="2" x14ac:dyDescent="0.25">
      <c r="B507" s="704" t="s">
        <v>689</v>
      </c>
      <c r="C507" s="704" t="s">
        <v>722</v>
      </c>
      <c r="D507" s="704" t="s">
        <v>675</v>
      </c>
      <c r="E507" s="704" t="s">
        <v>448</v>
      </c>
      <c r="F507" s="705">
        <v>5.7598393832130302E-6</v>
      </c>
      <c r="G507" s="705">
        <v>2.5820429252102809E-3</v>
      </c>
    </row>
    <row r="508" spans="2:7" ht="11.25" hidden="1" customHeight="1" outlineLevel="2" x14ac:dyDescent="0.25">
      <c r="B508" s="704" t="s">
        <v>690</v>
      </c>
      <c r="C508" s="704" t="s">
        <v>722</v>
      </c>
      <c r="D508" s="704" t="s">
        <v>675</v>
      </c>
      <c r="E508" s="704" t="s">
        <v>448</v>
      </c>
      <c r="F508" s="705">
        <v>1.2681738039832451E-4</v>
      </c>
      <c r="G508" s="705">
        <v>5.6847973062101542E-2</v>
      </c>
    </row>
    <row r="509" spans="2:7" ht="11.25" hidden="1" customHeight="1" outlineLevel="2" x14ac:dyDescent="0.25">
      <c r="B509" s="704" t="s">
        <v>691</v>
      </c>
      <c r="C509" s="704" t="s">
        <v>722</v>
      </c>
      <c r="D509" s="704" t="s">
        <v>675</v>
      </c>
      <c r="E509" s="704" t="s">
        <v>448</v>
      </c>
      <c r="F509" s="705">
        <v>1.4482940935460384E-4</v>
      </c>
      <c r="G509" s="705">
        <v>6.4922215028536318E-2</v>
      </c>
    </row>
    <row r="510" spans="2:7" ht="11.25" hidden="1" customHeight="1" outlineLevel="2" x14ac:dyDescent="0.25">
      <c r="B510" s="704" t="s">
        <v>692</v>
      </c>
      <c r="C510" s="704" t="s">
        <v>722</v>
      </c>
      <c r="D510" s="704" t="s">
        <v>675</v>
      </c>
      <c r="E510" s="704" t="s">
        <v>448</v>
      </c>
      <c r="F510" s="705">
        <v>8.4692604743269945E-6</v>
      </c>
      <c r="G510" s="705">
        <v>3.7964862597865139E-3</v>
      </c>
    </row>
    <row r="511" spans="2:7" ht="11.25" hidden="1" customHeight="1" outlineLevel="2" x14ac:dyDescent="0.25">
      <c r="B511" s="704" t="s">
        <v>693</v>
      </c>
      <c r="C511" s="704" t="s">
        <v>722</v>
      </c>
      <c r="D511" s="704" t="s">
        <v>675</v>
      </c>
      <c r="E511" s="704" t="s">
        <v>448</v>
      </c>
      <c r="F511" s="705">
        <v>2.1141876574597999E-5</v>
      </c>
      <c r="G511" s="705">
        <v>9.476786163041543E-3</v>
      </c>
    </row>
    <row r="512" spans="2:7" ht="11.25" hidden="1" customHeight="1" outlineLevel="2" x14ac:dyDescent="0.25">
      <c r="B512" s="704" t="s">
        <v>694</v>
      </c>
      <c r="C512" s="704" t="s">
        <v>722</v>
      </c>
      <c r="D512" s="704" t="s">
        <v>675</v>
      </c>
      <c r="E512" s="704" t="s">
        <v>448</v>
      </c>
      <c r="F512" s="705">
        <v>2.3702511156833826E-6</v>
      </c>
      <c r="G512" s="705">
        <v>1.0624594333494101E-3</v>
      </c>
    </row>
    <row r="513" spans="2:7" ht="11.25" hidden="1" customHeight="1" outlineLevel="2" x14ac:dyDescent="0.25">
      <c r="B513" s="704" t="s">
        <v>695</v>
      </c>
      <c r="C513" s="704" t="s">
        <v>722</v>
      </c>
      <c r="D513" s="704" t="s">
        <v>675</v>
      </c>
      <c r="E513" s="704" t="s">
        <v>448</v>
      </c>
      <c r="F513" s="705">
        <v>1.124281993332198E-5</v>
      </c>
      <c r="G513" s="705">
        <v>5.039561500320474E-3</v>
      </c>
    </row>
    <row r="514" spans="2:7" ht="11.25" hidden="1" customHeight="1" outlineLevel="2" x14ac:dyDescent="0.25">
      <c r="B514" s="704" t="s">
        <v>696</v>
      </c>
      <c r="C514" s="704" t="s">
        <v>722</v>
      </c>
      <c r="D514" s="704" t="s">
        <v>675</v>
      </c>
      <c r="E514" s="704" t="s">
        <v>448</v>
      </c>
      <c r="F514" s="705">
        <v>2.8090659541956758E-5</v>
      </c>
      <c r="G514" s="705">
        <v>1.2591560683655075E-2</v>
      </c>
    </row>
    <row r="515" spans="2:7" ht="11.25" hidden="1" customHeight="1" outlineLevel="2" x14ac:dyDescent="0.25">
      <c r="B515" s="704" t="s">
        <v>697</v>
      </c>
      <c r="C515" s="704" t="s">
        <v>722</v>
      </c>
      <c r="D515" s="704" t="s">
        <v>675</v>
      </c>
      <c r="E515" s="704" t="s">
        <v>448</v>
      </c>
      <c r="F515" s="705">
        <v>1.536921992822546E-5</v>
      </c>
      <c r="G515" s="705">
        <v>6.8892145663255596E-3</v>
      </c>
    </row>
    <row r="516" spans="2:7" ht="11.25" hidden="1" customHeight="1" outlineLevel="2" x14ac:dyDescent="0.25">
      <c r="B516" s="704" t="s">
        <v>698</v>
      </c>
      <c r="C516" s="704" t="s">
        <v>722</v>
      </c>
      <c r="D516" s="704" t="s">
        <v>675</v>
      </c>
      <c r="E516" s="704" t="s">
        <v>448</v>
      </c>
      <c r="F516" s="705">
        <v>1.6876749520896543E-5</v>
      </c>
      <c r="G516" s="705">
        <v>7.5649618578151161E-3</v>
      </c>
    </row>
    <row r="517" spans="2:7" ht="11.25" hidden="1" customHeight="1" outlineLevel="2" x14ac:dyDescent="0.25">
      <c r="B517" s="704" t="s">
        <v>699</v>
      </c>
      <c r="C517" s="704" t="s">
        <v>722</v>
      </c>
      <c r="D517" s="704" t="s">
        <v>675</v>
      </c>
      <c r="E517" s="704" t="s">
        <v>448</v>
      </c>
      <c r="F517" s="705">
        <v>1.807527104592972E-36</v>
      </c>
      <c r="G517" s="705">
        <v>8.1025401359672294E-34</v>
      </c>
    </row>
    <row r="518" spans="2:7" ht="11.25" hidden="1" customHeight="1" outlineLevel="2" x14ac:dyDescent="0.25">
      <c r="B518" s="704" t="s">
        <v>673</v>
      </c>
      <c r="C518" s="704" t="s">
        <v>723</v>
      </c>
      <c r="D518" s="704" t="s">
        <v>675</v>
      </c>
      <c r="E518" s="704" t="s">
        <v>448</v>
      </c>
      <c r="F518" s="705">
        <v>1.8843622714206962E-2</v>
      </c>
      <c r="G518" s="705">
        <v>10.538505200237928</v>
      </c>
    </row>
    <row r="519" spans="2:7" ht="11.25" hidden="1" customHeight="1" outlineLevel="2" x14ac:dyDescent="0.25">
      <c r="B519" s="704" t="s">
        <v>677</v>
      </c>
      <c r="C519" s="704" t="s">
        <v>723</v>
      </c>
      <c r="D519" s="704" t="s">
        <v>675</v>
      </c>
      <c r="E519" s="704" t="s">
        <v>448</v>
      </c>
      <c r="F519" s="705">
        <v>0.31319683181140168</v>
      </c>
      <c r="G519" s="705">
        <v>174.88467945201646</v>
      </c>
    </row>
    <row r="520" spans="2:7" ht="11.25" hidden="1" customHeight="1" outlineLevel="2" x14ac:dyDescent="0.25">
      <c r="B520" s="704" t="s">
        <v>678</v>
      </c>
      <c r="C520" s="704" t="s">
        <v>723</v>
      </c>
      <c r="D520" s="704" t="s">
        <v>675</v>
      </c>
      <c r="E520" s="704" t="s">
        <v>448</v>
      </c>
      <c r="F520" s="705">
        <v>0.72429711775782701</v>
      </c>
      <c r="G520" s="705">
        <v>405.08812607583735</v>
      </c>
    </row>
    <row r="521" spans="2:7" ht="11.25" hidden="1" customHeight="1" outlineLevel="2" x14ac:dyDescent="0.25">
      <c r="B521" s="704" t="s">
        <v>679</v>
      </c>
      <c r="C521" s="704" t="s">
        <v>723</v>
      </c>
      <c r="D521" s="704" t="s">
        <v>675</v>
      </c>
      <c r="E521" s="704" t="s">
        <v>448</v>
      </c>
      <c r="F521" s="705">
        <v>5.8778191649508336E-2</v>
      </c>
      <c r="G521" s="705">
        <v>32.873764281443755</v>
      </c>
    </row>
    <row r="522" spans="2:7" ht="11.25" hidden="1" customHeight="1" outlineLevel="2" x14ac:dyDescent="0.25">
      <c r="B522" s="704" t="s">
        <v>680</v>
      </c>
      <c r="C522" s="704" t="s">
        <v>723</v>
      </c>
      <c r="D522" s="704" t="s">
        <v>675</v>
      </c>
      <c r="E522" s="704" t="s">
        <v>448</v>
      </c>
      <c r="F522" s="705">
        <v>1.0894842185035626E-2</v>
      </c>
      <c r="G522" s="705">
        <v>6.0930579480231835</v>
      </c>
    </row>
    <row r="523" spans="2:7" ht="11.25" hidden="1" customHeight="1" outlineLevel="2" x14ac:dyDescent="0.25">
      <c r="B523" s="704" t="s">
        <v>681</v>
      </c>
      <c r="C523" s="704" t="s">
        <v>723</v>
      </c>
      <c r="D523" s="704" t="s">
        <v>675</v>
      </c>
      <c r="E523" s="704" t="s">
        <v>448</v>
      </c>
      <c r="F523" s="705">
        <v>9.1890597761710449E-2</v>
      </c>
      <c r="G523" s="705">
        <v>51.393004923586346</v>
      </c>
    </row>
    <row r="524" spans="2:7" ht="11.25" hidden="1" customHeight="1" outlineLevel="2" x14ac:dyDescent="0.25">
      <c r="B524" s="704" t="s">
        <v>682</v>
      </c>
      <c r="C524" s="704" t="s">
        <v>723</v>
      </c>
      <c r="D524" s="704" t="s">
        <v>675</v>
      </c>
      <c r="E524" s="704" t="s">
        <v>448</v>
      </c>
      <c r="F524" s="705">
        <v>8.066580320296686E-2</v>
      </c>
      <c r="G524" s="705">
        <v>45.115137225894983</v>
      </c>
    </row>
    <row r="525" spans="2:7" ht="11.25" hidden="1" customHeight="1" outlineLevel="2" x14ac:dyDescent="0.25">
      <c r="B525" s="704" t="s">
        <v>683</v>
      </c>
      <c r="C525" s="704" t="s">
        <v>723</v>
      </c>
      <c r="D525" s="704" t="s">
        <v>675</v>
      </c>
      <c r="E525" s="704" t="s">
        <v>448</v>
      </c>
      <c r="F525" s="705">
        <v>0.13396697354560769</v>
      </c>
      <c r="G525" s="705">
        <v>74.925622808191093</v>
      </c>
    </row>
    <row r="526" spans="2:7" ht="11.25" hidden="1" customHeight="1" outlineLevel="2" x14ac:dyDescent="0.25">
      <c r="B526" s="704" t="s">
        <v>684</v>
      </c>
      <c r="C526" s="704" t="s">
        <v>723</v>
      </c>
      <c r="D526" s="704" t="s">
        <v>675</v>
      </c>
      <c r="E526" s="704" t="s">
        <v>448</v>
      </c>
      <c r="F526" s="705">
        <v>1.74874059340288E-2</v>
      </c>
      <c r="G526" s="705">
        <v>9.7800182991624212</v>
      </c>
    </row>
    <row r="527" spans="2:7" ht="11.25" hidden="1" customHeight="1" outlineLevel="2" x14ac:dyDescent="0.25">
      <c r="B527" s="704" t="s">
        <v>685</v>
      </c>
      <c r="C527" s="704" t="s">
        <v>723</v>
      </c>
      <c r="D527" s="704" t="s">
        <v>675</v>
      </c>
      <c r="E527" s="704" t="s">
        <v>448</v>
      </c>
      <c r="F527" s="705">
        <v>0.16077267047925806</v>
      </c>
      <c r="G527" s="705">
        <v>89.917736403567531</v>
      </c>
    </row>
    <row r="528" spans="2:7" ht="11.25" hidden="1" customHeight="1" outlineLevel="2" x14ac:dyDescent="0.25">
      <c r="B528" s="704" t="s">
        <v>686</v>
      </c>
      <c r="C528" s="704" t="s">
        <v>723</v>
      </c>
      <c r="D528" s="704" t="s">
        <v>675</v>
      </c>
      <c r="E528" s="704" t="s">
        <v>448</v>
      </c>
      <c r="F528" s="705">
        <v>3.7800699208375324E-2</v>
      </c>
      <c r="G528" s="705">
        <v>21.140434039674268</v>
      </c>
    </row>
    <row r="529" spans="2:7" ht="11.25" hidden="1" customHeight="1" outlineLevel="2" x14ac:dyDescent="0.25">
      <c r="B529" s="704" t="s">
        <v>687</v>
      </c>
      <c r="C529" s="704" t="s">
        <v>723</v>
      </c>
      <c r="D529" s="704" t="s">
        <v>675</v>
      </c>
      <c r="E529" s="704" t="s">
        <v>448</v>
      </c>
      <c r="F529" s="705">
        <v>0.19362058970817891</v>
      </c>
      <c r="G529" s="705">
        <v>108.2890947054308</v>
      </c>
    </row>
    <row r="530" spans="2:7" ht="11.25" hidden="1" customHeight="1" outlineLevel="2" x14ac:dyDescent="0.25">
      <c r="B530" s="704" t="s">
        <v>688</v>
      </c>
      <c r="C530" s="704" t="s">
        <v>723</v>
      </c>
      <c r="D530" s="704" t="s">
        <v>675</v>
      </c>
      <c r="E530" s="704" t="s">
        <v>448</v>
      </c>
      <c r="F530" s="705">
        <v>0.13897785165893886</v>
      </c>
      <c r="G530" s="705">
        <v>76.395791630971502</v>
      </c>
    </row>
    <row r="531" spans="2:7" ht="11.25" hidden="1" customHeight="1" outlineLevel="2" x14ac:dyDescent="0.25">
      <c r="B531" s="704" t="s">
        <v>689</v>
      </c>
      <c r="C531" s="704" t="s">
        <v>723</v>
      </c>
      <c r="D531" s="704" t="s">
        <v>675</v>
      </c>
      <c r="E531" s="704" t="s">
        <v>448</v>
      </c>
      <c r="F531" s="705">
        <v>2.054692727127962E-2</v>
      </c>
      <c r="G531" s="705">
        <v>11.492014963649687</v>
      </c>
    </row>
    <row r="532" spans="2:7" ht="11.25" hidden="1" customHeight="1" outlineLevel="2" x14ac:dyDescent="0.25">
      <c r="B532" s="704" t="s">
        <v>690</v>
      </c>
      <c r="C532" s="704" t="s">
        <v>723</v>
      </c>
      <c r="D532" s="704" t="s">
        <v>675</v>
      </c>
      <c r="E532" s="704" t="s">
        <v>448</v>
      </c>
      <c r="F532" s="705">
        <v>0.45239204881241518</v>
      </c>
      <c r="G532" s="705">
        <v>253.01595849859208</v>
      </c>
    </row>
    <row r="533" spans="2:7" ht="11.25" hidden="1" customHeight="1" outlineLevel="2" x14ac:dyDescent="0.25">
      <c r="B533" s="704" t="s">
        <v>691</v>
      </c>
      <c r="C533" s="704" t="s">
        <v>723</v>
      </c>
      <c r="D533" s="704" t="s">
        <v>675</v>
      </c>
      <c r="E533" s="704" t="s">
        <v>448</v>
      </c>
      <c r="F533" s="705">
        <v>0.51664672378625776</v>
      </c>
      <c r="G533" s="705">
        <v>288.9521880981851</v>
      </c>
    </row>
    <row r="534" spans="2:7" ht="11.25" hidden="1" customHeight="1" outlineLevel="2" x14ac:dyDescent="0.25">
      <c r="B534" s="704" t="s">
        <v>692</v>
      </c>
      <c r="C534" s="704" t="s">
        <v>723</v>
      </c>
      <c r="D534" s="704" t="s">
        <v>675</v>
      </c>
      <c r="E534" s="704" t="s">
        <v>448</v>
      </c>
      <c r="F534" s="706">
        <v>3.0212162275097796E-2</v>
      </c>
      <c r="G534" s="705">
        <v>16.89719814415351</v>
      </c>
    </row>
    <row r="535" spans="2:7" ht="11.25" hidden="1" customHeight="1" outlineLevel="2" x14ac:dyDescent="0.25">
      <c r="B535" s="704" t="s">
        <v>693</v>
      </c>
      <c r="C535" s="704" t="s">
        <v>723</v>
      </c>
      <c r="D535" s="704" t="s">
        <v>675</v>
      </c>
      <c r="E535" s="704" t="s">
        <v>448</v>
      </c>
      <c r="F535" s="706">
        <v>7.5418824574261911E-2</v>
      </c>
      <c r="G535" s="705">
        <v>42.178739371371776</v>
      </c>
    </row>
    <row r="536" spans="2:7" ht="11.25" hidden="1" customHeight="1" outlineLevel="2" x14ac:dyDescent="0.25">
      <c r="B536" s="704" t="s">
        <v>694</v>
      </c>
      <c r="C536" s="704" t="s">
        <v>723</v>
      </c>
      <c r="D536" s="704" t="s">
        <v>675</v>
      </c>
      <c r="E536" s="704" t="s">
        <v>448</v>
      </c>
      <c r="F536" s="706">
        <v>8.4553384330125908E-3</v>
      </c>
      <c r="G536" s="705">
        <v>4.7287341152621121</v>
      </c>
    </row>
    <row r="537" spans="2:7" ht="11.25" hidden="1" customHeight="1" outlineLevel="2" x14ac:dyDescent="0.25">
      <c r="B537" s="704" t="s">
        <v>695</v>
      </c>
      <c r="C537" s="704" t="s">
        <v>723</v>
      </c>
      <c r="D537" s="704" t="s">
        <v>675</v>
      </c>
      <c r="E537" s="704" t="s">
        <v>448</v>
      </c>
      <c r="F537" s="706">
        <v>4.0106211622939827E-2</v>
      </c>
      <c r="G537" s="705">
        <v>22.429817391236504</v>
      </c>
    </row>
    <row r="538" spans="2:7" ht="11.25" hidden="1" customHeight="1" outlineLevel="2" x14ac:dyDescent="0.25">
      <c r="B538" s="704" t="s">
        <v>696</v>
      </c>
      <c r="C538" s="704" t="s">
        <v>723</v>
      </c>
      <c r="D538" s="704" t="s">
        <v>675</v>
      </c>
      <c r="E538" s="704" t="s">
        <v>448</v>
      </c>
      <c r="F538" s="706">
        <v>0.10020706409306775</v>
      </c>
      <c r="G538" s="705">
        <v>56.041895741493562</v>
      </c>
    </row>
    <row r="539" spans="2:7" ht="11.25" hidden="1" customHeight="1" outlineLevel="2" x14ac:dyDescent="0.25">
      <c r="B539" s="704" t="s">
        <v>697</v>
      </c>
      <c r="C539" s="704" t="s">
        <v>723</v>
      </c>
      <c r="D539" s="704" t="s">
        <v>675</v>
      </c>
      <c r="E539" s="704" t="s">
        <v>448</v>
      </c>
      <c r="F539" s="706">
        <v>5.4826217168742225E-2</v>
      </c>
      <c r="G539" s="705">
        <v>30.662143801298612</v>
      </c>
    </row>
    <row r="540" spans="2:7" ht="11.25" hidden="1" customHeight="1" outlineLevel="2" x14ac:dyDescent="0.25">
      <c r="B540" s="704" t="s">
        <v>698</v>
      </c>
      <c r="C540" s="704" t="s">
        <v>723</v>
      </c>
      <c r="D540" s="704" t="s">
        <v>675</v>
      </c>
      <c r="E540" s="704" t="s">
        <v>448</v>
      </c>
      <c r="F540" s="706">
        <v>6.0203965290455554E-2</v>
      </c>
      <c r="G540" s="705">
        <v>33.669715061985542</v>
      </c>
    </row>
    <row r="541" spans="2:7" ht="11.25" hidden="1" customHeight="1" outlineLevel="2" x14ac:dyDescent="0.25">
      <c r="B541" s="704" t="s">
        <v>699</v>
      </c>
      <c r="C541" s="704" t="s">
        <v>723</v>
      </c>
      <c r="D541" s="704" t="s">
        <v>675</v>
      </c>
      <c r="E541" s="704" t="s">
        <v>448</v>
      </c>
      <c r="F541" s="706">
        <v>3.5833641940293277E-34</v>
      </c>
      <c r="G541" s="705">
        <v>2.0536241178263922E-31</v>
      </c>
    </row>
    <row r="542" spans="2:7" ht="11.25" hidden="1" customHeight="1" outlineLevel="2" x14ac:dyDescent="0.25">
      <c r="B542" s="704" t="s">
        <v>673</v>
      </c>
      <c r="C542" s="704" t="s">
        <v>724</v>
      </c>
      <c r="D542" s="704" t="s">
        <v>675</v>
      </c>
      <c r="E542" s="704" t="s">
        <v>448</v>
      </c>
      <c r="F542" s="706">
        <v>1.3754850342295732E-4</v>
      </c>
      <c r="G542" s="705">
        <v>6.1655689731861071E-2</v>
      </c>
    </row>
    <row r="543" spans="2:7" ht="11.25" hidden="1" customHeight="1" outlineLevel="2" x14ac:dyDescent="0.25">
      <c r="B543" s="704" t="s">
        <v>677</v>
      </c>
      <c r="C543" s="704" t="s">
        <v>724</v>
      </c>
      <c r="D543" s="704" t="s">
        <v>675</v>
      </c>
      <c r="E543" s="704" t="s">
        <v>448</v>
      </c>
      <c r="F543" s="706">
        <v>2.2861693825184217E-3</v>
      </c>
      <c r="G543" s="705">
        <v>1.0231666970461255</v>
      </c>
    </row>
    <row r="544" spans="2:7" ht="11.25" hidden="1" customHeight="1" outlineLevel="2" x14ac:dyDescent="0.25">
      <c r="B544" s="704" t="s">
        <v>678</v>
      </c>
      <c r="C544" s="704" t="s">
        <v>724</v>
      </c>
      <c r="D544" s="704" t="s">
        <v>675</v>
      </c>
      <c r="E544" s="704" t="s">
        <v>448</v>
      </c>
      <c r="F544" s="706">
        <v>5.2869790966788279E-3</v>
      </c>
      <c r="G544" s="705">
        <v>2.3699778691193072</v>
      </c>
    </row>
    <row r="545" spans="2:7" ht="11.25" hidden="1" customHeight="1" outlineLevel="2" x14ac:dyDescent="0.25">
      <c r="B545" s="704" t="s">
        <v>679</v>
      </c>
      <c r="C545" s="704" t="s">
        <v>724</v>
      </c>
      <c r="D545" s="704" t="s">
        <v>675</v>
      </c>
      <c r="E545" s="704" t="s">
        <v>448</v>
      </c>
      <c r="F545" s="706">
        <v>4.290497002058444E-4</v>
      </c>
      <c r="G545" s="705">
        <v>0.19232866243240013</v>
      </c>
    </row>
    <row r="546" spans="2:7" ht="11.25" hidden="1" customHeight="1" outlineLevel="2" x14ac:dyDescent="0.25">
      <c r="B546" s="704" t="s">
        <v>680</v>
      </c>
      <c r="C546" s="704" t="s">
        <v>724</v>
      </c>
      <c r="D546" s="704" t="s">
        <v>675</v>
      </c>
      <c r="E546" s="704" t="s">
        <v>448</v>
      </c>
      <c r="F546" s="706">
        <v>7.9526566101178789E-5</v>
      </c>
      <c r="G546" s="705">
        <v>3.5647572769999331E-2</v>
      </c>
    </row>
    <row r="547" spans="2:7" ht="11.25" hidden="1" customHeight="1" outlineLevel="2" x14ac:dyDescent="0.25">
      <c r="B547" s="704" t="s">
        <v>681</v>
      </c>
      <c r="C547" s="704" t="s">
        <v>724</v>
      </c>
      <c r="D547" s="704" t="s">
        <v>675</v>
      </c>
      <c r="E547" s="704" t="s">
        <v>448</v>
      </c>
      <c r="F547" s="706">
        <v>6.7075190948721083E-4</v>
      </c>
      <c r="G547" s="705">
        <v>0.30067610514757537</v>
      </c>
    </row>
    <row r="548" spans="2:7" ht="11.25" hidden="1" customHeight="1" outlineLevel="2" x14ac:dyDescent="0.25">
      <c r="B548" s="704" t="s">
        <v>682</v>
      </c>
      <c r="C548" s="704" t="s">
        <v>724</v>
      </c>
      <c r="D548" s="704" t="s">
        <v>675</v>
      </c>
      <c r="E548" s="704" t="s">
        <v>448</v>
      </c>
      <c r="F548" s="706">
        <v>5.8881742340065758E-4</v>
      </c>
      <c r="G548" s="705">
        <v>0.26394743551868527</v>
      </c>
    </row>
    <row r="549" spans="2:7" ht="11.25" hidden="1" customHeight="1" outlineLevel="2" x14ac:dyDescent="0.25">
      <c r="B549" s="704" t="s">
        <v>683</v>
      </c>
      <c r="C549" s="704" t="s">
        <v>724</v>
      </c>
      <c r="D549" s="704" t="s">
        <v>675</v>
      </c>
      <c r="E549" s="704" t="s">
        <v>448</v>
      </c>
      <c r="F549" s="706">
        <v>9.7788770933805226E-4</v>
      </c>
      <c r="G549" s="705">
        <v>0.43835476858019207</v>
      </c>
    </row>
    <row r="550" spans="2:7" ht="11.25" hidden="1" customHeight="1" outlineLevel="2" x14ac:dyDescent="0.25">
      <c r="B550" s="704" t="s">
        <v>684</v>
      </c>
      <c r="C550" s="704" t="s">
        <v>724</v>
      </c>
      <c r="D550" s="704" t="s">
        <v>675</v>
      </c>
      <c r="E550" s="704" t="s">
        <v>448</v>
      </c>
      <c r="F550" s="706">
        <v>1.2764873835052315E-4</v>
      </c>
      <c r="G550" s="705">
        <v>5.7218228240652383E-2</v>
      </c>
    </row>
    <row r="551" spans="2:7" ht="11.25" hidden="1" customHeight="1" outlineLevel="2" x14ac:dyDescent="0.25">
      <c r="B551" s="704" t="s">
        <v>685</v>
      </c>
      <c r="C551" s="704" t="s">
        <v>724</v>
      </c>
      <c r="D551" s="704" t="s">
        <v>675</v>
      </c>
      <c r="E551" s="704" t="s">
        <v>448</v>
      </c>
      <c r="F551" s="706">
        <v>1.1735549565864952E-3</v>
      </c>
      <c r="G551" s="705">
        <v>0.52606513456475912</v>
      </c>
    </row>
    <row r="552" spans="2:7" ht="11.25" hidden="1" customHeight="1" outlineLevel="2" x14ac:dyDescent="0.25">
      <c r="B552" s="704" t="s">
        <v>686</v>
      </c>
      <c r="C552" s="704" t="s">
        <v>724</v>
      </c>
      <c r="D552" s="704" t="s">
        <v>675</v>
      </c>
      <c r="E552" s="704" t="s">
        <v>448</v>
      </c>
      <c r="F552" s="706">
        <v>2.75924848458388E-4</v>
      </c>
      <c r="G552" s="705">
        <v>0.12368264548977599</v>
      </c>
    </row>
    <row r="553" spans="2:7" ht="11.25" hidden="1" customHeight="1" outlineLevel="2" x14ac:dyDescent="0.25">
      <c r="B553" s="704" t="s">
        <v>687</v>
      </c>
      <c r="C553" s="704" t="s">
        <v>724</v>
      </c>
      <c r="D553" s="704" t="s">
        <v>675</v>
      </c>
      <c r="E553" s="704" t="s">
        <v>448</v>
      </c>
      <c r="F553" s="706">
        <v>1.4133277522784698E-3</v>
      </c>
      <c r="G553" s="705">
        <v>0.63354736748174578</v>
      </c>
    </row>
    <row r="554" spans="2:7" ht="11.25" hidden="1" customHeight="1" outlineLevel="2" x14ac:dyDescent="0.25">
      <c r="B554" s="704" t="s">
        <v>688</v>
      </c>
      <c r="C554" s="704" t="s">
        <v>724</v>
      </c>
      <c r="D554" s="704" t="s">
        <v>675</v>
      </c>
      <c r="E554" s="704" t="s">
        <v>448</v>
      </c>
      <c r="F554" s="706">
        <v>9.970630249448722E-4</v>
      </c>
      <c r="G554" s="705">
        <v>0.44695539398671513</v>
      </c>
    </row>
    <row r="555" spans="2:7" ht="11.25" hidden="1" customHeight="1" outlineLevel="2" x14ac:dyDescent="0.25">
      <c r="B555" s="704" t="s">
        <v>689</v>
      </c>
      <c r="C555" s="704" t="s">
        <v>724</v>
      </c>
      <c r="D555" s="704" t="s">
        <v>675</v>
      </c>
      <c r="E555" s="704" t="s">
        <v>448</v>
      </c>
      <c r="F555" s="706">
        <v>1.4998162782357439E-4</v>
      </c>
      <c r="G555" s="705">
        <v>6.7234357786042545E-2</v>
      </c>
    </row>
    <row r="556" spans="2:7" ht="11.25" hidden="1" customHeight="1" outlineLevel="2" x14ac:dyDescent="0.25">
      <c r="B556" s="704" t="s">
        <v>690</v>
      </c>
      <c r="C556" s="704" t="s">
        <v>724</v>
      </c>
      <c r="D556" s="704" t="s">
        <v>675</v>
      </c>
      <c r="E556" s="704" t="s">
        <v>448</v>
      </c>
      <c r="F556" s="706">
        <v>3.3022212557755979E-3</v>
      </c>
      <c r="G556" s="705">
        <v>1.4802761356888992</v>
      </c>
    </row>
    <row r="557" spans="2:7" ht="11.25" hidden="1" customHeight="1" outlineLevel="2" x14ac:dyDescent="0.25">
      <c r="B557" s="704" t="s">
        <v>691</v>
      </c>
      <c r="C557" s="704" t="s">
        <v>724</v>
      </c>
      <c r="D557" s="704" t="s">
        <v>675</v>
      </c>
      <c r="E557" s="704" t="s">
        <v>448</v>
      </c>
      <c r="F557" s="706">
        <v>3.7712407010094982E-3</v>
      </c>
      <c r="G557" s="705">
        <v>1.6905223059936356</v>
      </c>
    </row>
    <row r="558" spans="2:7" ht="11.25" hidden="1" customHeight="1" outlineLevel="2" x14ac:dyDescent="0.25">
      <c r="B558" s="704" t="s">
        <v>692</v>
      </c>
      <c r="C558" s="704" t="s">
        <v>724</v>
      </c>
      <c r="D558" s="704" t="s">
        <v>675</v>
      </c>
      <c r="E558" s="704" t="s">
        <v>448</v>
      </c>
      <c r="F558" s="706">
        <v>2.2053276006338173E-4</v>
      </c>
      <c r="G558" s="705">
        <v>9.8857518859681429E-2</v>
      </c>
    </row>
    <row r="559" spans="2:7" ht="11.25" hidden="1" customHeight="1" outlineLevel="2" x14ac:dyDescent="0.25">
      <c r="B559" s="704" t="s">
        <v>693</v>
      </c>
      <c r="C559" s="704" t="s">
        <v>724</v>
      </c>
      <c r="D559" s="704" t="s">
        <v>675</v>
      </c>
      <c r="E559" s="704" t="s">
        <v>448</v>
      </c>
      <c r="F559" s="705">
        <v>5.5051760495545502E-4</v>
      </c>
      <c r="G559" s="705">
        <v>0.24676799376164682</v>
      </c>
    </row>
    <row r="560" spans="2:7" ht="11.25" hidden="1" customHeight="1" outlineLevel="2" x14ac:dyDescent="0.25">
      <c r="B560" s="704" t="s">
        <v>694</v>
      </c>
      <c r="C560" s="704" t="s">
        <v>724</v>
      </c>
      <c r="D560" s="704" t="s">
        <v>675</v>
      </c>
      <c r="E560" s="704" t="s">
        <v>448</v>
      </c>
      <c r="F560" s="705">
        <v>6.1719463356204598E-5</v>
      </c>
      <c r="G560" s="705">
        <v>2.7665582793281924E-2</v>
      </c>
    </row>
    <row r="561" spans="2:7" ht="11.25" hidden="1" customHeight="1" outlineLevel="2" x14ac:dyDescent="0.25">
      <c r="B561" s="704" t="s">
        <v>695</v>
      </c>
      <c r="C561" s="704" t="s">
        <v>724</v>
      </c>
      <c r="D561" s="704" t="s">
        <v>675</v>
      </c>
      <c r="E561" s="704" t="s">
        <v>448</v>
      </c>
      <c r="F561" s="705">
        <v>2.9275416914162345E-4</v>
      </c>
      <c r="G561" s="705">
        <v>0.13122619612968106</v>
      </c>
    </row>
    <row r="562" spans="2:7" ht="11.25" hidden="1" customHeight="1" outlineLevel="2" x14ac:dyDescent="0.25">
      <c r="B562" s="704" t="s">
        <v>696</v>
      </c>
      <c r="C562" s="704" t="s">
        <v>724</v>
      </c>
      <c r="D562" s="704" t="s">
        <v>675</v>
      </c>
      <c r="E562" s="704" t="s">
        <v>448</v>
      </c>
      <c r="F562" s="705">
        <v>7.3145839689421946E-4</v>
      </c>
      <c r="G562" s="705">
        <v>0.32787411308497344</v>
      </c>
    </row>
    <row r="563" spans="2:7" ht="11.25" hidden="1" customHeight="1" outlineLevel="2" x14ac:dyDescent="0.25">
      <c r="B563" s="704" t="s">
        <v>697</v>
      </c>
      <c r="C563" s="704" t="s">
        <v>724</v>
      </c>
      <c r="D563" s="704" t="s">
        <v>675</v>
      </c>
      <c r="E563" s="704" t="s">
        <v>448</v>
      </c>
      <c r="F563" s="705">
        <v>4.0020221830596565E-4</v>
      </c>
      <c r="G563" s="705">
        <v>0.17938958369728566</v>
      </c>
    </row>
    <row r="564" spans="2:7" ht="11.25" hidden="1" customHeight="1" outlineLevel="2" x14ac:dyDescent="0.25">
      <c r="B564" s="704" t="s">
        <v>698</v>
      </c>
      <c r="C564" s="704" t="s">
        <v>724</v>
      </c>
      <c r="D564" s="704" t="s">
        <v>675</v>
      </c>
      <c r="E564" s="704" t="s">
        <v>448</v>
      </c>
      <c r="F564" s="705">
        <v>4.3945703173802278E-4</v>
      </c>
      <c r="G564" s="705">
        <v>0.19698545847072607</v>
      </c>
    </row>
    <row r="565" spans="2:7" ht="11.25" hidden="1" customHeight="1" outlineLevel="2" x14ac:dyDescent="0.25">
      <c r="B565" s="704" t="s">
        <v>699</v>
      </c>
      <c r="C565" s="704" t="s">
        <v>724</v>
      </c>
      <c r="D565" s="704" t="s">
        <v>675</v>
      </c>
      <c r="E565" s="704" t="s">
        <v>448</v>
      </c>
      <c r="F565" s="705">
        <v>4.4947573044558784E-38</v>
      </c>
      <c r="G565" s="705">
        <v>2.0148500704412117E-35</v>
      </c>
    </row>
    <row r="566" spans="2:7" ht="11.25" hidden="1" customHeight="1" outlineLevel="2" x14ac:dyDescent="0.25">
      <c r="B566" s="704" t="s">
        <v>673</v>
      </c>
      <c r="C566" s="704" t="s">
        <v>725</v>
      </c>
      <c r="D566" s="704" t="s">
        <v>563</v>
      </c>
      <c r="E566" s="704" t="s">
        <v>448</v>
      </c>
      <c r="F566" s="705">
        <v>2.9567878804087519E-4</v>
      </c>
      <c r="G566" s="705">
        <v>0.13254097279533403</v>
      </c>
    </row>
    <row r="567" spans="2:7" ht="11.25" hidden="1" customHeight="1" outlineLevel="2" x14ac:dyDescent="0.25">
      <c r="B567" s="704" t="s">
        <v>677</v>
      </c>
      <c r="C567" s="704" t="s">
        <v>725</v>
      </c>
      <c r="D567" s="704" t="s">
        <v>563</v>
      </c>
      <c r="E567" s="704" t="s">
        <v>448</v>
      </c>
      <c r="F567" s="705">
        <v>1.2548497752644526E-3</v>
      </c>
      <c r="G567" s="705">
        <v>0.56160357303741903</v>
      </c>
    </row>
    <row r="568" spans="2:7" ht="11.25" hidden="1" customHeight="1" outlineLevel="2" x14ac:dyDescent="0.25">
      <c r="B568" s="704" t="s">
        <v>678</v>
      </c>
      <c r="C568" s="704" t="s">
        <v>725</v>
      </c>
      <c r="D568" s="704" t="s">
        <v>563</v>
      </c>
      <c r="E568" s="704" t="s">
        <v>448</v>
      </c>
      <c r="F568" s="705">
        <v>2.2926257519966125E-3</v>
      </c>
      <c r="G568" s="705">
        <v>1.0277793808908262</v>
      </c>
    </row>
    <row r="569" spans="2:7" ht="11.25" hidden="1" customHeight="1" outlineLevel="2" x14ac:dyDescent="0.25">
      <c r="B569" s="704" t="s">
        <v>679</v>
      </c>
      <c r="C569" s="704" t="s">
        <v>725</v>
      </c>
      <c r="D569" s="704" t="s">
        <v>563</v>
      </c>
      <c r="E569" s="704" t="s">
        <v>448</v>
      </c>
      <c r="F569" s="705">
        <v>6.1346850047686556E-5</v>
      </c>
      <c r="G569" s="705">
        <v>2.7501673323810746E-2</v>
      </c>
    </row>
    <row r="570" spans="2:7" ht="11.25" hidden="1" customHeight="1" outlineLevel="2" x14ac:dyDescent="0.25">
      <c r="B570" s="704" t="s">
        <v>680</v>
      </c>
      <c r="C570" s="704" t="s">
        <v>725</v>
      </c>
      <c r="D570" s="704" t="s">
        <v>563</v>
      </c>
      <c r="E570" s="704" t="s">
        <v>448</v>
      </c>
      <c r="F570" s="705">
        <v>1.4865024286129597E-4</v>
      </c>
      <c r="G570" s="705">
        <v>6.6634131361934579E-2</v>
      </c>
    </row>
    <row r="571" spans="2:7" ht="11.25" hidden="1" customHeight="1" outlineLevel="2" x14ac:dyDescent="0.25">
      <c r="B571" s="704" t="s">
        <v>681</v>
      </c>
      <c r="C571" s="704" t="s">
        <v>725</v>
      </c>
      <c r="D571" s="704" t="s">
        <v>563</v>
      </c>
      <c r="E571" s="704" t="s">
        <v>448</v>
      </c>
      <c r="F571" s="705">
        <v>3.1952613788030325E-4</v>
      </c>
      <c r="G571" s="705">
        <v>0.14324283840768842</v>
      </c>
    </row>
    <row r="572" spans="2:7" ht="11.25" hidden="1" customHeight="1" outlineLevel="2" x14ac:dyDescent="0.25">
      <c r="B572" s="704" t="s">
        <v>682</v>
      </c>
      <c r="C572" s="704" t="s">
        <v>725</v>
      </c>
      <c r="D572" s="704" t="s">
        <v>563</v>
      </c>
      <c r="E572" s="704" t="s">
        <v>448</v>
      </c>
      <c r="F572" s="705">
        <v>2.9141993244393322E-4</v>
      </c>
      <c r="G572" s="705">
        <v>0.13064309690123208</v>
      </c>
    </row>
    <row r="573" spans="2:7" ht="11.25" hidden="1" customHeight="1" outlineLevel="2" x14ac:dyDescent="0.25">
      <c r="B573" s="704" t="s">
        <v>683</v>
      </c>
      <c r="C573" s="704" t="s">
        <v>725</v>
      </c>
      <c r="D573" s="704" t="s">
        <v>563</v>
      </c>
      <c r="E573" s="704" t="s">
        <v>448</v>
      </c>
      <c r="F573" s="705">
        <v>1.0129882113497628E-4</v>
      </c>
      <c r="G573" s="705">
        <v>4.5412127678293696E-2</v>
      </c>
    </row>
    <row r="574" spans="2:7" ht="11.25" hidden="1" customHeight="1" outlineLevel="2" x14ac:dyDescent="0.25">
      <c r="B574" s="704" t="s">
        <v>684</v>
      </c>
      <c r="C574" s="704" t="s">
        <v>725</v>
      </c>
      <c r="D574" s="704" t="s">
        <v>563</v>
      </c>
      <c r="E574" s="704" t="s">
        <v>448</v>
      </c>
      <c r="F574" s="705">
        <v>2.1039844666956932E-4</v>
      </c>
      <c r="G574" s="705">
        <v>9.4314264080385332E-2</v>
      </c>
    </row>
    <row r="575" spans="2:7" ht="11.25" hidden="1" customHeight="1" outlineLevel="2" x14ac:dyDescent="0.25">
      <c r="B575" s="704" t="s">
        <v>685</v>
      </c>
      <c r="C575" s="704" t="s">
        <v>725</v>
      </c>
      <c r="D575" s="704" t="s">
        <v>563</v>
      </c>
      <c r="E575" s="704" t="s">
        <v>448</v>
      </c>
      <c r="F575" s="705">
        <v>7.7318718026721852E-4</v>
      </c>
      <c r="G575" s="705">
        <v>0.34661795878326984</v>
      </c>
    </row>
    <row r="576" spans="2:7" ht="11.25" hidden="1" customHeight="1" outlineLevel="2" x14ac:dyDescent="0.25">
      <c r="B576" s="704" t="s">
        <v>686</v>
      </c>
      <c r="C576" s="704" t="s">
        <v>725</v>
      </c>
      <c r="D576" s="704" t="s">
        <v>563</v>
      </c>
      <c r="E576" s="704" t="s">
        <v>448</v>
      </c>
      <c r="F576" s="705">
        <v>7.5991805414344333E-5</v>
      </c>
      <c r="G576" s="705">
        <v>3.4064119873605872E-2</v>
      </c>
    </row>
    <row r="577" spans="2:7" ht="11.25" hidden="1" customHeight="1" outlineLevel="2" x14ac:dyDescent="0.25">
      <c r="B577" s="704" t="s">
        <v>687</v>
      </c>
      <c r="C577" s="704" t="s">
        <v>725</v>
      </c>
      <c r="D577" s="704" t="s">
        <v>563</v>
      </c>
      <c r="E577" s="704" t="s">
        <v>448</v>
      </c>
      <c r="F577" s="705">
        <v>5.1599826808181363E-4</v>
      </c>
      <c r="G577" s="705">
        <v>0.23132099884656371</v>
      </c>
    </row>
    <row r="578" spans="2:7" ht="11.25" hidden="1" customHeight="1" outlineLevel="2" x14ac:dyDescent="0.25">
      <c r="B578" s="704" t="s">
        <v>688</v>
      </c>
      <c r="C578" s="704" t="s">
        <v>725</v>
      </c>
      <c r="D578" s="704" t="s">
        <v>563</v>
      </c>
      <c r="E578" s="704" t="s">
        <v>448</v>
      </c>
      <c r="F578" s="705">
        <v>7.008046113384823E-4</v>
      </c>
      <c r="G578" s="705">
        <v>0.31416926062522321</v>
      </c>
    </row>
    <row r="579" spans="2:7" ht="11.25" hidden="1" customHeight="1" outlineLevel="2" x14ac:dyDescent="0.25">
      <c r="B579" s="704" t="s">
        <v>689</v>
      </c>
      <c r="C579" s="704" t="s">
        <v>725</v>
      </c>
      <c r="D579" s="704" t="s">
        <v>563</v>
      </c>
      <c r="E579" s="704" t="s">
        <v>448</v>
      </c>
      <c r="F579" s="706">
        <v>9.4294813407152955E-5</v>
      </c>
      <c r="G579" s="705">
        <v>4.2273672547016625E-2</v>
      </c>
    </row>
    <row r="580" spans="2:7" ht="11.25" hidden="1" customHeight="1" outlineLevel="2" x14ac:dyDescent="0.25">
      <c r="B580" s="704" t="s">
        <v>690</v>
      </c>
      <c r="C580" s="704" t="s">
        <v>725</v>
      </c>
      <c r="D580" s="704" t="s">
        <v>563</v>
      </c>
      <c r="E580" s="704" t="s">
        <v>448</v>
      </c>
      <c r="F580" s="706">
        <v>1.2971569028998905E-3</v>
      </c>
      <c r="G580" s="705">
        <v>0.58151257957200941</v>
      </c>
    </row>
    <row r="581" spans="2:7" ht="11.25" hidden="1" customHeight="1" outlineLevel="2" x14ac:dyDescent="0.25">
      <c r="B581" s="704" t="s">
        <v>691</v>
      </c>
      <c r="C581" s="704" t="s">
        <v>725</v>
      </c>
      <c r="D581" s="704" t="s">
        <v>563</v>
      </c>
      <c r="E581" s="704" t="s">
        <v>448</v>
      </c>
      <c r="F581" s="706">
        <v>9.5240740220013784E-4</v>
      </c>
      <c r="G581" s="705">
        <v>0.42696200896341263</v>
      </c>
    </row>
    <row r="582" spans="2:7" ht="11.25" hidden="1" customHeight="1" outlineLevel="2" x14ac:dyDescent="0.25">
      <c r="B582" s="704" t="s">
        <v>692</v>
      </c>
      <c r="C582" s="704" t="s">
        <v>725</v>
      </c>
      <c r="D582" s="704" t="s">
        <v>563</v>
      </c>
      <c r="E582" s="704" t="s">
        <v>448</v>
      </c>
      <c r="F582" s="706">
        <v>7.8012321424761737E-5</v>
      </c>
      <c r="G582" s="705">
        <v>3.4972755859109285E-2</v>
      </c>
    </row>
    <row r="583" spans="2:7" ht="11.25" hidden="1" customHeight="1" outlineLevel="2" x14ac:dyDescent="0.25">
      <c r="B583" s="704" t="s">
        <v>693</v>
      </c>
      <c r="C583" s="704" t="s">
        <v>725</v>
      </c>
      <c r="D583" s="704" t="s">
        <v>563</v>
      </c>
      <c r="E583" s="704" t="s">
        <v>448</v>
      </c>
      <c r="F583" s="706">
        <v>4.202745823716649E-5</v>
      </c>
      <c r="G583" s="705">
        <v>1.8839266483879787E-2</v>
      </c>
    </row>
    <row r="584" spans="2:7" ht="11.25" hidden="1" customHeight="1" outlineLevel="2" x14ac:dyDescent="0.25">
      <c r="B584" s="704" t="s">
        <v>694</v>
      </c>
      <c r="C584" s="704" t="s">
        <v>725</v>
      </c>
      <c r="D584" s="704" t="s">
        <v>563</v>
      </c>
      <c r="E584" s="704" t="s">
        <v>448</v>
      </c>
      <c r="F584" s="706">
        <v>2.8603902772108954E-5</v>
      </c>
      <c r="G584" s="705">
        <v>1.282199683588911E-2</v>
      </c>
    </row>
    <row r="585" spans="2:7" ht="11.25" hidden="1" customHeight="1" outlineLevel="2" x14ac:dyDescent="0.25">
      <c r="B585" s="704" t="s">
        <v>695</v>
      </c>
      <c r="C585" s="704" t="s">
        <v>725</v>
      </c>
      <c r="D585" s="704" t="s">
        <v>563</v>
      </c>
      <c r="E585" s="704" t="s">
        <v>448</v>
      </c>
      <c r="F585" s="706">
        <v>2.009930927633888E-4</v>
      </c>
      <c r="G585" s="705">
        <v>9.0097208850078284E-2</v>
      </c>
    </row>
    <row r="586" spans="2:7" ht="11.25" hidden="1" customHeight="1" outlineLevel="2" x14ac:dyDescent="0.25">
      <c r="B586" s="704" t="s">
        <v>696</v>
      </c>
      <c r="C586" s="704" t="s">
        <v>725</v>
      </c>
      <c r="D586" s="704" t="s">
        <v>563</v>
      </c>
      <c r="E586" s="704" t="s">
        <v>448</v>
      </c>
      <c r="F586" s="705">
        <v>7.2162953190603809E-4</v>
      </c>
      <c r="G586" s="705">
        <v>0.32347773525774393</v>
      </c>
    </row>
    <row r="587" spans="2:7" ht="11.25" hidden="1" customHeight="1" outlineLevel="2" x14ac:dyDescent="0.25">
      <c r="B587" s="704" t="s">
        <v>697</v>
      </c>
      <c r="C587" s="704" t="s">
        <v>725</v>
      </c>
      <c r="D587" s="704" t="s">
        <v>563</v>
      </c>
      <c r="E587" s="704" t="s">
        <v>448</v>
      </c>
      <c r="F587" s="705">
        <v>3.6468844974520359E-4</v>
      </c>
      <c r="G587" s="705">
        <v>0.16347537255280076</v>
      </c>
    </row>
    <row r="588" spans="2:7" ht="11.25" hidden="1" customHeight="1" outlineLevel="2" x14ac:dyDescent="0.25">
      <c r="B588" s="704" t="s">
        <v>698</v>
      </c>
      <c r="C588" s="704" t="s">
        <v>725</v>
      </c>
      <c r="D588" s="704" t="s">
        <v>563</v>
      </c>
      <c r="E588" s="704" t="s">
        <v>448</v>
      </c>
      <c r="F588" s="705">
        <v>9.5406267830208154E-5</v>
      </c>
      <c r="G588" s="705">
        <v>4.2766881657676108E-2</v>
      </c>
    </row>
    <row r="589" spans="2:7" ht="11.25" hidden="1" customHeight="1" outlineLevel="2" x14ac:dyDescent="0.25">
      <c r="B589" s="704" t="s">
        <v>699</v>
      </c>
      <c r="C589" s="704" t="s">
        <v>725</v>
      </c>
      <c r="D589" s="704" t="s">
        <v>563</v>
      </c>
      <c r="E589" s="704" t="s">
        <v>448</v>
      </c>
      <c r="F589" s="705">
        <v>1.7394672191487757E-3</v>
      </c>
      <c r="G589" s="705">
        <v>0.7797989467711457</v>
      </c>
    </row>
    <row r="590" spans="2:7" ht="11.25" hidden="1" customHeight="1" outlineLevel="2" x14ac:dyDescent="0.25">
      <c r="B590" s="704" t="s">
        <v>673</v>
      </c>
      <c r="C590" s="704" t="s">
        <v>726</v>
      </c>
      <c r="D590" s="704" t="s">
        <v>563</v>
      </c>
      <c r="E590" s="704" t="s">
        <v>448</v>
      </c>
      <c r="F590" s="705">
        <v>2.328732541675699E-5</v>
      </c>
      <c r="G590" s="705">
        <v>1.0438782064317333E-2</v>
      </c>
    </row>
    <row r="591" spans="2:7" ht="11.25" hidden="1" customHeight="1" outlineLevel="2" x14ac:dyDescent="0.25">
      <c r="B591" s="704" t="s">
        <v>677</v>
      </c>
      <c r="C591" s="704" t="s">
        <v>726</v>
      </c>
      <c r="D591" s="704" t="s">
        <v>563</v>
      </c>
      <c r="E591" s="704" t="s">
        <v>448</v>
      </c>
      <c r="F591" s="705">
        <v>9.8830367406113658E-5</v>
      </c>
      <c r="G591" s="705">
        <v>4.4231227617380207E-2</v>
      </c>
    </row>
    <row r="592" spans="2:7" ht="11.25" hidden="1" customHeight="1" outlineLevel="2" x14ac:dyDescent="0.25">
      <c r="B592" s="704" t="s">
        <v>678</v>
      </c>
      <c r="C592" s="704" t="s">
        <v>726</v>
      </c>
      <c r="D592" s="704" t="s">
        <v>563</v>
      </c>
      <c r="E592" s="704" t="s">
        <v>448</v>
      </c>
      <c r="F592" s="705">
        <v>1.805645031727217E-4</v>
      </c>
      <c r="G592" s="705">
        <v>8.0946620552983115E-2</v>
      </c>
    </row>
    <row r="593" spans="2:7" ht="11.25" hidden="1" customHeight="1" outlineLevel="2" x14ac:dyDescent="0.25">
      <c r="B593" s="704" t="s">
        <v>679</v>
      </c>
      <c r="C593" s="704" t="s">
        <v>726</v>
      </c>
      <c r="D593" s="704" t="s">
        <v>563</v>
      </c>
      <c r="E593" s="704" t="s">
        <v>448</v>
      </c>
      <c r="F593" s="705">
        <v>4.8316047927810178E-6</v>
      </c>
      <c r="G593" s="705">
        <v>2.1660002942862949E-3</v>
      </c>
    </row>
    <row r="594" spans="2:7" ht="11.25" hidden="1" customHeight="1" outlineLevel="2" x14ac:dyDescent="0.25">
      <c r="B594" s="704" t="s">
        <v>680</v>
      </c>
      <c r="C594" s="704" t="s">
        <v>726</v>
      </c>
      <c r="D594" s="704" t="s">
        <v>563</v>
      </c>
      <c r="E594" s="704" t="s">
        <v>448</v>
      </c>
      <c r="F594" s="705">
        <v>1.1707517905293312E-5</v>
      </c>
      <c r="G594" s="705">
        <v>5.2480201418053747E-3</v>
      </c>
    </row>
    <row r="595" spans="2:7" ht="11.25" hidden="1" customHeight="1" outlineLevel="2" x14ac:dyDescent="0.25">
      <c r="B595" s="704" t="s">
        <v>681</v>
      </c>
      <c r="C595" s="704" t="s">
        <v>726</v>
      </c>
      <c r="D595" s="704" t="s">
        <v>563</v>
      </c>
      <c r="E595" s="704" t="s">
        <v>448</v>
      </c>
      <c r="F595" s="705">
        <v>2.516550530658934E-5</v>
      </c>
      <c r="G595" s="705">
        <v>1.1281659688983885E-2</v>
      </c>
    </row>
    <row r="596" spans="2:7" ht="11.25" hidden="1" customHeight="1" outlineLevel="2" x14ac:dyDescent="0.25">
      <c r="B596" s="704" t="s">
        <v>682</v>
      </c>
      <c r="C596" s="704" t="s">
        <v>726</v>
      </c>
      <c r="D596" s="704" t="s">
        <v>563</v>
      </c>
      <c r="E596" s="704" t="s">
        <v>448</v>
      </c>
      <c r="F596" s="705">
        <v>2.295190420456418E-5</v>
      </c>
      <c r="G596" s="705">
        <v>1.0289286452678259E-2</v>
      </c>
    </row>
    <row r="597" spans="2:7" ht="11.25" hidden="1" customHeight="1" outlineLevel="2" x14ac:dyDescent="0.25">
      <c r="B597" s="704" t="s">
        <v>683</v>
      </c>
      <c r="C597" s="704" t="s">
        <v>726</v>
      </c>
      <c r="D597" s="704" t="s">
        <v>563</v>
      </c>
      <c r="E597" s="704" t="s">
        <v>448</v>
      </c>
      <c r="F597" s="705">
        <v>7.9781764293924906E-6</v>
      </c>
      <c r="G597" s="705">
        <v>3.5766031174506111E-3</v>
      </c>
    </row>
    <row r="598" spans="2:7" ht="11.25" hidden="1" customHeight="1" outlineLevel="2" x14ac:dyDescent="0.25">
      <c r="B598" s="704" t="s">
        <v>684</v>
      </c>
      <c r="C598" s="704" t="s">
        <v>726</v>
      </c>
      <c r="D598" s="704" t="s">
        <v>563</v>
      </c>
      <c r="E598" s="704" t="s">
        <v>448</v>
      </c>
      <c r="F598" s="705">
        <v>1.6570740832769542E-5</v>
      </c>
      <c r="G598" s="705">
        <v>7.4280665505126421E-3</v>
      </c>
    </row>
    <row r="599" spans="2:7" ht="11.25" hidden="1" customHeight="1" outlineLevel="2" x14ac:dyDescent="0.25">
      <c r="B599" s="704" t="s">
        <v>685</v>
      </c>
      <c r="C599" s="704" t="s">
        <v>726</v>
      </c>
      <c r="D599" s="704" t="s">
        <v>563</v>
      </c>
      <c r="E599" s="704" t="s">
        <v>448</v>
      </c>
      <c r="F599" s="705">
        <v>6.0895253519162761E-5</v>
      </c>
      <c r="G599" s="705">
        <v>2.7299226367133687E-2</v>
      </c>
    </row>
    <row r="600" spans="2:7" ht="11.25" hidden="1" customHeight="1" outlineLevel="2" x14ac:dyDescent="0.25">
      <c r="B600" s="704" t="s">
        <v>686</v>
      </c>
      <c r="C600" s="704" t="s">
        <v>726</v>
      </c>
      <c r="D600" s="704" t="s">
        <v>563</v>
      </c>
      <c r="E600" s="704" t="s">
        <v>448</v>
      </c>
      <c r="F600" s="705">
        <v>5.9850298343740954E-6</v>
      </c>
      <c r="G600" s="705">
        <v>2.6828521999823812E-3</v>
      </c>
    </row>
    <row r="601" spans="2:7" ht="11.25" hidden="1" customHeight="1" outlineLevel="2" x14ac:dyDescent="0.25">
      <c r="B601" s="704" t="s">
        <v>687</v>
      </c>
      <c r="C601" s="704" t="s">
        <v>726</v>
      </c>
      <c r="D601" s="704" t="s">
        <v>563</v>
      </c>
      <c r="E601" s="704" t="s">
        <v>448</v>
      </c>
      <c r="F601" s="705">
        <v>4.0639423225723539E-5</v>
      </c>
      <c r="G601" s="705">
        <v>1.8218558563448183E-2</v>
      </c>
    </row>
    <row r="602" spans="2:7" ht="11.25" hidden="1" customHeight="1" outlineLevel="2" x14ac:dyDescent="0.25">
      <c r="B602" s="704" t="s">
        <v>688</v>
      </c>
      <c r="C602" s="704" t="s">
        <v>726</v>
      </c>
      <c r="D602" s="704" t="s">
        <v>563</v>
      </c>
      <c r="E602" s="704" t="s">
        <v>448</v>
      </c>
      <c r="F602" s="705">
        <v>5.5194558954797426E-5</v>
      </c>
      <c r="G602" s="705">
        <v>2.4743603882306793E-2</v>
      </c>
    </row>
    <row r="603" spans="2:7" ht="11.25" hidden="1" customHeight="1" outlineLevel="2" x14ac:dyDescent="0.25">
      <c r="B603" s="704" t="s">
        <v>689</v>
      </c>
      <c r="C603" s="704" t="s">
        <v>726</v>
      </c>
      <c r="D603" s="704" t="s">
        <v>563</v>
      </c>
      <c r="E603" s="704" t="s">
        <v>448</v>
      </c>
      <c r="F603" s="705">
        <v>7.4265512427321364E-6</v>
      </c>
      <c r="G603" s="705">
        <v>3.3294268505499333E-3</v>
      </c>
    </row>
    <row r="604" spans="2:7" ht="11.25" hidden="1" customHeight="1" outlineLevel="2" x14ac:dyDescent="0.25">
      <c r="B604" s="704" t="s">
        <v>690</v>
      </c>
      <c r="C604" s="704" t="s">
        <v>726</v>
      </c>
      <c r="D604" s="704" t="s">
        <v>563</v>
      </c>
      <c r="E604" s="704" t="s">
        <v>448</v>
      </c>
      <c r="F604" s="705">
        <v>1.0216266790839285E-4</v>
      </c>
      <c r="G604" s="705">
        <v>4.5799177590048368E-2</v>
      </c>
    </row>
    <row r="605" spans="2:7" ht="11.25" hidden="1" customHeight="1" outlineLevel="2" x14ac:dyDescent="0.25">
      <c r="B605" s="704" t="s">
        <v>691</v>
      </c>
      <c r="C605" s="704" t="s">
        <v>726</v>
      </c>
      <c r="D605" s="704" t="s">
        <v>563</v>
      </c>
      <c r="E605" s="704" t="s">
        <v>448</v>
      </c>
      <c r="F605" s="705">
        <v>7.501047641007647E-5</v>
      </c>
      <c r="G605" s="705">
        <v>3.3627050195433543E-2</v>
      </c>
    </row>
    <row r="606" spans="2:7" ht="11.25" hidden="1" customHeight="1" outlineLevel="2" x14ac:dyDescent="0.25">
      <c r="B606" s="704" t="s">
        <v>692</v>
      </c>
      <c r="C606" s="704" t="s">
        <v>726</v>
      </c>
      <c r="D606" s="704" t="s">
        <v>563</v>
      </c>
      <c r="E606" s="704" t="s">
        <v>448</v>
      </c>
      <c r="F606" s="705">
        <v>6.1441517122064699E-6</v>
      </c>
      <c r="G606" s="705">
        <v>2.7544153879955108E-3</v>
      </c>
    </row>
    <row r="607" spans="2:7" ht="11.25" hidden="1" customHeight="1" outlineLevel="2" x14ac:dyDescent="0.25">
      <c r="B607" s="704" t="s">
        <v>693</v>
      </c>
      <c r="C607" s="704" t="s">
        <v>726</v>
      </c>
      <c r="D607" s="704" t="s">
        <v>563</v>
      </c>
      <c r="E607" s="704" t="s">
        <v>448</v>
      </c>
      <c r="F607" s="705">
        <v>3.3100339477851717E-6</v>
      </c>
      <c r="G607" s="705">
        <v>1.483757495083494E-3</v>
      </c>
    </row>
    <row r="608" spans="2:7" ht="11.25" hidden="1" customHeight="1" outlineLevel="2" x14ac:dyDescent="0.25">
      <c r="B608" s="704" t="s">
        <v>694</v>
      </c>
      <c r="C608" s="704" t="s">
        <v>726</v>
      </c>
      <c r="D608" s="704" t="s">
        <v>563</v>
      </c>
      <c r="E608" s="704" t="s">
        <v>448</v>
      </c>
      <c r="F608" s="705">
        <v>2.2528096334564419E-6</v>
      </c>
      <c r="G608" s="705">
        <v>1.0098462376720661E-3</v>
      </c>
    </row>
    <row r="609" spans="2:7" ht="11.25" hidden="1" customHeight="1" outlineLevel="2" x14ac:dyDescent="0.25">
      <c r="B609" s="704" t="s">
        <v>695</v>
      </c>
      <c r="C609" s="704" t="s">
        <v>726</v>
      </c>
      <c r="D609" s="704" t="s">
        <v>563</v>
      </c>
      <c r="E609" s="704" t="s">
        <v>448</v>
      </c>
      <c r="F609" s="705">
        <v>1.5829984617546432E-5</v>
      </c>
      <c r="G609" s="705">
        <v>7.0959546991590265E-3</v>
      </c>
    </row>
    <row r="610" spans="2:7" ht="11.25" hidden="1" customHeight="1" outlineLevel="2" x14ac:dyDescent="0.25">
      <c r="B610" s="704" t="s">
        <v>696</v>
      </c>
      <c r="C610" s="704" t="s">
        <v>726</v>
      </c>
      <c r="D610" s="704" t="s">
        <v>563</v>
      </c>
      <c r="E610" s="704" t="s">
        <v>448</v>
      </c>
      <c r="F610" s="705">
        <v>5.6834660149819471E-5</v>
      </c>
      <c r="G610" s="705">
        <v>2.5476726787329859E-2</v>
      </c>
    </row>
    <row r="611" spans="2:7" ht="11.25" hidden="1" customHeight="1" outlineLevel="2" x14ac:dyDescent="0.25">
      <c r="B611" s="704" t="s">
        <v>697</v>
      </c>
      <c r="C611" s="704" t="s">
        <v>726</v>
      </c>
      <c r="D611" s="704" t="s">
        <v>563</v>
      </c>
      <c r="E611" s="704" t="s">
        <v>448</v>
      </c>
      <c r="F611" s="705">
        <v>2.8722448153366881E-5</v>
      </c>
      <c r="G611" s="705">
        <v>1.2875125628862255E-2</v>
      </c>
    </row>
    <row r="612" spans="2:7" ht="11.25" hidden="1" customHeight="1" outlineLevel="2" x14ac:dyDescent="0.25">
      <c r="B612" s="704" t="s">
        <v>698</v>
      </c>
      <c r="C612" s="704" t="s">
        <v>726</v>
      </c>
      <c r="D612" s="704" t="s">
        <v>563</v>
      </c>
      <c r="E612" s="704" t="s">
        <v>448</v>
      </c>
      <c r="F612" s="705">
        <v>7.5140986644624995E-6</v>
      </c>
      <c r="G612" s="705">
        <v>3.3682723072808152E-3</v>
      </c>
    </row>
    <row r="613" spans="2:7" ht="11.25" hidden="1" customHeight="1" outlineLevel="2" x14ac:dyDescent="0.25">
      <c r="B613" s="704" t="s">
        <v>699</v>
      </c>
      <c r="C613" s="704" t="s">
        <v>726</v>
      </c>
      <c r="D613" s="704" t="s">
        <v>563</v>
      </c>
      <c r="E613" s="704" t="s">
        <v>448</v>
      </c>
      <c r="F613" s="705">
        <v>1.3699847396112964E-4</v>
      </c>
      <c r="G613" s="705">
        <v>6.1416036487596908E-2</v>
      </c>
    </row>
    <row r="614" spans="2:7" ht="11.25" hidden="1" customHeight="1" outlineLevel="2" x14ac:dyDescent="0.25">
      <c r="B614" s="704" t="s">
        <v>673</v>
      </c>
      <c r="C614" s="704" t="s">
        <v>727</v>
      </c>
      <c r="D614" s="704" t="s">
        <v>728</v>
      </c>
      <c r="E614" s="704" t="s">
        <v>448</v>
      </c>
      <c r="F614" s="705">
        <v>6.0088696429767266E-3</v>
      </c>
      <c r="G614" s="705">
        <v>3.2911559318039401</v>
      </c>
    </row>
    <row r="615" spans="2:7" ht="11.25" hidden="1" customHeight="1" outlineLevel="2" x14ac:dyDescent="0.25">
      <c r="B615" s="704" t="s">
        <v>677</v>
      </c>
      <c r="C615" s="704" t="s">
        <v>727</v>
      </c>
      <c r="D615" s="704" t="s">
        <v>728</v>
      </c>
      <c r="E615" s="704" t="s">
        <v>448</v>
      </c>
      <c r="F615" s="705">
        <v>3.5456564283758381E-2</v>
      </c>
      <c r="G615" s="705">
        <v>19.391720429346382</v>
      </c>
    </row>
    <row r="616" spans="2:7" ht="11.25" hidden="1" customHeight="1" outlineLevel="2" x14ac:dyDescent="0.25">
      <c r="B616" s="704" t="s">
        <v>678</v>
      </c>
      <c r="C616" s="704" t="s">
        <v>727</v>
      </c>
      <c r="D616" s="704" t="s">
        <v>728</v>
      </c>
      <c r="E616" s="704" t="s">
        <v>448</v>
      </c>
      <c r="F616" s="705">
        <v>5.8668646980978123E-2</v>
      </c>
      <c r="G616" s="705">
        <v>32.130000750932687</v>
      </c>
    </row>
    <row r="617" spans="2:7" ht="11.25" hidden="1" customHeight="1" outlineLevel="2" x14ac:dyDescent="0.25">
      <c r="B617" s="704" t="s">
        <v>679</v>
      </c>
      <c r="C617" s="704" t="s">
        <v>727</v>
      </c>
      <c r="D617" s="704" t="s">
        <v>728</v>
      </c>
      <c r="E617" s="704" t="s">
        <v>448</v>
      </c>
      <c r="F617" s="705">
        <v>5.4150640348428463E-3</v>
      </c>
      <c r="G617" s="705">
        <v>2.9655682503632166</v>
      </c>
    </row>
    <row r="618" spans="2:7" ht="11.25" hidden="1" customHeight="1" outlineLevel="2" x14ac:dyDescent="0.25">
      <c r="B618" s="704" t="s">
        <v>680</v>
      </c>
      <c r="C618" s="704" t="s">
        <v>727</v>
      </c>
      <c r="D618" s="704" t="s">
        <v>728</v>
      </c>
      <c r="E618" s="704" t="s">
        <v>448</v>
      </c>
      <c r="F618" s="706">
        <v>2.2567290366958905E-3</v>
      </c>
      <c r="G618" s="705">
        <v>1.2360479283794858</v>
      </c>
    </row>
    <row r="619" spans="2:7" ht="11.25" hidden="1" customHeight="1" outlineLevel="2" x14ac:dyDescent="0.25">
      <c r="B619" s="704" t="s">
        <v>681</v>
      </c>
      <c r="C619" s="704" t="s">
        <v>727</v>
      </c>
      <c r="D619" s="704" t="s">
        <v>728</v>
      </c>
      <c r="E619" s="704" t="s">
        <v>448</v>
      </c>
      <c r="F619" s="706">
        <v>1.0461197538878367E-2</v>
      </c>
      <c r="G619" s="705">
        <v>5.7290887584085777</v>
      </c>
    </row>
    <row r="620" spans="2:7" ht="11.25" hidden="1" customHeight="1" outlineLevel="2" x14ac:dyDescent="0.25">
      <c r="B620" s="704" t="s">
        <v>682</v>
      </c>
      <c r="C620" s="704" t="s">
        <v>727</v>
      </c>
      <c r="D620" s="704" t="s">
        <v>728</v>
      </c>
      <c r="E620" s="704" t="s">
        <v>448</v>
      </c>
      <c r="F620" s="706">
        <v>6.6375895025229965E-3</v>
      </c>
      <c r="G620" s="705">
        <v>3.6350869764318228</v>
      </c>
    </row>
    <row r="621" spans="2:7" ht="11.25" hidden="1" customHeight="1" outlineLevel="2" x14ac:dyDescent="0.25">
      <c r="B621" s="704" t="s">
        <v>683</v>
      </c>
      <c r="C621" s="704" t="s">
        <v>727</v>
      </c>
      <c r="D621" s="704" t="s">
        <v>728</v>
      </c>
      <c r="E621" s="704" t="s">
        <v>448</v>
      </c>
      <c r="F621" s="706">
        <v>8.5768072969746294E-3</v>
      </c>
      <c r="G621" s="705">
        <v>4.6971017599245304</v>
      </c>
    </row>
    <row r="622" spans="2:7" ht="11.25" hidden="1" customHeight="1" outlineLevel="2" x14ac:dyDescent="0.25">
      <c r="B622" s="704" t="s">
        <v>684</v>
      </c>
      <c r="C622" s="704" t="s">
        <v>727</v>
      </c>
      <c r="D622" s="704" t="s">
        <v>728</v>
      </c>
      <c r="E622" s="704" t="s">
        <v>448</v>
      </c>
      <c r="F622" s="706">
        <v>2.7119016322127614E-3</v>
      </c>
      <c r="G622" s="705">
        <v>1.4853531006150751</v>
      </c>
    </row>
    <row r="623" spans="2:7" ht="11.25" hidden="1" customHeight="1" outlineLevel="2" x14ac:dyDescent="0.25">
      <c r="B623" s="704" t="s">
        <v>685</v>
      </c>
      <c r="C623" s="704" t="s">
        <v>727</v>
      </c>
      <c r="D623" s="704" t="s">
        <v>728</v>
      </c>
      <c r="E623" s="704" t="s">
        <v>448</v>
      </c>
      <c r="F623" s="706">
        <v>1.4336148526013288E-2</v>
      </c>
      <c r="G623" s="705">
        <v>7.8512138076507441</v>
      </c>
    </row>
    <row r="624" spans="2:7" ht="11.25" hidden="1" customHeight="1" outlineLevel="2" x14ac:dyDescent="0.25">
      <c r="B624" s="704" t="s">
        <v>686</v>
      </c>
      <c r="C624" s="704" t="s">
        <v>727</v>
      </c>
      <c r="D624" s="704" t="s">
        <v>728</v>
      </c>
      <c r="E624" s="704" t="s">
        <v>448</v>
      </c>
      <c r="F624" s="706">
        <v>3.1499634864433552E-3</v>
      </c>
      <c r="G624" s="705">
        <v>1.7252874328141172</v>
      </c>
    </row>
    <row r="625" spans="2:7" ht="11.25" hidden="1" customHeight="1" outlineLevel="2" x14ac:dyDescent="0.25">
      <c r="B625" s="704" t="s">
        <v>687</v>
      </c>
      <c r="C625" s="704" t="s">
        <v>727</v>
      </c>
      <c r="D625" s="704" t="s">
        <v>728</v>
      </c>
      <c r="E625" s="704" t="s">
        <v>448</v>
      </c>
      <c r="F625" s="705">
        <v>1.5952622606024133E-2</v>
      </c>
      <c r="G625" s="705">
        <v>8.7364784624170646</v>
      </c>
    </row>
    <row r="626" spans="2:7" ht="11.25" hidden="1" customHeight="1" outlineLevel="2" x14ac:dyDescent="0.25">
      <c r="B626" s="704" t="s">
        <v>688</v>
      </c>
      <c r="C626" s="704" t="s">
        <v>727</v>
      </c>
      <c r="D626" s="704" t="s">
        <v>728</v>
      </c>
      <c r="E626" s="704" t="s">
        <v>448</v>
      </c>
      <c r="F626" s="705">
        <v>1.7781257262262956E-2</v>
      </c>
      <c r="G626" s="705">
        <v>9.7379299973697879</v>
      </c>
    </row>
    <row r="627" spans="2:7" ht="11.25" hidden="1" customHeight="1" outlineLevel="2" x14ac:dyDescent="0.25">
      <c r="B627" s="704" t="s">
        <v>689</v>
      </c>
      <c r="C627" s="704" t="s">
        <v>727</v>
      </c>
      <c r="D627" s="704" t="s">
        <v>728</v>
      </c>
      <c r="E627" s="704" t="s">
        <v>448</v>
      </c>
      <c r="F627" s="705">
        <v>2.827961264527775E-3</v>
      </c>
      <c r="G627" s="705">
        <v>1.5487841462509917</v>
      </c>
    </row>
    <row r="628" spans="2:7" ht="11.25" hidden="1" customHeight="1" outlineLevel="2" x14ac:dyDescent="0.25">
      <c r="B628" s="704" t="s">
        <v>690</v>
      </c>
      <c r="C628" s="704" t="s">
        <v>727</v>
      </c>
      <c r="D628" s="704" t="s">
        <v>728</v>
      </c>
      <c r="E628" s="704" t="s">
        <v>448</v>
      </c>
      <c r="F628" s="706">
        <v>6.3500289116457387E-2</v>
      </c>
      <c r="G628" s="705">
        <v>34.776028469762615</v>
      </c>
    </row>
    <row r="629" spans="2:7" ht="11.25" hidden="1" customHeight="1" outlineLevel="2" x14ac:dyDescent="0.25">
      <c r="B629" s="704" t="s">
        <v>691</v>
      </c>
      <c r="C629" s="704" t="s">
        <v>727</v>
      </c>
      <c r="D629" s="704" t="s">
        <v>728</v>
      </c>
      <c r="E629" s="704" t="s">
        <v>448</v>
      </c>
      <c r="F629" s="705">
        <v>5.6844270044687534E-2</v>
      </c>
      <c r="G629" s="705">
        <v>31.130852625913001</v>
      </c>
    </row>
    <row r="630" spans="2:7" ht="11.25" hidden="1" customHeight="1" outlineLevel="2" x14ac:dyDescent="0.25">
      <c r="B630" s="704" t="s">
        <v>692</v>
      </c>
      <c r="C630" s="704" t="s">
        <v>727</v>
      </c>
      <c r="D630" s="704" t="s">
        <v>728</v>
      </c>
      <c r="E630" s="704" t="s">
        <v>448</v>
      </c>
      <c r="F630" s="705">
        <v>3.2279893987211877E-3</v>
      </c>
      <c r="G630" s="705">
        <v>1.7678116442371403</v>
      </c>
    </row>
    <row r="631" spans="2:7" ht="11.25" hidden="1" customHeight="1" outlineLevel="2" x14ac:dyDescent="0.25">
      <c r="B631" s="704" t="s">
        <v>693</v>
      </c>
      <c r="C631" s="704" t="s">
        <v>727</v>
      </c>
      <c r="D631" s="704" t="s">
        <v>728</v>
      </c>
      <c r="E631" s="704" t="s">
        <v>448</v>
      </c>
      <c r="F631" s="706">
        <v>6.5939301665821938E-3</v>
      </c>
      <c r="G631" s="705">
        <v>3.6116065970859323</v>
      </c>
    </row>
    <row r="632" spans="2:7" ht="11.25" hidden="1" customHeight="1" outlineLevel="2" x14ac:dyDescent="0.25">
      <c r="B632" s="704" t="s">
        <v>694</v>
      </c>
      <c r="C632" s="704" t="s">
        <v>727</v>
      </c>
      <c r="D632" s="704" t="s">
        <v>728</v>
      </c>
      <c r="E632" s="704" t="s">
        <v>448</v>
      </c>
      <c r="F632" s="705">
        <v>1.8499438600123425E-3</v>
      </c>
      <c r="G632" s="705">
        <v>1.0132441052801653</v>
      </c>
    </row>
    <row r="633" spans="2:7" ht="11.25" hidden="1" customHeight="1" outlineLevel="2" x14ac:dyDescent="0.25">
      <c r="B633" s="704" t="s">
        <v>695</v>
      </c>
      <c r="C633" s="704" t="s">
        <v>727</v>
      </c>
      <c r="D633" s="704" t="s">
        <v>728</v>
      </c>
      <c r="E633" s="704" t="s">
        <v>448</v>
      </c>
      <c r="F633" s="705">
        <v>3.1418683042425729E-3</v>
      </c>
      <c r="G633" s="705">
        <v>1.7208536809031674</v>
      </c>
    </row>
    <row r="634" spans="2:7" ht="11.25" hidden="1" customHeight="1" outlineLevel="2" x14ac:dyDescent="0.25">
      <c r="B634" s="704" t="s">
        <v>696</v>
      </c>
      <c r="C634" s="704" t="s">
        <v>727</v>
      </c>
      <c r="D634" s="704" t="s">
        <v>728</v>
      </c>
      <c r="E634" s="704" t="s">
        <v>448</v>
      </c>
      <c r="F634" s="705">
        <v>9.9836221055874183E-3</v>
      </c>
      <c r="G634" s="705">
        <v>5.4681965961827981</v>
      </c>
    </row>
    <row r="635" spans="2:7" ht="11.25" hidden="1" customHeight="1" outlineLevel="2" x14ac:dyDescent="0.25">
      <c r="B635" s="704" t="s">
        <v>697</v>
      </c>
      <c r="C635" s="704" t="s">
        <v>727</v>
      </c>
      <c r="D635" s="704" t="s">
        <v>728</v>
      </c>
      <c r="E635" s="704" t="s">
        <v>448</v>
      </c>
      <c r="F635" s="706">
        <v>6.5519837354494348E-3</v>
      </c>
      <c r="G635" s="705">
        <v>3.5886286845693411</v>
      </c>
    </row>
    <row r="636" spans="2:7" ht="11.25" hidden="1" customHeight="1" outlineLevel="2" x14ac:dyDescent="0.25">
      <c r="B636" s="704" t="s">
        <v>698</v>
      </c>
      <c r="C636" s="704" t="s">
        <v>727</v>
      </c>
      <c r="D636" s="704" t="s">
        <v>728</v>
      </c>
      <c r="E636" s="704" t="s">
        <v>448</v>
      </c>
      <c r="F636" s="706">
        <v>8.8582073866051419E-3</v>
      </c>
      <c r="G636" s="705">
        <v>4.8517806282116549</v>
      </c>
    </row>
    <row r="637" spans="2:7" ht="11.25" hidden="1" customHeight="1" outlineLevel="2" x14ac:dyDescent="0.25">
      <c r="B637" s="704" t="s">
        <v>699</v>
      </c>
      <c r="C637" s="704" t="s">
        <v>727</v>
      </c>
      <c r="D637" s="704" t="s">
        <v>728</v>
      </c>
      <c r="E637" s="704" t="s">
        <v>448</v>
      </c>
      <c r="F637" s="706">
        <v>5.4514246717802285E-2</v>
      </c>
      <c r="G637" s="705">
        <v>29.85478901724743</v>
      </c>
    </row>
    <row r="638" spans="2:7" ht="11.25" hidden="1" customHeight="1" outlineLevel="2" x14ac:dyDescent="0.25">
      <c r="B638" s="704" t="s">
        <v>673</v>
      </c>
      <c r="C638" s="704" t="s">
        <v>729</v>
      </c>
      <c r="D638" s="704" t="s">
        <v>728</v>
      </c>
      <c r="E638" s="704" t="s">
        <v>448</v>
      </c>
      <c r="F638" s="705">
        <v>6.0660905659068141E-3</v>
      </c>
      <c r="G638" s="705">
        <v>3.2740856396465974</v>
      </c>
    </row>
    <row r="639" spans="2:7" ht="11.25" hidden="1" customHeight="1" outlineLevel="2" x14ac:dyDescent="0.25">
      <c r="B639" s="704" t="s">
        <v>677</v>
      </c>
      <c r="C639" s="704" t="s">
        <v>729</v>
      </c>
      <c r="D639" s="704" t="s">
        <v>728</v>
      </c>
      <c r="E639" s="704" t="s">
        <v>448</v>
      </c>
      <c r="F639" s="705">
        <v>0.29111278070711355</v>
      </c>
      <c r="G639" s="705">
        <v>156.89428795720096</v>
      </c>
    </row>
    <row r="640" spans="2:7" ht="11.25" hidden="1" customHeight="1" outlineLevel="2" x14ac:dyDescent="0.25">
      <c r="B640" s="704" t="s">
        <v>678</v>
      </c>
      <c r="C640" s="704" t="s">
        <v>729</v>
      </c>
      <c r="D640" s="704" t="s">
        <v>728</v>
      </c>
      <c r="E640" s="704" t="s">
        <v>448</v>
      </c>
      <c r="F640" s="705">
        <v>0.34944850716245723</v>
      </c>
      <c r="G640" s="705">
        <v>188.58753859034374</v>
      </c>
    </row>
    <row r="641" spans="2:7" ht="11.25" hidden="1" customHeight="1" outlineLevel="2" x14ac:dyDescent="0.25">
      <c r="B641" s="704" t="s">
        <v>679</v>
      </c>
      <c r="C641" s="704" t="s">
        <v>729</v>
      </c>
      <c r="D641" s="704" t="s">
        <v>728</v>
      </c>
      <c r="E641" s="704" t="s">
        <v>448</v>
      </c>
      <c r="F641" s="705">
        <v>2.0869841206686841E-2</v>
      </c>
      <c r="G641" s="705">
        <v>11.262867523767431</v>
      </c>
    </row>
    <row r="642" spans="2:7" ht="11.25" hidden="1" customHeight="1" outlineLevel="2" x14ac:dyDescent="0.25">
      <c r="B642" s="704" t="s">
        <v>680</v>
      </c>
      <c r="C642" s="704" t="s">
        <v>729</v>
      </c>
      <c r="D642" s="704" t="s">
        <v>728</v>
      </c>
      <c r="E642" s="704" t="s">
        <v>448</v>
      </c>
      <c r="F642" s="705">
        <v>6.5513757629603953E-3</v>
      </c>
      <c r="G642" s="705">
        <v>3.5360153260021652</v>
      </c>
    </row>
    <row r="643" spans="2:7" ht="11.25" hidden="1" customHeight="1" outlineLevel="2" x14ac:dyDescent="0.25">
      <c r="B643" s="704" t="s">
        <v>681</v>
      </c>
      <c r="C643" s="704" t="s">
        <v>729</v>
      </c>
      <c r="D643" s="704" t="s">
        <v>728</v>
      </c>
      <c r="E643" s="704" t="s">
        <v>448</v>
      </c>
      <c r="F643" s="705">
        <v>0.11017335627559582</v>
      </c>
      <c r="G643" s="705">
        <v>59.457486549339926</v>
      </c>
    </row>
    <row r="644" spans="2:7" ht="11.25" hidden="1" customHeight="1" outlineLevel="2" x14ac:dyDescent="0.25">
      <c r="B644" s="704" t="s">
        <v>682</v>
      </c>
      <c r="C644" s="704" t="s">
        <v>729</v>
      </c>
      <c r="D644" s="704" t="s">
        <v>728</v>
      </c>
      <c r="E644" s="704" t="s">
        <v>448</v>
      </c>
      <c r="F644" s="705">
        <v>1.4317684308860086E-2</v>
      </c>
      <c r="G644" s="705">
        <v>7.726850166205379</v>
      </c>
    </row>
    <row r="645" spans="2:7" ht="11.25" hidden="1" customHeight="1" outlineLevel="2" x14ac:dyDescent="0.25">
      <c r="B645" s="704" t="s">
        <v>683</v>
      </c>
      <c r="C645" s="704" t="s">
        <v>729</v>
      </c>
      <c r="D645" s="704" t="s">
        <v>728</v>
      </c>
      <c r="E645" s="704" t="s">
        <v>448</v>
      </c>
      <c r="F645" s="705">
        <v>3.0091403410875243E-2</v>
      </c>
      <c r="G645" s="705">
        <v>16.239480319252213</v>
      </c>
    </row>
    <row r="646" spans="2:7" ht="11.25" hidden="1" customHeight="1" outlineLevel="2" x14ac:dyDescent="0.25">
      <c r="B646" s="704" t="s">
        <v>684</v>
      </c>
      <c r="C646" s="704" t="s">
        <v>729</v>
      </c>
      <c r="D646" s="704" t="s">
        <v>728</v>
      </c>
      <c r="E646" s="704" t="s">
        <v>448</v>
      </c>
      <c r="F646" s="705">
        <v>3.8822982438088259E-2</v>
      </c>
      <c r="G646" s="705">
        <v>20.954179891075828</v>
      </c>
    </row>
    <row r="647" spans="2:7" ht="11.25" hidden="1" customHeight="1" outlineLevel="2" x14ac:dyDescent="0.25">
      <c r="B647" s="704" t="s">
        <v>685</v>
      </c>
      <c r="C647" s="704" t="s">
        <v>729</v>
      </c>
      <c r="D647" s="704" t="s">
        <v>728</v>
      </c>
      <c r="E647" s="704" t="s">
        <v>448</v>
      </c>
      <c r="F647" s="705">
        <v>0.18297514716162203</v>
      </c>
      <c r="G647" s="705">
        <v>98.74655625194616</v>
      </c>
    </row>
    <row r="648" spans="2:7" ht="11.25" hidden="1" customHeight="1" outlineLevel="2" x14ac:dyDescent="0.25">
      <c r="B648" s="704" t="s">
        <v>686</v>
      </c>
      <c r="C648" s="704" t="s">
        <v>729</v>
      </c>
      <c r="D648" s="704" t="s">
        <v>728</v>
      </c>
      <c r="E648" s="704" t="s">
        <v>448</v>
      </c>
      <c r="F648" s="705">
        <v>3.9065624016866592E-2</v>
      </c>
      <c r="G648" s="705">
        <v>21.085133820802639</v>
      </c>
    </row>
    <row r="649" spans="2:7" ht="11.25" hidden="1" customHeight="1" outlineLevel="2" x14ac:dyDescent="0.25">
      <c r="B649" s="704" t="s">
        <v>687</v>
      </c>
      <c r="C649" s="704" t="s">
        <v>729</v>
      </c>
      <c r="D649" s="704" t="s">
        <v>728</v>
      </c>
      <c r="E649" s="704" t="s">
        <v>448</v>
      </c>
      <c r="F649" s="706">
        <v>8.0324625755776063E-2</v>
      </c>
      <c r="G649" s="705">
        <v>43.348956699352343</v>
      </c>
    </row>
    <row r="650" spans="2:7" ht="11.25" hidden="1" customHeight="1" outlineLevel="2" x14ac:dyDescent="0.25">
      <c r="B650" s="704" t="s">
        <v>688</v>
      </c>
      <c r="C650" s="704" t="s">
        <v>729</v>
      </c>
      <c r="D650" s="704" t="s">
        <v>728</v>
      </c>
      <c r="E650" s="704" t="s">
        <v>448</v>
      </c>
      <c r="F650" s="706">
        <v>0.23636317353932682</v>
      </c>
      <c r="G650" s="705">
        <v>127.55849315348381</v>
      </c>
    </row>
    <row r="651" spans="2:7" ht="11.25" hidden="1" customHeight="1" outlineLevel="2" x14ac:dyDescent="0.25">
      <c r="B651" s="704" t="s">
        <v>689</v>
      </c>
      <c r="C651" s="704" t="s">
        <v>729</v>
      </c>
      <c r="D651" s="704" t="s">
        <v>728</v>
      </c>
      <c r="E651" s="704" t="s">
        <v>448</v>
      </c>
      <c r="F651" s="705">
        <v>2.3006389362558739E-2</v>
      </c>
      <c r="G651" s="705">
        <v>12.416295022836326</v>
      </c>
    </row>
    <row r="652" spans="2:7" ht="11.25" hidden="1" customHeight="1" outlineLevel="2" x14ac:dyDescent="0.25">
      <c r="B652" s="704" t="s">
        <v>690</v>
      </c>
      <c r="C652" s="704" t="s">
        <v>729</v>
      </c>
      <c r="D652" s="704" t="s">
        <v>728</v>
      </c>
      <c r="E652" s="704" t="s">
        <v>448</v>
      </c>
      <c r="F652" s="705">
        <v>0.72267897403535108</v>
      </c>
      <c r="G652" s="705">
        <v>390.00944570253438</v>
      </c>
    </row>
    <row r="653" spans="2:7" ht="11.25" hidden="1" customHeight="1" outlineLevel="2" x14ac:dyDescent="0.25">
      <c r="B653" s="704" t="s">
        <v>691</v>
      </c>
      <c r="C653" s="704" t="s">
        <v>729</v>
      </c>
      <c r="D653" s="704" t="s">
        <v>728</v>
      </c>
      <c r="E653" s="704" t="s">
        <v>448</v>
      </c>
      <c r="F653" s="705">
        <v>0.35308885871357498</v>
      </c>
      <c r="G653" s="705">
        <v>190.55201093279871</v>
      </c>
    </row>
    <row r="654" spans="2:7" ht="11.25" hidden="1" customHeight="1" outlineLevel="2" x14ac:dyDescent="0.25">
      <c r="B654" s="704" t="s">
        <v>692</v>
      </c>
      <c r="C654" s="704" t="s">
        <v>729</v>
      </c>
      <c r="D654" s="704" t="s">
        <v>728</v>
      </c>
      <c r="E654" s="704" t="s">
        <v>448</v>
      </c>
      <c r="F654" s="705">
        <v>2.305389681475517E-2</v>
      </c>
      <c r="G654" s="705">
        <v>12.441540323518446</v>
      </c>
    </row>
    <row r="655" spans="2:7" ht="11.25" hidden="1" customHeight="1" outlineLevel="2" x14ac:dyDescent="0.25">
      <c r="B655" s="704" t="s">
        <v>693</v>
      </c>
      <c r="C655" s="704" t="s">
        <v>729</v>
      </c>
      <c r="D655" s="704" t="s">
        <v>728</v>
      </c>
      <c r="E655" s="704" t="s">
        <v>448</v>
      </c>
      <c r="F655" s="705">
        <v>1.771298384376898E-2</v>
      </c>
      <c r="G655" s="705">
        <v>9.5603385635727829</v>
      </c>
    </row>
    <row r="656" spans="2:7" ht="11.25" hidden="1" customHeight="1" outlineLevel="2" x14ac:dyDescent="0.25">
      <c r="B656" s="704" t="s">
        <v>694</v>
      </c>
      <c r="C656" s="704" t="s">
        <v>729</v>
      </c>
      <c r="D656" s="704" t="s">
        <v>728</v>
      </c>
      <c r="E656" s="704" t="s">
        <v>448</v>
      </c>
      <c r="F656" s="705">
        <v>3.9065624016866592E-2</v>
      </c>
      <c r="G656" s="705">
        <v>21.085133820802639</v>
      </c>
    </row>
    <row r="657" spans="2:7" ht="11.25" hidden="1" customHeight="1" outlineLevel="2" x14ac:dyDescent="0.25">
      <c r="B657" s="704" t="s">
        <v>695</v>
      </c>
      <c r="C657" s="704" t="s">
        <v>729</v>
      </c>
      <c r="D657" s="704" t="s">
        <v>728</v>
      </c>
      <c r="E657" s="704" t="s">
        <v>448</v>
      </c>
      <c r="F657" s="705">
        <v>3.8337672535551461E-2</v>
      </c>
      <c r="G657" s="705">
        <v>20.692238393943601</v>
      </c>
    </row>
    <row r="658" spans="2:7" ht="11.25" hidden="1" customHeight="1" outlineLevel="2" x14ac:dyDescent="0.25">
      <c r="B658" s="704" t="s">
        <v>696</v>
      </c>
      <c r="C658" s="704" t="s">
        <v>729</v>
      </c>
      <c r="D658" s="704" t="s">
        <v>728</v>
      </c>
      <c r="E658" s="704" t="s">
        <v>448</v>
      </c>
      <c r="F658" s="705">
        <v>5.4837456705275608E-2</v>
      </c>
      <c r="G658" s="705">
        <v>29.5977667880905</v>
      </c>
    </row>
    <row r="659" spans="2:7" ht="11.25" hidden="1" customHeight="1" outlineLevel="2" x14ac:dyDescent="0.25">
      <c r="B659" s="704" t="s">
        <v>697</v>
      </c>
      <c r="C659" s="704" t="s">
        <v>729</v>
      </c>
      <c r="D659" s="704" t="s">
        <v>728</v>
      </c>
      <c r="E659" s="704" t="s">
        <v>448</v>
      </c>
      <c r="F659" s="705">
        <v>2.4749640163307916E-2</v>
      </c>
      <c r="G659" s="705">
        <v>13.358280765501567</v>
      </c>
    </row>
    <row r="660" spans="2:7" ht="11.25" hidden="1" customHeight="1" outlineLevel="2" x14ac:dyDescent="0.25">
      <c r="B660" s="704" t="s">
        <v>698</v>
      </c>
      <c r="C660" s="704" t="s">
        <v>729</v>
      </c>
      <c r="D660" s="704" t="s">
        <v>728</v>
      </c>
      <c r="E660" s="704" t="s">
        <v>448</v>
      </c>
      <c r="F660" s="705">
        <v>3.9065624018477463E-2</v>
      </c>
      <c r="G660" s="705">
        <v>21.085133820712965</v>
      </c>
    </row>
    <row r="661" spans="2:7" ht="11.25" hidden="1" customHeight="1" outlineLevel="2" x14ac:dyDescent="0.25">
      <c r="B661" s="704" t="s">
        <v>699</v>
      </c>
      <c r="C661" s="704" t="s">
        <v>729</v>
      </c>
      <c r="D661" s="704" t="s">
        <v>728</v>
      </c>
      <c r="E661" s="704" t="s">
        <v>448</v>
      </c>
      <c r="F661" s="705">
        <v>4.3923747815527894E-2</v>
      </c>
      <c r="G661" s="705">
        <v>23.704400752645409</v>
      </c>
    </row>
    <row r="662" spans="2:7" ht="11.25" hidden="1" customHeight="1" outlineLevel="2" x14ac:dyDescent="0.25">
      <c r="B662" s="704" t="s">
        <v>673</v>
      </c>
      <c r="C662" s="704" t="s">
        <v>730</v>
      </c>
      <c r="D662" s="704" t="s">
        <v>728</v>
      </c>
      <c r="E662" s="704" t="s">
        <v>448</v>
      </c>
      <c r="F662" s="705">
        <v>8.6232075369762212E-2</v>
      </c>
      <c r="G662" s="705">
        <v>44.95990295533214</v>
      </c>
    </row>
    <row r="663" spans="2:7" ht="11.25" hidden="1" customHeight="1" outlineLevel="2" x14ac:dyDescent="0.25">
      <c r="B663" s="704" t="s">
        <v>677</v>
      </c>
      <c r="C663" s="704" t="s">
        <v>730</v>
      </c>
      <c r="D663" s="704" t="s">
        <v>728</v>
      </c>
      <c r="E663" s="704" t="s">
        <v>448</v>
      </c>
      <c r="F663" s="705">
        <v>0.50889545808077941</v>
      </c>
      <c r="G663" s="705">
        <v>264.90708518681004</v>
      </c>
    </row>
    <row r="664" spans="2:7" ht="11.25" hidden="1" customHeight="1" outlineLevel="2" x14ac:dyDescent="0.25">
      <c r="B664" s="704" t="s">
        <v>678</v>
      </c>
      <c r="C664" s="704" t="s">
        <v>730</v>
      </c>
      <c r="D664" s="704" t="s">
        <v>728</v>
      </c>
      <c r="E664" s="704" t="s">
        <v>448</v>
      </c>
      <c r="F664" s="705">
        <v>0.84176923743124532</v>
      </c>
      <c r="G664" s="705">
        <v>438.9223020432799</v>
      </c>
    </row>
    <row r="665" spans="2:7" ht="11.25" hidden="1" customHeight="1" outlineLevel="2" x14ac:dyDescent="0.25">
      <c r="B665" s="704" t="s">
        <v>679</v>
      </c>
      <c r="C665" s="704" t="s">
        <v>730</v>
      </c>
      <c r="D665" s="704" t="s">
        <v>728</v>
      </c>
      <c r="E665" s="704" t="s">
        <v>448</v>
      </c>
      <c r="F665" s="705">
        <v>7.7694422066920982E-2</v>
      </c>
      <c r="G665" s="705">
        <v>40.512062783689387</v>
      </c>
    </row>
    <row r="666" spans="2:7" ht="11.25" hidden="1" customHeight="1" outlineLevel="2" x14ac:dyDescent="0.25">
      <c r="B666" s="704" t="s">
        <v>680</v>
      </c>
      <c r="C666" s="704" t="s">
        <v>730</v>
      </c>
      <c r="D666" s="704" t="s">
        <v>728</v>
      </c>
      <c r="E666" s="704" t="s">
        <v>448</v>
      </c>
      <c r="F666" s="706">
        <v>3.2385867959789198E-2</v>
      </c>
      <c r="G666" s="705">
        <v>16.885429518341432</v>
      </c>
    </row>
    <row r="667" spans="2:7" ht="11.25" hidden="1" customHeight="1" outlineLevel="2" x14ac:dyDescent="0.25">
      <c r="B667" s="704" t="s">
        <v>681</v>
      </c>
      <c r="C667" s="704" t="s">
        <v>730</v>
      </c>
      <c r="D667" s="704" t="s">
        <v>728</v>
      </c>
      <c r="E667" s="704" t="s">
        <v>448</v>
      </c>
      <c r="F667" s="706">
        <v>0.1500956340912184</v>
      </c>
      <c r="G667" s="705">
        <v>78.264140033826919</v>
      </c>
    </row>
    <row r="668" spans="2:7" ht="11.25" hidden="1" customHeight="1" outlineLevel="2" x14ac:dyDescent="0.25">
      <c r="B668" s="704" t="s">
        <v>682</v>
      </c>
      <c r="C668" s="704" t="s">
        <v>730</v>
      </c>
      <c r="D668" s="704" t="s">
        <v>728</v>
      </c>
      <c r="E668" s="704" t="s">
        <v>448</v>
      </c>
      <c r="F668" s="706">
        <v>9.5235074282028181E-2</v>
      </c>
      <c r="G668" s="705">
        <v>49.658225856263527</v>
      </c>
    </row>
    <row r="669" spans="2:7" ht="11.25" hidden="1" customHeight="1" outlineLevel="2" x14ac:dyDescent="0.25">
      <c r="B669" s="704" t="s">
        <v>683</v>
      </c>
      <c r="C669" s="704" t="s">
        <v>730</v>
      </c>
      <c r="D669" s="704" t="s">
        <v>728</v>
      </c>
      <c r="E669" s="704" t="s">
        <v>448</v>
      </c>
      <c r="F669" s="706">
        <v>0.12305875093065141</v>
      </c>
      <c r="G669" s="705">
        <v>64.166326787783504</v>
      </c>
    </row>
    <row r="670" spans="2:7" ht="11.25" hidden="1" customHeight="1" outlineLevel="2" x14ac:dyDescent="0.25">
      <c r="B670" s="704" t="s">
        <v>684</v>
      </c>
      <c r="C670" s="704" t="s">
        <v>730</v>
      </c>
      <c r="D670" s="704" t="s">
        <v>728</v>
      </c>
      <c r="E670" s="704" t="s">
        <v>448</v>
      </c>
      <c r="F670" s="706">
        <v>3.8917971321611615E-2</v>
      </c>
      <c r="G670" s="705">
        <v>20.291149644466142</v>
      </c>
    </row>
    <row r="671" spans="2:7" ht="11.25" hidden="1" customHeight="1" outlineLevel="2" x14ac:dyDescent="0.25">
      <c r="B671" s="704" t="s">
        <v>685</v>
      </c>
      <c r="C671" s="704" t="s">
        <v>730</v>
      </c>
      <c r="D671" s="704" t="s">
        <v>728</v>
      </c>
      <c r="E671" s="704" t="s">
        <v>448</v>
      </c>
      <c r="F671" s="706">
        <v>0.20569284316595038</v>
      </c>
      <c r="G671" s="705">
        <v>107.25392952876894</v>
      </c>
    </row>
    <row r="672" spans="2:7" ht="11.25" hidden="1" customHeight="1" outlineLevel="2" x14ac:dyDescent="0.25">
      <c r="B672" s="704" t="s">
        <v>686</v>
      </c>
      <c r="C672" s="704" t="s">
        <v>730</v>
      </c>
      <c r="D672" s="704" t="s">
        <v>728</v>
      </c>
      <c r="E672" s="704" t="s">
        <v>448</v>
      </c>
      <c r="F672" s="706">
        <v>4.5204497572062102E-2</v>
      </c>
      <c r="G672" s="705">
        <v>23.568847667500346</v>
      </c>
    </row>
    <row r="673" spans="2:7" ht="11.25" hidden="1" customHeight="1" outlineLevel="2" x14ac:dyDescent="0.25">
      <c r="B673" s="704" t="s">
        <v>687</v>
      </c>
      <c r="C673" s="704" t="s">
        <v>730</v>
      </c>
      <c r="D673" s="704" t="s">
        <v>728</v>
      </c>
      <c r="E673" s="704" t="s">
        <v>448</v>
      </c>
      <c r="F673" s="706">
        <v>0.22888577791907611</v>
      </c>
      <c r="G673" s="705">
        <v>119.3475241537588</v>
      </c>
    </row>
    <row r="674" spans="2:7" ht="11.25" hidden="1" customHeight="1" outlineLevel="2" x14ac:dyDescent="0.25">
      <c r="B674" s="704" t="s">
        <v>688</v>
      </c>
      <c r="C674" s="704" t="s">
        <v>730</v>
      </c>
      <c r="D674" s="704" t="s">
        <v>728</v>
      </c>
      <c r="E674" s="704" t="s">
        <v>448</v>
      </c>
      <c r="F674" s="706">
        <v>0.25512273141818348</v>
      </c>
      <c r="G674" s="705">
        <v>133.02818602394538</v>
      </c>
    </row>
    <row r="675" spans="2:7" ht="11.25" hidden="1" customHeight="1" outlineLevel="2" x14ac:dyDescent="0.25">
      <c r="B675" s="704" t="s">
        <v>689</v>
      </c>
      <c r="C675" s="704" t="s">
        <v>730</v>
      </c>
      <c r="D675" s="704" t="s">
        <v>728</v>
      </c>
      <c r="E675" s="704" t="s">
        <v>448</v>
      </c>
      <c r="F675" s="706">
        <v>4.2248244679823382E-2</v>
      </c>
      <c r="G675" s="705">
        <v>22.030155550163485</v>
      </c>
    </row>
    <row r="676" spans="2:7" ht="11.25" hidden="1" customHeight="1" outlineLevel="2" x14ac:dyDescent="0.25">
      <c r="B676" s="704" t="s">
        <v>690</v>
      </c>
      <c r="C676" s="704" t="s">
        <v>730</v>
      </c>
      <c r="D676" s="704" t="s">
        <v>728</v>
      </c>
      <c r="E676" s="704" t="s">
        <v>448</v>
      </c>
      <c r="F676" s="705">
        <v>0.91109170347466861</v>
      </c>
      <c r="G676" s="705">
        <v>475.06938273817013</v>
      </c>
    </row>
    <row r="677" spans="2:7" ht="11.25" hidden="1" customHeight="1" outlineLevel="2" x14ac:dyDescent="0.25">
      <c r="B677" s="704" t="s">
        <v>691</v>
      </c>
      <c r="C677" s="704" t="s">
        <v>730</v>
      </c>
      <c r="D677" s="704" t="s">
        <v>728</v>
      </c>
      <c r="E677" s="704" t="s">
        <v>448</v>
      </c>
      <c r="F677" s="705">
        <v>0.815592931436667</v>
      </c>
      <c r="G677" s="705">
        <v>425.27313916790996</v>
      </c>
    </row>
    <row r="678" spans="2:7" ht="11.25" hidden="1" customHeight="1" outlineLevel="2" x14ac:dyDescent="0.25">
      <c r="B678" s="704" t="s">
        <v>692</v>
      </c>
      <c r="C678" s="704" t="s">
        <v>730</v>
      </c>
      <c r="D678" s="704" t="s">
        <v>728</v>
      </c>
      <c r="E678" s="704" t="s">
        <v>448</v>
      </c>
      <c r="F678" s="706">
        <v>4.6314686102606487E-2</v>
      </c>
      <c r="G678" s="705">
        <v>24.14978190262805</v>
      </c>
    </row>
    <row r="679" spans="2:7" ht="11.25" hidden="1" customHeight="1" outlineLevel="2" x14ac:dyDescent="0.25">
      <c r="B679" s="704" t="s">
        <v>693</v>
      </c>
      <c r="C679" s="704" t="s">
        <v>730</v>
      </c>
      <c r="D679" s="704" t="s">
        <v>728</v>
      </c>
      <c r="E679" s="704" t="s">
        <v>448</v>
      </c>
      <c r="F679" s="705">
        <v>9.4628220963536736E-2</v>
      </c>
      <c r="G679" s="705">
        <v>49.337484952298126</v>
      </c>
    </row>
    <row r="680" spans="2:7" ht="11.25" hidden="1" customHeight="1" outlineLevel="2" x14ac:dyDescent="0.25">
      <c r="B680" s="704" t="s">
        <v>694</v>
      </c>
      <c r="C680" s="704" t="s">
        <v>730</v>
      </c>
      <c r="D680" s="704" t="s">
        <v>728</v>
      </c>
      <c r="E680" s="704" t="s">
        <v>448</v>
      </c>
      <c r="F680" s="705">
        <v>2.6548172637157197E-2</v>
      </c>
      <c r="G680" s="705">
        <v>13.841763766213282</v>
      </c>
    </row>
    <row r="681" spans="2:7" ht="11.25" hidden="1" customHeight="1" outlineLevel="2" x14ac:dyDescent="0.25">
      <c r="B681" s="704" t="s">
        <v>695</v>
      </c>
      <c r="C681" s="704" t="s">
        <v>730</v>
      </c>
      <c r="D681" s="704" t="s">
        <v>728</v>
      </c>
      <c r="E681" s="704" t="s">
        <v>448</v>
      </c>
      <c r="F681" s="705">
        <v>4.5088320204112034E-2</v>
      </c>
      <c r="G681" s="705">
        <v>23.508285122011895</v>
      </c>
    </row>
    <row r="682" spans="2:7" ht="11.25" hidden="1" customHeight="1" outlineLevel="2" x14ac:dyDescent="0.25">
      <c r="B682" s="704" t="s">
        <v>696</v>
      </c>
      <c r="C682" s="704" t="s">
        <v>730</v>
      </c>
      <c r="D682" s="704" t="s">
        <v>728</v>
      </c>
      <c r="E682" s="704" t="s">
        <v>448</v>
      </c>
      <c r="F682" s="705">
        <v>0.14327301532974249</v>
      </c>
      <c r="G682" s="705">
        <v>74.700099253373494</v>
      </c>
    </row>
    <row r="683" spans="2:7" ht="11.25" hidden="1" customHeight="1" outlineLevel="2" x14ac:dyDescent="0.25">
      <c r="B683" s="704" t="s">
        <v>697</v>
      </c>
      <c r="C683" s="704" t="s">
        <v>730</v>
      </c>
      <c r="D683" s="704" t="s">
        <v>728</v>
      </c>
      <c r="E683" s="704" t="s">
        <v>448</v>
      </c>
      <c r="F683" s="705">
        <v>9.402617313322785E-2</v>
      </c>
      <c r="G683" s="705">
        <v>49.023612044238035</v>
      </c>
    </row>
    <row r="684" spans="2:7" ht="11.25" hidden="1" customHeight="1" outlineLevel="2" x14ac:dyDescent="0.25">
      <c r="B684" s="704" t="s">
        <v>698</v>
      </c>
      <c r="C684" s="704" t="s">
        <v>730</v>
      </c>
      <c r="D684" s="704" t="s">
        <v>728</v>
      </c>
      <c r="E684" s="704" t="s">
        <v>448</v>
      </c>
      <c r="F684" s="705">
        <v>0.12712232765276865</v>
      </c>
      <c r="G684" s="705">
        <v>66.279265620808289</v>
      </c>
    </row>
    <row r="685" spans="2:7" ht="11.25" hidden="1" customHeight="1" outlineLevel="2" x14ac:dyDescent="0.25">
      <c r="B685" s="704" t="s">
        <v>699</v>
      </c>
      <c r="C685" s="704" t="s">
        <v>730</v>
      </c>
      <c r="D685" s="704" t="s">
        <v>728</v>
      </c>
      <c r="E685" s="704" t="s">
        <v>448</v>
      </c>
      <c r="F685" s="705">
        <v>0.78216170953669961</v>
      </c>
      <c r="G685" s="705">
        <v>407.84088805570002</v>
      </c>
    </row>
    <row r="686" spans="2:7" ht="11.25" hidden="1" customHeight="1" outlineLevel="2" x14ac:dyDescent="0.25">
      <c r="B686" s="704" t="s">
        <v>673</v>
      </c>
      <c r="C686" s="704" t="s">
        <v>731</v>
      </c>
      <c r="D686" s="704" t="s">
        <v>728</v>
      </c>
      <c r="E686" s="704" t="s">
        <v>448</v>
      </c>
      <c r="F686" s="705">
        <v>6.6457514559632488E-2</v>
      </c>
      <c r="G686" s="705">
        <v>36.437103385874593</v>
      </c>
    </row>
    <row r="687" spans="2:7" ht="11.25" hidden="1" customHeight="1" outlineLevel="2" x14ac:dyDescent="0.25">
      <c r="B687" s="704" t="s">
        <v>677</v>
      </c>
      <c r="C687" s="704" t="s">
        <v>731</v>
      </c>
      <c r="D687" s="704" t="s">
        <v>728</v>
      </c>
      <c r="E687" s="704" t="s">
        <v>448</v>
      </c>
      <c r="F687" s="705">
        <v>3.1897214516403496</v>
      </c>
      <c r="G687" s="705">
        <v>1746.0658743220004</v>
      </c>
    </row>
    <row r="688" spans="2:7" ht="11.25" hidden="1" customHeight="1" outlineLevel="2" x14ac:dyDescent="0.25">
      <c r="B688" s="704" t="s">
        <v>678</v>
      </c>
      <c r="C688" s="704" t="s">
        <v>731</v>
      </c>
      <c r="D688" s="704" t="s">
        <v>728</v>
      </c>
      <c r="E688" s="704" t="s">
        <v>448</v>
      </c>
      <c r="F688" s="705">
        <v>3.8276304941663843</v>
      </c>
      <c r="G688" s="705">
        <v>2098.7766237009005</v>
      </c>
    </row>
    <row r="689" spans="2:7" ht="11.25" hidden="1" customHeight="1" outlineLevel="2" x14ac:dyDescent="0.25">
      <c r="B689" s="704" t="s">
        <v>679</v>
      </c>
      <c r="C689" s="704" t="s">
        <v>731</v>
      </c>
      <c r="D689" s="704" t="s">
        <v>728</v>
      </c>
      <c r="E689" s="704" t="s">
        <v>448</v>
      </c>
      <c r="F689" s="705">
        <v>0.22859461796973785</v>
      </c>
      <c r="G689" s="705">
        <v>125.34361848842487</v>
      </c>
    </row>
    <row r="690" spans="2:7" ht="11.25" hidden="1" customHeight="1" outlineLevel="2" x14ac:dyDescent="0.25">
      <c r="B690" s="704" t="s">
        <v>680</v>
      </c>
      <c r="C690" s="704" t="s">
        <v>731</v>
      </c>
      <c r="D690" s="704" t="s">
        <v>728</v>
      </c>
      <c r="E690" s="704" t="s">
        <v>448</v>
      </c>
      <c r="F690" s="705">
        <v>7.1774075762806186E-2</v>
      </c>
      <c r="G690" s="705">
        <v>39.352057452812801</v>
      </c>
    </row>
    <row r="691" spans="2:7" ht="11.25" hidden="1" customHeight="1" outlineLevel="2" x14ac:dyDescent="0.25">
      <c r="B691" s="704" t="s">
        <v>681</v>
      </c>
      <c r="C691" s="704" t="s">
        <v>731</v>
      </c>
      <c r="D691" s="704" t="s">
        <v>728</v>
      </c>
      <c r="E691" s="704" t="s">
        <v>448</v>
      </c>
      <c r="F691" s="705">
        <v>1.2067675493790309</v>
      </c>
      <c r="G691" s="705">
        <v>661.69721803280481</v>
      </c>
    </row>
    <row r="692" spans="2:7" ht="11.25" hidden="1" customHeight="1" outlineLevel="2" x14ac:dyDescent="0.25">
      <c r="B692" s="704" t="s">
        <v>682</v>
      </c>
      <c r="C692" s="704" t="s">
        <v>731</v>
      </c>
      <c r="D692" s="704" t="s">
        <v>728</v>
      </c>
      <c r="E692" s="704" t="s">
        <v>448</v>
      </c>
      <c r="F692" s="705">
        <v>0.15682649136068019</v>
      </c>
      <c r="G692" s="705">
        <v>85.991571458846579</v>
      </c>
    </row>
    <row r="693" spans="2:7" ht="11.25" hidden="1" customHeight="1" outlineLevel="2" x14ac:dyDescent="0.25">
      <c r="B693" s="704" t="s">
        <v>683</v>
      </c>
      <c r="C693" s="704" t="s">
        <v>731</v>
      </c>
      <c r="D693" s="704" t="s">
        <v>728</v>
      </c>
      <c r="E693" s="704" t="s">
        <v>448</v>
      </c>
      <c r="F693" s="705">
        <v>0.3296014808337831</v>
      </c>
      <c r="G693" s="705">
        <v>180.7281132546882</v>
      </c>
    </row>
    <row r="694" spans="2:7" ht="11.25" hidden="1" customHeight="1" outlineLevel="2" x14ac:dyDescent="0.25">
      <c r="B694" s="704" t="s">
        <v>684</v>
      </c>
      <c r="C694" s="704" t="s">
        <v>731</v>
      </c>
      <c r="D694" s="704" t="s">
        <v>728</v>
      </c>
      <c r="E694" s="704" t="s">
        <v>448</v>
      </c>
      <c r="F694" s="705">
        <v>0.42532804486223497</v>
      </c>
      <c r="G694" s="705">
        <v>233.19761041169184</v>
      </c>
    </row>
    <row r="695" spans="2:7" ht="11.25" hidden="1" customHeight="1" outlineLevel="2" x14ac:dyDescent="0.25">
      <c r="B695" s="704" t="s">
        <v>685</v>
      </c>
      <c r="C695" s="704" t="s">
        <v>731</v>
      </c>
      <c r="D695" s="704" t="s">
        <v>728</v>
      </c>
      <c r="E695" s="704" t="s">
        <v>448</v>
      </c>
      <c r="F695" s="705">
        <v>2.0041899857860717</v>
      </c>
      <c r="G695" s="705">
        <v>1098.9435032258195</v>
      </c>
    </row>
    <row r="696" spans="2:7" ht="11.25" hidden="1" customHeight="1" outlineLevel="2" x14ac:dyDescent="0.25">
      <c r="B696" s="704" t="s">
        <v>686</v>
      </c>
      <c r="C696" s="704" t="s">
        <v>731</v>
      </c>
      <c r="D696" s="704" t="s">
        <v>728</v>
      </c>
      <c r="E696" s="704" t="s">
        <v>448</v>
      </c>
      <c r="F696" s="705">
        <v>0.42798640112190539</v>
      </c>
      <c r="G696" s="705">
        <v>234.65493805739698</v>
      </c>
    </row>
    <row r="697" spans="2:7" ht="11.25" hidden="1" customHeight="1" outlineLevel="2" x14ac:dyDescent="0.25">
      <c r="B697" s="704" t="s">
        <v>687</v>
      </c>
      <c r="C697" s="704" t="s">
        <v>731</v>
      </c>
      <c r="D697" s="704" t="s">
        <v>728</v>
      </c>
      <c r="E697" s="704" t="s">
        <v>448</v>
      </c>
      <c r="F697" s="705">
        <v>0.87982313677781809</v>
      </c>
      <c r="G697" s="705">
        <v>482.42756643922843</v>
      </c>
    </row>
    <row r="698" spans="2:7" ht="11.25" hidden="1" customHeight="1" outlineLevel="2" x14ac:dyDescent="0.25">
      <c r="B698" s="704" t="s">
        <v>688</v>
      </c>
      <c r="C698" s="704" t="s">
        <v>731</v>
      </c>
      <c r="D698" s="704" t="s">
        <v>728</v>
      </c>
      <c r="E698" s="704" t="s">
        <v>448</v>
      </c>
      <c r="F698" s="705">
        <v>2.5889672557559034</v>
      </c>
      <c r="G698" s="705">
        <v>1419.589265394183</v>
      </c>
    </row>
    <row r="699" spans="2:7" ht="11.25" hidden="1" customHeight="1" outlineLevel="2" x14ac:dyDescent="0.25">
      <c r="B699" s="704" t="s">
        <v>689</v>
      </c>
      <c r="C699" s="704" t="s">
        <v>731</v>
      </c>
      <c r="D699" s="704" t="s">
        <v>728</v>
      </c>
      <c r="E699" s="704" t="s">
        <v>448</v>
      </c>
      <c r="F699" s="706">
        <v>0.2609189811742722</v>
      </c>
      <c r="G699" s="705">
        <v>143.07296852625987</v>
      </c>
    </row>
    <row r="700" spans="2:7" ht="11.25" hidden="1" customHeight="1" outlineLevel="2" x14ac:dyDescent="0.25">
      <c r="B700" s="704" t="s">
        <v>690</v>
      </c>
      <c r="C700" s="704" t="s">
        <v>731</v>
      </c>
      <c r="D700" s="704" t="s">
        <v>728</v>
      </c>
      <c r="E700" s="704" t="s">
        <v>448</v>
      </c>
      <c r="F700" s="706">
        <v>7.9157510985661741</v>
      </c>
      <c r="G700" s="705">
        <v>4340.3865681003299</v>
      </c>
    </row>
    <row r="701" spans="2:7" ht="11.25" hidden="1" customHeight="1" outlineLevel="2" x14ac:dyDescent="0.25">
      <c r="B701" s="704" t="s">
        <v>691</v>
      </c>
      <c r="C701" s="704" t="s">
        <v>731</v>
      </c>
      <c r="D701" s="704" t="s">
        <v>728</v>
      </c>
      <c r="E701" s="704" t="s">
        <v>448</v>
      </c>
      <c r="F701" s="706">
        <v>3.8675014829247756</v>
      </c>
      <c r="G701" s="705">
        <v>2120.64049170611</v>
      </c>
    </row>
    <row r="702" spans="2:7" ht="11.25" hidden="1" customHeight="1" outlineLevel="2" x14ac:dyDescent="0.25">
      <c r="B702" s="704" t="s">
        <v>692</v>
      </c>
      <c r="C702" s="704" t="s">
        <v>731</v>
      </c>
      <c r="D702" s="704" t="s">
        <v>728</v>
      </c>
      <c r="E702" s="704" t="s">
        <v>448</v>
      </c>
      <c r="F702" s="706">
        <v>0.25251729605477263</v>
      </c>
      <c r="G702" s="705">
        <v>138.46100559364416</v>
      </c>
    </row>
    <row r="703" spans="2:7" ht="11.25" hidden="1" customHeight="1" outlineLevel="2" x14ac:dyDescent="0.25">
      <c r="B703" s="704" t="s">
        <v>693</v>
      </c>
      <c r="C703" s="704" t="s">
        <v>731</v>
      </c>
      <c r="D703" s="704" t="s">
        <v>728</v>
      </c>
      <c r="E703" s="704" t="s">
        <v>448</v>
      </c>
      <c r="F703" s="706">
        <v>0.19405580253836735</v>
      </c>
      <c r="G703" s="705">
        <v>106.39638049355761</v>
      </c>
    </row>
    <row r="704" spans="2:7" ht="11.25" hidden="1" customHeight="1" outlineLevel="2" x14ac:dyDescent="0.25">
      <c r="B704" s="704" t="s">
        <v>694</v>
      </c>
      <c r="C704" s="704" t="s">
        <v>731</v>
      </c>
      <c r="D704" s="704" t="s">
        <v>728</v>
      </c>
      <c r="E704" s="704" t="s">
        <v>448</v>
      </c>
      <c r="F704" s="706">
        <v>0.42798640112190539</v>
      </c>
      <c r="G704" s="705">
        <v>234.65493805739698</v>
      </c>
    </row>
    <row r="705" spans="2:7" ht="11.25" hidden="1" customHeight="1" outlineLevel="2" x14ac:dyDescent="0.25">
      <c r="B705" s="704" t="s">
        <v>695</v>
      </c>
      <c r="C705" s="704" t="s">
        <v>731</v>
      </c>
      <c r="D705" s="704" t="s">
        <v>728</v>
      </c>
      <c r="E705" s="704" t="s">
        <v>448</v>
      </c>
      <c r="F705" s="705">
        <v>0.42001157135810202</v>
      </c>
      <c r="G705" s="705">
        <v>230.282575774935</v>
      </c>
    </row>
    <row r="706" spans="2:7" ht="11.25" hidden="1" customHeight="1" outlineLevel="2" x14ac:dyDescent="0.25">
      <c r="B706" s="704" t="s">
        <v>696</v>
      </c>
      <c r="C706" s="704" t="s">
        <v>731</v>
      </c>
      <c r="D706" s="704" t="s">
        <v>728</v>
      </c>
      <c r="E706" s="704" t="s">
        <v>448</v>
      </c>
      <c r="F706" s="705">
        <v>0.60077613051794565</v>
      </c>
      <c r="G706" s="705">
        <v>329.39162501691618</v>
      </c>
    </row>
    <row r="707" spans="2:7" ht="11.25" hidden="1" customHeight="1" outlineLevel="2" x14ac:dyDescent="0.25">
      <c r="B707" s="704" t="s">
        <v>697</v>
      </c>
      <c r="C707" s="704" t="s">
        <v>731</v>
      </c>
      <c r="D707" s="704" t="s">
        <v>728</v>
      </c>
      <c r="E707" s="704" t="s">
        <v>448</v>
      </c>
      <c r="F707" s="705">
        <v>0.27114672933561607</v>
      </c>
      <c r="G707" s="705">
        <v>148.66350700146478</v>
      </c>
    </row>
    <row r="708" spans="2:7" ht="11.25" hidden="1" customHeight="1" outlineLevel="2" x14ac:dyDescent="0.25">
      <c r="B708" s="704" t="s">
        <v>698</v>
      </c>
      <c r="C708" s="704" t="s">
        <v>731</v>
      </c>
      <c r="D708" s="704" t="s">
        <v>728</v>
      </c>
      <c r="E708" s="704" t="s">
        <v>448</v>
      </c>
      <c r="F708" s="705">
        <v>0.42798640113034081</v>
      </c>
      <c r="G708" s="705">
        <v>234.65493805465331</v>
      </c>
    </row>
    <row r="709" spans="2:7" ht="11.25" hidden="1" customHeight="1" outlineLevel="2" x14ac:dyDescent="0.25">
      <c r="B709" s="704" t="s">
        <v>699</v>
      </c>
      <c r="C709" s="704" t="s">
        <v>731</v>
      </c>
      <c r="D709" s="704" t="s">
        <v>728</v>
      </c>
      <c r="E709" s="704" t="s">
        <v>448</v>
      </c>
      <c r="F709" s="705">
        <v>0.48111144622480817</v>
      </c>
      <c r="G709" s="705">
        <v>263.80452078356552</v>
      </c>
    </row>
    <row r="710" spans="2:7" ht="11.25" hidden="1" customHeight="1" outlineLevel="2" x14ac:dyDescent="0.25">
      <c r="B710" s="704" t="s">
        <v>673</v>
      </c>
      <c r="C710" s="704" t="s">
        <v>732</v>
      </c>
      <c r="D710" s="704" t="s">
        <v>728</v>
      </c>
      <c r="E710" s="704" t="s">
        <v>448</v>
      </c>
      <c r="F710" s="705">
        <v>0.10630655876500736</v>
      </c>
      <c r="G710" s="705">
        <v>62.653801976408573</v>
      </c>
    </row>
    <row r="711" spans="2:7" ht="11.25" hidden="1" customHeight="1" outlineLevel="2" x14ac:dyDescent="0.25">
      <c r="B711" s="704" t="s">
        <v>677</v>
      </c>
      <c r="C711" s="704" t="s">
        <v>732</v>
      </c>
      <c r="D711" s="704" t="s">
        <v>728</v>
      </c>
      <c r="E711" s="704" t="s">
        <v>448</v>
      </c>
      <c r="F711" s="705">
        <v>0.62728309348157096</v>
      </c>
      <c r="G711" s="705">
        <v>369.1606211990607</v>
      </c>
    </row>
    <row r="712" spans="2:7" ht="11.25" hidden="1" customHeight="1" outlineLevel="2" x14ac:dyDescent="0.25">
      <c r="B712" s="704" t="s">
        <v>678</v>
      </c>
      <c r="C712" s="704" t="s">
        <v>732</v>
      </c>
      <c r="D712" s="704" t="s">
        <v>728</v>
      </c>
      <c r="E712" s="704" t="s">
        <v>448</v>
      </c>
      <c r="F712" s="705">
        <v>1.0379425401120674</v>
      </c>
      <c r="G712" s="705">
        <v>611.65941814167695</v>
      </c>
    </row>
    <row r="713" spans="2:7" ht="11.25" hidden="1" customHeight="1" outlineLevel="2" x14ac:dyDescent="0.25">
      <c r="B713" s="704" t="s">
        <v>679</v>
      </c>
      <c r="C713" s="704" t="s">
        <v>732</v>
      </c>
      <c r="D713" s="704" t="s">
        <v>728</v>
      </c>
      <c r="E713" s="704" t="s">
        <v>448</v>
      </c>
      <c r="F713" s="705">
        <v>9.5801137191246222E-2</v>
      </c>
      <c r="G713" s="705">
        <v>56.455595058927429</v>
      </c>
    </row>
    <row r="714" spans="2:7" ht="11.25" hidden="1" customHeight="1" outlineLevel="2" x14ac:dyDescent="0.25">
      <c r="B714" s="704" t="s">
        <v>680</v>
      </c>
      <c r="C714" s="704" t="s">
        <v>732</v>
      </c>
      <c r="D714" s="704" t="s">
        <v>728</v>
      </c>
      <c r="E714" s="704" t="s">
        <v>448</v>
      </c>
      <c r="F714" s="705">
        <v>3.9925159733289195E-2</v>
      </c>
      <c r="G714" s="705">
        <v>23.530666017882723</v>
      </c>
    </row>
    <row r="715" spans="2:7" ht="11.25" hidden="1" customHeight="1" outlineLevel="2" x14ac:dyDescent="0.25">
      <c r="B715" s="704" t="s">
        <v>681</v>
      </c>
      <c r="C715" s="704" t="s">
        <v>732</v>
      </c>
      <c r="D715" s="704" t="s">
        <v>728</v>
      </c>
      <c r="E715" s="704" t="s">
        <v>448</v>
      </c>
      <c r="F715" s="705">
        <v>0.18507533175085367</v>
      </c>
      <c r="G715" s="705">
        <v>109.06484100013508</v>
      </c>
    </row>
    <row r="716" spans="2:7" ht="11.25" hidden="1" customHeight="1" outlineLevel="2" x14ac:dyDescent="0.25">
      <c r="B716" s="704" t="s">
        <v>682</v>
      </c>
      <c r="C716" s="704" t="s">
        <v>732</v>
      </c>
      <c r="D716" s="704" t="s">
        <v>728</v>
      </c>
      <c r="E716" s="704" t="s">
        <v>448</v>
      </c>
      <c r="F716" s="705">
        <v>0.11742960526167431</v>
      </c>
      <c r="G716" s="705">
        <v>69.201194745933918</v>
      </c>
    </row>
    <row r="717" spans="2:7" ht="11.25" hidden="1" customHeight="1" outlineLevel="2" x14ac:dyDescent="0.25">
      <c r="B717" s="704" t="s">
        <v>683</v>
      </c>
      <c r="C717" s="704" t="s">
        <v>732</v>
      </c>
      <c r="D717" s="704" t="s">
        <v>728</v>
      </c>
      <c r="E717" s="704" t="s">
        <v>448</v>
      </c>
      <c r="F717" s="705">
        <v>0.15173744014584001</v>
      </c>
      <c r="G717" s="705">
        <v>89.418835406650558</v>
      </c>
    </row>
    <row r="718" spans="2:7" ht="11.25" hidden="1" customHeight="1" outlineLevel="2" x14ac:dyDescent="0.25">
      <c r="B718" s="704" t="s">
        <v>684</v>
      </c>
      <c r="C718" s="704" t="s">
        <v>732</v>
      </c>
      <c r="D718" s="704" t="s">
        <v>728</v>
      </c>
      <c r="E718" s="704" t="s">
        <v>448</v>
      </c>
      <c r="F718" s="705">
        <v>4.7977879290904801E-2</v>
      </c>
      <c r="G718" s="705">
        <v>28.276715208600169</v>
      </c>
    </row>
    <row r="719" spans="2:7" ht="11.25" hidden="1" customHeight="1" outlineLevel="2" x14ac:dyDescent="0.25">
      <c r="B719" s="704" t="s">
        <v>685</v>
      </c>
      <c r="C719" s="704" t="s">
        <v>732</v>
      </c>
      <c r="D719" s="704" t="s">
        <v>728</v>
      </c>
      <c r="E719" s="704" t="s">
        <v>448</v>
      </c>
      <c r="F719" s="705">
        <v>0.25362937591336115</v>
      </c>
      <c r="G719" s="705">
        <v>149.46369545743215</v>
      </c>
    </row>
    <row r="720" spans="2:7" ht="11.25" hidden="1" customHeight="1" outlineLevel="2" x14ac:dyDescent="0.25">
      <c r="B720" s="704" t="s">
        <v>686</v>
      </c>
      <c r="C720" s="704" t="s">
        <v>732</v>
      </c>
      <c r="D720" s="704" t="s">
        <v>728</v>
      </c>
      <c r="E720" s="704" t="s">
        <v>448</v>
      </c>
      <c r="F720" s="705">
        <v>5.5727905760071986E-2</v>
      </c>
      <c r="G720" s="705">
        <v>32.844324334965805</v>
      </c>
    </row>
    <row r="721" spans="2:7" ht="11.25" hidden="1" customHeight="1" outlineLevel="2" x14ac:dyDescent="0.25">
      <c r="B721" s="704" t="s">
        <v>687</v>
      </c>
      <c r="C721" s="704" t="s">
        <v>732</v>
      </c>
      <c r="D721" s="704" t="s">
        <v>728</v>
      </c>
      <c r="E721" s="704" t="s">
        <v>448</v>
      </c>
      <c r="F721" s="705">
        <v>0.28222735063658472</v>
      </c>
      <c r="G721" s="705">
        <v>166.31656606306547</v>
      </c>
    </row>
    <row r="722" spans="2:7" ht="11.25" hidden="1" customHeight="1" outlineLevel="2" x14ac:dyDescent="0.25">
      <c r="B722" s="704" t="s">
        <v>688</v>
      </c>
      <c r="C722" s="704" t="s">
        <v>732</v>
      </c>
      <c r="D722" s="704" t="s">
        <v>728</v>
      </c>
      <c r="E722" s="704" t="s">
        <v>448</v>
      </c>
      <c r="F722" s="705">
        <v>0.3145789983116401</v>
      </c>
      <c r="G722" s="705">
        <v>185.38119166082183</v>
      </c>
    </row>
    <row r="723" spans="2:7" ht="11.25" hidden="1" customHeight="1" outlineLevel="2" x14ac:dyDescent="0.25">
      <c r="B723" s="704" t="s">
        <v>689</v>
      </c>
      <c r="C723" s="704" t="s">
        <v>732</v>
      </c>
      <c r="D723" s="704" t="s">
        <v>728</v>
      </c>
      <c r="E723" s="704" t="s">
        <v>448</v>
      </c>
      <c r="F723" s="705">
        <v>5.0031172895165704E-2</v>
      </c>
      <c r="G723" s="705">
        <v>29.484234203459732</v>
      </c>
    </row>
    <row r="724" spans="2:7" ht="11.25" hidden="1" customHeight="1" outlineLevel="2" x14ac:dyDescent="0.25">
      <c r="B724" s="704" t="s">
        <v>690</v>
      </c>
      <c r="C724" s="704" t="s">
        <v>732</v>
      </c>
      <c r="D724" s="704" t="s">
        <v>728</v>
      </c>
      <c r="E724" s="704" t="s">
        <v>448</v>
      </c>
      <c r="F724" s="705">
        <v>1.1234208844732974</v>
      </c>
      <c r="G724" s="705">
        <v>662.03188349107904</v>
      </c>
    </row>
    <row r="725" spans="2:7" ht="11.25" hidden="1" customHeight="1" outlineLevel="2" x14ac:dyDescent="0.25">
      <c r="B725" s="704" t="s">
        <v>691</v>
      </c>
      <c r="C725" s="704" t="s">
        <v>732</v>
      </c>
      <c r="D725" s="704" t="s">
        <v>728</v>
      </c>
      <c r="E725" s="704" t="s">
        <v>448</v>
      </c>
      <c r="F725" s="705">
        <v>1.0056662383109296</v>
      </c>
      <c r="G725" s="705">
        <v>592.63869303085403</v>
      </c>
    </row>
    <row r="726" spans="2:7" ht="11.25" hidden="1" customHeight="1" outlineLevel="2" x14ac:dyDescent="0.25">
      <c r="B726" s="704" t="s">
        <v>692</v>
      </c>
      <c r="C726" s="704" t="s">
        <v>732</v>
      </c>
      <c r="D726" s="704" t="s">
        <v>728</v>
      </c>
      <c r="E726" s="704" t="s">
        <v>448</v>
      </c>
      <c r="F726" s="705">
        <v>5.7108290397329495E-2</v>
      </c>
      <c r="G726" s="705">
        <v>33.653883732180873</v>
      </c>
    </row>
    <row r="727" spans="2:7" ht="11.25" hidden="1" customHeight="1" outlineLevel="2" x14ac:dyDescent="0.25">
      <c r="B727" s="704" t="s">
        <v>693</v>
      </c>
      <c r="C727" s="704" t="s">
        <v>732</v>
      </c>
      <c r="D727" s="704" t="s">
        <v>728</v>
      </c>
      <c r="E727" s="704" t="s">
        <v>448</v>
      </c>
      <c r="F727" s="705">
        <v>0.1166572458994487</v>
      </c>
      <c r="G727" s="705">
        <v>68.754231890228894</v>
      </c>
    </row>
    <row r="728" spans="2:7" ht="11.25" hidden="1" customHeight="1" outlineLevel="2" x14ac:dyDescent="0.25">
      <c r="B728" s="704" t="s">
        <v>694</v>
      </c>
      <c r="C728" s="704" t="s">
        <v>732</v>
      </c>
      <c r="D728" s="704" t="s">
        <v>728</v>
      </c>
      <c r="E728" s="704" t="s">
        <v>448</v>
      </c>
      <c r="F728" s="705">
        <v>3.2728462406434643E-2</v>
      </c>
      <c r="G728" s="705">
        <v>19.289164748837958</v>
      </c>
    </row>
    <row r="729" spans="2:7" ht="11.25" hidden="1" customHeight="1" outlineLevel="2" x14ac:dyDescent="0.25">
      <c r="B729" s="704" t="s">
        <v>695</v>
      </c>
      <c r="C729" s="704" t="s">
        <v>732</v>
      </c>
      <c r="D729" s="704" t="s">
        <v>728</v>
      </c>
      <c r="E729" s="704" t="s">
        <v>448</v>
      </c>
      <c r="F729" s="705">
        <v>5.5584699544110529E-2</v>
      </c>
      <c r="G729" s="705">
        <v>32.759928500607607</v>
      </c>
    </row>
    <row r="730" spans="2:7" ht="11.25" hidden="1" customHeight="1" outlineLevel="2" x14ac:dyDescent="0.25">
      <c r="B730" s="704" t="s">
        <v>696</v>
      </c>
      <c r="C730" s="704" t="s">
        <v>732</v>
      </c>
      <c r="D730" s="704" t="s">
        <v>728</v>
      </c>
      <c r="E730" s="704" t="s">
        <v>448</v>
      </c>
      <c r="F730" s="705">
        <v>0.17662631431873171</v>
      </c>
      <c r="G730" s="705">
        <v>104.09813107282822</v>
      </c>
    </row>
    <row r="731" spans="2:7" ht="11.25" hidden="1" customHeight="1" outlineLevel="2" x14ac:dyDescent="0.25">
      <c r="B731" s="704" t="s">
        <v>697</v>
      </c>
      <c r="C731" s="704" t="s">
        <v>732</v>
      </c>
      <c r="D731" s="704" t="s">
        <v>728</v>
      </c>
      <c r="E731" s="704" t="s">
        <v>448</v>
      </c>
      <c r="F731" s="705">
        <v>0.11591506774051616</v>
      </c>
      <c r="G731" s="705">
        <v>68.31685410302228</v>
      </c>
    </row>
    <row r="732" spans="2:7" ht="11.25" hidden="1" customHeight="1" outlineLevel="2" x14ac:dyDescent="0.25">
      <c r="B732" s="704" t="s">
        <v>698</v>
      </c>
      <c r="C732" s="704" t="s">
        <v>732</v>
      </c>
      <c r="D732" s="704" t="s">
        <v>728</v>
      </c>
      <c r="E732" s="704" t="s">
        <v>448</v>
      </c>
      <c r="F732" s="705">
        <v>0.15671578781813225</v>
      </c>
      <c r="G732" s="705">
        <v>92.363595287757789</v>
      </c>
    </row>
    <row r="733" spans="2:7" ht="11.25" hidden="1" customHeight="1" outlineLevel="2" x14ac:dyDescent="0.25">
      <c r="B733" s="704" t="s">
        <v>699</v>
      </c>
      <c r="C733" s="704" t="s">
        <v>732</v>
      </c>
      <c r="D733" s="704" t="s">
        <v>728</v>
      </c>
      <c r="E733" s="704" t="s">
        <v>448</v>
      </c>
      <c r="F733" s="705">
        <v>0.96444406037473485</v>
      </c>
      <c r="G733" s="705">
        <v>568.34634115836855</v>
      </c>
    </row>
    <row r="734" spans="2:7" ht="11.25" hidden="1" customHeight="1" outlineLevel="2" x14ac:dyDescent="0.25">
      <c r="B734" s="704" t="s">
        <v>673</v>
      </c>
      <c r="C734" s="704" t="s">
        <v>733</v>
      </c>
      <c r="D734" s="704" t="s">
        <v>728</v>
      </c>
      <c r="E734" s="704" t="s">
        <v>448</v>
      </c>
      <c r="F734" s="705">
        <v>6.274423415274169E-2</v>
      </c>
      <c r="G734" s="705">
        <v>31.772529458901229</v>
      </c>
    </row>
    <row r="735" spans="2:7" ht="11.25" hidden="1" customHeight="1" outlineLevel="2" x14ac:dyDescent="0.25">
      <c r="B735" s="704" t="s">
        <v>677</v>
      </c>
      <c r="C735" s="704" t="s">
        <v>733</v>
      </c>
      <c r="D735" s="704" t="s">
        <v>728</v>
      </c>
      <c r="E735" s="704" t="s">
        <v>448</v>
      </c>
      <c r="F735" s="705">
        <v>3.011111626906247</v>
      </c>
      <c r="G735" s="705">
        <v>1522.5390313362384</v>
      </c>
    </row>
    <row r="736" spans="2:7" ht="11.25" hidden="1" customHeight="1" outlineLevel="2" x14ac:dyDescent="0.25">
      <c r="B736" s="704" t="s">
        <v>678</v>
      </c>
      <c r="C736" s="704" t="s">
        <v>733</v>
      </c>
      <c r="D736" s="704" t="s">
        <v>728</v>
      </c>
      <c r="E736" s="704" t="s">
        <v>448</v>
      </c>
      <c r="F736" s="705">
        <v>3.6145035107630936</v>
      </c>
      <c r="G736" s="705">
        <v>1830.09783824186</v>
      </c>
    </row>
    <row r="737" spans="2:7" ht="11.25" hidden="1" customHeight="1" outlineLevel="2" x14ac:dyDescent="0.25">
      <c r="B737" s="704" t="s">
        <v>679</v>
      </c>
      <c r="C737" s="704" t="s">
        <v>733</v>
      </c>
      <c r="D737" s="704" t="s">
        <v>728</v>
      </c>
      <c r="E737" s="704" t="s">
        <v>448</v>
      </c>
      <c r="F737" s="705">
        <v>0.21586615002739545</v>
      </c>
      <c r="G737" s="705">
        <v>109.29753235882926</v>
      </c>
    </row>
    <row r="738" spans="2:7" ht="11.25" hidden="1" customHeight="1" outlineLevel="2" x14ac:dyDescent="0.25">
      <c r="B738" s="704" t="s">
        <v>680</v>
      </c>
      <c r="C738" s="704" t="s">
        <v>733</v>
      </c>
      <c r="D738" s="704" t="s">
        <v>728</v>
      </c>
      <c r="E738" s="704" t="s">
        <v>448</v>
      </c>
      <c r="F738" s="705">
        <v>6.7763832229460905E-2</v>
      </c>
      <c r="G738" s="705">
        <v>34.314335067492415</v>
      </c>
    </row>
    <row r="739" spans="2:7" ht="11.25" hidden="1" customHeight="1" outlineLevel="2" x14ac:dyDescent="0.25">
      <c r="B739" s="704" t="s">
        <v>681</v>
      </c>
      <c r="C739" s="704" t="s">
        <v>733</v>
      </c>
      <c r="D739" s="704" t="s">
        <v>728</v>
      </c>
      <c r="E739" s="704" t="s">
        <v>448</v>
      </c>
      <c r="F739" s="705">
        <v>1.1395727971343332</v>
      </c>
      <c r="G739" s="705">
        <v>576.98861548392199</v>
      </c>
    </row>
    <row r="740" spans="2:7" ht="11.25" hidden="1" customHeight="1" outlineLevel="2" x14ac:dyDescent="0.25">
      <c r="B740" s="704" t="s">
        <v>682</v>
      </c>
      <c r="C740" s="704" t="s">
        <v>733</v>
      </c>
      <c r="D740" s="704" t="s">
        <v>728</v>
      </c>
      <c r="E740" s="704" t="s">
        <v>448</v>
      </c>
      <c r="F740" s="705">
        <v>0.14809426589085195</v>
      </c>
      <c r="G740" s="705">
        <v>74.983179006339142</v>
      </c>
    </row>
    <row r="741" spans="2:7" ht="11.25" hidden="1" customHeight="1" outlineLevel="2" x14ac:dyDescent="0.25">
      <c r="B741" s="704" t="s">
        <v>683</v>
      </c>
      <c r="C741" s="704" t="s">
        <v>733</v>
      </c>
      <c r="D741" s="704" t="s">
        <v>728</v>
      </c>
      <c r="E741" s="704" t="s">
        <v>448</v>
      </c>
      <c r="F741" s="705">
        <v>0.3112488984792432</v>
      </c>
      <c r="G741" s="705">
        <v>157.59169837484561</v>
      </c>
    </row>
    <row r="742" spans="2:7" ht="11.25" hidden="1" customHeight="1" outlineLevel="2" x14ac:dyDescent="0.25">
      <c r="B742" s="704" t="s">
        <v>684</v>
      </c>
      <c r="C742" s="704" t="s">
        <v>733</v>
      </c>
      <c r="D742" s="704" t="s">
        <v>728</v>
      </c>
      <c r="E742" s="704" t="s">
        <v>448</v>
      </c>
      <c r="F742" s="705">
        <v>0.40156348182353258</v>
      </c>
      <c r="G742" s="705">
        <v>203.3441980538646</v>
      </c>
    </row>
    <row r="743" spans="2:7" ht="11.25" hidden="1" customHeight="1" outlineLevel="2" x14ac:dyDescent="0.25">
      <c r="B743" s="704" t="s">
        <v>685</v>
      </c>
      <c r="C743" s="704" t="s">
        <v>733</v>
      </c>
      <c r="D743" s="704" t="s">
        <v>728</v>
      </c>
      <c r="E743" s="704" t="s">
        <v>448</v>
      </c>
      <c r="F743" s="705">
        <v>1.8925941612634065</v>
      </c>
      <c r="G743" s="705">
        <v>958.25978614907149</v>
      </c>
    </row>
    <row r="744" spans="2:7" ht="11.25" hidden="1" customHeight="1" outlineLevel="2" x14ac:dyDescent="0.25">
      <c r="B744" s="704" t="s">
        <v>686</v>
      </c>
      <c r="C744" s="704" t="s">
        <v>733</v>
      </c>
      <c r="D744" s="704" t="s">
        <v>728</v>
      </c>
      <c r="E744" s="704" t="s">
        <v>448</v>
      </c>
      <c r="F744" s="705">
        <v>0.40407305556923873</v>
      </c>
      <c r="G744" s="705">
        <v>204.61511726444061</v>
      </c>
    </row>
    <row r="745" spans="2:7" ht="11.25" hidden="1" customHeight="1" outlineLevel="2" x14ac:dyDescent="0.25">
      <c r="B745" s="704" t="s">
        <v>687</v>
      </c>
      <c r="C745" s="704" t="s">
        <v>733</v>
      </c>
      <c r="D745" s="704" t="s">
        <v>728</v>
      </c>
      <c r="E745" s="704" t="s">
        <v>448</v>
      </c>
      <c r="F745" s="706">
        <v>0.83083387869847658</v>
      </c>
      <c r="G745" s="705">
        <v>420.66841930600651</v>
      </c>
    </row>
    <row r="746" spans="2:7" ht="11.25" hidden="1" customHeight="1" outlineLevel="2" x14ac:dyDescent="0.25">
      <c r="B746" s="704" t="s">
        <v>688</v>
      </c>
      <c r="C746" s="704" t="s">
        <v>733</v>
      </c>
      <c r="D746" s="704" t="s">
        <v>728</v>
      </c>
      <c r="E746" s="704" t="s">
        <v>448</v>
      </c>
      <c r="F746" s="706">
        <v>2.4448097687127293</v>
      </c>
      <c r="G746" s="705">
        <v>1237.8578582483194</v>
      </c>
    </row>
    <row r="747" spans="2:7" ht="11.25" hidden="1" customHeight="1" outlineLevel="2" x14ac:dyDescent="0.25">
      <c r="B747" s="704" t="s">
        <v>689</v>
      </c>
      <c r="C747" s="704" t="s">
        <v>733</v>
      </c>
      <c r="D747" s="704" t="s">
        <v>728</v>
      </c>
      <c r="E747" s="704" t="s">
        <v>448</v>
      </c>
      <c r="F747" s="706">
        <v>0.23796546170722918</v>
      </c>
      <c r="G747" s="705">
        <v>120.49065504300292</v>
      </c>
    </row>
    <row r="748" spans="2:7" ht="11.25" hidden="1" customHeight="1" outlineLevel="2" x14ac:dyDescent="0.25">
      <c r="B748" s="704" t="s">
        <v>690</v>
      </c>
      <c r="C748" s="704" t="s">
        <v>733</v>
      </c>
      <c r="D748" s="704" t="s">
        <v>728</v>
      </c>
      <c r="E748" s="704" t="s">
        <v>448</v>
      </c>
      <c r="F748" s="706">
        <v>7.4749929779883839</v>
      </c>
      <c r="G748" s="705">
        <v>3784.7428901301801</v>
      </c>
    </row>
    <row r="749" spans="2:7" ht="11.25" hidden="1" customHeight="1" outlineLevel="2" x14ac:dyDescent="0.25">
      <c r="B749" s="704" t="s">
        <v>691</v>
      </c>
      <c r="C749" s="704" t="s">
        <v>733</v>
      </c>
      <c r="D749" s="704" t="s">
        <v>728</v>
      </c>
      <c r="E749" s="704" t="s">
        <v>448</v>
      </c>
      <c r="F749" s="706">
        <v>3.6521520129274716</v>
      </c>
      <c r="G749" s="705">
        <v>1849.1615913088087</v>
      </c>
    </row>
    <row r="750" spans="2:7" ht="11.25" hidden="1" customHeight="1" outlineLevel="2" x14ac:dyDescent="0.25">
      <c r="B750" s="704" t="s">
        <v>692</v>
      </c>
      <c r="C750" s="704" t="s">
        <v>733</v>
      </c>
      <c r="D750" s="704" t="s">
        <v>728</v>
      </c>
      <c r="E750" s="704" t="s">
        <v>448</v>
      </c>
      <c r="F750" s="706">
        <v>0.23845677528658513</v>
      </c>
      <c r="G750" s="705">
        <v>120.73558897304059</v>
      </c>
    </row>
    <row r="751" spans="2:7" ht="11.25" hidden="1" customHeight="1" outlineLevel="2" x14ac:dyDescent="0.25">
      <c r="B751" s="704" t="s">
        <v>693</v>
      </c>
      <c r="C751" s="704" t="s">
        <v>733</v>
      </c>
      <c r="D751" s="704" t="s">
        <v>728</v>
      </c>
      <c r="E751" s="704" t="s">
        <v>448</v>
      </c>
      <c r="F751" s="706">
        <v>0.18321330200027308</v>
      </c>
      <c r="G751" s="705">
        <v>92.775815335775306</v>
      </c>
    </row>
    <row r="752" spans="2:7" ht="11.25" hidden="1" customHeight="1" outlineLevel="2" x14ac:dyDescent="0.25">
      <c r="B752" s="704" t="s">
        <v>694</v>
      </c>
      <c r="C752" s="704" t="s">
        <v>733</v>
      </c>
      <c r="D752" s="704" t="s">
        <v>728</v>
      </c>
      <c r="E752" s="704" t="s">
        <v>448</v>
      </c>
      <c r="F752" s="706">
        <v>0.40407305556923873</v>
      </c>
      <c r="G752" s="705">
        <v>204.61511726444061</v>
      </c>
    </row>
    <row r="753" spans="2:7" ht="11.25" hidden="1" customHeight="1" outlineLevel="2" x14ac:dyDescent="0.25">
      <c r="B753" s="704" t="s">
        <v>695</v>
      </c>
      <c r="C753" s="704" t="s">
        <v>733</v>
      </c>
      <c r="D753" s="704" t="s">
        <v>728</v>
      </c>
      <c r="E753" s="704" t="s">
        <v>448</v>
      </c>
      <c r="F753" s="706">
        <v>0.39654386215713749</v>
      </c>
      <c r="G753" s="705">
        <v>200.80243002769316</v>
      </c>
    </row>
    <row r="754" spans="2:7" ht="11.25" hidden="1" customHeight="1" outlineLevel="2" x14ac:dyDescent="0.25">
      <c r="B754" s="704" t="s">
        <v>696</v>
      </c>
      <c r="C754" s="704" t="s">
        <v>733</v>
      </c>
      <c r="D754" s="704" t="s">
        <v>728</v>
      </c>
      <c r="E754" s="704" t="s">
        <v>448</v>
      </c>
      <c r="F754" s="706">
        <v>0.56720814482890192</v>
      </c>
      <c r="G754" s="705">
        <v>287.22356114839448</v>
      </c>
    </row>
    <row r="755" spans="2:7" ht="11.25" hidden="1" customHeight="1" outlineLevel="2" x14ac:dyDescent="0.25">
      <c r="B755" s="704" t="s">
        <v>697</v>
      </c>
      <c r="C755" s="704" t="s">
        <v>733</v>
      </c>
      <c r="D755" s="704" t="s">
        <v>728</v>
      </c>
      <c r="E755" s="704" t="s">
        <v>448</v>
      </c>
      <c r="F755" s="706">
        <v>0.25599655754754702</v>
      </c>
      <c r="G755" s="705">
        <v>129.63190358786494</v>
      </c>
    </row>
    <row r="756" spans="2:7" ht="11.25" hidden="1" customHeight="1" outlineLevel="2" x14ac:dyDescent="0.25">
      <c r="B756" s="704" t="s">
        <v>698</v>
      </c>
      <c r="C756" s="704" t="s">
        <v>733</v>
      </c>
      <c r="D756" s="704" t="s">
        <v>728</v>
      </c>
      <c r="E756" s="704" t="s">
        <v>448</v>
      </c>
      <c r="F756" s="706">
        <v>0.40407305555667256</v>
      </c>
      <c r="G756" s="705">
        <v>204.61511726666242</v>
      </c>
    </row>
    <row r="757" spans="2:7" ht="11.25" hidden="1" customHeight="1" outlineLevel="2" x14ac:dyDescent="0.25">
      <c r="B757" s="704" t="s">
        <v>699</v>
      </c>
      <c r="C757" s="704" t="s">
        <v>733</v>
      </c>
      <c r="D757" s="704" t="s">
        <v>728</v>
      </c>
      <c r="E757" s="704" t="s">
        <v>448</v>
      </c>
      <c r="F757" s="706">
        <v>0.45432280485815424</v>
      </c>
      <c r="G757" s="705">
        <v>230.03310488764376</v>
      </c>
    </row>
    <row r="758" spans="2:7" ht="11.25" hidden="1" customHeight="1" outlineLevel="2" x14ac:dyDescent="0.25">
      <c r="B758" s="704" t="s">
        <v>673</v>
      </c>
      <c r="C758" s="704" t="s">
        <v>734</v>
      </c>
      <c r="D758" s="704" t="s">
        <v>728</v>
      </c>
      <c r="E758" s="704" t="s">
        <v>448</v>
      </c>
      <c r="F758" s="706">
        <v>7.4931532246820309E-2</v>
      </c>
      <c r="G758" s="705">
        <v>40.323839803129083</v>
      </c>
    </row>
    <row r="759" spans="2:7" ht="11.25" hidden="1" customHeight="1" outlineLevel="2" x14ac:dyDescent="0.25">
      <c r="B759" s="704" t="s">
        <v>677</v>
      </c>
      <c r="C759" s="704" t="s">
        <v>734</v>
      </c>
      <c r="D759" s="704" t="s">
        <v>728</v>
      </c>
      <c r="E759" s="704" t="s">
        <v>448</v>
      </c>
      <c r="F759" s="706">
        <v>0.44214824707057743</v>
      </c>
      <c r="G759" s="705">
        <v>237.59108192634793</v>
      </c>
    </row>
    <row r="760" spans="2:7" ht="11.25" hidden="1" customHeight="1" outlineLevel="2" x14ac:dyDescent="0.25">
      <c r="B760" s="704" t="s">
        <v>678</v>
      </c>
      <c r="C760" s="704" t="s">
        <v>734</v>
      </c>
      <c r="D760" s="704" t="s">
        <v>728</v>
      </c>
      <c r="E760" s="704" t="s">
        <v>448</v>
      </c>
      <c r="F760" s="706">
        <v>0.73160744738203065</v>
      </c>
      <c r="G760" s="705">
        <v>393.66259090017599</v>
      </c>
    </row>
    <row r="761" spans="2:7" ht="11.25" hidden="1" customHeight="1" outlineLevel="2" x14ac:dyDescent="0.25">
      <c r="B761" s="704" t="s">
        <v>679</v>
      </c>
      <c r="C761" s="704" t="s">
        <v>734</v>
      </c>
      <c r="D761" s="704" t="s">
        <v>728</v>
      </c>
      <c r="E761" s="704" t="s">
        <v>448</v>
      </c>
      <c r="F761" s="706">
        <v>6.7526689351383867E-2</v>
      </c>
      <c r="G761" s="705">
        <v>36.334687950946616</v>
      </c>
    </row>
    <row r="762" spans="2:7" ht="11.25" hidden="1" customHeight="1" outlineLevel="2" x14ac:dyDescent="0.25">
      <c r="B762" s="704" t="s">
        <v>680</v>
      </c>
      <c r="C762" s="704" t="s">
        <v>734</v>
      </c>
      <c r="D762" s="704" t="s">
        <v>728</v>
      </c>
      <c r="E762" s="704" t="s">
        <v>448</v>
      </c>
      <c r="F762" s="706">
        <v>2.8141755968393453E-2</v>
      </c>
      <c r="G762" s="705">
        <v>15.144293798613969</v>
      </c>
    </row>
    <row r="763" spans="2:7" ht="11.25" hidden="1" customHeight="1" outlineLevel="2" x14ac:dyDescent="0.25">
      <c r="B763" s="704" t="s">
        <v>681</v>
      </c>
      <c r="C763" s="704" t="s">
        <v>734</v>
      </c>
      <c r="D763" s="704" t="s">
        <v>728</v>
      </c>
      <c r="E763" s="704" t="s">
        <v>448</v>
      </c>
      <c r="F763" s="706">
        <v>0.1304527567900986</v>
      </c>
      <c r="G763" s="705">
        <v>70.193870966780977</v>
      </c>
    </row>
    <row r="764" spans="2:7" ht="11.25" hidden="1" customHeight="1" outlineLevel="2" x14ac:dyDescent="0.25">
      <c r="B764" s="704" t="s">
        <v>682</v>
      </c>
      <c r="C764" s="704" t="s">
        <v>734</v>
      </c>
      <c r="D764" s="704" t="s">
        <v>728</v>
      </c>
      <c r="E764" s="704" t="s">
        <v>448</v>
      </c>
      <c r="F764" s="706">
        <v>8.2771768823201822E-2</v>
      </c>
      <c r="G764" s="705">
        <v>44.537775668977609</v>
      </c>
    </row>
    <row r="765" spans="2:7" ht="11.25" hidden="1" customHeight="1" outlineLevel="2" x14ac:dyDescent="0.25">
      <c r="B765" s="704" t="s">
        <v>683</v>
      </c>
      <c r="C765" s="704" t="s">
        <v>734</v>
      </c>
      <c r="D765" s="704" t="s">
        <v>728</v>
      </c>
      <c r="E765" s="704" t="s">
        <v>448</v>
      </c>
      <c r="F765" s="706">
        <v>0.1069541625967861</v>
      </c>
      <c r="G765" s="705">
        <v>57.549801655713274</v>
      </c>
    </row>
    <row r="766" spans="2:7" ht="11.25" hidden="1" customHeight="1" outlineLevel="2" x14ac:dyDescent="0.25">
      <c r="B766" s="704" t="s">
        <v>684</v>
      </c>
      <c r="C766" s="704" t="s">
        <v>734</v>
      </c>
      <c r="D766" s="704" t="s">
        <v>728</v>
      </c>
      <c r="E766" s="704" t="s">
        <v>448</v>
      </c>
      <c r="F766" s="706">
        <v>3.3817845280865538E-2</v>
      </c>
      <c r="G766" s="705">
        <v>18.198832612451138</v>
      </c>
    </row>
    <row r="767" spans="2:7" ht="11.25" hidden="1" customHeight="1" outlineLevel="2" x14ac:dyDescent="0.25">
      <c r="B767" s="704" t="s">
        <v>685</v>
      </c>
      <c r="C767" s="704" t="s">
        <v>734</v>
      </c>
      <c r="D767" s="704" t="s">
        <v>728</v>
      </c>
      <c r="E767" s="704" t="s">
        <v>448</v>
      </c>
      <c r="F767" s="706">
        <v>0.17877393350564746</v>
      </c>
      <c r="G767" s="705">
        <v>96.194494516443513</v>
      </c>
    </row>
    <row r="768" spans="2:7" ht="11.25" hidden="1" customHeight="1" outlineLevel="2" x14ac:dyDescent="0.25">
      <c r="B768" s="704" t="s">
        <v>686</v>
      </c>
      <c r="C768" s="704" t="s">
        <v>734</v>
      </c>
      <c r="D768" s="704" t="s">
        <v>728</v>
      </c>
      <c r="E768" s="704" t="s">
        <v>448</v>
      </c>
      <c r="F768" s="706">
        <v>3.9280523714084803E-2</v>
      </c>
      <c r="G768" s="705">
        <v>21.13854605479051</v>
      </c>
    </row>
    <row r="769" spans="2:7" ht="11.25" hidden="1" customHeight="1" outlineLevel="2" x14ac:dyDescent="0.25">
      <c r="B769" s="704" t="s">
        <v>687</v>
      </c>
      <c r="C769" s="704" t="s">
        <v>734</v>
      </c>
      <c r="D769" s="704" t="s">
        <v>728</v>
      </c>
      <c r="E769" s="704" t="s">
        <v>448</v>
      </c>
      <c r="F769" s="706">
        <v>0.19893173516141682</v>
      </c>
      <c r="G769" s="705">
        <v>107.04097688539052</v>
      </c>
    </row>
    <row r="770" spans="2:7" ht="11.25" hidden="1" customHeight="1" outlineLevel="2" x14ac:dyDescent="0.25">
      <c r="B770" s="704" t="s">
        <v>688</v>
      </c>
      <c r="C770" s="704" t="s">
        <v>734</v>
      </c>
      <c r="D770" s="704" t="s">
        <v>728</v>
      </c>
      <c r="E770" s="704" t="s">
        <v>448</v>
      </c>
      <c r="F770" s="705">
        <v>0.22173499323588475</v>
      </c>
      <c r="G770" s="705">
        <v>119.31100899286926</v>
      </c>
    </row>
    <row r="771" spans="2:7" ht="11.25" hidden="1" customHeight="1" outlineLevel="2" x14ac:dyDescent="0.25">
      <c r="B771" s="704" t="s">
        <v>689</v>
      </c>
      <c r="C771" s="704" t="s">
        <v>734</v>
      </c>
      <c r="D771" s="704" t="s">
        <v>728</v>
      </c>
      <c r="E771" s="704" t="s">
        <v>448</v>
      </c>
      <c r="F771" s="705">
        <v>3.5265107981360788E-2</v>
      </c>
      <c r="G771" s="705">
        <v>18.97599368187446</v>
      </c>
    </row>
    <row r="772" spans="2:7" ht="11.25" hidden="1" customHeight="1" outlineLevel="2" x14ac:dyDescent="0.25">
      <c r="B772" s="704" t="s">
        <v>690</v>
      </c>
      <c r="C772" s="704" t="s">
        <v>734</v>
      </c>
      <c r="D772" s="704" t="s">
        <v>728</v>
      </c>
      <c r="E772" s="704" t="s">
        <v>448</v>
      </c>
      <c r="F772" s="705">
        <v>0.79185771868745247</v>
      </c>
      <c r="G772" s="705">
        <v>426.08232660224161</v>
      </c>
    </row>
    <row r="773" spans="2:7" ht="11.25" hidden="1" customHeight="1" outlineLevel="2" x14ac:dyDescent="0.25">
      <c r="B773" s="704" t="s">
        <v>691</v>
      </c>
      <c r="C773" s="704" t="s">
        <v>734</v>
      </c>
      <c r="D773" s="704" t="s">
        <v>728</v>
      </c>
      <c r="E773" s="704" t="s">
        <v>448</v>
      </c>
      <c r="F773" s="705">
        <v>0.70885670416222013</v>
      </c>
      <c r="G773" s="705">
        <v>381.42120793259079</v>
      </c>
    </row>
    <row r="774" spans="2:7" ht="11.25" hidden="1" customHeight="1" outlineLevel="2" x14ac:dyDescent="0.25">
      <c r="B774" s="704" t="s">
        <v>692</v>
      </c>
      <c r="C774" s="704" t="s">
        <v>734</v>
      </c>
      <c r="D774" s="704" t="s">
        <v>728</v>
      </c>
      <c r="E774" s="704" t="s">
        <v>448</v>
      </c>
      <c r="F774" s="705">
        <v>4.025349446983028E-2</v>
      </c>
      <c r="G774" s="705">
        <v>21.659575923813698</v>
      </c>
    </row>
    <row r="775" spans="2:7" ht="11.25" hidden="1" customHeight="1" outlineLevel="2" x14ac:dyDescent="0.25">
      <c r="B775" s="704" t="s">
        <v>693</v>
      </c>
      <c r="C775" s="704" t="s">
        <v>734</v>
      </c>
      <c r="D775" s="704" t="s">
        <v>728</v>
      </c>
      <c r="E775" s="704" t="s">
        <v>448</v>
      </c>
      <c r="F775" s="705">
        <v>8.2227388994341233E-2</v>
      </c>
      <c r="G775" s="705">
        <v>44.250086028411005</v>
      </c>
    </row>
    <row r="776" spans="2:7" ht="11.25" hidden="1" customHeight="1" outlineLevel="2" x14ac:dyDescent="0.25">
      <c r="B776" s="704" t="s">
        <v>694</v>
      </c>
      <c r="C776" s="704" t="s">
        <v>734</v>
      </c>
      <c r="D776" s="704" t="s">
        <v>728</v>
      </c>
      <c r="E776" s="704" t="s">
        <v>448</v>
      </c>
      <c r="F776" s="705">
        <v>2.3069082600463389E-2</v>
      </c>
      <c r="G776" s="705">
        <v>12.414461766056258</v>
      </c>
    </row>
    <row r="777" spans="2:7" ht="11.25" hidden="1" customHeight="1" outlineLevel="2" x14ac:dyDescent="0.25">
      <c r="B777" s="704" t="s">
        <v>695</v>
      </c>
      <c r="C777" s="704" t="s">
        <v>734</v>
      </c>
      <c r="D777" s="704" t="s">
        <v>728</v>
      </c>
      <c r="E777" s="704" t="s">
        <v>448</v>
      </c>
      <c r="F777" s="705">
        <v>3.9179571351829319E-2</v>
      </c>
      <c r="G777" s="705">
        <v>21.084223208862834</v>
      </c>
    </row>
    <row r="778" spans="2:7" ht="11.25" hidden="1" customHeight="1" outlineLevel="2" x14ac:dyDescent="0.25">
      <c r="B778" s="704" t="s">
        <v>696</v>
      </c>
      <c r="C778" s="704" t="s">
        <v>734</v>
      </c>
      <c r="D778" s="704" t="s">
        <v>728</v>
      </c>
      <c r="E778" s="704" t="s">
        <v>448</v>
      </c>
      <c r="F778" s="705">
        <v>0.12449732322631317</v>
      </c>
      <c r="G778" s="705">
        <v>66.997349014560001</v>
      </c>
    </row>
    <row r="779" spans="2:7" ht="11.25" hidden="1" customHeight="1" outlineLevel="2" x14ac:dyDescent="0.25">
      <c r="B779" s="704" t="s">
        <v>697</v>
      </c>
      <c r="C779" s="704" t="s">
        <v>734</v>
      </c>
      <c r="D779" s="704" t="s">
        <v>728</v>
      </c>
      <c r="E779" s="704" t="s">
        <v>448</v>
      </c>
      <c r="F779" s="705">
        <v>8.170427418343168E-2</v>
      </c>
      <c r="G779" s="705">
        <v>43.968601191284357</v>
      </c>
    </row>
    <row r="780" spans="2:7" ht="11.25" hidden="1" customHeight="1" outlineLevel="2" x14ac:dyDescent="0.25">
      <c r="B780" s="704" t="s">
        <v>698</v>
      </c>
      <c r="C780" s="704" t="s">
        <v>734</v>
      </c>
      <c r="D780" s="704" t="s">
        <v>728</v>
      </c>
      <c r="E780" s="704" t="s">
        <v>448</v>
      </c>
      <c r="F780" s="705">
        <v>0.11046318719649088</v>
      </c>
      <c r="G780" s="705">
        <v>59.444958678803808</v>
      </c>
    </row>
    <row r="781" spans="2:7" ht="11.25" hidden="1" customHeight="1" outlineLevel="2" x14ac:dyDescent="0.25">
      <c r="B781" s="704" t="s">
        <v>699</v>
      </c>
      <c r="C781" s="704" t="s">
        <v>734</v>
      </c>
      <c r="D781" s="704" t="s">
        <v>728</v>
      </c>
      <c r="E781" s="704" t="s">
        <v>448</v>
      </c>
      <c r="F781" s="705">
        <v>0.67980107359838038</v>
      </c>
      <c r="G781" s="705">
        <v>365.78648457262403</v>
      </c>
    </row>
    <row r="782" spans="2:7" ht="11.25" hidden="1" customHeight="1" outlineLevel="2" x14ac:dyDescent="0.25">
      <c r="B782" s="704" t="s">
        <v>673</v>
      </c>
      <c r="C782" s="704" t="s">
        <v>735</v>
      </c>
      <c r="D782" s="704" t="s">
        <v>728</v>
      </c>
      <c r="E782" s="704" t="s">
        <v>448</v>
      </c>
      <c r="F782" s="705">
        <v>5.5378745732760866E-2</v>
      </c>
      <c r="G782" s="705">
        <v>29.667979638745773</v>
      </c>
    </row>
    <row r="783" spans="2:7" ht="11.25" hidden="1" customHeight="1" outlineLevel="2" x14ac:dyDescent="0.25">
      <c r="B783" s="704" t="s">
        <v>677</v>
      </c>
      <c r="C783" s="704" t="s">
        <v>735</v>
      </c>
      <c r="D783" s="704" t="s">
        <v>728</v>
      </c>
      <c r="E783" s="704" t="s">
        <v>448</v>
      </c>
      <c r="F783" s="705">
        <v>2.6576377534383653</v>
      </c>
      <c r="G783" s="705">
        <v>1421.6890469635975</v>
      </c>
    </row>
    <row r="784" spans="2:7" ht="11.25" hidden="1" customHeight="1" outlineLevel="2" x14ac:dyDescent="0.25">
      <c r="B784" s="704" t="s">
        <v>678</v>
      </c>
      <c r="C784" s="704" t="s">
        <v>735</v>
      </c>
      <c r="D784" s="704" t="s">
        <v>728</v>
      </c>
      <c r="E784" s="704" t="s">
        <v>448</v>
      </c>
      <c r="F784" s="705">
        <v>3.1901987332675223</v>
      </c>
      <c r="G784" s="705">
        <v>1708.8762696834744</v>
      </c>
    </row>
    <row r="785" spans="2:7" ht="11.25" hidden="1" customHeight="1" outlineLevel="2" x14ac:dyDescent="0.25">
      <c r="B785" s="704" t="s">
        <v>679</v>
      </c>
      <c r="C785" s="704" t="s">
        <v>735</v>
      </c>
      <c r="D785" s="704" t="s">
        <v>728</v>
      </c>
      <c r="E785" s="704" t="s">
        <v>448</v>
      </c>
      <c r="F785" s="705">
        <v>0.19052566008056318</v>
      </c>
      <c r="G785" s="705">
        <v>102.05782172114117</v>
      </c>
    </row>
    <row r="786" spans="2:7" ht="11.25" hidden="1" customHeight="1" outlineLevel="2" x14ac:dyDescent="0.25">
      <c r="B786" s="704" t="s">
        <v>680</v>
      </c>
      <c r="C786" s="704" t="s">
        <v>735</v>
      </c>
      <c r="D786" s="704" t="s">
        <v>728</v>
      </c>
      <c r="E786" s="704" t="s">
        <v>448</v>
      </c>
      <c r="F786" s="705">
        <v>5.9809038606353858E-2</v>
      </c>
      <c r="G786" s="705">
        <v>32.041402570077771</v>
      </c>
    </row>
    <row r="787" spans="2:7" ht="11.25" hidden="1" customHeight="1" outlineLevel="2" x14ac:dyDescent="0.25">
      <c r="B787" s="704" t="s">
        <v>681</v>
      </c>
      <c r="C787" s="704" t="s">
        <v>735</v>
      </c>
      <c r="D787" s="704" t="s">
        <v>728</v>
      </c>
      <c r="E787" s="704" t="s">
        <v>448</v>
      </c>
      <c r="F787" s="705">
        <v>1.0057988513757505</v>
      </c>
      <c r="G787" s="705">
        <v>538.77037371702261</v>
      </c>
    </row>
    <row r="788" spans="2:7" ht="11.25" hidden="1" customHeight="1" outlineLevel="2" x14ac:dyDescent="0.25">
      <c r="B788" s="704" t="s">
        <v>682</v>
      </c>
      <c r="C788" s="704" t="s">
        <v>735</v>
      </c>
      <c r="D788" s="704" t="s">
        <v>728</v>
      </c>
      <c r="E788" s="704" t="s">
        <v>448</v>
      </c>
      <c r="F788" s="705">
        <v>0.13070948389985065</v>
      </c>
      <c r="G788" s="705">
        <v>70.016445793809979</v>
      </c>
    </row>
    <row r="789" spans="2:7" ht="11.25" hidden="1" customHeight="1" outlineLevel="2" x14ac:dyDescent="0.25">
      <c r="B789" s="704" t="s">
        <v>683</v>
      </c>
      <c r="C789" s="704" t="s">
        <v>735</v>
      </c>
      <c r="D789" s="704" t="s">
        <v>728</v>
      </c>
      <c r="E789" s="704" t="s">
        <v>448</v>
      </c>
      <c r="F789" s="705">
        <v>0.27471140523035309</v>
      </c>
      <c r="G789" s="705">
        <v>147.15320898713574</v>
      </c>
    </row>
    <row r="790" spans="2:7" ht="11.25" hidden="1" customHeight="1" outlineLevel="2" x14ac:dyDescent="0.25">
      <c r="B790" s="704" t="s">
        <v>684</v>
      </c>
      <c r="C790" s="704" t="s">
        <v>735</v>
      </c>
      <c r="D790" s="704" t="s">
        <v>728</v>
      </c>
      <c r="E790" s="704" t="s">
        <v>448</v>
      </c>
      <c r="F790" s="706">
        <v>0.35442395053111242</v>
      </c>
      <c r="G790" s="705">
        <v>189.87493253649592</v>
      </c>
    </row>
    <row r="791" spans="2:7" ht="11.25" hidden="1" customHeight="1" outlineLevel="2" x14ac:dyDescent="0.25">
      <c r="B791" s="704" t="s">
        <v>685</v>
      </c>
      <c r="C791" s="704" t="s">
        <v>735</v>
      </c>
      <c r="D791" s="704" t="s">
        <v>728</v>
      </c>
      <c r="E791" s="704" t="s">
        <v>448</v>
      </c>
      <c r="F791" s="706">
        <v>1.6704233816576537</v>
      </c>
      <c r="G791" s="705">
        <v>894.78594013127713</v>
      </c>
    </row>
    <row r="792" spans="2:7" ht="11.25" hidden="1" customHeight="1" outlineLevel="2" x14ac:dyDescent="0.25">
      <c r="B792" s="704" t="s">
        <v>686</v>
      </c>
      <c r="C792" s="704" t="s">
        <v>735</v>
      </c>
      <c r="D792" s="704" t="s">
        <v>728</v>
      </c>
      <c r="E792" s="704" t="s">
        <v>448</v>
      </c>
      <c r="F792" s="706">
        <v>0.35663897917856452</v>
      </c>
      <c r="G792" s="705">
        <v>191.06180248909658</v>
      </c>
    </row>
    <row r="793" spans="2:7" ht="11.25" hidden="1" customHeight="1" outlineLevel="2" x14ac:dyDescent="0.25">
      <c r="B793" s="704" t="s">
        <v>687</v>
      </c>
      <c r="C793" s="704" t="s">
        <v>735</v>
      </c>
      <c r="D793" s="704" t="s">
        <v>728</v>
      </c>
      <c r="E793" s="704" t="s">
        <v>448</v>
      </c>
      <c r="F793" s="706">
        <v>0.7333021530320657</v>
      </c>
      <c r="G793" s="705">
        <v>392.80398754151156</v>
      </c>
    </row>
    <row r="794" spans="2:7" ht="11.25" hidden="1" customHeight="1" outlineLevel="2" x14ac:dyDescent="0.25">
      <c r="B794" s="704" t="s">
        <v>688</v>
      </c>
      <c r="C794" s="704" t="s">
        <v>735</v>
      </c>
      <c r="D794" s="704" t="s">
        <v>728</v>
      </c>
      <c r="E794" s="704" t="s">
        <v>448</v>
      </c>
      <c r="F794" s="706">
        <v>2.1578148016677074</v>
      </c>
      <c r="G794" s="705">
        <v>1155.8635971056042</v>
      </c>
    </row>
    <row r="795" spans="2:7" ht="11.25" hidden="1" customHeight="1" outlineLevel="2" x14ac:dyDescent="0.25">
      <c r="B795" s="704" t="s">
        <v>689</v>
      </c>
      <c r="C795" s="704" t="s">
        <v>735</v>
      </c>
      <c r="D795" s="704" t="s">
        <v>728</v>
      </c>
      <c r="E795" s="704" t="s">
        <v>448</v>
      </c>
      <c r="F795" s="706">
        <v>0.21003069726523713</v>
      </c>
      <c r="G795" s="705">
        <v>112.50945288311824</v>
      </c>
    </row>
    <row r="796" spans="2:7" ht="11.25" hidden="1" customHeight="1" outlineLevel="2" x14ac:dyDescent="0.25">
      <c r="B796" s="704" t="s">
        <v>690</v>
      </c>
      <c r="C796" s="704" t="s">
        <v>735</v>
      </c>
      <c r="D796" s="704" t="s">
        <v>728</v>
      </c>
      <c r="E796" s="704" t="s">
        <v>448</v>
      </c>
      <c r="F796" s="706">
        <v>6.5975082230540725</v>
      </c>
      <c r="G796" s="705">
        <v>3534.0494739974606</v>
      </c>
    </row>
    <row r="797" spans="2:7" ht="11.25" hidden="1" customHeight="1" outlineLevel="2" x14ac:dyDescent="0.25">
      <c r="B797" s="704" t="s">
        <v>691</v>
      </c>
      <c r="C797" s="704" t="s">
        <v>735</v>
      </c>
      <c r="D797" s="704" t="s">
        <v>728</v>
      </c>
      <c r="E797" s="704" t="s">
        <v>448</v>
      </c>
      <c r="F797" s="705">
        <v>3.2234286115465851</v>
      </c>
      <c r="G797" s="705">
        <v>1726.6762498268934</v>
      </c>
    </row>
    <row r="798" spans="2:7" ht="11.25" hidden="1" customHeight="1" outlineLevel="2" x14ac:dyDescent="0.25">
      <c r="B798" s="704" t="s">
        <v>692</v>
      </c>
      <c r="C798" s="704" t="s">
        <v>735</v>
      </c>
      <c r="D798" s="704" t="s">
        <v>728</v>
      </c>
      <c r="E798" s="704" t="s">
        <v>448</v>
      </c>
      <c r="F798" s="705">
        <v>0.21046445845364589</v>
      </c>
      <c r="G798" s="705">
        <v>112.73842024248974</v>
      </c>
    </row>
    <row r="799" spans="2:7" ht="11.25" hidden="1" customHeight="1" outlineLevel="2" x14ac:dyDescent="0.25">
      <c r="B799" s="704" t="s">
        <v>693</v>
      </c>
      <c r="C799" s="704" t="s">
        <v>735</v>
      </c>
      <c r="D799" s="704" t="s">
        <v>728</v>
      </c>
      <c r="E799" s="704" t="s">
        <v>448</v>
      </c>
      <c r="F799" s="705">
        <v>0.16170589971301674</v>
      </c>
      <c r="G799" s="705">
        <v>86.630559596121202</v>
      </c>
    </row>
    <row r="800" spans="2:7" ht="11.25" hidden="1" customHeight="1" outlineLevel="2" x14ac:dyDescent="0.25">
      <c r="B800" s="704" t="s">
        <v>694</v>
      </c>
      <c r="C800" s="704" t="s">
        <v>735</v>
      </c>
      <c r="D800" s="704" t="s">
        <v>728</v>
      </c>
      <c r="E800" s="704" t="s">
        <v>448</v>
      </c>
      <c r="F800" s="705">
        <v>0.35663897917856452</v>
      </c>
      <c r="G800" s="705">
        <v>191.06180248909658</v>
      </c>
    </row>
    <row r="801" spans="2:7" ht="11.25" hidden="1" customHeight="1" outlineLevel="2" x14ac:dyDescent="0.25">
      <c r="B801" s="704" t="s">
        <v>695</v>
      </c>
      <c r="C801" s="704" t="s">
        <v>735</v>
      </c>
      <c r="D801" s="704" t="s">
        <v>728</v>
      </c>
      <c r="E801" s="704" t="s">
        <v>448</v>
      </c>
      <c r="F801" s="705">
        <v>0.34999369796539648</v>
      </c>
      <c r="G801" s="705">
        <v>187.50159520050425</v>
      </c>
    </row>
    <row r="802" spans="2:7" ht="11.25" hidden="1" customHeight="1" outlineLevel="2" x14ac:dyDescent="0.25">
      <c r="B802" s="704" t="s">
        <v>696</v>
      </c>
      <c r="C802" s="704" t="s">
        <v>735</v>
      </c>
      <c r="D802" s="704" t="s">
        <v>728</v>
      </c>
      <c r="E802" s="704" t="s">
        <v>448</v>
      </c>
      <c r="F802" s="705">
        <v>0.50062389142601016</v>
      </c>
      <c r="G802" s="705">
        <v>268.19850488421292</v>
      </c>
    </row>
    <row r="803" spans="2:7" ht="11.25" hidden="1" customHeight="1" outlineLevel="2" x14ac:dyDescent="0.25">
      <c r="B803" s="704" t="s">
        <v>697</v>
      </c>
      <c r="C803" s="704" t="s">
        <v>735</v>
      </c>
      <c r="D803" s="704" t="s">
        <v>728</v>
      </c>
      <c r="E803" s="704" t="s">
        <v>448</v>
      </c>
      <c r="F803" s="705">
        <v>0.22594528465569386</v>
      </c>
      <c r="G803" s="705">
        <v>121.04534528099919</v>
      </c>
    </row>
    <row r="804" spans="2:7" ht="11.25" hidden="1" customHeight="1" outlineLevel="2" x14ac:dyDescent="0.25">
      <c r="B804" s="704" t="s">
        <v>698</v>
      </c>
      <c r="C804" s="704" t="s">
        <v>735</v>
      </c>
      <c r="D804" s="704" t="s">
        <v>728</v>
      </c>
      <c r="E804" s="704" t="s">
        <v>448</v>
      </c>
      <c r="F804" s="705">
        <v>0.3566389792046637</v>
      </c>
      <c r="G804" s="705">
        <v>191.06180249424025</v>
      </c>
    </row>
    <row r="805" spans="2:7" ht="11.25" hidden="1" customHeight="1" outlineLevel="2" x14ac:dyDescent="0.25">
      <c r="B805" s="704" t="s">
        <v>699</v>
      </c>
      <c r="C805" s="704" t="s">
        <v>735</v>
      </c>
      <c r="D805" s="704" t="s">
        <v>728</v>
      </c>
      <c r="E805" s="704" t="s">
        <v>448</v>
      </c>
      <c r="F805" s="705">
        <v>0.40099018893817173</v>
      </c>
      <c r="G805" s="705">
        <v>214.79612426189715</v>
      </c>
    </row>
    <row r="806" spans="2:7" ht="11.25" hidden="1" customHeight="1" outlineLevel="2" x14ac:dyDescent="0.25">
      <c r="B806" s="704" t="s">
        <v>673</v>
      </c>
      <c r="C806" s="704" t="s">
        <v>736</v>
      </c>
      <c r="D806" s="704" t="s">
        <v>728</v>
      </c>
      <c r="E806" s="704" t="s">
        <v>448</v>
      </c>
      <c r="F806" s="705">
        <v>0.13049815093121178</v>
      </c>
      <c r="G806" s="705">
        <v>19.191831458053741</v>
      </c>
    </row>
    <row r="807" spans="2:7" ht="11.25" hidden="1" customHeight="1" outlineLevel="2" x14ac:dyDescent="0.25">
      <c r="B807" s="704" t="s">
        <v>677</v>
      </c>
      <c r="C807" s="704" t="s">
        <v>736</v>
      </c>
      <c r="D807" s="704" t="s">
        <v>728</v>
      </c>
      <c r="E807" s="704" t="s">
        <v>448</v>
      </c>
      <c r="F807" s="705">
        <v>0.7704165333447357</v>
      </c>
      <c r="G807" s="705">
        <v>113.07970190747871</v>
      </c>
    </row>
    <row r="808" spans="2:7" ht="11.25" hidden="1" customHeight="1" outlineLevel="2" x14ac:dyDescent="0.25">
      <c r="B808" s="704" t="s">
        <v>678</v>
      </c>
      <c r="C808" s="704" t="s">
        <v>736</v>
      </c>
      <c r="D808" s="704" t="s">
        <v>728</v>
      </c>
      <c r="E808" s="704" t="s">
        <v>448</v>
      </c>
      <c r="F808" s="705">
        <v>1.2728762363362254</v>
      </c>
      <c r="G808" s="705">
        <v>187.36077369212845</v>
      </c>
    </row>
    <row r="809" spans="2:7" ht="11.25" hidden="1" customHeight="1" outlineLevel="2" x14ac:dyDescent="0.25">
      <c r="B809" s="704" t="s">
        <v>679</v>
      </c>
      <c r="C809" s="704" t="s">
        <v>736</v>
      </c>
      <c r="D809" s="704" t="s">
        <v>728</v>
      </c>
      <c r="E809" s="704" t="s">
        <v>448</v>
      </c>
      <c r="F809" s="705">
        <v>0.11748529684641761</v>
      </c>
      <c r="G809" s="705">
        <v>17.293218167474112</v>
      </c>
    </row>
    <row r="810" spans="2:7" ht="11.25" hidden="1" customHeight="1" outlineLevel="2" x14ac:dyDescent="0.25">
      <c r="B810" s="704" t="s">
        <v>680</v>
      </c>
      <c r="C810" s="704" t="s">
        <v>736</v>
      </c>
      <c r="D810" s="704" t="s">
        <v>728</v>
      </c>
      <c r="E810" s="704" t="s">
        <v>448</v>
      </c>
      <c r="F810" s="705">
        <v>1.7546773625768003E-31</v>
      </c>
      <c r="G810" s="705">
        <v>2.5805309712978553E-29</v>
      </c>
    </row>
    <row r="811" spans="2:7" ht="11.25" hidden="1" customHeight="1" outlineLevel="2" x14ac:dyDescent="0.25">
      <c r="B811" s="704" t="s">
        <v>681</v>
      </c>
      <c r="C811" s="704" t="s">
        <v>736</v>
      </c>
      <c r="D811" s="704" t="s">
        <v>728</v>
      </c>
      <c r="E811" s="704" t="s">
        <v>448</v>
      </c>
      <c r="F811" s="705">
        <v>0.226966294082597</v>
      </c>
      <c r="G811" s="705">
        <v>33.408235837355591</v>
      </c>
    </row>
    <row r="812" spans="2:7" ht="11.25" hidden="1" customHeight="1" outlineLevel="2" x14ac:dyDescent="0.25">
      <c r="B812" s="704" t="s">
        <v>682</v>
      </c>
      <c r="C812" s="704" t="s">
        <v>736</v>
      </c>
      <c r="D812" s="704" t="s">
        <v>728</v>
      </c>
      <c r="E812" s="704" t="s">
        <v>448</v>
      </c>
      <c r="F812" s="705">
        <v>0.14400923034185256</v>
      </c>
      <c r="G812" s="705">
        <v>21.197394835948202</v>
      </c>
    </row>
    <row r="813" spans="2:7" ht="11.25" hidden="1" customHeight="1" outlineLevel="2" x14ac:dyDescent="0.25">
      <c r="B813" s="704" t="s">
        <v>683</v>
      </c>
      <c r="C813" s="704" t="s">
        <v>736</v>
      </c>
      <c r="D813" s="704" t="s">
        <v>728</v>
      </c>
      <c r="E813" s="704" t="s">
        <v>448</v>
      </c>
      <c r="F813" s="705">
        <v>0.18608258845993064</v>
      </c>
      <c r="G813" s="705">
        <v>27.390400045116149</v>
      </c>
    </row>
    <row r="814" spans="2:7" ht="11.25" hidden="1" customHeight="1" outlineLevel="2" x14ac:dyDescent="0.25">
      <c r="B814" s="704" t="s">
        <v>684</v>
      </c>
      <c r="C814" s="704" t="s">
        <v>736</v>
      </c>
      <c r="D814" s="704" t="s">
        <v>728</v>
      </c>
      <c r="E814" s="704" t="s">
        <v>448</v>
      </c>
      <c r="F814" s="705">
        <v>4.5555325274805243E-32</v>
      </c>
      <c r="G814" s="705">
        <v>6.699639315255911E-30</v>
      </c>
    </row>
    <row r="815" spans="2:7" ht="11.25" hidden="1" customHeight="1" outlineLevel="2" x14ac:dyDescent="0.25">
      <c r="B815" s="704" t="s">
        <v>685</v>
      </c>
      <c r="C815" s="704" t="s">
        <v>736</v>
      </c>
      <c r="D815" s="704" t="s">
        <v>728</v>
      </c>
      <c r="E815" s="704" t="s">
        <v>448</v>
      </c>
      <c r="F815" s="705">
        <v>0.31103717630931699</v>
      </c>
      <c r="G815" s="705">
        <v>45.783072881988964</v>
      </c>
    </row>
    <row r="816" spans="2:7" ht="11.25" hidden="1" customHeight="1" outlineLevel="2" x14ac:dyDescent="0.25">
      <c r="B816" s="704" t="s">
        <v>686</v>
      </c>
      <c r="C816" s="704" t="s">
        <v>736</v>
      </c>
      <c r="D816" s="704" t="s">
        <v>728</v>
      </c>
      <c r="E816" s="704" t="s">
        <v>448</v>
      </c>
      <c r="F816" s="705">
        <v>6.8409625214587377E-2</v>
      </c>
      <c r="G816" s="705">
        <v>10.060733253109849</v>
      </c>
    </row>
    <row r="817" spans="2:7" ht="11.25" hidden="1" customHeight="1" outlineLevel="2" x14ac:dyDescent="0.25">
      <c r="B817" s="704" t="s">
        <v>687</v>
      </c>
      <c r="C817" s="704" t="s">
        <v>736</v>
      </c>
      <c r="D817" s="704" t="s">
        <v>728</v>
      </c>
      <c r="E817" s="704" t="s">
        <v>448</v>
      </c>
      <c r="F817" s="705">
        <v>0.34610834897943032</v>
      </c>
      <c r="G817" s="705">
        <v>50.945365110676093</v>
      </c>
    </row>
    <row r="818" spans="2:7" ht="11.25" hidden="1" customHeight="1" outlineLevel="2" x14ac:dyDescent="0.25">
      <c r="B818" s="704" t="s">
        <v>688</v>
      </c>
      <c r="C818" s="704" t="s">
        <v>736</v>
      </c>
      <c r="D818" s="704" t="s">
        <v>728</v>
      </c>
      <c r="E818" s="704" t="s">
        <v>448</v>
      </c>
      <c r="F818" s="705">
        <v>0.38578245689182517</v>
      </c>
      <c r="G818" s="705">
        <v>56.78519465890777</v>
      </c>
    </row>
    <row r="819" spans="2:7" ht="11.25" hidden="1" customHeight="1" outlineLevel="2" x14ac:dyDescent="0.25">
      <c r="B819" s="704" t="s">
        <v>689</v>
      </c>
      <c r="C819" s="704" t="s">
        <v>736</v>
      </c>
      <c r="D819" s="704" t="s">
        <v>728</v>
      </c>
      <c r="E819" s="704" t="s">
        <v>448</v>
      </c>
      <c r="F819" s="705">
        <v>6.9345806056048551E-2</v>
      </c>
      <c r="G819" s="705">
        <v>10.206899538925951</v>
      </c>
    </row>
    <row r="820" spans="2:7" ht="11.25" hidden="1" customHeight="1" outlineLevel="2" x14ac:dyDescent="0.25">
      <c r="B820" s="704" t="s">
        <v>690</v>
      </c>
      <c r="C820" s="704" t="s">
        <v>736</v>
      </c>
      <c r="D820" s="704" t="s">
        <v>728</v>
      </c>
      <c r="E820" s="704" t="s">
        <v>448</v>
      </c>
      <c r="F820" s="705">
        <v>1.3777028249947108</v>
      </c>
      <c r="G820" s="705">
        <v>202.79054393194093</v>
      </c>
    </row>
    <row r="821" spans="2:7" ht="11.25" hidden="1" customHeight="1" outlineLevel="2" x14ac:dyDescent="0.25">
      <c r="B821" s="704" t="s">
        <v>691</v>
      </c>
      <c r="C821" s="704" t="s">
        <v>736</v>
      </c>
      <c r="D821" s="704" t="s">
        <v>728</v>
      </c>
      <c r="E821" s="704" t="s">
        <v>448</v>
      </c>
      <c r="F821" s="705">
        <v>1.2332944002917117</v>
      </c>
      <c r="G821" s="705">
        <v>181.53453181719902</v>
      </c>
    </row>
    <row r="822" spans="2:7" ht="11.25" hidden="1" customHeight="1" outlineLevel="2" x14ac:dyDescent="0.25">
      <c r="B822" s="704" t="s">
        <v>692</v>
      </c>
      <c r="C822" s="704" t="s">
        <v>736</v>
      </c>
      <c r="D822" s="704" t="s">
        <v>728</v>
      </c>
      <c r="E822" s="704" t="s">
        <v>448</v>
      </c>
      <c r="F822" s="705">
        <v>6.2095682530123702E-35</v>
      </c>
      <c r="G822" s="705">
        <v>9.1401560370201349E-33</v>
      </c>
    </row>
    <row r="823" spans="2:7" ht="11.25" hidden="1" customHeight="1" outlineLevel="2" x14ac:dyDescent="0.25">
      <c r="B823" s="704" t="s">
        <v>693</v>
      </c>
      <c r="C823" s="704" t="s">
        <v>736</v>
      </c>
      <c r="D823" s="704" t="s">
        <v>728</v>
      </c>
      <c r="E823" s="704" t="s">
        <v>448</v>
      </c>
      <c r="F823" s="705">
        <v>0.14320440408333346</v>
      </c>
      <c r="G823" s="705">
        <v>21.060485522645081</v>
      </c>
    </row>
    <row r="824" spans="2:7" ht="11.25" hidden="1" customHeight="1" outlineLevel="2" x14ac:dyDescent="0.25">
      <c r="B824" s="704" t="s">
        <v>694</v>
      </c>
      <c r="C824" s="704" t="s">
        <v>736</v>
      </c>
      <c r="D824" s="704" t="s">
        <v>728</v>
      </c>
      <c r="E824" s="704" t="s">
        <v>448</v>
      </c>
      <c r="F824" s="705">
        <v>1.1518694534264608E-31</v>
      </c>
      <c r="G824" s="705">
        <v>1.6940080318879719E-29</v>
      </c>
    </row>
    <row r="825" spans="2:7" ht="11.25" hidden="1" customHeight="1" outlineLevel="2" x14ac:dyDescent="0.25">
      <c r="B825" s="704" t="s">
        <v>695</v>
      </c>
      <c r="C825" s="704" t="s">
        <v>736</v>
      </c>
      <c r="D825" s="704" t="s">
        <v>728</v>
      </c>
      <c r="E825" s="704" t="s">
        <v>448</v>
      </c>
      <c r="F825" s="705">
        <v>9.5451059140232872E-37</v>
      </c>
      <c r="G825" s="705">
        <v>1.403759964414025E-34</v>
      </c>
    </row>
    <row r="826" spans="2:7" ht="11.25" hidden="1" customHeight="1" outlineLevel="2" x14ac:dyDescent="0.25">
      <c r="B826" s="704" t="s">
        <v>696</v>
      </c>
      <c r="C826" s="704" t="s">
        <v>736</v>
      </c>
      <c r="D826" s="704" t="s">
        <v>728</v>
      </c>
      <c r="E826" s="704" t="s">
        <v>448</v>
      </c>
      <c r="F826" s="705">
        <v>0.2168205070359345</v>
      </c>
      <c r="G826" s="705">
        <v>31.886896620437032</v>
      </c>
    </row>
    <row r="827" spans="2:7" ht="11.25" hidden="1" customHeight="1" outlineLevel="2" x14ac:dyDescent="0.25">
      <c r="B827" s="704" t="s">
        <v>697</v>
      </c>
      <c r="C827" s="704" t="s">
        <v>736</v>
      </c>
      <c r="D827" s="704" t="s">
        <v>728</v>
      </c>
      <c r="E827" s="704" t="s">
        <v>448</v>
      </c>
      <c r="F827" s="705">
        <v>1.7703098600000002E-34</v>
      </c>
      <c r="G827" s="705">
        <v>2.6023334480000002E-32</v>
      </c>
    </row>
    <row r="828" spans="2:7" ht="11.25" hidden="1" customHeight="1" outlineLevel="2" x14ac:dyDescent="0.25">
      <c r="B828" s="704" t="s">
        <v>698</v>
      </c>
      <c r="C828" s="704" t="s">
        <v>736</v>
      </c>
      <c r="D828" s="704" t="s">
        <v>728</v>
      </c>
      <c r="E828" s="704" t="s">
        <v>448</v>
      </c>
      <c r="F828" s="705">
        <v>1.1512746101999998E-31</v>
      </c>
      <c r="G828" s="705">
        <v>1.6918253879999999E-29</v>
      </c>
    </row>
    <row r="829" spans="2:7" ht="11.25" hidden="1" customHeight="1" outlineLevel="2" x14ac:dyDescent="0.25">
      <c r="B829" s="704" t="s">
        <v>699</v>
      </c>
      <c r="C829" s="704" t="s">
        <v>736</v>
      </c>
      <c r="D829" s="704" t="s">
        <v>728</v>
      </c>
      <c r="E829" s="704" t="s">
        <v>448</v>
      </c>
      <c r="F829" s="706">
        <v>1.1827410213327216</v>
      </c>
      <c r="G829" s="705">
        <v>174.09334996715754</v>
      </c>
    </row>
    <row r="830" spans="2:7" ht="11.25" hidden="1" customHeight="1" outlineLevel="2" x14ac:dyDescent="0.25">
      <c r="B830" s="704" t="s">
        <v>673</v>
      </c>
      <c r="C830" s="704" t="s">
        <v>737</v>
      </c>
      <c r="D830" s="704" t="s">
        <v>728</v>
      </c>
      <c r="E830" s="704" t="s">
        <v>448</v>
      </c>
      <c r="F830" s="706">
        <v>6.4460967931616847E-2</v>
      </c>
      <c r="G830" s="705">
        <v>9.480349901710543</v>
      </c>
    </row>
    <row r="831" spans="2:7" ht="11.25" hidden="1" customHeight="1" outlineLevel="2" x14ac:dyDescent="0.25">
      <c r="B831" s="704" t="s">
        <v>677</v>
      </c>
      <c r="C831" s="704" t="s">
        <v>737</v>
      </c>
      <c r="D831" s="704" t="s">
        <v>728</v>
      </c>
      <c r="E831" s="704" t="s">
        <v>448</v>
      </c>
      <c r="F831" s="706">
        <v>3.0950530964024674</v>
      </c>
      <c r="G831" s="705">
        <v>454.29836691316001</v>
      </c>
    </row>
    <row r="832" spans="2:7" ht="11.25" hidden="1" customHeight="1" outlineLevel="2" x14ac:dyDescent="0.25">
      <c r="B832" s="704" t="s">
        <v>678</v>
      </c>
      <c r="C832" s="704" t="s">
        <v>737</v>
      </c>
      <c r="D832" s="704" t="s">
        <v>728</v>
      </c>
      <c r="E832" s="704" t="s">
        <v>448</v>
      </c>
      <c r="F832" s="706">
        <v>3.7097983509280494</v>
      </c>
      <c r="G832" s="705">
        <v>546.06868812869993</v>
      </c>
    </row>
    <row r="833" spans="2:7" ht="11.25" hidden="1" customHeight="1" outlineLevel="2" x14ac:dyDescent="0.25">
      <c r="B833" s="704" t="s">
        <v>679</v>
      </c>
      <c r="C833" s="704" t="s">
        <v>737</v>
      </c>
      <c r="D833" s="704" t="s">
        <v>728</v>
      </c>
      <c r="E833" s="704" t="s">
        <v>448</v>
      </c>
      <c r="F833" s="706">
        <v>0.22155748870418376</v>
      </c>
      <c r="G833" s="705">
        <v>32.612420951918025</v>
      </c>
    </row>
    <row r="834" spans="2:7" ht="11.25" hidden="1" customHeight="1" outlineLevel="2" x14ac:dyDescent="0.25">
      <c r="B834" s="704" t="s">
        <v>680</v>
      </c>
      <c r="C834" s="704" t="s">
        <v>737</v>
      </c>
      <c r="D834" s="704" t="s">
        <v>728</v>
      </c>
      <c r="E834" s="704" t="s">
        <v>448</v>
      </c>
      <c r="F834" s="706">
        <v>1.2564761528336011E-35</v>
      </c>
      <c r="G834" s="705">
        <v>1.8479142756648053E-33</v>
      </c>
    </row>
    <row r="835" spans="2:7" ht="11.25" hidden="1" customHeight="1" outlineLevel="2" x14ac:dyDescent="0.25">
      <c r="B835" s="704" t="s">
        <v>681</v>
      </c>
      <c r="C835" s="704" t="s">
        <v>737</v>
      </c>
      <c r="D835" s="704" t="s">
        <v>728</v>
      </c>
      <c r="E835" s="704" t="s">
        <v>448</v>
      </c>
      <c r="F835" s="706">
        <v>1.1696171710994465</v>
      </c>
      <c r="G835" s="705">
        <v>172.16318386879561</v>
      </c>
    </row>
    <row r="836" spans="2:7" ht="11.25" hidden="1" customHeight="1" outlineLevel="2" x14ac:dyDescent="0.25">
      <c r="B836" s="704" t="s">
        <v>682</v>
      </c>
      <c r="C836" s="704" t="s">
        <v>737</v>
      </c>
      <c r="D836" s="704" t="s">
        <v>728</v>
      </c>
      <c r="E836" s="704" t="s">
        <v>448</v>
      </c>
      <c r="F836" s="705">
        <v>0.15199872166775952</v>
      </c>
      <c r="G836" s="705">
        <v>22.373642561234554</v>
      </c>
    </row>
    <row r="837" spans="2:7" ht="11.25" hidden="1" customHeight="1" outlineLevel="2" x14ac:dyDescent="0.25">
      <c r="B837" s="704" t="s">
        <v>683</v>
      </c>
      <c r="C837" s="704" t="s">
        <v>737</v>
      </c>
      <c r="D837" s="704" t="s">
        <v>728</v>
      </c>
      <c r="E837" s="704" t="s">
        <v>448</v>
      </c>
      <c r="F837" s="705">
        <v>0.31945480451186631</v>
      </c>
      <c r="G837" s="705">
        <v>47.022549875325232</v>
      </c>
    </row>
    <row r="838" spans="2:7" ht="11.25" hidden="1" customHeight="1" outlineLevel="2" x14ac:dyDescent="0.25">
      <c r="B838" s="704" t="s">
        <v>684</v>
      </c>
      <c r="C838" s="704" t="s">
        <v>737</v>
      </c>
      <c r="D838" s="704" t="s">
        <v>728</v>
      </c>
      <c r="E838" s="704" t="s">
        <v>448</v>
      </c>
      <c r="F838" s="705">
        <v>7.1053686662659441E-32</v>
      </c>
      <c r="G838" s="705">
        <v>1.0449945038557977E-29</v>
      </c>
    </row>
    <row r="839" spans="2:7" ht="11.25" hidden="1" customHeight="1" outlineLevel="2" x14ac:dyDescent="0.25">
      <c r="B839" s="704" t="s">
        <v>685</v>
      </c>
      <c r="C839" s="704" t="s">
        <v>737</v>
      </c>
      <c r="D839" s="704" t="s">
        <v>728</v>
      </c>
      <c r="E839" s="704" t="s">
        <v>448</v>
      </c>
      <c r="F839" s="706">
        <v>1.9424922564786755</v>
      </c>
      <c r="G839" s="705">
        <v>285.92764987247313</v>
      </c>
    </row>
    <row r="840" spans="2:7" ht="11.25" hidden="1" customHeight="1" outlineLevel="2" x14ac:dyDescent="0.25">
      <c r="B840" s="704" t="s">
        <v>686</v>
      </c>
      <c r="C840" s="704" t="s">
        <v>737</v>
      </c>
      <c r="D840" s="704" t="s">
        <v>728</v>
      </c>
      <c r="E840" s="704" t="s">
        <v>448</v>
      </c>
      <c r="F840" s="705">
        <v>0.31456917153550812</v>
      </c>
      <c r="G840" s="705">
        <v>46.264150599182017</v>
      </c>
    </row>
    <row r="841" spans="2:7" ht="11.25" hidden="1" customHeight="1" outlineLevel="2" x14ac:dyDescent="0.25">
      <c r="B841" s="704" t="s">
        <v>687</v>
      </c>
      <c r="C841" s="704" t="s">
        <v>737</v>
      </c>
      <c r="D841" s="704" t="s">
        <v>728</v>
      </c>
      <c r="E841" s="704" t="s">
        <v>448</v>
      </c>
      <c r="F841" s="705">
        <v>0.85273848081784132</v>
      </c>
      <c r="G841" s="705">
        <v>125.51978880390985</v>
      </c>
    </row>
    <row r="842" spans="2:7" ht="11.25" hidden="1" customHeight="1" outlineLevel="2" x14ac:dyDescent="0.25">
      <c r="B842" s="704" t="s">
        <v>688</v>
      </c>
      <c r="C842" s="704" t="s">
        <v>737</v>
      </c>
      <c r="D842" s="704" t="s">
        <v>728</v>
      </c>
      <c r="E842" s="704" t="s">
        <v>448</v>
      </c>
      <c r="F842" s="706">
        <v>2.5092686504481168</v>
      </c>
      <c r="G842" s="705">
        <v>369.35423575006689</v>
      </c>
    </row>
    <row r="843" spans="2:7" ht="11.25" hidden="1" customHeight="1" outlineLevel="2" x14ac:dyDescent="0.25">
      <c r="B843" s="704" t="s">
        <v>689</v>
      </c>
      <c r="C843" s="704" t="s">
        <v>737</v>
      </c>
      <c r="D843" s="704" t="s">
        <v>728</v>
      </c>
      <c r="E843" s="704" t="s">
        <v>448</v>
      </c>
      <c r="F843" s="705">
        <v>0.26932882707511768</v>
      </c>
      <c r="G843" s="705">
        <v>39.643392956792546</v>
      </c>
    </row>
    <row r="844" spans="2:7" ht="11.25" hidden="1" customHeight="1" outlineLevel="2" x14ac:dyDescent="0.25">
      <c r="B844" s="704" t="s">
        <v>690</v>
      </c>
      <c r="C844" s="704" t="s">
        <v>737</v>
      </c>
      <c r="D844" s="704" t="s">
        <v>728</v>
      </c>
      <c r="E844" s="704" t="s">
        <v>448</v>
      </c>
      <c r="F844" s="705">
        <v>7.6720698415783719</v>
      </c>
      <c r="G844" s="705">
        <v>1129.2994959672799</v>
      </c>
    </row>
    <row r="845" spans="2:7" ht="11.25" hidden="1" customHeight="1" outlineLevel="2" x14ac:dyDescent="0.25">
      <c r="B845" s="704" t="s">
        <v>691</v>
      </c>
      <c r="C845" s="704" t="s">
        <v>737</v>
      </c>
      <c r="D845" s="704" t="s">
        <v>728</v>
      </c>
      <c r="E845" s="704" t="s">
        <v>448</v>
      </c>
      <c r="F845" s="705">
        <v>3.7484435343477323</v>
      </c>
      <c r="G845" s="705">
        <v>551.75671355046006</v>
      </c>
    </row>
    <row r="846" spans="2:7" ht="11.25" hidden="1" customHeight="1" outlineLevel="2" x14ac:dyDescent="0.25">
      <c r="B846" s="704" t="s">
        <v>692</v>
      </c>
      <c r="C846" s="704" t="s">
        <v>737</v>
      </c>
      <c r="D846" s="704" t="s">
        <v>728</v>
      </c>
      <c r="E846" s="704" t="s">
        <v>448</v>
      </c>
      <c r="F846" s="706">
        <v>1.5050351894020445E-32</v>
      </c>
      <c r="G846" s="705">
        <v>2.21535422210695E-30</v>
      </c>
    </row>
    <row r="847" spans="2:7" ht="11.25" hidden="1" customHeight="1" outlineLevel="2" x14ac:dyDescent="0.25">
      <c r="B847" s="704" t="s">
        <v>693</v>
      </c>
      <c r="C847" s="704" t="s">
        <v>737</v>
      </c>
      <c r="D847" s="704" t="s">
        <v>728</v>
      </c>
      <c r="E847" s="704" t="s">
        <v>448</v>
      </c>
      <c r="F847" s="706">
        <v>0.18822603049881942</v>
      </c>
      <c r="G847" s="705">
        <v>27.682631035760075</v>
      </c>
    </row>
    <row r="848" spans="2:7" ht="11.25" hidden="1" customHeight="1" outlineLevel="2" x14ac:dyDescent="0.25">
      <c r="B848" s="704" t="s">
        <v>694</v>
      </c>
      <c r="C848" s="704" t="s">
        <v>737</v>
      </c>
      <c r="D848" s="704" t="s">
        <v>728</v>
      </c>
      <c r="E848" s="704" t="s">
        <v>448</v>
      </c>
      <c r="F848" s="706">
        <v>2.4329076379818316E-33</v>
      </c>
      <c r="G848" s="705">
        <v>3.5781082307048835E-31</v>
      </c>
    </row>
    <row r="849" spans="2:7" ht="11.25" hidden="1" customHeight="1" outlineLevel="2" x14ac:dyDescent="0.25">
      <c r="B849" s="704" t="s">
        <v>695</v>
      </c>
      <c r="C849" s="704" t="s">
        <v>737</v>
      </c>
      <c r="D849" s="704" t="s">
        <v>728</v>
      </c>
      <c r="E849" s="704" t="s">
        <v>448</v>
      </c>
      <c r="F849" s="705">
        <v>5.9878333050808895E-32</v>
      </c>
      <c r="G849" s="705">
        <v>8.806380859610538E-30</v>
      </c>
    </row>
    <row r="850" spans="2:7" ht="11.25" hidden="1" customHeight="1" outlineLevel="2" x14ac:dyDescent="0.25">
      <c r="B850" s="704" t="s">
        <v>696</v>
      </c>
      <c r="C850" s="704" t="s">
        <v>737</v>
      </c>
      <c r="D850" s="704" t="s">
        <v>728</v>
      </c>
      <c r="E850" s="704" t="s">
        <v>448</v>
      </c>
      <c r="F850" s="705">
        <v>0.58272653972717281</v>
      </c>
      <c r="G850" s="705">
        <v>85.702315637339836</v>
      </c>
    </row>
    <row r="851" spans="2:7" ht="11.25" hidden="1" customHeight="1" outlineLevel="2" x14ac:dyDescent="0.25">
      <c r="B851" s="704" t="s">
        <v>697</v>
      </c>
      <c r="C851" s="704" t="s">
        <v>737</v>
      </c>
      <c r="D851" s="704" t="s">
        <v>728</v>
      </c>
      <c r="E851" s="704" t="s">
        <v>448</v>
      </c>
      <c r="F851" s="705">
        <v>7.1032856400000004E-32</v>
      </c>
      <c r="G851" s="705">
        <v>1.042564798E-29</v>
      </c>
    </row>
    <row r="852" spans="2:7" ht="11.25" hidden="1" customHeight="1" outlineLevel="2" x14ac:dyDescent="0.25">
      <c r="B852" s="704" t="s">
        <v>698</v>
      </c>
      <c r="C852" s="704" t="s">
        <v>737</v>
      </c>
      <c r="D852" s="704" t="s">
        <v>728</v>
      </c>
      <c r="E852" s="704" t="s">
        <v>448</v>
      </c>
      <c r="F852" s="705">
        <v>2.4347823280000003E-33</v>
      </c>
      <c r="G852" s="705">
        <v>3.5763345640000004E-31</v>
      </c>
    </row>
    <row r="853" spans="2:7" ht="11.25" hidden="1" customHeight="1" outlineLevel="2" x14ac:dyDescent="0.25">
      <c r="B853" s="704" t="s">
        <v>699</v>
      </c>
      <c r="C853" s="704" t="s">
        <v>737</v>
      </c>
      <c r="D853" s="704" t="s">
        <v>728</v>
      </c>
      <c r="E853" s="704" t="s">
        <v>448</v>
      </c>
      <c r="F853" s="705">
        <v>0.46630107496665163</v>
      </c>
      <c r="G853" s="705">
        <v>68.637787231194409</v>
      </c>
    </row>
    <row r="854" spans="2:7" ht="11.25" hidden="1" customHeight="1" outlineLevel="2" x14ac:dyDescent="0.25">
      <c r="B854" s="704" t="s">
        <v>673</v>
      </c>
      <c r="C854" s="704" t="s">
        <v>738</v>
      </c>
      <c r="D854" s="704" t="s">
        <v>728</v>
      </c>
      <c r="E854" s="704" t="s">
        <v>448</v>
      </c>
      <c r="F854" s="705">
        <v>2.713018292373933E-5</v>
      </c>
      <c r="G854" s="705">
        <v>1.3560782379484939E-2</v>
      </c>
    </row>
    <row r="855" spans="2:7" ht="11.25" hidden="1" customHeight="1" outlineLevel="2" x14ac:dyDescent="0.25">
      <c r="B855" s="704" t="s">
        <v>677</v>
      </c>
      <c r="C855" s="704" t="s">
        <v>738</v>
      </c>
      <c r="D855" s="704" t="s">
        <v>728</v>
      </c>
      <c r="E855" s="704" t="s">
        <v>448</v>
      </c>
      <c r="F855" s="705">
        <v>1.3019821715585893E-3</v>
      </c>
      <c r="G855" s="705">
        <v>0.64983246829680452</v>
      </c>
    </row>
    <row r="856" spans="2:7" ht="11.25" hidden="1" customHeight="1" outlineLevel="2" x14ac:dyDescent="0.25">
      <c r="B856" s="704" t="s">
        <v>678</v>
      </c>
      <c r="C856" s="704" t="s">
        <v>738</v>
      </c>
      <c r="D856" s="704" t="s">
        <v>728</v>
      </c>
      <c r="E856" s="704" t="s">
        <v>448</v>
      </c>
      <c r="F856" s="705">
        <v>1.562886253024141E-3</v>
      </c>
      <c r="G856" s="705">
        <v>0.78110193225954994</v>
      </c>
    </row>
    <row r="857" spans="2:7" ht="11.25" hidden="1" customHeight="1" outlineLevel="2" x14ac:dyDescent="0.25">
      <c r="B857" s="704" t="s">
        <v>679</v>
      </c>
      <c r="C857" s="704" t="s">
        <v>738</v>
      </c>
      <c r="D857" s="704" t="s">
        <v>728</v>
      </c>
      <c r="E857" s="704" t="s">
        <v>448</v>
      </c>
      <c r="F857" s="705">
        <v>9.3339029635263816E-5</v>
      </c>
      <c r="G857" s="705">
        <v>4.6649166843565064E-2</v>
      </c>
    </row>
    <row r="858" spans="2:7" ht="11.25" hidden="1" customHeight="1" outlineLevel="2" x14ac:dyDescent="0.25">
      <c r="B858" s="704" t="s">
        <v>680</v>
      </c>
      <c r="C858" s="704" t="s">
        <v>738</v>
      </c>
      <c r="D858" s="704" t="s">
        <v>728</v>
      </c>
      <c r="E858" s="704" t="s">
        <v>448</v>
      </c>
      <c r="F858" s="705">
        <v>2.9300608406094043E-5</v>
      </c>
      <c r="G858" s="705">
        <v>1.4645641714769534E-2</v>
      </c>
    </row>
    <row r="859" spans="2:7" ht="11.25" hidden="1" customHeight="1" outlineLevel="2" x14ac:dyDescent="0.25">
      <c r="B859" s="704" t="s">
        <v>681</v>
      </c>
      <c r="C859" s="704" t="s">
        <v>738</v>
      </c>
      <c r="D859" s="704" t="s">
        <v>728</v>
      </c>
      <c r="E859" s="704" t="s">
        <v>448</v>
      </c>
      <c r="F859" s="706">
        <v>4.9274332274712061E-4</v>
      </c>
      <c r="G859" s="705">
        <v>0.24626379757805272</v>
      </c>
    </row>
    <row r="860" spans="2:7" ht="11.25" hidden="1" customHeight="1" outlineLevel="2" x14ac:dyDescent="0.25">
      <c r="B860" s="704" t="s">
        <v>682</v>
      </c>
      <c r="C860" s="704" t="s">
        <v>738</v>
      </c>
      <c r="D860" s="704" t="s">
        <v>728</v>
      </c>
      <c r="E860" s="704" t="s">
        <v>448</v>
      </c>
      <c r="F860" s="706">
        <v>6.403495857478837E-5</v>
      </c>
      <c r="G860" s="705">
        <v>3.2003425616917602E-2</v>
      </c>
    </row>
    <row r="861" spans="2:7" ht="11.25" hidden="1" customHeight="1" outlineLevel="2" x14ac:dyDescent="0.25">
      <c r="B861" s="704" t="s">
        <v>683</v>
      </c>
      <c r="C861" s="704" t="s">
        <v>738</v>
      </c>
      <c r="D861" s="704" t="s">
        <v>728</v>
      </c>
      <c r="E861" s="704" t="s">
        <v>448</v>
      </c>
      <c r="F861" s="705">
        <v>1.3458189667558778E-4</v>
      </c>
      <c r="G861" s="705">
        <v>6.7261497345630472E-2</v>
      </c>
    </row>
    <row r="862" spans="2:7" ht="11.25" hidden="1" customHeight="1" outlineLevel="2" x14ac:dyDescent="0.25">
      <c r="B862" s="704" t="s">
        <v>684</v>
      </c>
      <c r="C862" s="704" t="s">
        <v>738</v>
      </c>
      <c r="D862" s="704" t="s">
        <v>728</v>
      </c>
      <c r="E862" s="704" t="s">
        <v>448</v>
      </c>
      <c r="F862" s="705">
        <v>1.7363324094411424E-4</v>
      </c>
      <c r="G862" s="705">
        <v>8.6789034897465062E-2</v>
      </c>
    </row>
    <row r="863" spans="2:7" ht="11.25" hidden="1" customHeight="1" outlineLevel="2" x14ac:dyDescent="0.25">
      <c r="B863" s="704" t="s">
        <v>685</v>
      </c>
      <c r="C863" s="704" t="s">
        <v>738</v>
      </c>
      <c r="D863" s="704" t="s">
        <v>728</v>
      </c>
      <c r="E863" s="704" t="s">
        <v>448</v>
      </c>
      <c r="F863" s="705">
        <v>8.1834464093759839E-4</v>
      </c>
      <c r="G863" s="705">
        <v>0.40899306828313209</v>
      </c>
    </row>
    <row r="864" spans="2:7" ht="11.25" hidden="1" customHeight="1" outlineLevel="2" x14ac:dyDescent="0.25">
      <c r="B864" s="704" t="s">
        <v>686</v>
      </c>
      <c r="C864" s="704" t="s">
        <v>738</v>
      </c>
      <c r="D864" s="704" t="s">
        <v>728</v>
      </c>
      <c r="E864" s="704" t="s">
        <v>448</v>
      </c>
      <c r="F864" s="705">
        <v>1.7471834919243742E-4</v>
      </c>
      <c r="G864" s="705">
        <v>8.7331409108793806E-2</v>
      </c>
    </row>
    <row r="865" spans="2:7" ht="11.25" hidden="1" customHeight="1" outlineLevel="2" x14ac:dyDescent="0.25">
      <c r="B865" s="704" t="s">
        <v>687</v>
      </c>
      <c r="C865" s="704" t="s">
        <v>738</v>
      </c>
      <c r="D865" s="704" t="s">
        <v>728</v>
      </c>
      <c r="E865" s="704" t="s">
        <v>448</v>
      </c>
      <c r="F865" s="705">
        <v>3.5924657043586176E-4</v>
      </c>
      <c r="G865" s="705">
        <v>0.17954472285777612</v>
      </c>
    </row>
    <row r="866" spans="2:7" ht="11.25" hidden="1" customHeight="1" outlineLevel="2" x14ac:dyDescent="0.25">
      <c r="B866" s="704" t="s">
        <v>688</v>
      </c>
      <c r="C866" s="704" t="s">
        <v>738</v>
      </c>
      <c r="D866" s="704" t="s">
        <v>728</v>
      </c>
      <c r="E866" s="704" t="s">
        <v>448</v>
      </c>
      <c r="F866" s="705">
        <v>1.0571186783588917E-3</v>
      </c>
      <c r="G866" s="705">
        <v>0.52832816136905736</v>
      </c>
    </row>
    <row r="867" spans="2:7" ht="11.25" hidden="1" customHeight="1" outlineLevel="2" x14ac:dyDescent="0.25">
      <c r="B867" s="704" t="s">
        <v>689</v>
      </c>
      <c r="C867" s="704" t="s">
        <v>738</v>
      </c>
      <c r="D867" s="704" t="s">
        <v>728</v>
      </c>
      <c r="E867" s="704" t="s">
        <v>448</v>
      </c>
      <c r="F867" s="705">
        <v>1.0289459199036142E-4</v>
      </c>
      <c r="G867" s="705">
        <v>5.1426406325813558E-2</v>
      </c>
    </row>
    <row r="868" spans="2:7" ht="11.25" hidden="1" customHeight="1" outlineLevel="2" x14ac:dyDescent="0.25">
      <c r="B868" s="704" t="s">
        <v>690</v>
      </c>
      <c r="C868" s="704" t="s">
        <v>738</v>
      </c>
      <c r="D868" s="704" t="s">
        <v>728</v>
      </c>
      <c r="E868" s="704" t="s">
        <v>448</v>
      </c>
      <c r="F868" s="705">
        <v>3.2321343652388021E-3</v>
      </c>
      <c r="G868" s="705">
        <v>1.6153601711763252</v>
      </c>
    </row>
    <row r="869" spans="2:7" ht="11.25" hidden="1" customHeight="1" outlineLevel="2" x14ac:dyDescent="0.25">
      <c r="B869" s="704" t="s">
        <v>691</v>
      </c>
      <c r="C869" s="704" t="s">
        <v>738</v>
      </c>
      <c r="D869" s="704" t="s">
        <v>728</v>
      </c>
      <c r="E869" s="704" t="s">
        <v>448</v>
      </c>
      <c r="F869" s="705">
        <v>1.5791665061667718E-3</v>
      </c>
      <c r="G869" s="705">
        <v>0.78923764756665715</v>
      </c>
    </row>
    <row r="870" spans="2:7" ht="11.25" hidden="1" customHeight="1" outlineLevel="2" x14ac:dyDescent="0.25">
      <c r="B870" s="704" t="s">
        <v>692</v>
      </c>
      <c r="C870" s="704" t="s">
        <v>738</v>
      </c>
      <c r="D870" s="704" t="s">
        <v>728</v>
      </c>
      <c r="E870" s="704" t="s">
        <v>448</v>
      </c>
      <c r="F870" s="705">
        <v>1.0310703220993256E-4</v>
      </c>
      <c r="G870" s="705">
        <v>5.1531026095210743E-2</v>
      </c>
    </row>
    <row r="871" spans="2:7" ht="11.25" hidden="1" customHeight="1" outlineLevel="2" x14ac:dyDescent="0.25">
      <c r="B871" s="704" t="s">
        <v>693</v>
      </c>
      <c r="C871" s="704" t="s">
        <v>738</v>
      </c>
      <c r="D871" s="704" t="s">
        <v>728</v>
      </c>
      <c r="E871" s="704" t="s">
        <v>448</v>
      </c>
      <c r="F871" s="705">
        <v>7.9220169374241632E-5</v>
      </c>
      <c r="G871" s="705">
        <v>3.9597458951758445E-2</v>
      </c>
    </row>
    <row r="872" spans="2:7" ht="11.25" hidden="1" customHeight="1" outlineLevel="2" x14ac:dyDescent="0.25">
      <c r="B872" s="704" t="s">
        <v>694</v>
      </c>
      <c r="C872" s="704" t="s">
        <v>738</v>
      </c>
      <c r="D872" s="704" t="s">
        <v>728</v>
      </c>
      <c r="E872" s="704" t="s">
        <v>448</v>
      </c>
      <c r="F872" s="705">
        <v>1.7471834919243742E-4</v>
      </c>
      <c r="G872" s="705">
        <v>8.7331409108793806E-2</v>
      </c>
    </row>
    <row r="873" spans="2:7" ht="11.25" hidden="1" customHeight="1" outlineLevel="2" x14ac:dyDescent="0.25">
      <c r="B873" s="704" t="s">
        <v>695</v>
      </c>
      <c r="C873" s="704" t="s">
        <v>738</v>
      </c>
      <c r="D873" s="704" t="s">
        <v>728</v>
      </c>
      <c r="E873" s="704" t="s">
        <v>448</v>
      </c>
      <c r="F873" s="705">
        <v>1.7146268115446515E-4</v>
      </c>
      <c r="G873" s="705">
        <v>8.5704126599405656E-2</v>
      </c>
    </row>
    <row r="874" spans="2:7" ht="11.25" hidden="1" customHeight="1" outlineLevel="2" x14ac:dyDescent="0.25">
      <c r="B874" s="704" t="s">
        <v>696</v>
      </c>
      <c r="C874" s="704" t="s">
        <v>738</v>
      </c>
      <c r="D874" s="704" t="s">
        <v>728</v>
      </c>
      <c r="E874" s="704" t="s">
        <v>448</v>
      </c>
      <c r="F874" s="705">
        <v>2.4525688544656656E-4</v>
      </c>
      <c r="G874" s="705">
        <v>0.12258946757710555</v>
      </c>
    </row>
    <row r="875" spans="2:7" ht="11.25" hidden="1" customHeight="1" outlineLevel="2" x14ac:dyDescent="0.25">
      <c r="B875" s="704" t="s">
        <v>697</v>
      </c>
      <c r="C875" s="704" t="s">
        <v>738</v>
      </c>
      <c r="D875" s="704" t="s">
        <v>728</v>
      </c>
      <c r="E875" s="704" t="s">
        <v>448</v>
      </c>
      <c r="F875" s="705">
        <v>1.1069120048298309E-4</v>
      </c>
      <c r="G875" s="705">
        <v>5.5327979205064992E-2</v>
      </c>
    </row>
    <row r="876" spans="2:7" ht="11.25" hidden="1" customHeight="1" outlineLevel="2" x14ac:dyDescent="0.25">
      <c r="B876" s="704" t="s">
        <v>698</v>
      </c>
      <c r="C876" s="704" t="s">
        <v>738</v>
      </c>
      <c r="D876" s="704" t="s">
        <v>728</v>
      </c>
      <c r="E876" s="704" t="s">
        <v>448</v>
      </c>
      <c r="F876" s="706">
        <v>1.7471834919576698E-4</v>
      </c>
      <c r="G876" s="705">
        <v>8.7331409107599109E-2</v>
      </c>
    </row>
    <row r="877" spans="2:7" ht="11.25" hidden="1" customHeight="1" outlineLevel="2" x14ac:dyDescent="0.25">
      <c r="B877" s="704" t="s">
        <v>699</v>
      </c>
      <c r="C877" s="704" t="s">
        <v>738</v>
      </c>
      <c r="D877" s="704" t="s">
        <v>728</v>
      </c>
      <c r="E877" s="704" t="s">
        <v>448</v>
      </c>
      <c r="F877" s="706">
        <v>1.9644607023462223E-4</v>
      </c>
      <c r="G877" s="705">
        <v>9.8180029863385046E-2</v>
      </c>
    </row>
    <row r="878" spans="2:7" ht="11.25" hidden="1" customHeight="1" outlineLevel="2" x14ac:dyDescent="0.25">
      <c r="B878" s="704" t="s">
        <v>673</v>
      </c>
      <c r="C878" s="704" t="s">
        <v>739</v>
      </c>
      <c r="D878" s="704" t="s">
        <v>44</v>
      </c>
      <c r="E878" s="704" t="s">
        <v>448</v>
      </c>
      <c r="F878" s="706">
        <v>3.1361120053399928E-4</v>
      </c>
      <c r="G878" s="705">
        <v>0.19128313565227872</v>
      </c>
    </row>
    <row r="879" spans="2:7" ht="11.25" hidden="1" customHeight="1" outlineLevel="2" x14ac:dyDescent="0.25">
      <c r="B879" s="704" t="s">
        <v>677</v>
      </c>
      <c r="C879" s="704" t="s">
        <v>739</v>
      </c>
      <c r="D879" s="704" t="s">
        <v>44</v>
      </c>
      <c r="E879" s="704" t="s">
        <v>448</v>
      </c>
      <c r="F879" s="706">
        <v>5.8380535195254161E-4</v>
      </c>
      <c r="G879" s="705">
        <v>0.35556396398702633</v>
      </c>
    </row>
    <row r="880" spans="2:7" ht="11.25" hidden="1" customHeight="1" outlineLevel="2" x14ac:dyDescent="0.25">
      <c r="B880" s="704" t="s">
        <v>678</v>
      </c>
      <c r="C880" s="704" t="s">
        <v>739</v>
      </c>
      <c r="D880" s="704" t="s">
        <v>44</v>
      </c>
      <c r="E880" s="704" t="s">
        <v>448</v>
      </c>
      <c r="F880" s="706">
        <v>1.1927206808498806E-3</v>
      </c>
      <c r="G880" s="705">
        <v>0.72739728040289386</v>
      </c>
    </row>
    <row r="881" spans="2:7" ht="11.25" hidden="1" customHeight="1" outlineLevel="2" x14ac:dyDescent="0.25">
      <c r="B881" s="704" t="s">
        <v>679</v>
      </c>
      <c r="C881" s="704" t="s">
        <v>739</v>
      </c>
      <c r="D881" s="704" t="s">
        <v>44</v>
      </c>
      <c r="E881" s="704" t="s">
        <v>448</v>
      </c>
      <c r="F881" s="706">
        <v>4.1970611334212274E-4</v>
      </c>
      <c r="G881" s="705">
        <v>0.25596369913852324</v>
      </c>
    </row>
    <row r="882" spans="2:7" ht="11.25" hidden="1" customHeight="1" outlineLevel="2" x14ac:dyDescent="0.25">
      <c r="B882" s="704" t="s">
        <v>680</v>
      </c>
      <c r="C882" s="704" t="s">
        <v>739</v>
      </c>
      <c r="D882" s="704" t="s">
        <v>44</v>
      </c>
      <c r="E882" s="704" t="s">
        <v>448</v>
      </c>
      <c r="F882" s="706">
        <v>2.7316361427384486E-3</v>
      </c>
      <c r="G882" s="705">
        <v>1.6661259253040788</v>
      </c>
    </row>
    <row r="883" spans="2:7" ht="11.25" hidden="1" customHeight="1" outlineLevel="2" x14ac:dyDescent="0.25">
      <c r="B883" s="704" t="s">
        <v>681</v>
      </c>
      <c r="C883" s="704" t="s">
        <v>739</v>
      </c>
      <c r="D883" s="704" t="s">
        <v>44</v>
      </c>
      <c r="E883" s="704" t="s">
        <v>448</v>
      </c>
      <c r="F883" s="706">
        <v>3.0918712131196239E-3</v>
      </c>
      <c r="G883" s="705">
        <v>1.8856203365723994</v>
      </c>
    </row>
    <row r="884" spans="2:7" ht="11.25" hidden="1" customHeight="1" outlineLevel="2" x14ac:dyDescent="0.25">
      <c r="B884" s="704" t="s">
        <v>682</v>
      </c>
      <c r="C884" s="704" t="s">
        <v>739</v>
      </c>
      <c r="D884" s="704" t="s">
        <v>44</v>
      </c>
      <c r="E884" s="704" t="s">
        <v>448</v>
      </c>
      <c r="F884" s="706">
        <v>1.5034877391004414E-3</v>
      </c>
      <c r="G884" s="705">
        <v>0.91692252117684248</v>
      </c>
    </row>
    <row r="885" spans="2:7" ht="11.25" hidden="1" customHeight="1" outlineLevel="2" x14ac:dyDescent="0.25">
      <c r="B885" s="704" t="s">
        <v>683</v>
      </c>
      <c r="C885" s="704" t="s">
        <v>739</v>
      </c>
      <c r="D885" s="704" t="s">
        <v>44</v>
      </c>
      <c r="E885" s="704" t="s">
        <v>448</v>
      </c>
      <c r="F885" s="706">
        <v>7.067403502474842E-4</v>
      </c>
      <c r="G885" s="705">
        <v>0.43101510898029383</v>
      </c>
    </row>
    <row r="886" spans="2:7" ht="11.25" hidden="1" customHeight="1" outlineLevel="2" x14ac:dyDescent="0.25">
      <c r="B886" s="704" t="s">
        <v>684</v>
      </c>
      <c r="C886" s="704" t="s">
        <v>739</v>
      </c>
      <c r="D886" s="704" t="s">
        <v>44</v>
      </c>
      <c r="E886" s="704" t="s">
        <v>448</v>
      </c>
      <c r="F886" s="705">
        <v>2.4651146391015078E-3</v>
      </c>
      <c r="G886" s="705">
        <v>1.5035649757936125</v>
      </c>
    </row>
    <row r="887" spans="2:7" ht="11.25" hidden="1" customHeight="1" outlineLevel="2" x14ac:dyDescent="0.25">
      <c r="B887" s="704" t="s">
        <v>685</v>
      </c>
      <c r="C887" s="704" t="s">
        <v>739</v>
      </c>
      <c r="D887" s="704" t="s">
        <v>44</v>
      </c>
      <c r="E887" s="704" t="s">
        <v>448</v>
      </c>
      <c r="F887" s="705">
        <v>3.7617713225847867E-3</v>
      </c>
      <c r="G887" s="705">
        <v>2.2941701573355466</v>
      </c>
    </row>
    <row r="888" spans="2:7" ht="11.25" hidden="1" customHeight="1" outlineLevel="2" x14ac:dyDescent="0.25">
      <c r="B888" s="704" t="s">
        <v>686</v>
      </c>
      <c r="C888" s="704" t="s">
        <v>739</v>
      </c>
      <c r="D888" s="704" t="s">
        <v>44</v>
      </c>
      <c r="E888" s="704" t="s">
        <v>448</v>
      </c>
      <c r="F888" s="706">
        <v>1.1504759885282523E-3</v>
      </c>
      <c r="G888" s="705">
        <v>0.70171731050919905</v>
      </c>
    </row>
    <row r="889" spans="2:7" ht="11.25" hidden="1" customHeight="1" outlineLevel="2" x14ac:dyDescent="0.25">
      <c r="B889" s="704" t="s">
        <v>687</v>
      </c>
      <c r="C889" s="704" t="s">
        <v>739</v>
      </c>
      <c r="D889" s="704" t="s">
        <v>44</v>
      </c>
      <c r="E889" s="704" t="s">
        <v>448</v>
      </c>
      <c r="F889" s="705">
        <v>1.4084296352669344E-3</v>
      </c>
      <c r="G889" s="705">
        <v>0.85895051878247175</v>
      </c>
    </row>
    <row r="890" spans="2:7" ht="11.25" hidden="1" customHeight="1" outlineLevel="2" x14ac:dyDescent="0.25">
      <c r="B890" s="704" t="s">
        <v>688</v>
      </c>
      <c r="C890" s="704" t="s">
        <v>739</v>
      </c>
      <c r="D890" s="704" t="s">
        <v>44</v>
      </c>
      <c r="E890" s="704" t="s">
        <v>448</v>
      </c>
      <c r="F890" s="705">
        <v>6.3891657182191936E-4</v>
      </c>
      <c r="G890" s="705">
        <v>0.3896519280581171</v>
      </c>
    </row>
    <row r="891" spans="2:7" ht="11.25" hidden="1" customHeight="1" outlineLevel="2" x14ac:dyDescent="0.25">
      <c r="B891" s="704" t="s">
        <v>689</v>
      </c>
      <c r="C891" s="704" t="s">
        <v>739</v>
      </c>
      <c r="D891" s="704" t="s">
        <v>44</v>
      </c>
      <c r="E891" s="704" t="s">
        <v>448</v>
      </c>
      <c r="F891" s="705">
        <v>3.1208091333729295E-3</v>
      </c>
      <c r="G891" s="705">
        <v>1.9033307783944065</v>
      </c>
    </row>
    <row r="892" spans="2:7" ht="11.25" hidden="1" customHeight="1" outlineLevel="2" x14ac:dyDescent="0.25">
      <c r="B892" s="704" t="s">
        <v>690</v>
      </c>
      <c r="C892" s="704" t="s">
        <v>739</v>
      </c>
      <c r="D892" s="704" t="s">
        <v>44</v>
      </c>
      <c r="E892" s="704" t="s">
        <v>448</v>
      </c>
      <c r="F892" s="705">
        <v>1.3682747475967769E-3</v>
      </c>
      <c r="G892" s="705">
        <v>0.83446113407900402</v>
      </c>
    </row>
    <row r="893" spans="2:7" ht="11.25" hidden="1" customHeight="1" outlineLevel="2" x14ac:dyDescent="0.25">
      <c r="B893" s="704" t="s">
        <v>691</v>
      </c>
      <c r="C893" s="704" t="s">
        <v>739</v>
      </c>
      <c r="D893" s="704" t="s">
        <v>44</v>
      </c>
      <c r="E893" s="704" t="s">
        <v>448</v>
      </c>
      <c r="F893" s="705">
        <v>5.3496567486231955E-4</v>
      </c>
      <c r="G893" s="705">
        <v>0.32625641658943949</v>
      </c>
    </row>
    <row r="894" spans="2:7" ht="11.25" hidden="1" customHeight="1" outlineLevel="2" x14ac:dyDescent="0.25">
      <c r="B894" s="704" t="s">
        <v>692</v>
      </c>
      <c r="C894" s="704" t="s">
        <v>739</v>
      </c>
      <c r="D894" s="704" t="s">
        <v>44</v>
      </c>
      <c r="E894" s="704" t="s">
        <v>448</v>
      </c>
      <c r="F894" s="705">
        <v>3.8563973149799051E-3</v>
      </c>
      <c r="G894" s="705">
        <v>2.3518767540235155</v>
      </c>
    </row>
    <row r="895" spans="2:7" ht="11.25" hidden="1" customHeight="1" outlineLevel="2" x14ac:dyDescent="0.25">
      <c r="B895" s="704" t="s">
        <v>693</v>
      </c>
      <c r="C895" s="704" t="s">
        <v>739</v>
      </c>
      <c r="D895" s="704" t="s">
        <v>44</v>
      </c>
      <c r="E895" s="704" t="s">
        <v>448</v>
      </c>
      <c r="F895" s="705">
        <v>1.0574738608080301E-3</v>
      </c>
      <c r="G895" s="705">
        <v>0.64499215720162451</v>
      </c>
    </row>
    <row r="896" spans="2:7" ht="11.25" hidden="1" customHeight="1" outlineLevel="2" x14ac:dyDescent="0.25">
      <c r="B896" s="704" t="s">
        <v>694</v>
      </c>
      <c r="C896" s="704" t="s">
        <v>739</v>
      </c>
      <c r="D896" s="704" t="s">
        <v>44</v>
      </c>
      <c r="E896" s="704" t="s">
        <v>448</v>
      </c>
      <c r="F896" s="705">
        <v>1.0778588515426605E-3</v>
      </c>
      <c r="G896" s="705">
        <v>0.65742582300586283</v>
      </c>
    </row>
    <row r="897" spans="2:7" ht="11.25" hidden="1" customHeight="1" outlineLevel="2" x14ac:dyDescent="0.25">
      <c r="B897" s="704" t="s">
        <v>695</v>
      </c>
      <c r="C897" s="704" t="s">
        <v>739</v>
      </c>
      <c r="D897" s="704" t="s">
        <v>44</v>
      </c>
      <c r="E897" s="704" t="s">
        <v>448</v>
      </c>
      <c r="F897" s="705">
        <v>2.485190605547622E-3</v>
      </c>
      <c r="G897" s="705">
        <v>1.5158083494134906</v>
      </c>
    </row>
    <row r="898" spans="2:7" ht="11.25" hidden="1" customHeight="1" outlineLevel="2" x14ac:dyDescent="0.25">
      <c r="B898" s="704" t="s">
        <v>696</v>
      </c>
      <c r="C898" s="704" t="s">
        <v>739</v>
      </c>
      <c r="D898" s="704" t="s">
        <v>44</v>
      </c>
      <c r="E898" s="704" t="s">
        <v>448</v>
      </c>
      <c r="F898" s="705">
        <v>2.2711484372410482E-3</v>
      </c>
      <c r="G898" s="705">
        <v>1.3852581011973732</v>
      </c>
    </row>
    <row r="899" spans="2:7" ht="11.25" hidden="1" customHeight="1" outlineLevel="2" x14ac:dyDescent="0.25">
      <c r="B899" s="704" t="s">
        <v>697</v>
      </c>
      <c r="C899" s="704" t="s">
        <v>739</v>
      </c>
      <c r="D899" s="704" t="s">
        <v>44</v>
      </c>
      <c r="E899" s="704" t="s">
        <v>448</v>
      </c>
      <c r="F899" s="705">
        <v>1.7445183806224771E-3</v>
      </c>
      <c r="G899" s="705">
        <v>1.0640458289903718</v>
      </c>
    </row>
    <row r="900" spans="2:7" ht="11.25" hidden="1" customHeight="1" outlineLevel="2" x14ac:dyDescent="0.25">
      <c r="B900" s="704" t="s">
        <v>698</v>
      </c>
      <c r="C900" s="704" t="s">
        <v>739</v>
      </c>
      <c r="D900" s="704" t="s">
        <v>44</v>
      </c>
      <c r="E900" s="704" t="s">
        <v>448</v>
      </c>
      <c r="F900" s="705">
        <v>2.6521723520431147E-3</v>
      </c>
      <c r="G900" s="705">
        <v>1.6176572506777971</v>
      </c>
    </row>
    <row r="901" spans="2:7" ht="11.25" hidden="1" customHeight="1" outlineLevel="2" x14ac:dyDescent="0.25">
      <c r="B901" s="704" t="s">
        <v>699</v>
      </c>
      <c r="C901" s="704" t="s">
        <v>739</v>
      </c>
      <c r="D901" s="704" t="s">
        <v>44</v>
      </c>
      <c r="E901" s="704" t="s">
        <v>448</v>
      </c>
      <c r="F901" s="705">
        <v>6.7325372663441813E-35</v>
      </c>
      <c r="G901" s="705">
        <v>3.4215421049509254E-32</v>
      </c>
    </row>
    <row r="902" spans="2:7" ht="11.25" hidden="1" customHeight="1" outlineLevel="2" x14ac:dyDescent="0.25">
      <c r="B902" s="704" t="s">
        <v>673</v>
      </c>
      <c r="C902" s="704" t="s">
        <v>740</v>
      </c>
      <c r="D902" s="704" t="s">
        <v>562</v>
      </c>
      <c r="E902" s="704" t="s">
        <v>448</v>
      </c>
      <c r="F902" s="705">
        <v>7.3702866842318918E-3</v>
      </c>
      <c r="G902" s="705">
        <v>3.652169111732305</v>
      </c>
    </row>
    <row r="903" spans="2:7" ht="11.25" hidden="1" customHeight="1" outlineLevel="2" x14ac:dyDescent="0.25">
      <c r="B903" s="704" t="s">
        <v>677</v>
      </c>
      <c r="C903" s="704" t="s">
        <v>740</v>
      </c>
      <c r="D903" s="704" t="s">
        <v>562</v>
      </c>
      <c r="E903" s="704" t="s">
        <v>448</v>
      </c>
      <c r="F903" s="705">
        <v>7.4842654236593545E-2</v>
      </c>
      <c r="G903" s="705">
        <v>37.027370508657683</v>
      </c>
    </row>
    <row r="904" spans="2:7" ht="11.25" hidden="1" customHeight="1" outlineLevel="2" x14ac:dyDescent="0.25">
      <c r="B904" s="704" t="s">
        <v>678</v>
      </c>
      <c r="C904" s="704" t="s">
        <v>740</v>
      </c>
      <c r="D904" s="704" t="s">
        <v>562</v>
      </c>
      <c r="E904" s="704" t="s">
        <v>448</v>
      </c>
      <c r="F904" s="705">
        <v>0.11428657386350884</v>
      </c>
      <c r="G904" s="705">
        <v>56.636718159409739</v>
      </c>
    </row>
    <row r="905" spans="2:7" ht="11.25" hidden="1" customHeight="1" outlineLevel="2" x14ac:dyDescent="0.25">
      <c r="B905" s="704" t="s">
        <v>679</v>
      </c>
      <c r="C905" s="704" t="s">
        <v>740</v>
      </c>
      <c r="D905" s="704" t="s">
        <v>562</v>
      </c>
      <c r="E905" s="704" t="s">
        <v>448</v>
      </c>
      <c r="F905" s="705">
        <v>4.1950432967174465E-3</v>
      </c>
      <c r="G905" s="705">
        <v>2.0789261118876348</v>
      </c>
    </row>
    <row r="906" spans="2:7" ht="11.25" hidden="1" customHeight="1" outlineLevel="2" x14ac:dyDescent="0.25">
      <c r="B906" s="704" t="s">
        <v>680</v>
      </c>
      <c r="C906" s="704" t="s">
        <v>740</v>
      </c>
      <c r="D906" s="704" t="s">
        <v>562</v>
      </c>
      <c r="E906" s="704" t="s">
        <v>448</v>
      </c>
      <c r="F906" s="705">
        <v>2.9481158625725302E-3</v>
      </c>
      <c r="G906" s="705">
        <v>1.4608676392239264</v>
      </c>
    </row>
    <row r="907" spans="2:7" ht="11.25" hidden="1" customHeight="1" outlineLevel="2" x14ac:dyDescent="0.25">
      <c r="B907" s="704" t="s">
        <v>681</v>
      </c>
      <c r="C907" s="704" t="s">
        <v>740</v>
      </c>
      <c r="D907" s="704" t="s">
        <v>562</v>
      </c>
      <c r="E907" s="704" t="s">
        <v>448</v>
      </c>
      <c r="F907" s="705">
        <v>1.8821012549329937E-2</v>
      </c>
      <c r="G907" s="705">
        <v>9.3270749178073853</v>
      </c>
    </row>
    <row r="908" spans="2:7" ht="11.25" hidden="1" customHeight="1" outlineLevel="2" x14ac:dyDescent="0.25">
      <c r="B908" s="704" t="s">
        <v>682</v>
      </c>
      <c r="C908" s="704" t="s">
        <v>740</v>
      </c>
      <c r="D908" s="704" t="s">
        <v>562</v>
      </c>
      <c r="E908" s="704" t="s">
        <v>448</v>
      </c>
      <c r="F908" s="705">
        <v>7.2562928156745515E-3</v>
      </c>
      <c r="G908" s="705">
        <v>3.595981245420997</v>
      </c>
    </row>
    <row r="909" spans="2:7" ht="11.25" hidden="1" customHeight="1" outlineLevel="2" x14ac:dyDescent="0.25">
      <c r="B909" s="704" t="s">
        <v>683</v>
      </c>
      <c r="C909" s="704" t="s">
        <v>740</v>
      </c>
      <c r="D909" s="704" t="s">
        <v>562</v>
      </c>
      <c r="E909" s="704" t="s">
        <v>448</v>
      </c>
      <c r="F909" s="706">
        <v>8.6168472033301118E-3</v>
      </c>
      <c r="G909" s="705">
        <v>4.2702288137846818</v>
      </c>
    </row>
    <row r="910" spans="2:7" ht="11.25" hidden="1" customHeight="1" outlineLevel="2" x14ac:dyDescent="0.25">
      <c r="B910" s="704" t="s">
        <v>684</v>
      </c>
      <c r="C910" s="704" t="s">
        <v>740</v>
      </c>
      <c r="D910" s="704" t="s">
        <v>562</v>
      </c>
      <c r="E910" s="704" t="s">
        <v>448</v>
      </c>
      <c r="F910" s="706">
        <v>5.3292844745707856E-3</v>
      </c>
      <c r="G910" s="705">
        <v>2.6407967479482117</v>
      </c>
    </row>
    <row r="911" spans="2:7" ht="11.25" hidden="1" customHeight="1" outlineLevel="2" x14ac:dyDescent="0.25">
      <c r="B911" s="704" t="s">
        <v>685</v>
      </c>
      <c r="C911" s="704" t="s">
        <v>740</v>
      </c>
      <c r="D911" s="704" t="s">
        <v>562</v>
      </c>
      <c r="E911" s="704" t="s">
        <v>448</v>
      </c>
      <c r="F911" s="706">
        <v>2.6530826814721863E-2</v>
      </c>
      <c r="G911" s="705">
        <v>13.147799718327935</v>
      </c>
    </row>
    <row r="912" spans="2:7" ht="11.25" hidden="1" customHeight="1" outlineLevel="2" x14ac:dyDescent="0.25">
      <c r="B912" s="704" t="s">
        <v>686</v>
      </c>
      <c r="C912" s="704" t="s">
        <v>740</v>
      </c>
      <c r="D912" s="704" t="s">
        <v>562</v>
      </c>
      <c r="E912" s="704" t="s">
        <v>448</v>
      </c>
      <c r="F912" s="706">
        <v>3.9686179640344233E-3</v>
      </c>
      <c r="G912" s="705">
        <v>1.9665525247125553</v>
      </c>
    </row>
    <row r="913" spans="2:7" ht="11.25" hidden="1" customHeight="1" outlineLevel="2" x14ac:dyDescent="0.25">
      <c r="B913" s="704" t="s">
        <v>687</v>
      </c>
      <c r="C913" s="704" t="s">
        <v>740</v>
      </c>
      <c r="D913" s="704" t="s">
        <v>562</v>
      </c>
      <c r="E913" s="704" t="s">
        <v>448</v>
      </c>
      <c r="F913" s="706">
        <v>2.5510404275937572E-2</v>
      </c>
      <c r="G913" s="705">
        <v>12.642120976729831</v>
      </c>
    </row>
    <row r="914" spans="2:7" ht="11.25" hidden="1" customHeight="1" outlineLevel="2" x14ac:dyDescent="0.25">
      <c r="B914" s="704" t="s">
        <v>688</v>
      </c>
      <c r="C914" s="704" t="s">
        <v>740</v>
      </c>
      <c r="D914" s="704" t="s">
        <v>562</v>
      </c>
      <c r="E914" s="704" t="s">
        <v>448</v>
      </c>
      <c r="F914" s="706">
        <v>6.7800992555511225E-2</v>
      </c>
      <c r="G914" s="705">
        <v>33.599961387218762</v>
      </c>
    </row>
    <row r="915" spans="2:7" ht="11.25" hidden="1" customHeight="1" outlineLevel="2" x14ac:dyDescent="0.25">
      <c r="B915" s="704" t="s">
        <v>689</v>
      </c>
      <c r="C915" s="704" t="s">
        <v>740</v>
      </c>
      <c r="D915" s="704" t="s">
        <v>562</v>
      </c>
      <c r="E915" s="704" t="s">
        <v>448</v>
      </c>
      <c r="F915" s="705">
        <v>4.197467029550774E-3</v>
      </c>
      <c r="G915" s="705">
        <v>2.0802013949915836</v>
      </c>
    </row>
    <row r="916" spans="2:7" ht="11.25" hidden="1" customHeight="1" outlineLevel="2" x14ac:dyDescent="0.25">
      <c r="B916" s="704" t="s">
        <v>690</v>
      </c>
      <c r="C916" s="704" t="s">
        <v>740</v>
      </c>
      <c r="D916" s="704" t="s">
        <v>562</v>
      </c>
      <c r="E916" s="704" t="s">
        <v>448</v>
      </c>
      <c r="F916" s="705">
        <v>9.9887392137490025E-2</v>
      </c>
      <c r="G916" s="705">
        <v>49.500837797235441</v>
      </c>
    </row>
    <row r="917" spans="2:7" ht="11.25" hidden="1" customHeight="1" outlineLevel="2" x14ac:dyDescent="0.25">
      <c r="B917" s="704" t="s">
        <v>691</v>
      </c>
      <c r="C917" s="704" t="s">
        <v>740</v>
      </c>
      <c r="D917" s="704" t="s">
        <v>562</v>
      </c>
      <c r="E917" s="704" t="s">
        <v>448</v>
      </c>
      <c r="F917" s="705">
        <v>7.6304440369809129E-2</v>
      </c>
      <c r="G917" s="705">
        <v>37.813999433017415</v>
      </c>
    </row>
    <row r="918" spans="2:7" ht="11.25" hidden="1" customHeight="1" outlineLevel="2" x14ac:dyDescent="0.25">
      <c r="B918" s="704" t="s">
        <v>692</v>
      </c>
      <c r="C918" s="704" t="s">
        <v>740</v>
      </c>
      <c r="D918" s="704" t="s">
        <v>562</v>
      </c>
      <c r="E918" s="704" t="s">
        <v>448</v>
      </c>
      <c r="F918" s="705">
        <v>8.9569829503893146E-3</v>
      </c>
      <c r="G918" s="705">
        <v>4.4387925046226124</v>
      </c>
    </row>
    <row r="919" spans="2:7" ht="11.25" hidden="1" customHeight="1" outlineLevel="2" x14ac:dyDescent="0.25">
      <c r="B919" s="704" t="s">
        <v>693</v>
      </c>
      <c r="C919" s="704" t="s">
        <v>740</v>
      </c>
      <c r="D919" s="704" t="s">
        <v>562</v>
      </c>
      <c r="E919" s="704" t="s">
        <v>448</v>
      </c>
      <c r="F919" s="705">
        <v>4.082007380452779E-3</v>
      </c>
      <c r="G919" s="705">
        <v>2.0227394610086709</v>
      </c>
    </row>
    <row r="920" spans="2:7" ht="11.25" hidden="1" customHeight="1" outlineLevel="2" x14ac:dyDescent="0.25">
      <c r="B920" s="704" t="s">
        <v>694</v>
      </c>
      <c r="C920" s="704" t="s">
        <v>740</v>
      </c>
      <c r="D920" s="704" t="s">
        <v>562</v>
      </c>
      <c r="E920" s="704" t="s">
        <v>448</v>
      </c>
      <c r="F920" s="705">
        <v>1.7008359952360049E-3</v>
      </c>
      <c r="G920" s="705">
        <v>0.84280747753791596</v>
      </c>
    </row>
    <row r="921" spans="2:7" ht="11.25" hidden="1" customHeight="1" outlineLevel="2" x14ac:dyDescent="0.25">
      <c r="B921" s="704" t="s">
        <v>695</v>
      </c>
      <c r="C921" s="704" t="s">
        <v>740</v>
      </c>
      <c r="D921" s="704" t="s">
        <v>562</v>
      </c>
      <c r="E921" s="704" t="s">
        <v>448</v>
      </c>
      <c r="F921" s="705">
        <v>7.5970688631559558E-3</v>
      </c>
      <c r="G921" s="705">
        <v>3.7645429265481249</v>
      </c>
    </row>
    <row r="922" spans="2:7" ht="11.25" hidden="1" customHeight="1" outlineLevel="2" x14ac:dyDescent="0.25">
      <c r="B922" s="704" t="s">
        <v>696</v>
      </c>
      <c r="C922" s="704" t="s">
        <v>740</v>
      </c>
      <c r="D922" s="704" t="s">
        <v>562</v>
      </c>
      <c r="E922" s="704" t="s">
        <v>448</v>
      </c>
      <c r="F922" s="705">
        <v>1.7121750038614301E-2</v>
      </c>
      <c r="G922" s="705">
        <v>8.4842771081972685</v>
      </c>
    </row>
    <row r="923" spans="2:7" ht="11.25" hidden="1" customHeight="1" outlineLevel="2" x14ac:dyDescent="0.25">
      <c r="B923" s="704" t="s">
        <v>697</v>
      </c>
      <c r="C923" s="704" t="s">
        <v>740</v>
      </c>
      <c r="D923" s="704" t="s">
        <v>562</v>
      </c>
      <c r="E923" s="704" t="s">
        <v>448</v>
      </c>
      <c r="F923" s="705">
        <v>1.4853962678633991E-2</v>
      </c>
      <c r="G923" s="705">
        <v>7.3605295088915534</v>
      </c>
    </row>
    <row r="924" spans="2:7" ht="11.25" hidden="1" customHeight="1" outlineLevel="2" x14ac:dyDescent="0.25">
      <c r="B924" s="704" t="s">
        <v>698</v>
      </c>
      <c r="C924" s="704" t="s">
        <v>740</v>
      </c>
      <c r="D924" s="704" t="s">
        <v>562</v>
      </c>
      <c r="E924" s="704" t="s">
        <v>448</v>
      </c>
      <c r="F924" s="705">
        <v>9.2979034095624843E-3</v>
      </c>
      <c r="G924" s="705">
        <v>4.6073462309468267</v>
      </c>
    </row>
    <row r="925" spans="2:7" ht="11.25" hidden="1" customHeight="1" outlineLevel="2" x14ac:dyDescent="0.25">
      <c r="B925" s="704" t="s">
        <v>699</v>
      </c>
      <c r="C925" s="704" t="s">
        <v>740</v>
      </c>
      <c r="D925" s="704" t="s">
        <v>562</v>
      </c>
      <c r="E925" s="704" t="s">
        <v>448</v>
      </c>
      <c r="F925" s="705">
        <v>7.2109381319057142E-2</v>
      </c>
      <c r="G925" s="705">
        <v>35.735070784261353</v>
      </c>
    </row>
    <row r="926" spans="2:7" ht="11.25" hidden="1" customHeight="1" outlineLevel="2" x14ac:dyDescent="0.25">
      <c r="B926" s="704" t="s">
        <v>673</v>
      </c>
      <c r="C926" s="704" t="s">
        <v>741</v>
      </c>
      <c r="D926" s="704" t="s">
        <v>562</v>
      </c>
      <c r="E926" s="704" t="s">
        <v>448</v>
      </c>
      <c r="F926" s="705">
        <v>4.7095798836008729E-2</v>
      </c>
      <c r="G926" s="705">
        <v>24.366114974648408</v>
      </c>
    </row>
    <row r="927" spans="2:7" ht="11.25" hidden="1" customHeight="1" outlineLevel="2" x14ac:dyDescent="0.25">
      <c r="B927" s="704" t="s">
        <v>677</v>
      </c>
      <c r="C927" s="704" t="s">
        <v>741</v>
      </c>
      <c r="D927" s="704" t="s">
        <v>562</v>
      </c>
      <c r="E927" s="704" t="s">
        <v>448</v>
      </c>
      <c r="F927" s="705">
        <v>0.47824071431139598</v>
      </c>
      <c r="G927" s="705">
        <v>247.03471866380158</v>
      </c>
    </row>
    <row r="928" spans="2:7" ht="11.25" hidden="1" customHeight="1" outlineLevel="2" x14ac:dyDescent="0.25">
      <c r="B928" s="704" t="s">
        <v>678</v>
      </c>
      <c r="C928" s="704" t="s">
        <v>741</v>
      </c>
      <c r="D928" s="704" t="s">
        <v>562</v>
      </c>
      <c r="E928" s="704" t="s">
        <v>448</v>
      </c>
      <c r="F928" s="705">
        <v>0.73028567078512452</v>
      </c>
      <c r="G928" s="705">
        <v>383.79431954510562</v>
      </c>
    </row>
    <row r="929" spans="2:7" ht="11.25" hidden="1" customHeight="1" outlineLevel="2" x14ac:dyDescent="0.25">
      <c r="B929" s="704" t="s">
        <v>679</v>
      </c>
      <c r="C929" s="704" t="s">
        <v>741</v>
      </c>
      <c r="D929" s="704" t="s">
        <v>562</v>
      </c>
      <c r="E929" s="704" t="s">
        <v>448</v>
      </c>
      <c r="F929" s="705">
        <v>2.6806126766458025E-2</v>
      </c>
      <c r="G929" s="705">
        <v>13.869927540116496</v>
      </c>
    </row>
    <row r="930" spans="2:7" ht="11.25" hidden="1" customHeight="1" outlineLevel="2" x14ac:dyDescent="0.25">
      <c r="B930" s="704" t="s">
        <v>680</v>
      </c>
      <c r="C930" s="704" t="s">
        <v>741</v>
      </c>
      <c r="D930" s="704" t="s">
        <v>562</v>
      </c>
      <c r="E930" s="704" t="s">
        <v>448</v>
      </c>
      <c r="F930" s="705">
        <v>1.8838312089448316E-2</v>
      </c>
      <c r="G930" s="705">
        <v>9.7464418882401169</v>
      </c>
    </row>
    <row r="931" spans="2:7" ht="11.25" hidden="1" customHeight="1" outlineLevel="2" x14ac:dyDescent="0.25">
      <c r="B931" s="704" t="s">
        <v>681</v>
      </c>
      <c r="C931" s="704" t="s">
        <v>741</v>
      </c>
      <c r="D931" s="704" t="s">
        <v>562</v>
      </c>
      <c r="E931" s="704" t="s">
        <v>448</v>
      </c>
      <c r="F931" s="705">
        <v>0.12026536024038474</v>
      </c>
      <c r="G931" s="705">
        <v>62.227238801992343</v>
      </c>
    </row>
    <row r="932" spans="2:7" ht="11.25" hidden="1" customHeight="1" outlineLevel="2" x14ac:dyDescent="0.25">
      <c r="B932" s="704" t="s">
        <v>682</v>
      </c>
      <c r="C932" s="704" t="s">
        <v>741</v>
      </c>
      <c r="D932" s="704" t="s">
        <v>562</v>
      </c>
      <c r="E932" s="704" t="s">
        <v>448</v>
      </c>
      <c r="F932" s="705">
        <v>4.6367351102704658E-2</v>
      </c>
      <c r="G932" s="705">
        <v>23.991243873084002</v>
      </c>
    </row>
    <row r="933" spans="2:7" ht="11.25" hidden="1" customHeight="1" outlineLevel="2" x14ac:dyDescent="0.25">
      <c r="B933" s="704" t="s">
        <v>683</v>
      </c>
      <c r="C933" s="704" t="s">
        <v>741</v>
      </c>
      <c r="D933" s="704" t="s">
        <v>562</v>
      </c>
      <c r="E933" s="704" t="s">
        <v>448</v>
      </c>
      <c r="F933" s="705">
        <v>5.5061227858682352E-2</v>
      </c>
      <c r="G933" s="705">
        <v>28.489598884659827</v>
      </c>
    </row>
    <row r="934" spans="2:7" ht="11.25" hidden="1" customHeight="1" outlineLevel="2" x14ac:dyDescent="0.25">
      <c r="B934" s="704" t="s">
        <v>684</v>
      </c>
      <c r="C934" s="704" t="s">
        <v>741</v>
      </c>
      <c r="D934" s="704" t="s">
        <v>562</v>
      </c>
      <c r="E934" s="704" t="s">
        <v>448</v>
      </c>
      <c r="F934" s="705">
        <v>3.4053908643260168E-2</v>
      </c>
      <c r="G934" s="705">
        <v>17.618550520440692</v>
      </c>
    </row>
    <row r="935" spans="2:7" ht="11.25" hidden="1" customHeight="1" outlineLevel="2" x14ac:dyDescent="0.25">
      <c r="B935" s="704" t="s">
        <v>685</v>
      </c>
      <c r="C935" s="704" t="s">
        <v>741</v>
      </c>
      <c r="D935" s="704" t="s">
        <v>562</v>
      </c>
      <c r="E935" s="704" t="s">
        <v>448</v>
      </c>
      <c r="F935" s="705">
        <v>0.16953059311605337</v>
      </c>
      <c r="G935" s="705">
        <v>87.717933652295898</v>
      </c>
    </row>
    <row r="936" spans="2:7" ht="11.25" hidden="1" customHeight="1" outlineLevel="2" x14ac:dyDescent="0.25">
      <c r="B936" s="704" t="s">
        <v>686</v>
      </c>
      <c r="C936" s="704" t="s">
        <v>741</v>
      </c>
      <c r="D936" s="704" t="s">
        <v>562</v>
      </c>
      <c r="E936" s="704" t="s">
        <v>448</v>
      </c>
      <c r="F936" s="705">
        <v>2.5359284373134679E-2</v>
      </c>
      <c r="G936" s="705">
        <v>13.120213711142764</v>
      </c>
    </row>
    <row r="937" spans="2:7" ht="11.25" hidden="1" customHeight="1" outlineLevel="2" x14ac:dyDescent="0.25">
      <c r="B937" s="704" t="s">
        <v>687</v>
      </c>
      <c r="C937" s="704" t="s">
        <v>741</v>
      </c>
      <c r="D937" s="704" t="s">
        <v>562</v>
      </c>
      <c r="E937" s="704" t="s">
        <v>448</v>
      </c>
      <c r="F937" s="705">
        <v>0.16301022934064394</v>
      </c>
      <c r="G937" s="705">
        <v>84.344238214335633</v>
      </c>
    </row>
    <row r="938" spans="2:7" ht="11.25" hidden="1" customHeight="1" outlineLevel="2" x14ac:dyDescent="0.25">
      <c r="B938" s="704" t="s">
        <v>688</v>
      </c>
      <c r="C938" s="704" t="s">
        <v>741</v>
      </c>
      <c r="D938" s="704" t="s">
        <v>562</v>
      </c>
      <c r="E938" s="704" t="s">
        <v>448</v>
      </c>
      <c r="F938" s="705">
        <v>0.43324512348042482</v>
      </c>
      <c r="G938" s="705">
        <v>224.16789432742456</v>
      </c>
    </row>
    <row r="939" spans="2:7" ht="11.25" hidden="1" customHeight="1" outlineLevel="2" x14ac:dyDescent="0.25">
      <c r="B939" s="704" t="s">
        <v>689</v>
      </c>
      <c r="C939" s="704" t="s">
        <v>741</v>
      </c>
      <c r="D939" s="704" t="s">
        <v>562</v>
      </c>
      <c r="E939" s="704" t="s">
        <v>448</v>
      </c>
      <c r="F939" s="705">
        <v>2.6821603057754256E-2</v>
      </c>
      <c r="G939" s="705">
        <v>13.878436626532737</v>
      </c>
    </row>
    <row r="940" spans="2:7" ht="11.25" hidden="1" customHeight="1" outlineLevel="2" x14ac:dyDescent="0.25">
      <c r="B940" s="704" t="s">
        <v>690</v>
      </c>
      <c r="C940" s="704" t="s">
        <v>741</v>
      </c>
      <c r="D940" s="704" t="s">
        <v>562</v>
      </c>
      <c r="E940" s="704" t="s">
        <v>448</v>
      </c>
      <c r="F940" s="705">
        <v>0.63827576985098367</v>
      </c>
      <c r="G940" s="705">
        <v>330.25435579954865</v>
      </c>
    </row>
    <row r="941" spans="2:7" ht="11.25" hidden="1" customHeight="1" outlineLevel="2" x14ac:dyDescent="0.25">
      <c r="B941" s="704" t="s">
        <v>691</v>
      </c>
      <c r="C941" s="704" t="s">
        <v>741</v>
      </c>
      <c r="D941" s="704" t="s">
        <v>562</v>
      </c>
      <c r="E941" s="704" t="s">
        <v>448</v>
      </c>
      <c r="F941" s="705">
        <v>0.4875815242652749</v>
      </c>
      <c r="G941" s="705">
        <v>252.28274321037858</v>
      </c>
    </row>
    <row r="942" spans="2:7" ht="11.25" hidden="1" customHeight="1" outlineLevel="2" x14ac:dyDescent="0.25">
      <c r="B942" s="704" t="s">
        <v>692</v>
      </c>
      <c r="C942" s="704" t="s">
        <v>741</v>
      </c>
      <c r="D942" s="704" t="s">
        <v>562</v>
      </c>
      <c r="E942" s="704" t="s">
        <v>448</v>
      </c>
      <c r="F942" s="705">
        <v>5.7234713543070269E-2</v>
      </c>
      <c r="G942" s="705">
        <v>29.614182688886988</v>
      </c>
    </row>
    <row r="943" spans="2:7" ht="11.25" hidden="1" customHeight="1" outlineLevel="2" x14ac:dyDescent="0.25">
      <c r="B943" s="704" t="s">
        <v>693</v>
      </c>
      <c r="C943" s="704" t="s">
        <v>741</v>
      </c>
      <c r="D943" s="704" t="s">
        <v>562</v>
      </c>
      <c r="E943" s="704" t="s">
        <v>448</v>
      </c>
      <c r="F943" s="705">
        <v>2.6083822142005067E-2</v>
      </c>
      <c r="G943" s="705">
        <v>13.495074849684986</v>
      </c>
    </row>
    <row r="944" spans="2:7" ht="11.25" hidden="1" customHeight="1" outlineLevel="2" x14ac:dyDescent="0.25">
      <c r="B944" s="704" t="s">
        <v>694</v>
      </c>
      <c r="C944" s="704" t="s">
        <v>741</v>
      </c>
      <c r="D944" s="704" t="s">
        <v>562</v>
      </c>
      <c r="E944" s="704" t="s">
        <v>448</v>
      </c>
      <c r="F944" s="705">
        <v>1.0868257803535075E-2</v>
      </c>
      <c r="G944" s="705">
        <v>5.6229453512803449</v>
      </c>
    </row>
    <row r="945" spans="2:7" ht="11.25" hidden="1" customHeight="1" outlineLevel="2" x14ac:dyDescent="0.25">
      <c r="B945" s="704" t="s">
        <v>695</v>
      </c>
      <c r="C945" s="704" t="s">
        <v>741</v>
      </c>
      <c r="D945" s="704" t="s">
        <v>562</v>
      </c>
      <c r="E945" s="704" t="s">
        <v>448</v>
      </c>
      <c r="F945" s="705">
        <v>4.8544889193414494E-2</v>
      </c>
      <c r="G945" s="705">
        <v>25.115830670688506</v>
      </c>
    </row>
    <row r="946" spans="2:7" ht="11.25" hidden="1" customHeight="1" outlineLevel="2" x14ac:dyDescent="0.25">
      <c r="B946" s="704" t="s">
        <v>696</v>
      </c>
      <c r="C946" s="704" t="s">
        <v>741</v>
      </c>
      <c r="D946" s="704" t="s">
        <v>562</v>
      </c>
      <c r="E946" s="704" t="s">
        <v>448</v>
      </c>
      <c r="F946" s="705">
        <v>0.10940713689246438</v>
      </c>
      <c r="G946" s="705">
        <v>56.60431434455775</v>
      </c>
    </row>
    <row r="947" spans="2:7" ht="11.25" hidden="1" customHeight="1" outlineLevel="2" x14ac:dyDescent="0.25">
      <c r="B947" s="704" t="s">
        <v>697</v>
      </c>
      <c r="C947" s="704" t="s">
        <v>741</v>
      </c>
      <c r="D947" s="704" t="s">
        <v>562</v>
      </c>
      <c r="E947" s="704" t="s">
        <v>448</v>
      </c>
      <c r="F947" s="705">
        <v>9.4916121297656308E-2</v>
      </c>
      <c r="G947" s="705">
        <v>49.107068082036555</v>
      </c>
    </row>
    <row r="948" spans="2:7" ht="11.25" hidden="1" customHeight="1" outlineLevel="2" x14ac:dyDescent="0.25">
      <c r="B948" s="704" t="s">
        <v>698</v>
      </c>
      <c r="C948" s="704" t="s">
        <v>741</v>
      </c>
      <c r="D948" s="704" t="s">
        <v>562</v>
      </c>
      <c r="E948" s="704" t="s">
        <v>448</v>
      </c>
      <c r="F948" s="705">
        <v>5.9413151896731416E-2</v>
      </c>
      <c r="G948" s="705">
        <v>30.738774838759589</v>
      </c>
    </row>
    <row r="949" spans="2:7" ht="11.25" hidden="1" customHeight="1" outlineLevel="2" x14ac:dyDescent="0.25">
      <c r="B949" s="704" t="s">
        <v>699</v>
      </c>
      <c r="C949" s="704" t="s">
        <v>741</v>
      </c>
      <c r="D949" s="704" t="s">
        <v>562</v>
      </c>
      <c r="E949" s="704" t="s">
        <v>448</v>
      </c>
      <c r="F949" s="705">
        <v>0.46077539801993883</v>
      </c>
      <c r="G949" s="705">
        <v>238.41295507060883</v>
      </c>
    </row>
    <row r="950" spans="2:7" ht="11.25" hidden="1" customHeight="1" outlineLevel="2" x14ac:dyDescent="0.25">
      <c r="B950" s="704" t="s">
        <v>673</v>
      </c>
      <c r="C950" s="704" t="s">
        <v>742</v>
      </c>
      <c r="D950" s="704" t="s">
        <v>562</v>
      </c>
      <c r="E950" s="704" t="s">
        <v>448</v>
      </c>
      <c r="F950" s="705">
        <v>2.0963845222397574E-5</v>
      </c>
      <c r="G950" s="705">
        <v>9.3972635242634012E-3</v>
      </c>
    </row>
    <row r="951" spans="2:7" ht="11.25" hidden="1" customHeight="1" outlineLevel="2" x14ac:dyDescent="0.25">
      <c r="B951" s="704" t="s">
        <v>677</v>
      </c>
      <c r="C951" s="704" t="s">
        <v>742</v>
      </c>
      <c r="D951" s="704" t="s">
        <v>562</v>
      </c>
      <c r="E951" s="704" t="s">
        <v>448</v>
      </c>
      <c r="F951" s="705">
        <v>2.1288030916054792E-4</v>
      </c>
      <c r="G951" s="705">
        <v>9.5273825633411871E-2</v>
      </c>
    </row>
    <row r="952" spans="2:7" ht="11.25" hidden="1" customHeight="1" outlineLevel="2" x14ac:dyDescent="0.25">
      <c r="B952" s="704" t="s">
        <v>678</v>
      </c>
      <c r="C952" s="704" t="s">
        <v>742</v>
      </c>
      <c r="D952" s="704" t="s">
        <v>562</v>
      </c>
      <c r="E952" s="704" t="s">
        <v>448</v>
      </c>
      <c r="F952" s="705">
        <v>3.3018083893596178E-4</v>
      </c>
      <c r="G952" s="705">
        <v>0.14572982938756895</v>
      </c>
    </row>
    <row r="953" spans="2:7" ht="11.25" hidden="1" customHeight="1" outlineLevel="2" x14ac:dyDescent="0.25">
      <c r="B953" s="704" t="s">
        <v>679</v>
      </c>
      <c r="C953" s="704" t="s">
        <v>742</v>
      </c>
      <c r="D953" s="704" t="s">
        <v>562</v>
      </c>
      <c r="E953" s="704" t="s">
        <v>448</v>
      </c>
      <c r="F953" s="705">
        <v>1.193226579127512E-5</v>
      </c>
      <c r="G953" s="705">
        <v>5.3492103383926005E-3</v>
      </c>
    </row>
    <row r="954" spans="2:7" ht="11.25" hidden="1" customHeight="1" outlineLevel="2" x14ac:dyDescent="0.25">
      <c r="B954" s="704" t="s">
        <v>680</v>
      </c>
      <c r="C954" s="704" t="s">
        <v>742</v>
      </c>
      <c r="D954" s="704" t="s">
        <v>562</v>
      </c>
      <c r="E954" s="704" t="s">
        <v>448</v>
      </c>
      <c r="F954" s="705">
        <v>8.3855421990795591E-6</v>
      </c>
      <c r="G954" s="705">
        <v>3.7589049637673428E-3</v>
      </c>
    </row>
    <row r="955" spans="2:7" ht="11.25" hidden="1" customHeight="1" outlineLevel="2" x14ac:dyDescent="0.25">
      <c r="B955" s="704" t="s">
        <v>681</v>
      </c>
      <c r="C955" s="704" t="s">
        <v>742</v>
      </c>
      <c r="D955" s="704" t="s">
        <v>562</v>
      </c>
      <c r="E955" s="704" t="s">
        <v>448</v>
      </c>
      <c r="F955" s="706">
        <v>5.3533971759393667E-5</v>
      </c>
      <c r="G955" s="705">
        <v>2.3999181208591697E-2</v>
      </c>
    </row>
    <row r="956" spans="2:7" ht="11.25" hidden="1" customHeight="1" outlineLevel="2" x14ac:dyDescent="0.25">
      <c r="B956" s="704" t="s">
        <v>682</v>
      </c>
      <c r="C956" s="704" t="s">
        <v>742</v>
      </c>
      <c r="D956" s="704" t="s">
        <v>562</v>
      </c>
      <c r="E956" s="704" t="s">
        <v>448</v>
      </c>
      <c r="F956" s="706">
        <v>2.0639596932865348E-5</v>
      </c>
      <c r="G956" s="705">
        <v>9.2526803380129745E-3</v>
      </c>
    </row>
    <row r="957" spans="2:7" ht="11.25" hidden="1" customHeight="1" outlineLevel="2" x14ac:dyDescent="0.25">
      <c r="B957" s="704" t="s">
        <v>683</v>
      </c>
      <c r="C957" s="704" t="s">
        <v>742</v>
      </c>
      <c r="D957" s="704" t="s">
        <v>562</v>
      </c>
      <c r="E957" s="704" t="s">
        <v>448</v>
      </c>
      <c r="F957" s="706">
        <v>2.4509524654466707E-5</v>
      </c>
      <c r="G957" s="705">
        <v>1.0987585180172909E-2</v>
      </c>
    </row>
    <row r="958" spans="2:7" ht="11.25" hidden="1" customHeight="1" outlineLevel="2" x14ac:dyDescent="0.25">
      <c r="B958" s="704" t="s">
        <v>684</v>
      </c>
      <c r="C958" s="704" t="s">
        <v>742</v>
      </c>
      <c r="D958" s="704" t="s">
        <v>562</v>
      </c>
      <c r="E958" s="704" t="s">
        <v>448</v>
      </c>
      <c r="F958" s="706">
        <v>1.5158470249126388E-5</v>
      </c>
      <c r="G958" s="705">
        <v>6.7949492678398568E-3</v>
      </c>
    </row>
    <row r="959" spans="2:7" ht="11.25" hidden="1" customHeight="1" outlineLevel="2" x14ac:dyDescent="0.25">
      <c r="B959" s="704" t="s">
        <v>685</v>
      </c>
      <c r="C959" s="704" t="s">
        <v>742</v>
      </c>
      <c r="D959" s="704" t="s">
        <v>562</v>
      </c>
      <c r="E959" s="704" t="s">
        <v>448</v>
      </c>
      <c r="F959" s="706">
        <v>7.5463544015662737E-5</v>
      </c>
      <c r="G959" s="705">
        <v>3.3830153933795341E-2</v>
      </c>
    </row>
    <row r="960" spans="2:7" ht="11.25" hidden="1" customHeight="1" outlineLevel="2" x14ac:dyDescent="0.25">
      <c r="B960" s="704" t="s">
        <v>686</v>
      </c>
      <c r="C960" s="704" t="s">
        <v>742</v>
      </c>
      <c r="D960" s="704" t="s">
        <v>562</v>
      </c>
      <c r="E960" s="704" t="s">
        <v>448</v>
      </c>
      <c r="F960" s="706">
        <v>1.1288222090369281E-5</v>
      </c>
      <c r="G960" s="705">
        <v>5.0600634642477124E-3</v>
      </c>
    </row>
    <row r="961" spans="2:7" ht="11.25" hidden="1" customHeight="1" outlineLevel="2" x14ac:dyDescent="0.25">
      <c r="B961" s="704" t="s">
        <v>687</v>
      </c>
      <c r="C961" s="704" t="s">
        <v>742</v>
      </c>
      <c r="D961" s="704" t="s">
        <v>562</v>
      </c>
      <c r="E961" s="704" t="s">
        <v>448</v>
      </c>
      <c r="F961" s="706">
        <v>7.2561067701919861E-5</v>
      </c>
      <c r="G961" s="705">
        <v>3.2528965415809977E-2</v>
      </c>
    </row>
    <row r="962" spans="2:7" ht="11.25" hidden="1" customHeight="1" outlineLevel="2" x14ac:dyDescent="0.25">
      <c r="B962" s="704" t="s">
        <v>688</v>
      </c>
      <c r="C962" s="704" t="s">
        <v>742</v>
      </c>
      <c r="D962" s="704" t="s">
        <v>562</v>
      </c>
      <c r="E962" s="704" t="s">
        <v>448</v>
      </c>
      <c r="F962" s="706">
        <v>1.9285126535993871E-4</v>
      </c>
      <c r="G962" s="705">
        <v>8.6454807736710465E-2</v>
      </c>
    </row>
    <row r="963" spans="2:7" ht="11.25" hidden="1" customHeight="1" outlineLevel="2" x14ac:dyDescent="0.25">
      <c r="B963" s="704" t="s">
        <v>689</v>
      </c>
      <c r="C963" s="704" t="s">
        <v>742</v>
      </c>
      <c r="D963" s="704" t="s">
        <v>562</v>
      </c>
      <c r="E963" s="704" t="s">
        <v>448</v>
      </c>
      <c r="F963" s="706">
        <v>1.1939158374912438E-5</v>
      </c>
      <c r="G963" s="705">
        <v>5.352493195413777E-3</v>
      </c>
    </row>
    <row r="964" spans="2:7" ht="11.25" hidden="1" customHeight="1" outlineLevel="2" x14ac:dyDescent="0.25">
      <c r="B964" s="704" t="s">
        <v>690</v>
      </c>
      <c r="C964" s="704" t="s">
        <v>742</v>
      </c>
      <c r="D964" s="704" t="s">
        <v>562</v>
      </c>
      <c r="E964" s="704" t="s">
        <v>448</v>
      </c>
      <c r="F964" s="706">
        <v>2.8411679710834754E-4</v>
      </c>
      <c r="G964" s="705">
        <v>0.12736891840574346</v>
      </c>
    </row>
    <row r="965" spans="2:7" ht="11.25" hidden="1" customHeight="1" outlineLevel="2" x14ac:dyDescent="0.25">
      <c r="B965" s="704" t="s">
        <v>691</v>
      </c>
      <c r="C965" s="704" t="s">
        <v>742</v>
      </c>
      <c r="D965" s="704" t="s">
        <v>562</v>
      </c>
      <c r="E965" s="704" t="s">
        <v>448</v>
      </c>
      <c r="F965" s="706">
        <v>2.1703821382478786E-4</v>
      </c>
      <c r="G965" s="705">
        <v>9.7297832973537959E-2</v>
      </c>
    </row>
    <row r="966" spans="2:7" ht="11.25" hidden="1" customHeight="1" outlineLevel="2" x14ac:dyDescent="0.25">
      <c r="B966" s="704" t="s">
        <v>692</v>
      </c>
      <c r="C966" s="704" t="s">
        <v>742</v>
      </c>
      <c r="D966" s="704" t="s">
        <v>562</v>
      </c>
      <c r="E966" s="704" t="s">
        <v>448</v>
      </c>
      <c r="F966" s="706">
        <v>2.5477006676748293E-5</v>
      </c>
      <c r="G966" s="705">
        <v>1.1421290353531734E-2</v>
      </c>
    </row>
    <row r="967" spans="2:7" ht="11.25" hidden="1" customHeight="1" outlineLevel="2" x14ac:dyDescent="0.25">
      <c r="B967" s="704" t="s">
        <v>693</v>
      </c>
      <c r="C967" s="704" t="s">
        <v>742</v>
      </c>
      <c r="D967" s="704" t="s">
        <v>562</v>
      </c>
      <c r="E967" s="704" t="s">
        <v>448</v>
      </c>
      <c r="F967" s="706">
        <v>1.161074552443623E-5</v>
      </c>
      <c r="G967" s="705">
        <v>5.2046318764360231E-3</v>
      </c>
    </row>
    <row r="968" spans="2:7" ht="11.25" hidden="1" customHeight="1" outlineLevel="2" x14ac:dyDescent="0.25">
      <c r="B968" s="704" t="s">
        <v>694</v>
      </c>
      <c r="C968" s="704" t="s">
        <v>742</v>
      </c>
      <c r="D968" s="704" t="s">
        <v>562</v>
      </c>
      <c r="E968" s="704" t="s">
        <v>448</v>
      </c>
      <c r="F968" s="706">
        <v>4.8378129390999237E-6</v>
      </c>
      <c r="G968" s="705">
        <v>2.1685980479515974E-3</v>
      </c>
    </row>
    <row r="969" spans="2:7" ht="11.25" hidden="1" customHeight="1" outlineLevel="2" x14ac:dyDescent="0.25">
      <c r="B969" s="704" t="s">
        <v>695</v>
      </c>
      <c r="C969" s="704" t="s">
        <v>742</v>
      </c>
      <c r="D969" s="704" t="s">
        <v>562</v>
      </c>
      <c r="E969" s="704" t="s">
        <v>448</v>
      </c>
      <c r="F969" s="706">
        <v>2.1608890714879187E-5</v>
      </c>
      <c r="G969" s="705">
        <v>9.68640521879407E-3</v>
      </c>
    </row>
    <row r="970" spans="2:7" ht="11.25" hidden="1" customHeight="1" outlineLevel="2" x14ac:dyDescent="0.25">
      <c r="B970" s="704" t="s">
        <v>696</v>
      </c>
      <c r="C970" s="704" t="s">
        <v>742</v>
      </c>
      <c r="D970" s="704" t="s">
        <v>562</v>
      </c>
      <c r="E970" s="704" t="s">
        <v>448</v>
      </c>
      <c r="F970" s="706">
        <v>4.8700624500488179E-5</v>
      </c>
      <c r="G970" s="705">
        <v>2.1830561583907608E-2</v>
      </c>
    </row>
    <row r="971" spans="2:7" ht="11.25" hidden="1" customHeight="1" outlineLevel="2" x14ac:dyDescent="0.25">
      <c r="B971" s="704" t="s">
        <v>697</v>
      </c>
      <c r="C971" s="704" t="s">
        <v>742</v>
      </c>
      <c r="D971" s="704" t="s">
        <v>562</v>
      </c>
      <c r="E971" s="704" t="s">
        <v>448</v>
      </c>
      <c r="F971" s="706">
        <v>4.2250214331710654E-5</v>
      </c>
      <c r="G971" s="705">
        <v>1.8939094609985139E-2</v>
      </c>
    </row>
    <row r="972" spans="2:7" ht="11.25" hidden="1" customHeight="1" outlineLevel="2" x14ac:dyDescent="0.25">
      <c r="B972" s="704" t="s">
        <v>698</v>
      </c>
      <c r="C972" s="704" t="s">
        <v>742</v>
      </c>
      <c r="D972" s="704" t="s">
        <v>562</v>
      </c>
      <c r="E972" s="704" t="s">
        <v>448</v>
      </c>
      <c r="F972" s="706">
        <v>2.6446697550729947E-5</v>
      </c>
      <c r="G972" s="705">
        <v>1.1855017342523061E-2</v>
      </c>
    </row>
    <row r="973" spans="2:7" ht="11.25" hidden="1" customHeight="1" outlineLevel="2" x14ac:dyDescent="0.25">
      <c r="B973" s="704" t="s">
        <v>699</v>
      </c>
      <c r="C973" s="704" t="s">
        <v>742</v>
      </c>
      <c r="D973" s="704" t="s">
        <v>562</v>
      </c>
      <c r="E973" s="704" t="s">
        <v>448</v>
      </c>
      <c r="F973" s="706">
        <v>2.0510602594091495E-4</v>
      </c>
      <c r="G973" s="705">
        <v>9.1948527770279481E-2</v>
      </c>
    </row>
    <row r="974" spans="2:7" ht="11.25" hidden="1" customHeight="1" outlineLevel="2" x14ac:dyDescent="0.25">
      <c r="B974" s="704" t="s">
        <v>673</v>
      </c>
      <c r="C974" s="704" t="s">
        <v>743</v>
      </c>
      <c r="D974" s="704" t="s">
        <v>562</v>
      </c>
      <c r="E974" s="704" t="s">
        <v>448</v>
      </c>
      <c r="F974" s="706">
        <v>3.2986222814138008E-4</v>
      </c>
      <c r="G974" s="705">
        <v>0.14786407801371526</v>
      </c>
    </row>
    <row r="975" spans="2:7" ht="11.25" hidden="1" customHeight="1" outlineLevel="2" x14ac:dyDescent="0.25">
      <c r="B975" s="704" t="s">
        <v>677</v>
      </c>
      <c r="C975" s="704" t="s">
        <v>743</v>
      </c>
      <c r="D975" s="704" t="s">
        <v>562</v>
      </c>
      <c r="E975" s="704" t="s">
        <v>448</v>
      </c>
      <c r="F975" s="706">
        <v>3.349630970233909E-3</v>
      </c>
      <c r="G975" s="705">
        <v>1.4991143732323027</v>
      </c>
    </row>
    <row r="976" spans="2:7" ht="11.25" hidden="1" customHeight="1" outlineLevel="2" x14ac:dyDescent="0.25">
      <c r="B976" s="704" t="s">
        <v>678</v>
      </c>
      <c r="C976" s="704" t="s">
        <v>743</v>
      </c>
      <c r="D976" s="704" t="s">
        <v>562</v>
      </c>
      <c r="E976" s="704" t="s">
        <v>448</v>
      </c>
      <c r="F976" s="706">
        <v>5.1149736432730773E-3</v>
      </c>
      <c r="G976" s="705">
        <v>2.2930323379367263</v>
      </c>
    </row>
    <row r="977" spans="2:7" ht="11.25" hidden="1" customHeight="1" outlineLevel="2" x14ac:dyDescent="0.25">
      <c r="B977" s="704" t="s">
        <v>679</v>
      </c>
      <c r="C977" s="704" t="s">
        <v>743</v>
      </c>
      <c r="D977" s="704" t="s">
        <v>562</v>
      </c>
      <c r="E977" s="704" t="s">
        <v>448</v>
      </c>
      <c r="F977" s="706">
        <v>1.877519169457515E-4</v>
      </c>
      <c r="G977" s="705">
        <v>8.4168909063771877E-2</v>
      </c>
    </row>
    <row r="978" spans="2:7" ht="11.25" hidden="1" customHeight="1" outlineLevel="2" x14ac:dyDescent="0.25">
      <c r="B978" s="704" t="s">
        <v>680</v>
      </c>
      <c r="C978" s="704" t="s">
        <v>743</v>
      </c>
      <c r="D978" s="704" t="s">
        <v>562</v>
      </c>
      <c r="E978" s="704" t="s">
        <v>448</v>
      </c>
      <c r="F978" s="706">
        <v>1.3194488672716551E-4</v>
      </c>
      <c r="G978" s="705">
        <v>5.9145587268922648E-2</v>
      </c>
    </row>
    <row r="979" spans="2:7" ht="11.25" hidden="1" customHeight="1" outlineLevel="2" x14ac:dyDescent="0.25">
      <c r="B979" s="704" t="s">
        <v>681</v>
      </c>
      <c r="C979" s="704" t="s">
        <v>743</v>
      </c>
      <c r="D979" s="704" t="s">
        <v>562</v>
      </c>
      <c r="E979" s="704" t="s">
        <v>448</v>
      </c>
      <c r="F979" s="706">
        <v>8.4234641033372522E-4</v>
      </c>
      <c r="G979" s="705">
        <v>0.37762238334466569</v>
      </c>
    </row>
    <row r="980" spans="2:7" ht="11.25" hidden="1" customHeight="1" outlineLevel="2" x14ac:dyDescent="0.25">
      <c r="B980" s="704" t="s">
        <v>682</v>
      </c>
      <c r="C980" s="704" t="s">
        <v>743</v>
      </c>
      <c r="D980" s="704" t="s">
        <v>562</v>
      </c>
      <c r="E980" s="704" t="s">
        <v>448</v>
      </c>
      <c r="F980" s="705">
        <v>3.2476005209238786E-4</v>
      </c>
      <c r="G980" s="705">
        <v>0.14558929967250481</v>
      </c>
    </row>
    <row r="981" spans="2:7" ht="11.25" hidden="1" customHeight="1" outlineLevel="2" x14ac:dyDescent="0.25">
      <c r="B981" s="704" t="s">
        <v>683</v>
      </c>
      <c r="C981" s="704" t="s">
        <v>743</v>
      </c>
      <c r="D981" s="704" t="s">
        <v>562</v>
      </c>
      <c r="E981" s="704" t="s">
        <v>448</v>
      </c>
      <c r="F981" s="705">
        <v>3.8565260945625315E-4</v>
      </c>
      <c r="G981" s="705">
        <v>0.17288721684572575</v>
      </c>
    </row>
    <row r="982" spans="2:7" ht="11.25" hidden="1" customHeight="1" outlineLevel="2" x14ac:dyDescent="0.25">
      <c r="B982" s="704" t="s">
        <v>684</v>
      </c>
      <c r="C982" s="704" t="s">
        <v>743</v>
      </c>
      <c r="D982" s="704" t="s">
        <v>562</v>
      </c>
      <c r="E982" s="704" t="s">
        <v>448</v>
      </c>
      <c r="F982" s="705">
        <v>2.3851567955644995E-4</v>
      </c>
      <c r="G982" s="705">
        <v>0.10691709921297737</v>
      </c>
    </row>
    <row r="983" spans="2:7" ht="11.25" hidden="1" customHeight="1" outlineLevel="2" x14ac:dyDescent="0.25">
      <c r="B983" s="704" t="s">
        <v>685</v>
      </c>
      <c r="C983" s="704" t="s">
        <v>743</v>
      </c>
      <c r="D983" s="704" t="s">
        <v>562</v>
      </c>
      <c r="E983" s="704" t="s">
        <v>448</v>
      </c>
      <c r="F983" s="705">
        <v>1.1874040040779851E-3</v>
      </c>
      <c r="G983" s="705">
        <v>0.53231069499156025</v>
      </c>
    </row>
    <row r="984" spans="2:7" ht="11.25" hidden="1" customHeight="1" outlineLevel="2" x14ac:dyDescent="0.25">
      <c r="B984" s="704" t="s">
        <v>686</v>
      </c>
      <c r="C984" s="704" t="s">
        <v>743</v>
      </c>
      <c r="D984" s="704" t="s">
        <v>562</v>
      </c>
      <c r="E984" s="704" t="s">
        <v>448</v>
      </c>
      <c r="F984" s="705">
        <v>1.7761805677803837E-4</v>
      </c>
      <c r="G984" s="705">
        <v>7.9619164738370565E-2</v>
      </c>
    </row>
    <row r="985" spans="2:7" ht="11.25" hidden="1" customHeight="1" outlineLevel="2" x14ac:dyDescent="0.25">
      <c r="B985" s="704" t="s">
        <v>687</v>
      </c>
      <c r="C985" s="704" t="s">
        <v>743</v>
      </c>
      <c r="D985" s="704" t="s">
        <v>562</v>
      </c>
      <c r="E985" s="704" t="s">
        <v>448</v>
      </c>
      <c r="F985" s="705">
        <v>1.1417342750837532E-3</v>
      </c>
      <c r="G985" s="705">
        <v>0.51183748470087342</v>
      </c>
    </row>
    <row r="986" spans="2:7" ht="11.25" hidden="1" customHeight="1" outlineLevel="2" x14ac:dyDescent="0.25">
      <c r="B986" s="704" t="s">
        <v>688</v>
      </c>
      <c r="C986" s="704" t="s">
        <v>743</v>
      </c>
      <c r="D986" s="704" t="s">
        <v>562</v>
      </c>
      <c r="E986" s="704" t="s">
        <v>448</v>
      </c>
      <c r="F986" s="705">
        <v>3.034475998306065E-3</v>
      </c>
      <c r="G986" s="705">
        <v>1.3603492825938501</v>
      </c>
    </row>
    <row r="987" spans="2:7" ht="11.25" hidden="1" customHeight="1" outlineLevel="2" x14ac:dyDescent="0.25">
      <c r="B987" s="704" t="s">
        <v>689</v>
      </c>
      <c r="C987" s="704" t="s">
        <v>743</v>
      </c>
      <c r="D987" s="704" t="s">
        <v>562</v>
      </c>
      <c r="E987" s="704" t="s">
        <v>448</v>
      </c>
      <c r="F987" s="705">
        <v>1.8786024438956312E-4</v>
      </c>
      <c r="G987" s="705">
        <v>8.422037350880765E-2</v>
      </c>
    </row>
    <row r="988" spans="2:7" ht="11.25" hidden="1" customHeight="1" outlineLevel="2" x14ac:dyDescent="0.25">
      <c r="B988" s="704" t="s">
        <v>690</v>
      </c>
      <c r="C988" s="704" t="s">
        <v>743</v>
      </c>
      <c r="D988" s="704" t="s">
        <v>562</v>
      </c>
      <c r="E988" s="704" t="s">
        <v>448</v>
      </c>
      <c r="F988" s="705">
        <v>4.4705252874168927E-3</v>
      </c>
      <c r="G988" s="705">
        <v>2.0041277201735168</v>
      </c>
    </row>
    <row r="989" spans="2:7" ht="11.25" hidden="1" customHeight="1" outlineLevel="2" x14ac:dyDescent="0.25">
      <c r="B989" s="704" t="s">
        <v>691</v>
      </c>
      <c r="C989" s="704" t="s">
        <v>743</v>
      </c>
      <c r="D989" s="704" t="s">
        <v>562</v>
      </c>
      <c r="E989" s="704" t="s">
        <v>448</v>
      </c>
      <c r="F989" s="705">
        <v>3.4150545834343428E-3</v>
      </c>
      <c r="G989" s="705">
        <v>1.5309618260523825</v>
      </c>
    </row>
    <row r="990" spans="2:7" ht="11.25" hidden="1" customHeight="1" outlineLevel="2" x14ac:dyDescent="0.25">
      <c r="B990" s="704" t="s">
        <v>692</v>
      </c>
      <c r="C990" s="704" t="s">
        <v>743</v>
      </c>
      <c r="D990" s="704" t="s">
        <v>562</v>
      </c>
      <c r="E990" s="704" t="s">
        <v>448</v>
      </c>
      <c r="F990" s="705">
        <v>4.0087562959592051E-4</v>
      </c>
      <c r="G990" s="705">
        <v>0.17971188386085449</v>
      </c>
    </row>
    <row r="991" spans="2:7" ht="11.25" hidden="1" customHeight="1" outlineLevel="2" x14ac:dyDescent="0.25">
      <c r="B991" s="704" t="s">
        <v>693</v>
      </c>
      <c r="C991" s="704" t="s">
        <v>743</v>
      </c>
      <c r="D991" s="704" t="s">
        <v>562</v>
      </c>
      <c r="E991" s="704" t="s">
        <v>448</v>
      </c>
      <c r="F991" s="705">
        <v>1.826929583234267E-4</v>
      </c>
      <c r="G991" s="705">
        <v>8.1893980764602345E-2</v>
      </c>
    </row>
    <row r="992" spans="2:7" ht="11.25" hidden="1" customHeight="1" outlineLevel="2" x14ac:dyDescent="0.25">
      <c r="B992" s="704" t="s">
        <v>694</v>
      </c>
      <c r="C992" s="704" t="s">
        <v>743</v>
      </c>
      <c r="D992" s="704" t="s">
        <v>562</v>
      </c>
      <c r="E992" s="704" t="s">
        <v>448</v>
      </c>
      <c r="F992" s="705">
        <v>7.6122038737023111E-5</v>
      </c>
      <c r="G992" s="705">
        <v>3.4122495654620721E-2</v>
      </c>
    </row>
    <row r="993" spans="2:7" ht="11.25" hidden="1" customHeight="1" outlineLevel="2" x14ac:dyDescent="0.25">
      <c r="B993" s="704" t="s">
        <v>695</v>
      </c>
      <c r="C993" s="704" t="s">
        <v>743</v>
      </c>
      <c r="D993" s="704" t="s">
        <v>562</v>
      </c>
      <c r="E993" s="704" t="s">
        <v>448</v>
      </c>
      <c r="F993" s="705">
        <v>3.4001177154185567E-4</v>
      </c>
      <c r="G993" s="705">
        <v>0.15241382156540048</v>
      </c>
    </row>
    <row r="994" spans="2:7" ht="11.25" hidden="1" customHeight="1" outlineLevel="2" x14ac:dyDescent="0.25">
      <c r="B994" s="704" t="s">
        <v>696</v>
      </c>
      <c r="C994" s="704" t="s">
        <v>743</v>
      </c>
      <c r="D994" s="704" t="s">
        <v>562</v>
      </c>
      <c r="E994" s="704" t="s">
        <v>448</v>
      </c>
      <c r="F994" s="705">
        <v>7.6629490526056827E-4</v>
      </c>
      <c r="G994" s="705">
        <v>0.34349987917286018</v>
      </c>
    </row>
    <row r="995" spans="2:7" ht="11.25" hidden="1" customHeight="1" outlineLevel="2" x14ac:dyDescent="0.25">
      <c r="B995" s="704" t="s">
        <v>697</v>
      </c>
      <c r="C995" s="704" t="s">
        <v>743</v>
      </c>
      <c r="D995" s="704" t="s">
        <v>562</v>
      </c>
      <c r="E995" s="704" t="s">
        <v>448</v>
      </c>
      <c r="F995" s="705">
        <v>6.6479919854277748E-4</v>
      </c>
      <c r="G995" s="705">
        <v>0.29800314517819759</v>
      </c>
    </row>
    <row r="996" spans="2:7" ht="11.25" hidden="1" customHeight="1" outlineLevel="2" x14ac:dyDescent="0.25">
      <c r="B996" s="704" t="s">
        <v>698</v>
      </c>
      <c r="C996" s="704" t="s">
        <v>743</v>
      </c>
      <c r="D996" s="704" t="s">
        <v>562</v>
      </c>
      <c r="E996" s="704" t="s">
        <v>448</v>
      </c>
      <c r="F996" s="705">
        <v>4.1613380245151844E-4</v>
      </c>
      <c r="G996" s="705">
        <v>0.18653625755928072</v>
      </c>
    </row>
    <row r="997" spans="2:7" ht="11.25" hidden="1" customHeight="1" outlineLevel="2" x14ac:dyDescent="0.25">
      <c r="B997" s="704" t="s">
        <v>699</v>
      </c>
      <c r="C997" s="704" t="s">
        <v>743</v>
      </c>
      <c r="D997" s="704" t="s">
        <v>562</v>
      </c>
      <c r="E997" s="704" t="s">
        <v>448</v>
      </c>
      <c r="F997" s="705">
        <v>3.2273026226865057E-3</v>
      </c>
      <c r="G997" s="705">
        <v>1.4467931290374436</v>
      </c>
    </row>
    <row r="998" spans="2:7" ht="11.25" hidden="1" customHeight="1" outlineLevel="2" x14ac:dyDescent="0.25">
      <c r="B998" s="704" t="s">
        <v>673</v>
      </c>
      <c r="C998" s="704" t="s">
        <v>744</v>
      </c>
      <c r="D998" s="704" t="s">
        <v>745</v>
      </c>
      <c r="E998" s="704" t="s">
        <v>448</v>
      </c>
      <c r="F998" s="705">
        <v>3.7180765131007001E-2</v>
      </c>
      <c r="G998" s="705">
        <v>21.499766962332874</v>
      </c>
    </row>
    <row r="999" spans="2:7" ht="11.25" hidden="1" customHeight="1" outlineLevel="2" x14ac:dyDescent="0.25">
      <c r="B999" s="704" t="s">
        <v>677</v>
      </c>
      <c r="C999" s="704" t="s">
        <v>744</v>
      </c>
      <c r="D999" s="704" t="s">
        <v>745</v>
      </c>
      <c r="E999" s="704" t="s">
        <v>448</v>
      </c>
      <c r="F999" s="705">
        <v>3.4073256181683047E-2</v>
      </c>
      <c r="G999" s="705">
        <v>19.671464850963325</v>
      </c>
    </row>
    <row r="1000" spans="2:7" ht="11.25" hidden="1" customHeight="1" outlineLevel="2" x14ac:dyDescent="0.25">
      <c r="B1000" s="704" t="s">
        <v>678</v>
      </c>
      <c r="C1000" s="704" t="s">
        <v>744</v>
      </c>
      <c r="D1000" s="704" t="s">
        <v>745</v>
      </c>
      <c r="E1000" s="704" t="s">
        <v>448</v>
      </c>
      <c r="F1000" s="706">
        <v>1.8938713406446588E-2</v>
      </c>
      <c r="G1000" s="705">
        <v>10.952231094988903</v>
      </c>
    </row>
    <row r="1001" spans="2:7" ht="11.25" hidden="1" customHeight="1" outlineLevel="2" x14ac:dyDescent="0.25">
      <c r="B1001" s="704" t="s">
        <v>679</v>
      </c>
      <c r="C1001" s="704" t="s">
        <v>744</v>
      </c>
      <c r="D1001" s="704" t="s">
        <v>745</v>
      </c>
      <c r="E1001" s="704" t="s">
        <v>448</v>
      </c>
      <c r="F1001" s="706">
        <v>2.2159690556707228E-2</v>
      </c>
      <c r="G1001" s="705">
        <v>12.814909802959473</v>
      </c>
    </row>
    <row r="1002" spans="2:7" ht="11.25" hidden="1" customHeight="1" outlineLevel="2" x14ac:dyDescent="0.25">
      <c r="B1002" s="704" t="s">
        <v>680</v>
      </c>
      <c r="C1002" s="704" t="s">
        <v>744</v>
      </c>
      <c r="D1002" s="704" t="s">
        <v>745</v>
      </c>
      <c r="E1002" s="704" t="s">
        <v>448</v>
      </c>
      <c r="F1002" s="706">
        <v>1.5289058309134313E-2</v>
      </c>
      <c r="G1002" s="705">
        <v>8.8408898611113855</v>
      </c>
    </row>
    <row r="1003" spans="2:7" ht="11.25" hidden="1" customHeight="1" outlineLevel="2" x14ac:dyDescent="0.25">
      <c r="B1003" s="704" t="s">
        <v>681</v>
      </c>
      <c r="C1003" s="704" t="s">
        <v>744</v>
      </c>
      <c r="D1003" s="704" t="s">
        <v>745</v>
      </c>
      <c r="E1003" s="704" t="s">
        <v>448</v>
      </c>
      <c r="F1003" s="706">
        <v>1.4263420852343845E-2</v>
      </c>
      <c r="G1003" s="705">
        <v>8.2485120948308204</v>
      </c>
    </row>
    <row r="1004" spans="2:7" ht="11.25" hidden="1" customHeight="1" outlineLevel="2" x14ac:dyDescent="0.25">
      <c r="B1004" s="704" t="s">
        <v>682</v>
      </c>
      <c r="C1004" s="704" t="s">
        <v>744</v>
      </c>
      <c r="D1004" s="704" t="s">
        <v>745</v>
      </c>
      <c r="E1004" s="704" t="s">
        <v>448</v>
      </c>
      <c r="F1004" s="706">
        <v>1.4494954078327848E-3</v>
      </c>
      <c r="G1004" s="705">
        <v>0.83824120321322126</v>
      </c>
    </row>
    <row r="1005" spans="2:7" ht="11.25" hidden="1" customHeight="1" outlineLevel="2" x14ac:dyDescent="0.25">
      <c r="B1005" s="704" t="s">
        <v>683</v>
      </c>
      <c r="C1005" s="704" t="s">
        <v>744</v>
      </c>
      <c r="D1005" s="704" t="s">
        <v>745</v>
      </c>
      <c r="E1005" s="704" t="s">
        <v>448</v>
      </c>
      <c r="F1005" s="706">
        <v>5.7043612846435388E-2</v>
      </c>
      <c r="G1005" s="705">
        <v>32.988225349242114</v>
      </c>
    </row>
    <row r="1006" spans="2:7" ht="11.25" hidden="1" customHeight="1" outlineLevel="2" x14ac:dyDescent="0.25">
      <c r="B1006" s="704" t="s">
        <v>684</v>
      </c>
      <c r="C1006" s="704" t="s">
        <v>744</v>
      </c>
      <c r="D1006" s="704" t="s">
        <v>745</v>
      </c>
      <c r="E1006" s="704" t="s">
        <v>448</v>
      </c>
      <c r="F1006" s="706">
        <v>4.7019428847847981E-2</v>
      </c>
      <c r="G1006" s="705">
        <v>27.189001094996215</v>
      </c>
    </row>
    <row r="1007" spans="2:7" ht="11.25" hidden="1" customHeight="1" outlineLevel="2" x14ac:dyDescent="0.25">
      <c r="B1007" s="704" t="s">
        <v>685</v>
      </c>
      <c r="C1007" s="704" t="s">
        <v>744</v>
      </c>
      <c r="D1007" s="704" t="s">
        <v>745</v>
      </c>
      <c r="E1007" s="704" t="s">
        <v>448</v>
      </c>
      <c r="F1007" s="705">
        <v>8.0103692061474704E-3</v>
      </c>
      <c r="G1007" s="705">
        <v>4.6323745468273385</v>
      </c>
    </row>
    <row r="1008" spans="2:7" ht="11.25" hidden="1" customHeight="1" outlineLevel="2" x14ac:dyDescent="0.25">
      <c r="B1008" s="704" t="s">
        <v>686</v>
      </c>
      <c r="C1008" s="704" t="s">
        <v>744</v>
      </c>
      <c r="D1008" s="704" t="s">
        <v>745</v>
      </c>
      <c r="E1008" s="704" t="s">
        <v>448</v>
      </c>
      <c r="F1008" s="705">
        <v>8.1448494848124386E-2</v>
      </c>
      <c r="G1008" s="705">
        <v>47.0974543975289</v>
      </c>
    </row>
    <row r="1009" spans="2:7" ht="11.25" hidden="1" customHeight="1" outlineLevel="2" x14ac:dyDescent="0.25">
      <c r="B1009" s="704" t="s">
        <v>687</v>
      </c>
      <c r="C1009" s="704" t="s">
        <v>744</v>
      </c>
      <c r="D1009" s="704" t="s">
        <v>745</v>
      </c>
      <c r="E1009" s="704" t="s">
        <v>448</v>
      </c>
      <c r="F1009" s="705">
        <v>2.1545831379566286E-2</v>
      </c>
      <c r="G1009" s="705">
        <v>12.459912357300331</v>
      </c>
    </row>
    <row r="1010" spans="2:7" ht="11.25" hidden="1" customHeight="1" outlineLevel="2" x14ac:dyDescent="0.25">
      <c r="B1010" s="704" t="s">
        <v>688</v>
      </c>
      <c r="C1010" s="704" t="s">
        <v>744</v>
      </c>
      <c r="D1010" s="704" t="s">
        <v>745</v>
      </c>
      <c r="E1010" s="704" t="s">
        <v>448</v>
      </c>
      <c r="F1010" s="705">
        <v>9.718198525555383E-3</v>
      </c>
      <c r="G1010" s="705">
        <v>5.6200305704730882</v>
      </c>
    </row>
    <row r="1011" spans="2:7" ht="11.25" hidden="1" customHeight="1" outlineLevel="2" x14ac:dyDescent="0.25">
      <c r="B1011" s="704" t="s">
        <v>689</v>
      </c>
      <c r="C1011" s="704" t="s">
        <v>744</v>
      </c>
      <c r="D1011" s="704" t="s">
        <v>745</v>
      </c>
      <c r="E1011" s="704" t="s">
        <v>448</v>
      </c>
      <c r="F1011" s="705">
        <v>1.1653907528738013E-2</v>
      </c>
      <c r="G1011" s="705">
        <v>6.7396840555062303</v>
      </c>
    </row>
    <row r="1012" spans="2:7" ht="11.25" hidden="1" customHeight="1" outlineLevel="2" x14ac:dyDescent="0.25">
      <c r="B1012" s="704" t="s">
        <v>690</v>
      </c>
      <c r="C1012" s="704" t="s">
        <v>744</v>
      </c>
      <c r="D1012" s="704" t="s">
        <v>745</v>
      </c>
      <c r="E1012" s="704" t="s">
        <v>448</v>
      </c>
      <c r="F1012" s="705">
        <v>6.1009399200485509E-3</v>
      </c>
      <c r="G1012" s="705">
        <v>3.5281699332147705</v>
      </c>
    </row>
    <row r="1013" spans="2:7" ht="11.25" hidden="1" customHeight="1" outlineLevel="2" x14ac:dyDescent="0.25">
      <c r="B1013" s="704" t="s">
        <v>691</v>
      </c>
      <c r="C1013" s="704" t="s">
        <v>744</v>
      </c>
      <c r="D1013" s="704" t="s">
        <v>745</v>
      </c>
      <c r="E1013" s="704" t="s">
        <v>448</v>
      </c>
      <c r="F1013" s="705">
        <v>2.3196895746819345E-2</v>
      </c>
      <c r="G1013" s="705">
        <v>13.414724784136812</v>
      </c>
    </row>
    <row r="1014" spans="2:7" ht="11.25" hidden="1" customHeight="1" outlineLevel="2" x14ac:dyDescent="0.25">
      <c r="B1014" s="704" t="s">
        <v>692</v>
      </c>
      <c r="C1014" s="704" t="s">
        <v>744</v>
      </c>
      <c r="D1014" s="704" t="s">
        <v>745</v>
      </c>
      <c r="E1014" s="704" t="s">
        <v>448</v>
      </c>
      <c r="F1014" s="705">
        <v>1.5881696837176152E-2</v>
      </c>
      <c r="G1014" s="705">
        <v>9.1843647376224222</v>
      </c>
    </row>
    <row r="1015" spans="2:7" ht="11.25" hidden="1" customHeight="1" outlineLevel="2" x14ac:dyDescent="0.25">
      <c r="B1015" s="704" t="s">
        <v>693</v>
      </c>
      <c r="C1015" s="704" t="s">
        <v>744</v>
      </c>
      <c r="D1015" s="704" t="s">
        <v>745</v>
      </c>
      <c r="E1015" s="704" t="s">
        <v>448</v>
      </c>
      <c r="F1015" s="705">
        <v>3.2667064699299926E-2</v>
      </c>
      <c r="G1015" s="705">
        <v>18.889719353034494</v>
      </c>
    </row>
    <row r="1016" spans="2:7" ht="11.25" hidden="1" customHeight="1" outlineLevel="2" x14ac:dyDescent="0.25">
      <c r="B1016" s="704" t="s">
        <v>694</v>
      </c>
      <c r="C1016" s="704" t="s">
        <v>744</v>
      </c>
      <c r="D1016" s="704" t="s">
        <v>745</v>
      </c>
      <c r="E1016" s="704" t="s">
        <v>448</v>
      </c>
      <c r="F1016" s="705">
        <v>2.8849432160197527E-2</v>
      </c>
      <c r="G1016" s="705">
        <v>16.682181275804691</v>
      </c>
    </row>
    <row r="1017" spans="2:7" ht="11.25" hidden="1" customHeight="1" outlineLevel="2" x14ac:dyDescent="0.25">
      <c r="B1017" s="704" t="s">
        <v>695</v>
      </c>
      <c r="C1017" s="704" t="s">
        <v>744</v>
      </c>
      <c r="D1017" s="704" t="s">
        <v>745</v>
      </c>
      <c r="E1017" s="704" t="s">
        <v>448</v>
      </c>
      <c r="F1017" s="705">
        <v>1.7556974704997119E-2</v>
      </c>
      <c r="G1017" s="705">
        <v>10.152315159926115</v>
      </c>
    </row>
    <row r="1018" spans="2:7" ht="11.25" hidden="1" customHeight="1" outlineLevel="2" x14ac:dyDescent="0.25">
      <c r="B1018" s="704" t="s">
        <v>696</v>
      </c>
      <c r="C1018" s="704" t="s">
        <v>744</v>
      </c>
      <c r="D1018" s="704" t="s">
        <v>745</v>
      </c>
      <c r="E1018" s="704" t="s">
        <v>448</v>
      </c>
      <c r="F1018" s="705">
        <v>7.3859261569282726E-3</v>
      </c>
      <c r="G1018" s="705">
        <v>4.2709018109005275</v>
      </c>
    </row>
    <row r="1019" spans="2:7" ht="11.25" hidden="1" customHeight="1" outlineLevel="2" x14ac:dyDescent="0.25">
      <c r="B1019" s="704" t="s">
        <v>697</v>
      </c>
      <c r="C1019" s="704" t="s">
        <v>744</v>
      </c>
      <c r="D1019" s="704" t="s">
        <v>745</v>
      </c>
      <c r="E1019" s="704" t="s">
        <v>448</v>
      </c>
      <c r="F1019" s="705">
        <v>6.8167051634671225E-2</v>
      </c>
      <c r="G1019" s="705">
        <v>39.417599668865485</v>
      </c>
    </row>
    <row r="1020" spans="2:7" ht="11.25" hidden="1" customHeight="1" outlineLevel="2" x14ac:dyDescent="0.25">
      <c r="B1020" s="704" t="s">
        <v>698</v>
      </c>
      <c r="C1020" s="704" t="s">
        <v>744</v>
      </c>
      <c r="D1020" s="704" t="s">
        <v>745</v>
      </c>
      <c r="E1020" s="704" t="s">
        <v>448</v>
      </c>
      <c r="F1020" s="705">
        <v>5.7404941087289191E-2</v>
      </c>
      <c r="G1020" s="705">
        <v>33.194375606716576</v>
      </c>
    </row>
    <row r="1021" spans="2:7" ht="11.25" hidden="1" customHeight="1" outlineLevel="2" x14ac:dyDescent="0.25">
      <c r="B1021" s="704" t="s">
        <v>699</v>
      </c>
      <c r="C1021" s="704" t="s">
        <v>744</v>
      </c>
      <c r="D1021" s="704" t="s">
        <v>745</v>
      </c>
      <c r="E1021" s="704" t="s">
        <v>448</v>
      </c>
      <c r="F1021" s="705">
        <v>2.9467734227582675E-37</v>
      </c>
      <c r="G1021" s="705">
        <v>1.7041150163426568E-34</v>
      </c>
    </row>
    <row r="1022" spans="2:7" ht="11.25" hidden="1" customHeight="1" outlineLevel="2" x14ac:dyDescent="0.25">
      <c r="B1022" s="704" t="s">
        <v>673</v>
      </c>
      <c r="C1022" s="704" t="s">
        <v>746</v>
      </c>
      <c r="D1022" s="704" t="s">
        <v>715</v>
      </c>
      <c r="E1022" s="704" t="s">
        <v>448</v>
      </c>
      <c r="F1022" s="705">
        <v>0.24980878770086723</v>
      </c>
      <c r="G1022" s="705">
        <v>172.91043026300696</v>
      </c>
    </row>
    <row r="1023" spans="2:7" ht="11.25" hidden="1" customHeight="1" outlineLevel="2" x14ac:dyDescent="0.25">
      <c r="B1023" s="704" t="s">
        <v>677</v>
      </c>
      <c r="C1023" s="704" t="s">
        <v>746</v>
      </c>
      <c r="D1023" s="704" t="s">
        <v>715</v>
      </c>
      <c r="E1023" s="704" t="s">
        <v>448</v>
      </c>
      <c r="F1023" s="705">
        <v>0.50486545390013815</v>
      </c>
      <c r="G1023" s="705">
        <v>345.82096709269433</v>
      </c>
    </row>
    <row r="1024" spans="2:7" ht="11.25" hidden="1" customHeight="1" outlineLevel="2" x14ac:dyDescent="0.25">
      <c r="B1024" s="704" t="s">
        <v>678</v>
      </c>
      <c r="C1024" s="704" t="s">
        <v>746</v>
      </c>
      <c r="D1024" s="704" t="s">
        <v>715</v>
      </c>
      <c r="E1024" s="704" t="s">
        <v>448</v>
      </c>
      <c r="F1024" s="705">
        <v>0.24932029311468987</v>
      </c>
      <c r="G1024" s="705">
        <v>172.91043026300696</v>
      </c>
    </row>
    <row r="1025" spans="2:7" ht="11.25" hidden="1" customHeight="1" outlineLevel="2" x14ac:dyDescent="0.25">
      <c r="B1025" s="704" t="s">
        <v>679</v>
      </c>
      <c r="C1025" s="704" t="s">
        <v>746</v>
      </c>
      <c r="D1025" s="704" t="s">
        <v>715</v>
      </c>
      <c r="E1025" s="704" t="s">
        <v>448</v>
      </c>
      <c r="F1025" s="705">
        <v>1.7105528958338112E-34</v>
      </c>
      <c r="G1025" s="705">
        <v>1.1897629630715844E-31</v>
      </c>
    </row>
    <row r="1026" spans="2:7" ht="11.25" hidden="1" customHeight="1" outlineLevel="2" x14ac:dyDescent="0.25">
      <c r="B1026" s="704" t="s">
        <v>680</v>
      </c>
      <c r="C1026" s="704" t="s">
        <v>746</v>
      </c>
      <c r="D1026" s="704" t="s">
        <v>715</v>
      </c>
      <c r="E1026" s="704" t="s">
        <v>448</v>
      </c>
      <c r="F1026" s="705">
        <v>0.24812817860831204</v>
      </c>
      <c r="G1026" s="705">
        <v>172.91043026300696</v>
      </c>
    </row>
    <row r="1027" spans="2:7" ht="11.25" hidden="1" customHeight="1" outlineLevel="2" x14ac:dyDescent="0.25">
      <c r="B1027" s="704" t="s">
        <v>681</v>
      </c>
      <c r="C1027" s="704" t="s">
        <v>746</v>
      </c>
      <c r="D1027" s="704" t="s">
        <v>715</v>
      </c>
      <c r="E1027" s="704" t="s">
        <v>448</v>
      </c>
      <c r="F1027" s="705">
        <v>0.24932029311468987</v>
      </c>
      <c r="G1027" s="705">
        <v>172.91043026300696</v>
      </c>
    </row>
    <row r="1028" spans="2:7" ht="11.25" hidden="1" customHeight="1" outlineLevel="2" x14ac:dyDescent="0.25">
      <c r="B1028" s="704" t="s">
        <v>682</v>
      </c>
      <c r="C1028" s="704" t="s">
        <v>746</v>
      </c>
      <c r="D1028" s="704" t="s">
        <v>715</v>
      </c>
      <c r="E1028" s="704" t="s">
        <v>448</v>
      </c>
      <c r="F1028" s="705">
        <v>0.66484700248470152</v>
      </c>
      <c r="G1028" s="705">
        <v>461.09466113859071</v>
      </c>
    </row>
    <row r="1029" spans="2:7" ht="11.25" hidden="1" customHeight="1" outlineLevel="2" x14ac:dyDescent="0.25">
      <c r="B1029" s="704" t="s">
        <v>683</v>
      </c>
      <c r="C1029" s="704" t="s">
        <v>746</v>
      </c>
      <c r="D1029" s="704" t="s">
        <v>715</v>
      </c>
      <c r="E1029" s="704" t="s">
        <v>448</v>
      </c>
      <c r="F1029" s="705">
        <v>0.24859778283539105</v>
      </c>
      <c r="G1029" s="705">
        <v>172.91043026300696</v>
      </c>
    </row>
    <row r="1030" spans="2:7" ht="11.25" hidden="1" customHeight="1" outlineLevel="2" x14ac:dyDescent="0.25">
      <c r="B1030" s="704" t="s">
        <v>684</v>
      </c>
      <c r="C1030" s="704" t="s">
        <v>746</v>
      </c>
      <c r="D1030" s="704" t="s">
        <v>715</v>
      </c>
      <c r="E1030" s="704" t="s">
        <v>448</v>
      </c>
      <c r="F1030" s="705">
        <v>8.2709384545418693E-2</v>
      </c>
      <c r="G1030" s="705">
        <v>57.636762957816472</v>
      </c>
    </row>
    <row r="1031" spans="2:7" ht="11.25" hidden="1" customHeight="1" outlineLevel="2" x14ac:dyDescent="0.25">
      <c r="B1031" s="704" t="s">
        <v>685</v>
      </c>
      <c r="C1031" s="704" t="s">
        <v>746</v>
      </c>
      <c r="D1031" s="704" t="s">
        <v>715</v>
      </c>
      <c r="E1031" s="704" t="s">
        <v>448</v>
      </c>
      <c r="F1031" s="705">
        <v>0.24859778283539105</v>
      </c>
      <c r="G1031" s="705">
        <v>172.91043026300696</v>
      </c>
    </row>
    <row r="1032" spans="2:7" ht="11.25" hidden="1" customHeight="1" outlineLevel="2" x14ac:dyDescent="0.25">
      <c r="B1032" s="704" t="s">
        <v>686</v>
      </c>
      <c r="C1032" s="704" t="s">
        <v>746</v>
      </c>
      <c r="D1032" s="704" t="s">
        <v>715</v>
      </c>
      <c r="E1032" s="704" t="s">
        <v>448</v>
      </c>
      <c r="F1032" s="705">
        <v>0.24980878770086723</v>
      </c>
      <c r="G1032" s="705">
        <v>172.91043026300696</v>
      </c>
    </row>
    <row r="1033" spans="2:7" ht="11.25" hidden="1" customHeight="1" outlineLevel="2" x14ac:dyDescent="0.25">
      <c r="B1033" s="704" t="s">
        <v>687</v>
      </c>
      <c r="C1033" s="704" t="s">
        <v>746</v>
      </c>
      <c r="D1033" s="704" t="s">
        <v>715</v>
      </c>
      <c r="E1033" s="704" t="s">
        <v>448</v>
      </c>
      <c r="F1033" s="705">
        <v>0.41553378424287818</v>
      </c>
      <c r="G1033" s="705">
        <v>288.18382816427936</v>
      </c>
    </row>
    <row r="1034" spans="2:7" ht="11.25" hidden="1" customHeight="1" outlineLevel="2" x14ac:dyDescent="0.25">
      <c r="B1034" s="704" t="s">
        <v>688</v>
      </c>
      <c r="C1034" s="704" t="s">
        <v>746</v>
      </c>
      <c r="D1034" s="704" t="s">
        <v>715</v>
      </c>
      <c r="E1034" s="704" t="s">
        <v>448</v>
      </c>
      <c r="F1034" s="705">
        <v>8.3106761473369151E-2</v>
      </c>
      <c r="G1034" s="705">
        <v>61.33170564076778</v>
      </c>
    </row>
    <row r="1035" spans="2:7" ht="11.25" hidden="1" customHeight="1" outlineLevel="2" x14ac:dyDescent="0.25">
      <c r="B1035" s="704" t="s">
        <v>689</v>
      </c>
      <c r="C1035" s="704" t="s">
        <v>746</v>
      </c>
      <c r="D1035" s="704" t="s">
        <v>715</v>
      </c>
      <c r="E1035" s="704" t="s">
        <v>448</v>
      </c>
      <c r="F1035" s="705">
        <v>0.38336123207065215</v>
      </c>
      <c r="G1035" s="705">
        <v>265.36510731959726</v>
      </c>
    </row>
    <row r="1036" spans="2:7" ht="11.25" hidden="1" customHeight="1" outlineLevel="2" x14ac:dyDescent="0.25">
      <c r="B1036" s="704" t="s">
        <v>690</v>
      </c>
      <c r="C1036" s="704" t="s">
        <v>746</v>
      </c>
      <c r="D1036" s="704" t="s">
        <v>715</v>
      </c>
      <c r="E1036" s="704" t="s">
        <v>448</v>
      </c>
      <c r="F1036" s="705">
        <v>0.49719541933541239</v>
      </c>
      <c r="G1036" s="705">
        <v>345.82096709269433</v>
      </c>
    </row>
    <row r="1037" spans="2:7" ht="11.25" hidden="1" customHeight="1" outlineLevel="2" x14ac:dyDescent="0.25">
      <c r="B1037" s="704" t="s">
        <v>691</v>
      </c>
      <c r="C1037" s="704" t="s">
        <v>746</v>
      </c>
      <c r="D1037" s="704" t="s">
        <v>715</v>
      </c>
      <c r="E1037" s="704" t="s">
        <v>448</v>
      </c>
      <c r="F1037" s="705">
        <v>0.24859778284179687</v>
      </c>
      <c r="G1037" s="705">
        <v>172.91043027123987</v>
      </c>
    </row>
    <row r="1038" spans="2:7" ht="11.25" hidden="1" customHeight="1" outlineLevel="2" x14ac:dyDescent="0.25">
      <c r="B1038" s="704" t="s">
        <v>692</v>
      </c>
      <c r="C1038" s="704" t="s">
        <v>746</v>
      </c>
      <c r="D1038" s="704" t="s">
        <v>715</v>
      </c>
      <c r="E1038" s="704" t="s">
        <v>448</v>
      </c>
      <c r="F1038" s="705">
        <v>0.16621355563624429</v>
      </c>
      <c r="G1038" s="705">
        <v>115.27355122570387</v>
      </c>
    </row>
    <row r="1039" spans="2:7" ht="11.25" hidden="1" customHeight="1" outlineLevel="2" x14ac:dyDescent="0.25">
      <c r="B1039" s="704" t="s">
        <v>693</v>
      </c>
      <c r="C1039" s="704" t="s">
        <v>746</v>
      </c>
      <c r="D1039" s="704" t="s">
        <v>715</v>
      </c>
      <c r="E1039" s="704" t="s">
        <v>448</v>
      </c>
      <c r="F1039" s="706">
        <v>0.165418760382326</v>
      </c>
      <c r="G1039" s="705">
        <v>115.27355122570397</v>
      </c>
    </row>
    <row r="1040" spans="2:7" ht="11.25" hidden="1" customHeight="1" outlineLevel="2" x14ac:dyDescent="0.25">
      <c r="B1040" s="704" t="s">
        <v>694</v>
      </c>
      <c r="C1040" s="704" t="s">
        <v>746</v>
      </c>
      <c r="D1040" s="704" t="s">
        <v>715</v>
      </c>
      <c r="E1040" s="704" t="s">
        <v>448</v>
      </c>
      <c r="F1040" s="706">
        <v>1.7007293296187203E-31</v>
      </c>
      <c r="G1040" s="705">
        <v>1.1851687439838577E-28</v>
      </c>
    </row>
    <row r="1041" spans="2:7" ht="11.25" hidden="1" customHeight="1" outlineLevel="2" x14ac:dyDescent="0.25">
      <c r="B1041" s="704" t="s">
        <v>695</v>
      </c>
      <c r="C1041" s="704" t="s">
        <v>746</v>
      </c>
      <c r="D1041" s="704" t="s">
        <v>715</v>
      </c>
      <c r="E1041" s="704" t="s">
        <v>448</v>
      </c>
      <c r="F1041" s="706">
        <v>6.5686298980488706E-34</v>
      </c>
      <c r="G1041" s="705">
        <v>4.5774112357123968E-31</v>
      </c>
    </row>
    <row r="1042" spans="2:7" ht="11.25" hidden="1" customHeight="1" outlineLevel="2" x14ac:dyDescent="0.25">
      <c r="B1042" s="704" t="s">
        <v>696</v>
      </c>
      <c r="C1042" s="704" t="s">
        <v>746</v>
      </c>
      <c r="D1042" s="704" t="s">
        <v>715</v>
      </c>
      <c r="E1042" s="704" t="s">
        <v>448</v>
      </c>
      <c r="F1042" s="706">
        <v>0.24980878770086723</v>
      </c>
      <c r="G1042" s="705">
        <v>172.91043026300696</v>
      </c>
    </row>
    <row r="1043" spans="2:7" ht="11.25" hidden="1" customHeight="1" outlineLevel="2" x14ac:dyDescent="0.25">
      <c r="B1043" s="704" t="s">
        <v>697</v>
      </c>
      <c r="C1043" s="704" t="s">
        <v>746</v>
      </c>
      <c r="D1043" s="704" t="s">
        <v>715</v>
      </c>
      <c r="E1043" s="704" t="s">
        <v>448</v>
      </c>
      <c r="F1043" s="706">
        <v>0.24812817860500444</v>
      </c>
      <c r="G1043" s="705">
        <v>172.91043027123987</v>
      </c>
    </row>
    <row r="1044" spans="2:7" ht="11.25" hidden="1" customHeight="1" outlineLevel="2" x14ac:dyDescent="0.25">
      <c r="B1044" s="704" t="s">
        <v>698</v>
      </c>
      <c r="C1044" s="704" t="s">
        <v>746</v>
      </c>
      <c r="D1044" s="704" t="s">
        <v>715</v>
      </c>
      <c r="E1044" s="704" t="s">
        <v>448</v>
      </c>
      <c r="F1044" s="706">
        <v>0.3308374751944041</v>
      </c>
      <c r="G1044" s="705">
        <v>230.54722731669617</v>
      </c>
    </row>
    <row r="1045" spans="2:7" ht="11.25" hidden="1" customHeight="1" outlineLevel="2" x14ac:dyDescent="0.25">
      <c r="B1045" s="704" t="s">
        <v>699</v>
      </c>
      <c r="C1045" s="704" t="s">
        <v>746</v>
      </c>
      <c r="D1045" s="704" t="s">
        <v>715</v>
      </c>
      <c r="E1045" s="704" t="s">
        <v>448</v>
      </c>
      <c r="F1045" s="706">
        <v>1.0664417689639099E-35</v>
      </c>
      <c r="G1045" s="705">
        <v>7.3960601576518358E-33</v>
      </c>
    </row>
    <row r="1046" spans="2:7" ht="11.25" hidden="1" customHeight="1" outlineLevel="2" x14ac:dyDescent="0.25">
      <c r="B1046" s="704" t="s">
        <v>673</v>
      </c>
      <c r="C1046" s="704" t="s">
        <v>747</v>
      </c>
      <c r="D1046" s="704" t="s">
        <v>715</v>
      </c>
      <c r="E1046" s="704" t="s">
        <v>448</v>
      </c>
      <c r="F1046" s="705">
        <v>2.1628506190706775</v>
      </c>
      <c r="G1046" s="705">
        <v>1843.0009775508097</v>
      </c>
    </row>
    <row r="1047" spans="2:7" ht="11.25" hidden="1" customHeight="1" outlineLevel="2" x14ac:dyDescent="0.25">
      <c r="B1047" s="704" t="s">
        <v>677</v>
      </c>
      <c r="C1047" s="704" t="s">
        <v>747</v>
      </c>
      <c r="D1047" s="704" t="s">
        <v>715</v>
      </c>
      <c r="E1047" s="704" t="s">
        <v>448</v>
      </c>
      <c r="F1047" s="705">
        <v>4.3707746150550291</v>
      </c>
      <c r="G1047" s="705">
        <v>3686.0027520717504</v>
      </c>
    </row>
    <row r="1048" spans="2:7" ht="11.25" hidden="1" customHeight="1" outlineLevel="2" x14ac:dyDescent="0.25">
      <c r="B1048" s="704" t="s">
        <v>678</v>
      </c>
      <c r="C1048" s="704" t="s">
        <v>747</v>
      </c>
      <c r="D1048" s="704" t="s">
        <v>715</v>
      </c>
      <c r="E1048" s="704" t="s">
        <v>448</v>
      </c>
      <c r="F1048" s="705">
        <v>2.1586542945295277</v>
      </c>
      <c r="G1048" s="705">
        <v>1843.0009775508097</v>
      </c>
    </row>
    <row r="1049" spans="2:7" ht="11.25" hidden="1" customHeight="1" outlineLevel="2" x14ac:dyDescent="0.25">
      <c r="B1049" s="704" t="s">
        <v>679</v>
      </c>
      <c r="C1049" s="704" t="s">
        <v>747</v>
      </c>
      <c r="D1049" s="704" t="s">
        <v>715</v>
      </c>
      <c r="E1049" s="704" t="s">
        <v>448</v>
      </c>
      <c r="F1049" s="706">
        <v>5.7536827340914279E-36</v>
      </c>
      <c r="G1049" s="705">
        <v>4.9265022343375754E-33</v>
      </c>
    </row>
    <row r="1050" spans="2:7" ht="11.25" hidden="1" customHeight="1" outlineLevel="2" x14ac:dyDescent="0.25">
      <c r="B1050" s="704" t="s">
        <v>680</v>
      </c>
      <c r="C1050" s="704" t="s">
        <v>747</v>
      </c>
      <c r="D1050" s="704" t="s">
        <v>715</v>
      </c>
      <c r="E1050" s="704" t="s">
        <v>448</v>
      </c>
      <c r="F1050" s="705">
        <v>2.1484163262982103</v>
      </c>
      <c r="G1050" s="705">
        <v>1843.0009775508097</v>
      </c>
    </row>
    <row r="1051" spans="2:7" ht="11.25" hidden="1" customHeight="1" outlineLevel="2" x14ac:dyDescent="0.25">
      <c r="B1051" s="704" t="s">
        <v>681</v>
      </c>
      <c r="C1051" s="704" t="s">
        <v>747</v>
      </c>
      <c r="D1051" s="704" t="s">
        <v>715</v>
      </c>
      <c r="E1051" s="704" t="s">
        <v>448</v>
      </c>
      <c r="F1051" s="705">
        <v>2.1586542945295277</v>
      </c>
      <c r="G1051" s="705">
        <v>1843.0009775508097</v>
      </c>
    </row>
    <row r="1052" spans="2:7" ht="11.25" hidden="1" customHeight="1" outlineLevel="2" x14ac:dyDescent="0.25">
      <c r="B1052" s="704" t="s">
        <v>682</v>
      </c>
      <c r="C1052" s="704" t="s">
        <v>747</v>
      </c>
      <c r="D1052" s="704" t="s">
        <v>715</v>
      </c>
      <c r="E1052" s="704" t="s">
        <v>448</v>
      </c>
      <c r="F1052" s="706">
        <v>5.7563501889331663</v>
      </c>
      <c r="G1052" s="705">
        <v>4914.6737782423588</v>
      </c>
    </row>
    <row r="1053" spans="2:7" ht="11.25" hidden="1" customHeight="1" outlineLevel="2" x14ac:dyDescent="0.25">
      <c r="B1053" s="704" t="s">
        <v>683</v>
      </c>
      <c r="C1053" s="704" t="s">
        <v>747</v>
      </c>
      <c r="D1053" s="704" t="s">
        <v>715</v>
      </c>
      <c r="E1053" s="704" t="s">
        <v>448</v>
      </c>
      <c r="F1053" s="705">
        <v>2.1524488958734298</v>
      </c>
      <c r="G1053" s="705">
        <v>1843.0009775508097</v>
      </c>
    </row>
    <row r="1054" spans="2:7" ht="11.25" hidden="1" customHeight="1" outlineLevel="2" x14ac:dyDescent="0.25">
      <c r="B1054" s="704" t="s">
        <v>684</v>
      </c>
      <c r="C1054" s="704" t="s">
        <v>747</v>
      </c>
      <c r="D1054" s="704" t="s">
        <v>715</v>
      </c>
      <c r="E1054" s="704" t="s">
        <v>448</v>
      </c>
      <c r="F1054" s="705">
        <v>0.71613904397250361</v>
      </c>
      <c r="G1054" s="705">
        <v>614.33370561554136</v>
      </c>
    </row>
    <row r="1055" spans="2:7" ht="11.25" hidden="1" customHeight="1" outlineLevel="2" x14ac:dyDescent="0.25">
      <c r="B1055" s="704" t="s">
        <v>685</v>
      </c>
      <c r="C1055" s="704" t="s">
        <v>747</v>
      </c>
      <c r="D1055" s="704" t="s">
        <v>715</v>
      </c>
      <c r="E1055" s="704" t="s">
        <v>448</v>
      </c>
      <c r="F1055" s="705">
        <v>2.1524488958734298</v>
      </c>
      <c r="G1055" s="705">
        <v>1843.0009775508097</v>
      </c>
    </row>
    <row r="1056" spans="2:7" ht="11.25" hidden="1" customHeight="1" outlineLevel="2" x14ac:dyDescent="0.25">
      <c r="B1056" s="704" t="s">
        <v>686</v>
      </c>
      <c r="C1056" s="704" t="s">
        <v>747</v>
      </c>
      <c r="D1056" s="704" t="s">
        <v>715</v>
      </c>
      <c r="E1056" s="704" t="s">
        <v>448</v>
      </c>
      <c r="F1056" s="706">
        <v>2.1628506190706775</v>
      </c>
      <c r="G1056" s="705">
        <v>1843.0009775508097</v>
      </c>
    </row>
    <row r="1057" spans="2:7" ht="11.25" hidden="1" customHeight="1" outlineLevel="2" x14ac:dyDescent="0.25">
      <c r="B1057" s="704" t="s">
        <v>687</v>
      </c>
      <c r="C1057" s="704" t="s">
        <v>747</v>
      </c>
      <c r="D1057" s="704" t="s">
        <v>715</v>
      </c>
      <c r="E1057" s="704" t="s">
        <v>448</v>
      </c>
      <c r="F1057" s="706">
        <v>3.5977583247504477</v>
      </c>
      <c r="G1057" s="705">
        <v>3071.6686967914197</v>
      </c>
    </row>
    <row r="1058" spans="2:7" ht="11.25" hidden="1" customHeight="1" outlineLevel="2" x14ac:dyDescent="0.25">
      <c r="B1058" s="704" t="s">
        <v>688</v>
      </c>
      <c r="C1058" s="704" t="s">
        <v>747</v>
      </c>
      <c r="D1058" s="704" t="s">
        <v>715</v>
      </c>
      <c r="E1058" s="704" t="s">
        <v>448</v>
      </c>
      <c r="F1058" s="706">
        <v>0.76454160392909321</v>
      </c>
      <c r="G1058" s="705">
        <v>653.71695021305152</v>
      </c>
    </row>
    <row r="1059" spans="2:7" ht="11.25" hidden="1" customHeight="1" outlineLevel="2" x14ac:dyDescent="0.25">
      <c r="B1059" s="704" t="s">
        <v>689</v>
      </c>
      <c r="C1059" s="704" t="s">
        <v>747</v>
      </c>
      <c r="D1059" s="704" t="s">
        <v>715</v>
      </c>
      <c r="E1059" s="704" t="s">
        <v>448</v>
      </c>
      <c r="F1059" s="705">
        <v>3.3191531294215526</v>
      </c>
      <c r="G1059" s="705">
        <v>2828.4474201685898</v>
      </c>
    </row>
    <row r="1060" spans="2:7" ht="11.25" hidden="1" customHeight="1" outlineLevel="2" x14ac:dyDescent="0.25">
      <c r="B1060" s="704" t="s">
        <v>690</v>
      </c>
      <c r="C1060" s="704" t="s">
        <v>747</v>
      </c>
      <c r="D1060" s="704" t="s">
        <v>715</v>
      </c>
      <c r="E1060" s="704" t="s">
        <v>448</v>
      </c>
      <c r="F1060" s="705">
        <v>4.3048996387418095</v>
      </c>
      <c r="G1060" s="705">
        <v>3686.0027520717504</v>
      </c>
    </row>
    <row r="1061" spans="2:7" ht="11.25" hidden="1" customHeight="1" outlineLevel="2" x14ac:dyDescent="0.25">
      <c r="B1061" s="704" t="s">
        <v>691</v>
      </c>
      <c r="C1061" s="704" t="s">
        <v>747</v>
      </c>
      <c r="D1061" s="704" t="s">
        <v>715</v>
      </c>
      <c r="E1061" s="704" t="s">
        <v>448</v>
      </c>
      <c r="F1061" s="705">
        <v>2.15244889587568</v>
      </c>
      <c r="G1061" s="705">
        <v>1843.0009775508097</v>
      </c>
    </row>
    <row r="1062" spans="2:7" ht="11.25" hidden="1" customHeight="1" outlineLevel="2" x14ac:dyDescent="0.25">
      <c r="B1062" s="704" t="s">
        <v>692</v>
      </c>
      <c r="C1062" s="704" t="s">
        <v>747</v>
      </c>
      <c r="D1062" s="704" t="s">
        <v>715</v>
      </c>
      <c r="E1062" s="704" t="s">
        <v>448</v>
      </c>
      <c r="F1062" s="705">
        <v>1.4391035310394586</v>
      </c>
      <c r="G1062" s="705">
        <v>1228.6675850515908</v>
      </c>
    </row>
    <row r="1063" spans="2:7" ht="11.25" hidden="1" customHeight="1" outlineLevel="2" x14ac:dyDescent="0.25">
      <c r="B1063" s="704" t="s">
        <v>693</v>
      </c>
      <c r="C1063" s="704" t="s">
        <v>747</v>
      </c>
      <c r="D1063" s="704" t="s">
        <v>715</v>
      </c>
      <c r="E1063" s="704" t="s">
        <v>448</v>
      </c>
      <c r="F1063" s="705">
        <v>1.4322774119862323</v>
      </c>
      <c r="G1063" s="705">
        <v>1228.6675850515908</v>
      </c>
    </row>
    <row r="1064" spans="2:7" ht="11.25" hidden="1" customHeight="1" outlineLevel="2" x14ac:dyDescent="0.25">
      <c r="B1064" s="704" t="s">
        <v>694</v>
      </c>
      <c r="C1064" s="704" t="s">
        <v>747</v>
      </c>
      <c r="D1064" s="704" t="s">
        <v>715</v>
      </c>
      <c r="E1064" s="704" t="s">
        <v>448</v>
      </c>
      <c r="F1064" s="705">
        <v>3.7223526161049563E-31</v>
      </c>
      <c r="G1064" s="705">
        <v>3.1931912408776148E-28</v>
      </c>
    </row>
    <row r="1065" spans="2:7" ht="11.25" hidden="1" customHeight="1" outlineLevel="2" x14ac:dyDescent="0.25">
      <c r="B1065" s="704" t="s">
        <v>695</v>
      </c>
      <c r="C1065" s="704" t="s">
        <v>747</v>
      </c>
      <c r="D1065" s="704" t="s">
        <v>715</v>
      </c>
      <c r="E1065" s="704" t="s">
        <v>448</v>
      </c>
      <c r="F1065" s="705">
        <v>9.4610194307558104E-32</v>
      </c>
      <c r="G1065" s="705">
        <v>8.1160552133930694E-29</v>
      </c>
    </row>
    <row r="1066" spans="2:7" ht="11.25" hidden="1" customHeight="1" outlineLevel="2" x14ac:dyDescent="0.25">
      <c r="B1066" s="704" t="s">
        <v>696</v>
      </c>
      <c r="C1066" s="704" t="s">
        <v>747</v>
      </c>
      <c r="D1066" s="704" t="s">
        <v>715</v>
      </c>
      <c r="E1066" s="704" t="s">
        <v>448</v>
      </c>
      <c r="F1066" s="705">
        <v>2.1628506190706775</v>
      </c>
      <c r="G1066" s="705">
        <v>1843.0009775508097</v>
      </c>
    </row>
    <row r="1067" spans="2:7" ht="11.25" hidden="1" customHeight="1" outlineLevel="2" x14ac:dyDescent="0.25">
      <c r="B1067" s="704" t="s">
        <v>697</v>
      </c>
      <c r="C1067" s="704" t="s">
        <v>747</v>
      </c>
      <c r="D1067" s="704" t="s">
        <v>715</v>
      </c>
      <c r="E1067" s="704" t="s">
        <v>448</v>
      </c>
      <c r="F1067" s="705">
        <v>2.1484163264528555</v>
      </c>
      <c r="G1067" s="705">
        <v>1843.0009775508097</v>
      </c>
    </row>
    <row r="1068" spans="2:7" ht="11.25" hidden="1" customHeight="1" outlineLevel="2" x14ac:dyDescent="0.25">
      <c r="B1068" s="704" t="s">
        <v>698</v>
      </c>
      <c r="C1068" s="704" t="s">
        <v>747</v>
      </c>
      <c r="D1068" s="704" t="s">
        <v>715</v>
      </c>
      <c r="E1068" s="704" t="s">
        <v>448</v>
      </c>
      <c r="F1068" s="705">
        <v>2.8645550247846936</v>
      </c>
      <c r="G1068" s="705">
        <v>2457.33575153726</v>
      </c>
    </row>
    <row r="1069" spans="2:7" ht="11.25" hidden="1" customHeight="1" outlineLevel="2" x14ac:dyDescent="0.25">
      <c r="B1069" s="704" t="s">
        <v>699</v>
      </c>
      <c r="C1069" s="704" t="s">
        <v>747</v>
      </c>
      <c r="D1069" s="704" t="s">
        <v>715</v>
      </c>
      <c r="E1069" s="704" t="s">
        <v>448</v>
      </c>
      <c r="F1069" s="705">
        <v>8.9301601592572123E-35</v>
      </c>
      <c r="G1069" s="705">
        <v>7.6243334221304502E-32</v>
      </c>
    </row>
    <row r="1070" spans="2:7" ht="11.25" hidden="1" customHeight="1" outlineLevel="2" x14ac:dyDescent="0.25">
      <c r="B1070" s="704" t="s">
        <v>673</v>
      </c>
      <c r="C1070" s="704" t="s">
        <v>748</v>
      </c>
      <c r="D1070" s="704" t="s">
        <v>715</v>
      </c>
      <c r="E1070" s="704" t="s">
        <v>448</v>
      </c>
      <c r="F1070" s="706">
        <v>0.20034036704840155</v>
      </c>
      <c r="G1070" s="705">
        <v>258.99291158072703</v>
      </c>
    </row>
    <row r="1071" spans="2:7" ht="11.25" hidden="1" customHeight="1" outlineLevel="2" x14ac:dyDescent="0.25">
      <c r="B1071" s="704" t="s">
        <v>677</v>
      </c>
      <c r="C1071" s="704" t="s">
        <v>748</v>
      </c>
      <c r="D1071" s="704" t="s">
        <v>715</v>
      </c>
      <c r="E1071" s="704" t="s">
        <v>448</v>
      </c>
      <c r="F1071" s="706">
        <v>0.60749525696422157</v>
      </c>
      <c r="G1071" s="705">
        <v>776.97910231520143</v>
      </c>
    </row>
    <row r="1072" spans="2:7" ht="11.25" hidden="1" customHeight="1" outlineLevel="2" x14ac:dyDescent="0.25">
      <c r="B1072" s="704" t="s">
        <v>678</v>
      </c>
      <c r="C1072" s="704" t="s">
        <v>748</v>
      </c>
      <c r="D1072" s="704" t="s">
        <v>715</v>
      </c>
      <c r="E1072" s="704" t="s">
        <v>448</v>
      </c>
      <c r="F1072" s="705">
        <v>1.2662779654294303</v>
      </c>
      <c r="G1072" s="705">
        <v>1640.2881725503898</v>
      </c>
    </row>
    <row r="1073" spans="2:7" ht="11.25" hidden="1" customHeight="1" outlineLevel="2" x14ac:dyDescent="0.25">
      <c r="B1073" s="704" t="s">
        <v>679</v>
      </c>
      <c r="C1073" s="704" t="s">
        <v>748</v>
      </c>
      <c r="D1073" s="704" t="s">
        <v>715</v>
      </c>
      <c r="E1073" s="704" t="s">
        <v>448</v>
      </c>
      <c r="F1073" s="705">
        <v>0.13289620265377039</v>
      </c>
      <c r="G1073" s="705">
        <v>172.66211907688304</v>
      </c>
    </row>
    <row r="1074" spans="2:7" ht="11.25" hidden="1" customHeight="1" outlineLevel="2" x14ac:dyDescent="0.25">
      <c r="B1074" s="704" t="s">
        <v>680</v>
      </c>
      <c r="C1074" s="704" t="s">
        <v>748</v>
      </c>
      <c r="D1074" s="704" t="s">
        <v>715</v>
      </c>
      <c r="E1074" s="704" t="s">
        <v>448</v>
      </c>
      <c r="F1074" s="705">
        <v>0.1326387723974263</v>
      </c>
      <c r="G1074" s="705">
        <v>172.66211907688304</v>
      </c>
    </row>
    <row r="1075" spans="2:7" ht="11.25" hidden="1" customHeight="1" outlineLevel="2" x14ac:dyDescent="0.25">
      <c r="B1075" s="704" t="s">
        <v>681</v>
      </c>
      <c r="C1075" s="704" t="s">
        <v>748</v>
      </c>
      <c r="D1075" s="704" t="s">
        <v>715</v>
      </c>
      <c r="E1075" s="704" t="s">
        <v>448</v>
      </c>
      <c r="F1075" s="705">
        <v>0.46652358436248897</v>
      </c>
      <c r="G1075" s="705">
        <v>604.31721383640297</v>
      </c>
    </row>
    <row r="1076" spans="2:7" ht="11.25" hidden="1" customHeight="1" outlineLevel="2" x14ac:dyDescent="0.25">
      <c r="B1076" s="704" t="s">
        <v>682</v>
      </c>
      <c r="C1076" s="704" t="s">
        <v>748</v>
      </c>
      <c r="D1076" s="704" t="s">
        <v>715</v>
      </c>
      <c r="E1076" s="704" t="s">
        <v>448</v>
      </c>
      <c r="F1076" s="705">
        <v>0.26658176554838353</v>
      </c>
      <c r="G1076" s="705">
        <v>345.32406459591778</v>
      </c>
    </row>
    <row r="1077" spans="2:7" ht="11.25" hidden="1" customHeight="1" outlineLevel="2" x14ac:dyDescent="0.25">
      <c r="B1077" s="704" t="s">
        <v>683</v>
      </c>
      <c r="C1077" s="704" t="s">
        <v>748</v>
      </c>
      <c r="D1077" s="704" t="s">
        <v>715</v>
      </c>
      <c r="E1077" s="704" t="s">
        <v>448</v>
      </c>
      <c r="F1077" s="705">
        <v>0.1993442843807231</v>
      </c>
      <c r="G1077" s="705">
        <v>258.99291158072703</v>
      </c>
    </row>
    <row r="1078" spans="2:7" ht="11.25" hidden="1" customHeight="1" outlineLevel="2" x14ac:dyDescent="0.25">
      <c r="B1078" s="704" t="s">
        <v>684</v>
      </c>
      <c r="C1078" s="704" t="s">
        <v>748</v>
      </c>
      <c r="D1078" s="704" t="s">
        <v>715</v>
      </c>
      <c r="E1078" s="704" t="s">
        <v>448</v>
      </c>
      <c r="F1078" s="705">
        <v>0.1326387723974263</v>
      </c>
      <c r="G1078" s="705">
        <v>172.66211907688304</v>
      </c>
    </row>
    <row r="1079" spans="2:7" ht="11.25" hidden="1" customHeight="1" outlineLevel="2" x14ac:dyDescent="0.25">
      <c r="B1079" s="704" t="s">
        <v>685</v>
      </c>
      <c r="C1079" s="704" t="s">
        <v>748</v>
      </c>
      <c r="D1079" s="704" t="s">
        <v>715</v>
      </c>
      <c r="E1079" s="704" t="s">
        <v>448</v>
      </c>
      <c r="F1079" s="705">
        <v>0.86382521715261185</v>
      </c>
      <c r="G1079" s="705">
        <v>1122.3022796764401</v>
      </c>
    </row>
    <row r="1080" spans="2:7" ht="11.25" hidden="1" customHeight="1" outlineLevel="2" x14ac:dyDescent="0.25">
      <c r="B1080" s="704" t="s">
        <v>686</v>
      </c>
      <c r="C1080" s="704" t="s">
        <v>748</v>
      </c>
      <c r="D1080" s="704" t="s">
        <v>715</v>
      </c>
      <c r="E1080" s="704" t="s">
        <v>448</v>
      </c>
      <c r="F1080" s="705">
        <v>6.678011246689064E-2</v>
      </c>
      <c r="G1080" s="705">
        <v>86.330920114526606</v>
      </c>
    </row>
    <row r="1081" spans="2:7" ht="11.25" hidden="1" customHeight="1" outlineLevel="2" x14ac:dyDescent="0.25">
      <c r="B1081" s="704" t="s">
        <v>687</v>
      </c>
      <c r="C1081" s="704" t="s">
        <v>748</v>
      </c>
      <c r="D1081" s="704" t="s">
        <v>715</v>
      </c>
      <c r="E1081" s="704" t="s">
        <v>448</v>
      </c>
      <c r="F1081" s="705">
        <v>0.5998158455319319</v>
      </c>
      <c r="G1081" s="705">
        <v>776.97910231520143</v>
      </c>
    </row>
    <row r="1082" spans="2:7" ht="11.25" hidden="1" customHeight="1" outlineLevel="2" x14ac:dyDescent="0.25">
      <c r="B1082" s="704" t="s">
        <v>688</v>
      </c>
      <c r="C1082" s="704" t="s">
        <v>748</v>
      </c>
      <c r="D1082" s="704" t="s">
        <v>715</v>
      </c>
      <c r="E1082" s="704" t="s">
        <v>448</v>
      </c>
      <c r="F1082" s="705">
        <v>0.49566809847270477</v>
      </c>
      <c r="G1082" s="705">
        <v>643.05833530116308</v>
      </c>
    </row>
    <row r="1083" spans="2:7" ht="11.25" hidden="1" customHeight="1" outlineLevel="2" x14ac:dyDescent="0.25">
      <c r="B1083" s="704" t="s">
        <v>689</v>
      </c>
      <c r="C1083" s="704" t="s">
        <v>748</v>
      </c>
      <c r="D1083" s="704" t="s">
        <v>715</v>
      </c>
      <c r="E1083" s="704" t="s">
        <v>448</v>
      </c>
      <c r="F1083" s="705">
        <v>0.10248191457437132</v>
      </c>
      <c r="G1083" s="705">
        <v>132.49184721679083</v>
      </c>
    </row>
    <row r="1084" spans="2:7" ht="11.25" hidden="1" customHeight="1" outlineLevel="2" x14ac:dyDescent="0.25">
      <c r="B1084" s="704" t="s">
        <v>690</v>
      </c>
      <c r="C1084" s="704" t="s">
        <v>748</v>
      </c>
      <c r="D1084" s="704" t="s">
        <v>715</v>
      </c>
      <c r="E1084" s="704" t="s">
        <v>448</v>
      </c>
      <c r="F1084" s="705">
        <v>1.5283074236315448</v>
      </c>
      <c r="G1084" s="705">
        <v>1985.6121574312101</v>
      </c>
    </row>
    <row r="1085" spans="2:7" ht="11.25" hidden="1" customHeight="1" outlineLevel="2" x14ac:dyDescent="0.25">
      <c r="B1085" s="704" t="s">
        <v>691</v>
      </c>
      <c r="C1085" s="704" t="s">
        <v>748</v>
      </c>
      <c r="D1085" s="704" t="s">
        <v>715</v>
      </c>
      <c r="E1085" s="704" t="s">
        <v>448</v>
      </c>
      <c r="F1085" s="705">
        <v>0.6644813452097541</v>
      </c>
      <c r="G1085" s="705">
        <v>863.30920182332113</v>
      </c>
    </row>
    <row r="1086" spans="2:7" ht="11.25" hidden="1" customHeight="1" outlineLevel="2" x14ac:dyDescent="0.25">
      <c r="B1086" s="704" t="s">
        <v>692</v>
      </c>
      <c r="C1086" s="704" t="s">
        <v>748</v>
      </c>
      <c r="D1086" s="704" t="s">
        <v>715</v>
      </c>
      <c r="E1086" s="704" t="s">
        <v>448</v>
      </c>
      <c r="F1086" s="705">
        <v>0.13329244432360812</v>
      </c>
      <c r="G1086" s="705">
        <v>172.66211907688304</v>
      </c>
    </row>
    <row r="1087" spans="2:7" ht="11.25" hidden="1" customHeight="1" outlineLevel="2" x14ac:dyDescent="0.25">
      <c r="B1087" s="704" t="s">
        <v>693</v>
      </c>
      <c r="C1087" s="704" t="s">
        <v>748</v>
      </c>
      <c r="D1087" s="704" t="s">
        <v>715</v>
      </c>
      <c r="E1087" s="704" t="s">
        <v>448</v>
      </c>
      <c r="F1087" s="706">
        <v>6.6319380563515731E-2</v>
      </c>
      <c r="G1087" s="705">
        <v>86.330920114526606</v>
      </c>
    </row>
    <row r="1088" spans="2:7" ht="11.25" hidden="1" customHeight="1" outlineLevel="2" x14ac:dyDescent="0.25">
      <c r="B1088" s="704" t="s">
        <v>694</v>
      </c>
      <c r="C1088" s="704" t="s">
        <v>748</v>
      </c>
      <c r="D1088" s="704" t="s">
        <v>715</v>
      </c>
      <c r="E1088" s="704" t="s">
        <v>448</v>
      </c>
      <c r="F1088" s="706">
        <v>6.6319380563515731E-2</v>
      </c>
      <c r="G1088" s="705">
        <v>86.330920114526606</v>
      </c>
    </row>
    <row r="1089" spans="2:7" ht="11.25" hidden="1" customHeight="1" outlineLevel="2" x14ac:dyDescent="0.25">
      <c r="B1089" s="704" t="s">
        <v>695</v>
      </c>
      <c r="C1089" s="704" t="s">
        <v>748</v>
      </c>
      <c r="D1089" s="704" t="s">
        <v>715</v>
      </c>
      <c r="E1089" s="704" t="s">
        <v>448</v>
      </c>
      <c r="F1089" s="706">
        <v>6.6319380563515731E-2</v>
      </c>
      <c r="G1089" s="705">
        <v>86.330920114526606</v>
      </c>
    </row>
    <row r="1090" spans="2:7" ht="11.25" hidden="1" customHeight="1" outlineLevel="2" x14ac:dyDescent="0.25">
      <c r="B1090" s="704" t="s">
        <v>696</v>
      </c>
      <c r="C1090" s="704" t="s">
        <v>748</v>
      </c>
      <c r="D1090" s="704" t="s">
        <v>715</v>
      </c>
      <c r="E1090" s="704" t="s">
        <v>448</v>
      </c>
      <c r="F1090" s="706">
        <v>0.20034036704840155</v>
      </c>
      <c r="G1090" s="705">
        <v>258.99291158072703</v>
      </c>
    </row>
    <row r="1091" spans="2:7" ht="11.25" hidden="1" customHeight="1" outlineLevel="2" x14ac:dyDescent="0.25">
      <c r="B1091" s="704" t="s">
        <v>697</v>
      </c>
      <c r="C1091" s="704" t="s">
        <v>748</v>
      </c>
      <c r="D1091" s="704" t="s">
        <v>715</v>
      </c>
      <c r="E1091" s="704" t="s">
        <v>448</v>
      </c>
      <c r="F1091" s="706">
        <v>0.26527748897687153</v>
      </c>
      <c r="G1091" s="705">
        <v>345.32406464860134</v>
      </c>
    </row>
    <row r="1092" spans="2:7" ht="11.25" hidden="1" customHeight="1" outlineLevel="2" x14ac:dyDescent="0.25">
      <c r="B1092" s="704" t="s">
        <v>698</v>
      </c>
      <c r="C1092" s="704" t="s">
        <v>748</v>
      </c>
      <c r="D1092" s="704" t="s">
        <v>715</v>
      </c>
      <c r="E1092" s="704" t="s">
        <v>448</v>
      </c>
      <c r="F1092" s="706">
        <v>0.66319356519115358</v>
      </c>
      <c r="G1092" s="705">
        <v>863.30920182332113</v>
      </c>
    </row>
    <row r="1093" spans="2:7" ht="11.25" hidden="1" customHeight="1" outlineLevel="2" x14ac:dyDescent="0.25">
      <c r="B1093" s="704" t="s">
        <v>699</v>
      </c>
      <c r="C1093" s="704" t="s">
        <v>748</v>
      </c>
      <c r="D1093" s="704" t="s">
        <v>715</v>
      </c>
      <c r="E1093" s="704" t="s">
        <v>448</v>
      </c>
      <c r="F1093" s="706">
        <v>0.33323099182388533</v>
      </c>
      <c r="G1093" s="705">
        <v>431.65440620760694</v>
      </c>
    </row>
    <row r="1094" spans="2:7" ht="11.25" hidden="1" customHeight="1" outlineLevel="2" x14ac:dyDescent="0.25">
      <c r="B1094" s="704" t="s">
        <v>673</v>
      </c>
      <c r="C1094" s="704" t="s">
        <v>749</v>
      </c>
      <c r="D1094" s="704" t="s">
        <v>715</v>
      </c>
      <c r="E1094" s="704" t="s">
        <v>448</v>
      </c>
      <c r="F1094" s="706">
        <v>0.1320244259675516</v>
      </c>
      <c r="G1094" s="705">
        <v>103.65559872668655</v>
      </c>
    </row>
    <row r="1095" spans="2:7" ht="11.25" hidden="1" customHeight="1" outlineLevel="2" x14ac:dyDescent="0.25">
      <c r="B1095" s="704" t="s">
        <v>677</v>
      </c>
      <c r="C1095" s="704" t="s">
        <v>749</v>
      </c>
      <c r="D1095" s="704" t="s">
        <v>715</v>
      </c>
      <c r="E1095" s="704" t="s">
        <v>448</v>
      </c>
      <c r="F1095" s="706">
        <v>0.26657027709718789</v>
      </c>
      <c r="G1095" s="705">
        <v>207.31125697019095</v>
      </c>
    </row>
    <row r="1096" spans="2:7" ht="11.25" hidden="1" customHeight="1" outlineLevel="2" x14ac:dyDescent="0.25">
      <c r="B1096" s="704" t="s">
        <v>678</v>
      </c>
      <c r="C1096" s="704" t="s">
        <v>749</v>
      </c>
      <c r="D1096" s="704" t="s">
        <v>715</v>
      </c>
      <c r="E1096" s="704" t="s">
        <v>448</v>
      </c>
      <c r="F1096" s="706">
        <v>0.13178971866720832</v>
      </c>
      <c r="G1096" s="705">
        <v>103.65559872668655</v>
      </c>
    </row>
    <row r="1097" spans="2:7" ht="11.25" hidden="1" customHeight="1" outlineLevel="2" x14ac:dyDescent="0.25">
      <c r="B1097" s="704" t="s">
        <v>679</v>
      </c>
      <c r="C1097" s="704" t="s">
        <v>749</v>
      </c>
      <c r="D1097" s="704" t="s">
        <v>715</v>
      </c>
      <c r="E1097" s="704" t="s">
        <v>448</v>
      </c>
      <c r="F1097" s="705">
        <v>5.13782769293274E-33</v>
      </c>
      <c r="G1097" s="705">
        <v>3.8866786495174292E-30</v>
      </c>
    </row>
    <row r="1098" spans="2:7" ht="11.25" hidden="1" customHeight="1" outlineLevel="2" x14ac:dyDescent="0.25">
      <c r="B1098" s="704" t="s">
        <v>680</v>
      </c>
      <c r="C1098" s="704" t="s">
        <v>749</v>
      </c>
      <c r="D1098" s="704" t="s">
        <v>715</v>
      </c>
      <c r="E1098" s="704" t="s">
        <v>448</v>
      </c>
      <c r="F1098" s="705">
        <v>0.13121693630236717</v>
      </c>
      <c r="G1098" s="705">
        <v>103.65559872668655</v>
      </c>
    </row>
    <row r="1099" spans="2:7" ht="11.25" hidden="1" customHeight="1" outlineLevel="2" x14ac:dyDescent="0.25">
      <c r="B1099" s="704" t="s">
        <v>681</v>
      </c>
      <c r="C1099" s="704" t="s">
        <v>749</v>
      </c>
      <c r="D1099" s="704" t="s">
        <v>715</v>
      </c>
      <c r="E1099" s="704" t="s">
        <v>448</v>
      </c>
      <c r="F1099" s="706">
        <v>0.13178971866720832</v>
      </c>
      <c r="G1099" s="705">
        <v>103.65559872668655</v>
      </c>
    </row>
    <row r="1100" spans="2:7" ht="11.25" hidden="1" customHeight="1" outlineLevel="2" x14ac:dyDescent="0.25">
      <c r="B1100" s="704" t="s">
        <v>682</v>
      </c>
      <c r="C1100" s="704" t="s">
        <v>749</v>
      </c>
      <c r="D1100" s="704" t="s">
        <v>715</v>
      </c>
      <c r="E1100" s="704" t="s">
        <v>448</v>
      </c>
      <c r="F1100" s="705">
        <v>0.35143578834822214</v>
      </c>
      <c r="G1100" s="705">
        <v>276.41502108592425</v>
      </c>
    </row>
    <row r="1101" spans="2:7" ht="11.25" hidden="1" customHeight="1" outlineLevel="2" x14ac:dyDescent="0.25">
      <c r="B1101" s="704" t="s">
        <v>683</v>
      </c>
      <c r="C1101" s="704" t="s">
        <v>749</v>
      </c>
      <c r="D1101" s="704" t="s">
        <v>715</v>
      </c>
      <c r="E1101" s="704" t="s">
        <v>448</v>
      </c>
      <c r="F1101" s="705">
        <v>0.1314425563978556</v>
      </c>
      <c r="G1101" s="705">
        <v>103.65559872668655</v>
      </c>
    </row>
    <row r="1102" spans="2:7" ht="11.25" hidden="1" customHeight="1" outlineLevel="2" x14ac:dyDescent="0.25">
      <c r="B1102" s="704" t="s">
        <v>684</v>
      </c>
      <c r="C1102" s="704" t="s">
        <v>749</v>
      </c>
      <c r="D1102" s="704" t="s">
        <v>715</v>
      </c>
      <c r="E1102" s="704" t="s">
        <v>448</v>
      </c>
      <c r="F1102" s="705">
        <v>4.3738992516351945E-2</v>
      </c>
      <c r="G1102" s="705">
        <v>34.551876961557582</v>
      </c>
    </row>
    <row r="1103" spans="2:7" ht="11.25" hidden="1" customHeight="1" outlineLevel="2" x14ac:dyDescent="0.25">
      <c r="B1103" s="704" t="s">
        <v>685</v>
      </c>
      <c r="C1103" s="704" t="s">
        <v>749</v>
      </c>
      <c r="D1103" s="704" t="s">
        <v>715</v>
      </c>
      <c r="E1103" s="704" t="s">
        <v>448</v>
      </c>
      <c r="F1103" s="705">
        <v>0.1314425563978556</v>
      </c>
      <c r="G1103" s="705">
        <v>103.65559872668655</v>
      </c>
    </row>
    <row r="1104" spans="2:7" ht="11.25" hidden="1" customHeight="1" outlineLevel="2" x14ac:dyDescent="0.25">
      <c r="B1104" s="704" t="s">
        <v>686</v>
      </c>
      <c r="C1104" s="704" t="s">
        <v>749</v>
      </c>
      <c r="D1104" s="704" t="s">
        <v>715</v>
      </c>
      <c r="E1104" s="704" t="s">
        <v>448</v>
      </c>
      <c r="F1104" s="705">
        <v>0.1320244259675516</v>
      </c>
      <c r="G1104" s="705">
        <v>103.65559872668655</v>
      </c>
    </row>
    <row r="1105" spans="2:7" ht="11.25" hidden="1" customHeight="1" outlineLevel="2" x14ac:dyDescent="0.25">
      <c r="B1105" s="704" t="s">
        <v>687</v>
      </c>
      <c r="C1105" s="704" t="s">
        <v>749</v>
      </c>
      <c r="D1105" s="704" t="s">
        <v>715</v>
      </c>
      <c r="E1105" s="704" t="s">
        <v>448</v>
      </c>
      <c r="F1105" s="705">
        <v>0.21964949668623643</v>
      </c>
      <c r="G1105" s="705">
        <v>172.75935659987795</v>
      </c>
    </row>
    <row r="1106" spans="2:7" ht="11.25" hidden="1" customHeight="1" outlineLevel="2" x14ac:dyDescent="0.25">
      <c r="B1106" s="704" t="s">
        <v>688</v>
      </c>
      <c r="C1106" s="704" t="s">
        <v>749</v>
      </c>
      <c r="D1106" s="704" t="s">
        <v>715</v>
      </c>
      <c r="E1106" s="704" t="s">
        <v>448</v>
      </c>
      <c r="F1106" s="705">
        <v>4.6682428785114201E-2</v>
      </c>
      <c r="G1106" s="705">
        <v>36.766904978416434</v>
      </c>
    </row>
    <row r="1107" spans="2:7" ht="11.25" hidden="1" customHeight="1" outlineLevel="2" x14ac:dyDescent="0.25">
      <c r="B1107" s="704" t="s">
        <v>689</v>
      </c>
      <c r="C1107" s="704" t="s">
        <v>749</v>
      </c>
      <c r="D1107" s="704" t="s">
        <v>715</v>
      </c>
      <c r="E1107" s="704" t="s">
        <v>448</v>
      </c>
      <c r="F1107" s="705">
        <v>0.20260811585239022</v>
      </c>
      <c r="G1107" s="705">
        <v>159.07990325549704</v>
      </c>
    </row>
    <row r="1108" spans="2:7" ht="11.25" hidden="1" customHeight="1" outlineLevel="2" x14ac:dyDescent="0.25">
      <c r="B1108" s="704" t="s">
        <v>690</v>
      </c>
      <c r="C1108" s="704" t="s">
        <v>749</v>
      </c>
      <c r="D1108" s="704" t="s">
        <v>715</v>
      </c>
      <c r="E1108" s="704" t="s">
        <v>448</v>
      </c>
      <c r="F1108" s="705">
        <v>0.26288508667706811</v>
      </c>
      <c r="G1108" s="705">
        <v>207.31125697019095</v>
      </c>
    </row>
    <row r="1109" spans="2:7" ht="11.25" hidden="1" customHeight="1" outlineLevel="2" x14ac:dyDescent="0.25">
      <c r="B1109" s="704" t="s">
        <v>691</v>
      </c>
      <c r="C1109" s="704" t="s">
        <v>749</v>
      </c>
      <c r="D1109" s="704" t="s">
        <v>715</v>
      </c>
      <c r="E1109" s="704" t="s">
        <v>448</v>
      </c>
      <c r="F1109" s="705">
        <v>0.13144255639584618</v>
      </c>
      <c r="G1109" s="705">
        <v>103.65559872787497</v>
      </c>
    </row>
    <row r="1110" spans="2:7" ht="11.25" hidden="1" customHeight="1" outlineLevel="2" x14ac:dyDescent="0.25">
      <c r="B1110" s="704" t="s">
        <v>692</v>
      </c>
      <c r="C1110" s="704" t="s">
        <v>749</v>
      </c>
      <c r="D1110" s="704" t="s">
        <v>715</v>
      </c>
      <c r="E1110" s="704" t="s">
        <v>448</v>
      </c>
      <c r="F1110" s="705">
        <v>8.7859788630252747E-2</v>
      </c>
      <c r="G1110" s="705">
        <v>69.103759182832647</v>
      </c>
    </row>
    <row r="1111" spans="2:7" ht="11.25" hidden="1" customHeight="1" outlineLevel="2" x14ac:dyDescent="0.25">
      <c r="B1111" s="704" t="s">
        <v>693</v>
      </c>
      <c r="C1111" s="704" t="s">
        <v>749</v>
      </c>
      <c r="D1111" s="704" t="s">
        <v>715</v>
      </c>
      <c r="E1111" s="704" t="s">
        <v>448</v>
      </c>
      <c r="F1111" s="705">
        <v>8.747796445169749E-2</v>
      </c>
      <c r="G1111" s="705">
        <v>69.103759182832817</v>
      </c>
    </row>
    <row r="1112" spans="2:7" ht="11.25" hidden="1" customHeight="1" outlineLevel="2" x14ac:dyDescent="0.25">
      <c r="B1112" s="704" t="s">
        <v>694</v>
      </c>
      <c r="C1112" s="704" t="s">
        <v>749</v>
      </c>
      <c r="D1112" s="704" t="s">
        <v>715</v>
      </c>
      <c r="E1112" s="704" t="s">
        <v>448</v>
      </c>
      <c r="F1112" s="705">
        <v>1.6173722528088712E-35</v>
      </c>
      <c r="G1112" s="705">
        <v>1.5768694812717283E-32</v>
      </c>
    </row>
    <row r="1113" spans="2:7" ht="11.25" hidden="1" customHeight="1" outlineLevel="2" x14ac:dyDescent="0.25">
      <c r="B1113" s="704" t="s">
        <v>695</v>
      </c>
      <c r="C1113" s="704" t="s">
        <v>749</v>
      </c>
      <c r="D1113" s="704" t="s">
        <v>715</v>
      </c>
      <c r="E1113" s="704" t="s">
        <v>448</v>
      </c>
      <c r="F1113" s="705">
        <v>1.6173722528088712E-35</v>
      </c>
      <c r="G1113" s="705">
        <v>1.5768694812717283E-32</v>
      </c>
    </row>
    <row r="1114" spans="2:7" ht="11.25" hidden="1" customHeight="1" outlineLevel="2" x14ac:dyDescent="0.25">
      <c r="B1114" s="704" t="s">
        <v>696</v>
      </c>
      <c r="C1114" s="704" t="s">
        <v>749</v>
      </c>
      <c r="D1114" s="704" t="s">
        <v>715</v>
      </c>
      <c r="E1114" s="704" t="s">
        <v>448</v>
      </c>
      <c r="F1114" s="705">
        <v>0.1320244259675516</v>
      </c>
      <c r="G1114" s="705">
        <v>103.65559872668655</v>
      </c>
    </row>
    <row r="1115" spans="2:7" ht="11.25" hidden="1" customHeight="1" outlineLevel="2" x14ac:dyDescent="0.25">
      <c r="B1115" s="704" t="s">
        <v>697</v>
      </c>
      <c r="C1115" s="704" t="s">
        <v>749</v>
      </c>
      <c r="D1115" s="704" t="s">
        <v>715</v>
      </c>
      <c r="E1115" s="704" t="s">
        <v>448</v>
      </c>
      <c r="F1115" s="705">
        <v>0.13121693630474432</v>
      </c>
      <c r="G1115" s="705">
        <v>103.65559872787497</v>
      </c>
    </row>
    <row r="1116" spans="2:7" ht="11.25" hidden="1" customHeight="1" outlineLevel="2" x14ac:dyDescent="0.25">
      <c r="B1116" s="704" t="s">
        <v>698</v>
      </c>
      <c r="C1116" s="704" t="s">
        <v>749</v>
      </c>
      <c r="D1116" s="704" t="s">
        <v>715</v>
      </c>
      <c r="E1116" s="704" t="s">
        <v>448</v>
      </c>
      <c r="F1116" s="705">
        <v>0.17495593324540323</v>
      </c>
      <c r="G1116" s="705">
        <v>138.20751017470454</v>
      </c>
    </row>
    <row r="1117" spans="2:7" ht="11.25" hidden="1" customHeight="1" outlineLevel="2" x14ac:dyDescent="0.25">
      <c r="B1117" s="704" t="s">
        <v>699</v>
      </c>
      <c r="C1117" s="704" t="s">
        <v>749</v>
      </c>
      <c r="D1117" s="704" t="s">
        <v>715</v>
      </c>
      <c r="E1117" s="704" t="s">
        <v>448</v>
      </c>
      <c r="F1117" s="705">
        <v>7.3664304802545026E-35</v>
      </c>
      <c r="G1117" s="705">
        <v>9.0352181707436596E-32</v>
      </c>
    </row>
    <row r="1118" spans="2:7" ht="11.25" hidden="1" customHeight="1" outlineLevel="2" x14ac:dyDescent="0.25">
      <c r="B1118" s="704" t="s">
        <v>673</v>
      </c>
      <c r="C1118" s="704" t="s">
        <v>750</v>
      </c>
      <c r="D1118" s="704" t="s">
        <v>675</v>
      </c>
      <c r="E1118" s="704" t="s">
        <v>448</v>
      </c>
      <c r="F1118" s="705">
        <v>2.3470977454537914E-3</v>
      </c>
      <c r="G1118" s="705">
        <v>3.6253676111343944</v>
      </c>
    </row>
    <row r="1119" spans="2:7" ht="11.25" hidden="1" customHeight="1" outlineLevel="2" x14ac:dyDescent="0.25">
      <c r="B1119" s="704" t="s">
        <v>677</v>
      </c>
      <c r="C1119" s="704" t="s">
        <v>750</v>
      </c>
      <c r="D1119" s="704" t="s">
        <v>675</v>
      </c>
      <c r="E1119" s="704" t="s">
        <v>448</v>
      </c>
      <c r="F1119" s="705">
        <v>3.9351792123335658E-2</v>
      </c>
      <c r="G1119" s="705">
        <v>60.162369810044666</v>
      </c>
    </row>
    <row r="1120" spans="2:7" ht="11.25" hidden="1" customHeight="1" outlineLevel="2" x14ac:dyDescent="0.25">
      <c r="B1120" s="704" t="s">
        <v>678</v>
      </c>
      <c r="C1120" s="704" t="s">
        <v>750</v>
      </c>
      <c r="D1120" s="704" t="s">
        <v>675</v>
      </c>
      <c r="E1120" s="704" t="s">
        <v>448</v>
      </c>
      <c r="F1120" s="706">
        <v>8.9864191983006117E-2</v>
      </c>
      <c r="G1120" s="705">
        <v>139.35493108884478</v>
      </c>
    </row>
    <row r="1121" spans="2:7" ht="11.25" hidden="1" customHeight="1" outlineLevel="2" x14ac:dyDescent="0.25">
      <c r="B1121" s="704" t="s">
        <v>679</v>
      </c>
      <c r="C1121" s="704" t="s">
        <v>750</v>
      </c>
      <c r="D1121" s="704" t="s">
        <v>675</v>
      </c>
      <c r="E1121" s="704" t="s">
        <v>448</v>
      </c>
      <c r="F1121" s="706">
        <v>7.2607902035612135E-3</v>
      </c>
      <c r="G1121" s="705">
        <v>11.308954469233353</v>
      </c>
    </row>
    <row r="1122" spans="2:7" ht="11.25" hidden="1" customHeight="1" outlineLevel="2" x14ac:dyDescent="0.25">
      <c r="B1122" s="704" t="s">
        <v>680</v>
      </c>
      <c r="C1122" s="704" t="s">
        <v>750</v>
      </c>
      <c r="D1122" s="704" t="s">
        <v>675</v>
      </c>
      <c r="E1122" s="704" t="s">
        <v>448</v>
      </c>
      <c r="F1122" s="706">
        <v>1.3440277688796247E-3</v>
      </c>
      <c r="G1122" s="705">
        <v>2.0960826218478226</v>
      </c>
    </row>
    <row r="1123" spans="2:7" ht="11.25" hidden="1" customHeight="1" outlineLevel="2" x14ac:dyDescent="0.25">
      <c r="B1123" s="704" t="s">
        <v>681</v>
      </c>
      <c r="C1123" s="704" t="s">
        <v>750</v>
      </c>
      <c r="D1123" s="704" t="s">
        <v>675</v>
      </c>
      <c r="E1123" s="704" t="s">
        <v>448</v>
      </c>
      <c r="F1123" s="706">
        <v>1.1400958950851661E-2</v>
      </c>
      <c r="G1123" s="705">
        <v>17.679784702565055</v>
      </c>
    </row>
    <row r="1124" spans="2:7" ht="11.25" hidden="1" customHeight="1" outlineLevel="2" x14ac:dyDescent="0.25">
      <c r="B1124" s="704" t="s">
        <v>682</v>
      </c>
      <c r="C1124" s="704" t="s">
        <v>750</v>
      </c>
      <c r="D1124" s="704" t="s">
        <v>675</v>
      </c>
      <c r="E1124" s="704" t="s">
        <v>448</v>
      </c>
      <c r="F1124" s="706">
        <v>1.0007392632240202E-2</v>
      </c>
      <c r="G1124" s="705">
        <v>15.52015097344926</v>
      </c>
    </row>
    <row r="1125" spans="2:7" ht="11.25" hidden="1" customHeight="1" outlineLevel="2" x14ac:dyDescent="0.25">
      <c r="B1125" s="704" t="s">
        <v>683</v>
      </c>
      <c r="C1125" s="704" t="s">
        <v>750</v>
      </c>
      <c r="D1125" s="704" t="s">
        <v>675</v>
      </c>
      <c r="E1125" s="704" t="s">
        <v>448</v>
      </c>
      <c r="F1125" s="706">
        <v>1.6548747711023767E-2</v>
      </c>
      <c r="G1125" s="705">
        <v>25.775314195653873</v>
      </c>
    </row>
    <row r="1126" spans="2:7" ht="11.25" hidden="1" customHeight="1" outlineLevel="2" x14ac:dyDescent="0.25">
      <c r="B1126" s="704" t="s">
        <v>684</v>
      </c>
      <c r="C1126" s="704" t="s">
        <v>750</v>
      </c>
      <c r="D1126" s="704" t="s">
        <v>675</v>
      </c>
      <c r="E1126" s="704" t="s">
        <v>448</v>
      </c>
      <c r="F1126" s="705">
        <v>2.1573097177111865E-3</v>
      </c>
      <c r="G1126" s="705">
        <v>3.3644402293941886</v>
      </c>
    </row>
    <row r="1127" spans="2:7" ht="11.25" hidden="1" customHeight="1" outlineLevel="2" x14ac:dyDescent="0.25">
      <c r="B1127" s="704" t="s">
        <v>685</v>
      </c>
      <c r="C1127" s="704" t="s">
        <v>750</v>
      </c>
      <c r="D1127" s="704" t="s">
        <v>675</v>
      </c>
      <c r="E1127" s="704" t="s">
        <v>448</v>
      </c>
      <c r="F1127" s="705">
        <v>1.986003369175577E-2</v>
      </c>
      <c r="G1127" s="705">
        <v>30.932756537300893</v>
      </c>
    </row>
    <row r="1128" spans="2:7" ht="11.25" hidden="1" customHeight="1" outlineLevel="2" x14ac:dyDescent="0.25">
      <c r="B1128" s="704" t="s">
        <v>686</v>
      </c>
      <c r="C1128" s="704" t="s">
        <v>750</v>
      </c>
      <c r="D1128" s="704" t="s">
        <v>675</v>
      </c>
      <c r="E1128" s="704" t="s">
        <v>448</v>
      </c>
      <c r="F1128" s="705">
        <v>4.708324519139797E-3</v>
      </c>
      <c r="G1128" s="705">
        <v>7.2725589261660737</v>
      </c>
    </row>
    <row r="1129" spans="2:7" ht="11.25" hidden="1" customHeight="1" outlineLevel="2" x14ac:dyDescent="0.25">
      <c r="B1129" s="704" t="s">
        <v>687</v>
      </c>
      <c r="C1129" s="704" t="s">
        <v>750</v>
      </c>
      <c r="D1129" s="704" t="s">
        <v>675</v>
      </c>
      <c r="E1129" s="704" t="s">
        <v>448</v>
      </c>
      <c r="F1129" s="705">
        <v>2.4022709963786602E-2</v>
      </c>
      <c r="G1129" s="705">
        <v>37.252715297635433</v>
      </c>
    </row>
    <row r="1130" spans="2:7" ht="11.25" hidden="1" customHeight="1" outlineLevel="2" x14ac:dyDescent="0.25">
      <c r="B1130" s="704" t="s">
        <v>688</v>
      </c>
      <c r="C1130" s="704" t="s">
        <v>750</v>
      </c>
      <c r="D1130" s="704" t="s">
        <v>675</v>
      </c>
      <c r="E1130" s="704" t="s">
        <v>448</v>
      </c>
      <c r="F1130" s="705">
        <v>1.6957192169592721E-2</v>
      </c>
      <c r="G1130" s="705">
        <v>26.281025477820023</v>
      </c>
    </row>
    <row r="1131" spans="2:7" ht="11.25" hidden="1" customHeight="1" outlineLevel="2" x14ac:dyDescent="0.25">
      <c r="B1131" s="704" t="s">
        <v>689</v>
      </c>
      <c r="C1131" s="704" t="s">
        <v>750</v>
      </c>
      <c r="D1131" s="704" t="s">
        <v>675</v>
      </c>
      <c r="E1131" s="704" t="s">
        <v>448</v>
      </c>
      <c r="F1131" s="705">
        <v>2.5539361028687041E-3</v>
      </c>
      <c r="G1131" s="705">
        <v>3.9533902864273567</v>
      </c>
    </row>
    <row r="1132" spans="2:7" ht="11.25" hidden="1" customHeight="1" outlineLevel="2" x14ac:dyDescent="0.25">
      <c r="B1132" s="704" t="s">
        <v>690</v>
      </c>
      <c r="C1132" s="704" t="s">
        <v>750</v>
      </c>
      <c r="D1132" s="704" t="s">
        <v>675</v>
      </c>
      <c r="E1132" s="704" t="s">
        <v>448</v>
      </c>
      <c r="F1132" s="705">
        <v>5.5883349506808663E-2</v>
      </c>
      <c r="G1132" s="705">
        <v>87.040419979185558</v>
      </c>
    </row>
    <row r="1133" spans="2:7" ht="11.25" hidden="1" customHeight="1" outlineLevel="2" x14ac:dyDescent="0.25">
      <c r="B1133" s="704" t="s">
        <v>691</v>
      </c>
      <c r="C1133" s="704" t="s">
        <v>750</v>
      </c>
      <c r="D1133" s="704" t="s">
        <v>675</v>
      </c>
      <c r="E1133" s="704" t="s">
        <v>448</v>
      </c>
      <c r="F1133" s="705">
        <v>6.3820549705336641E-2</v>
      </c>
      <c r="G1133" s="705">
        <v>99.402951302301162</v>
      </c>
    </row>
    <row r="1134" spans="2:7" ht="11.25" hidden="1" customHeight="1" outlineLevel="2" x14ac:dyDescent="0.25">
      <c r="B1134" s="704" t="s">
        <v>692</v>
      </c>
      <c r="C1134" s="704" t="s">
        <v>750</v>
      </c>
      <c r="D1134" s="704" t="s">
        <v>675</v>
      </c>
      <c r="E1134" s="704" t="s">
        <v>448</v>
      </c>
      <c r="F1134" s="705">
        <v>3.7484536668522094E-3</v>
      </c>
      <c r="G1134" s="705">
        <v>5.8128370859771934</v>
      </c>
    </row>
    <row r="1135" spans="2:7" ht="11.25" hidden="1" customHeight="1" outlineLevel="2" x14ac:dyDescent="0.25">
      <c r="B1135" s="704" t="s">
        <v>693</v>
      </c>
      <c r="C1135" s="704" t="s">
        <v>750</v>
      </c>
      <c r="D1135" s="704" t="s">
        <v>675</v>
      </c>
      <c r="E1135" s="704" t="s">
        <v>448</v>
      </c>
      <c r="F1135" s="705">
        <v>9.3039434698376378E-3</v>
      </c>
      <c r="G1135" s="705">
        <v>14.509986689938351</v>
      </c>
    </row>
    <row r="1136" spans="2:7" ht="11.25" hidden="1" customHeight="1" outlineLevel="2" x14ac:dyDescent="0.25">
      <c r="B1136" s="704" t="s">
        <v>694</v>
      </c>
      <c r="C1136" s="704" t="s">
        <v>750</v>
      </c>
      <c r="D1136" s="704" t="s">
        <v>675</v>
      </c>
      <c r="E1136" s="704" t="s">
        <v>448</v>
      </c>
      <c r="F1136" s="705">
        <v>1.0430812663194597E-3</v>
      </c>
      <c r="G1136" s="705">
        <v>1.6267404887112578</v>
      </c>
    </row>
    <row r="1137" spans="2:7" ht="11.25" hidden="1" customHeight="1" outlineLevel="2" x14ac:dyDescent="0.25">
      <c r="B1137" s="704" t="s">
        <v>695</v>
      </c>
      <c r="C1137" s="704" t="s">
        <v>750</v>
      </c>
      <c r="D1137" s="704" t="s">
        <v>675</v>
      </c>
      <c r="E1137" s="704" t="s">
        <v>448</v>
      </c>
      <c r="F1137" s="705">
        <v>4.9476486461192898E-3</v>
      </c>
      <c r="G1137" s="705">
        <v>7.7161203438351986</v>
      </c>
    </row>
    <row r="1138" spans="2:7" ht="11.25" hidden="1" customHeight="1" outlineLevel="2" x14ac:dyDescent="0.25">
      <c r="B1138" s="704" t="s">
        <v>696</v>
      </c>
      <c r="C1138" s="704" t="s">
        <v>750</v>
      </c>
      <c r="D1138" s="704" t="s">
        <v>675</v>
      </c>
      <c r="E1138" s="704" t="s">
        <v>448</v>
      </c>
      <c r="F1138" s="705">
        <v>1.2481444754262303E-2</v>
      </c>
      <c r="G1138" s="705">
        <v>19.279046844214552</v>
      </c>
    </row>
    <row r="1139" spans="2:7" ht="11.25" hidden="1" customHeight="1" outlineLevel="2" x14ac:dyDescent="0.25">
      <c r="B1139" s="704" t="s">
        <v>697</v>
      </c>
      <c r="C1139" s="704" t="s">
        <v>750</v>
      </c>
      <c r="D1139" s="704" t="s">
        <v>675</v>
      </c>
      <c r="E1139" s="704" t="s">
        <v>448</v>
      </c>
      <c r="F1139" s="705">
        <v>6.7635634916892477E-3</v>
      </c>
      <c r="G1139" s="705">
        <v>10.54813584455707</v>
      </c>
    </row>
    <row r="1140" spans="2:7" ht="11.25" hidden="1" customHeight="1" outlineLevel="2" x14ac:dyDescent="0.25">
      <c r="B1140" s="704" t="s">
        <v>698</v>
      </c>
      <c r="C1140" s="704" t="s">
        <v>750</v>
      </c>
      <c r="D1140" s="704" t="s">
        <v>675</v>
      </c>
      <c r="E1140" s="704" t="s">
        <v>448</v>
      </c>
      <c r="F1140" s="705">
        <v>7.4269853303031031E-3</v>
      </c>
      <c r="G1140" s="705">
        <v>11.582775126493615</v>
      </c>
    </row>
    <row r="1141" spans="2:7" ht="11.25" hidden="1" customHeight="1" outlineLevel="2" x14ac:dyDescent="0.25">
      <c r="B1141" s="704" t="s">
        <v>699</v>
      </c>
      <c r="C1141" s="704" t="s">
        <v>750</v>
      </c>
      <c r="D1141" s="704" t="s">
        <v>675</v>
      </c>
      <c r="E1141" s="704" t="s">
        <v>448</v>
      </c>
      <c r="F1141" s="705">
        <v>1.592384341995647E-33</v>
      </c>
      <c r="G1141" s="705">
        <v>2.1887064362259831E-30</v>
      </c>
    </row>
    <row r="1142" spans="2:7" ht="11.25" hidden="1" customHeight="1" outlineLevel="2" x14ac:dyDescent="0.25">
      <c r="B1142" s="704" t="s">
        <v>673</v>
      </c>
      <c r="C1142" s="704" t="s">
        <v>751</v>
      </c>
      <c r="D1142" s="704" t="s">
        <v>675</v>
      </c>
      <c r="E1142" s="704" t="s">
        <v>448</v>
      </c>
      <c r="F1142" s="705">
        <v>2.0791428830115198E-5</v>
      </c>
      <c r="G1142" s="705">
        <v>2.6790517933119217E-2</v>
      </c>
    </row>
    <row r="1143" spans="2:7" ht="11.25" hidden="1" customHeight="1" outlineLevel="2" x14ac:dyDescent="0.25">
      <c r="B1143" s="704" t="s">
        <v>677</v>
      </c>
      <c r="C1143" s="704" t="s">
        <v>751</v>
      </c>
      <c r="D1143" s="704" t="s">
        <v>675</v>
      </c>
      <c r="E1143" s="704" t="s">
        <v>448</v>
      </c>
      <c r="F1143" s="705">
        <v>3.4864731458997402E-4</v>
      </c>
      <c r="G1143" s="705">
        <v>0.44458438956335261</v>
      </c>
    </row>
    <row r="1144" spans="2:7" ht="11.25" hidden="1" customHeight="1" outlineLevel="2" x14ac:dyDescent="0.25">
      <c r="B1144" s="704" t="s">
        <v>678</v>
      </c>
      <c r="C1144" s="704" t="s">
        <v>751</v>
      </c>
      <c r="D1144" s="704" t="s">
        <v>675</v>
      </c>
      <c r="E1144" s="704" t="s">
        <v>448</v>
      </c>
      <c r="F1144" s="705">
        <v>7.960002184926176E-4</v>
      </c>
      <c r="G1144" s="705">
        <v>1.0297970511601284</v>
      </c>
    </row>
    <row r="1145" spans="2:7" ht="11.25" hidden="1" customHeight="1" outlineLevel="2" x14ac:dyDescent="0.25">
      <c r="B1145" s="704" t="s">
        <v>679</v>
      </c>
      <c r="C1145" s="704" t="s">
        <v>751</v>
      </c>
      <c r="D1145" s="704" t="s">
        <v>675</v>
      </c>
      <c r="E1145" s="704" t="s">
        <v>448</v>
      </c>
      <c r="F1145" s="705">
        <v>6.4310345753293928E-5</v>
      </c>
      <c r="G1145" s="705">
        <v>8.3570269732225033E-2</v>
      </c>
    </row>
    <row r="1146" spans="2:7" ht="11.25" hidden="1" customHeight="1" outlineLevel="2" x14ac:dyDescent="0.25">
      <c r="B1146" s="704" t="s">
        <v>680</v>
      </c>
      <c r="C1146" s="704" t="s">
        <v>751</v>
      </c>
      <c r="D1146" s="704" t="s">
        <v>675</v>
      </c>
      <c r="E1146" s="704" t="s">
        <v>448</v>
      </c>
      <c r="F1146" s="705">
        <v>1.190409356162469E-5</v>
      </c>
      <c r="G1146" s="705">
        <v>1.5489501510296764E-2</v>
      </c>
    </row>
    <row r="1147" spans="2:7" ht="11.25" hidden="1" customHeight="1" outlineLevel="2" x14ac:dyDescent="0.25">
      <c r="B1147" s="704" t="s">
        <v>681</v>
      </c>
      <c r="C1147" s="704" t="s">
        <v>751</v>
      </c>
      <c r="D1147" s="704" t="s">
        <v>675</v>
      </c>
      <c r="E1147" s="704" t="s">
        <v>448</v>
      </c>
      <c r="F1147" s="705">
        <v>1.0098754225091018E-4</v>
      </c>
      <c r="G1147" s="705">
        <v>0.13064904033620933</v>
      </c>
    </row>
    <row r="1148" spans="2:7" ht="11.25" hidden="1" customHeight="1" outlineLevel="2" x14ac:dyDescent="0.25">
      <c r="B1148" s="704" t="s">
        <v>682</v>
      </c>
      <c r="C1148" s="704" t="s">
        <v>751</v>
      </c>
      <c r="D1148" s="704" t="s">
        <v>675</v>
      </c>
      <c r="E1148" s="704" t="s">
        <v>448</v>
      </c>
      <c r="F1148" s="705">
        <v>8.8643471087347271E-5</v>
      </c>
      <c r="G1148" s="705">
        <v>0.11468988767337107</v>
      </c>
    </row>
    <row r="1149" spans="2:7" ht="11.25" hidden="1" customHeight="1" outlineLevel="2" x14ac:dyDescent="0.25">
      <c r="B1149" s="704" t="s">
        <v>683</v>
      </c>
      <c r="C1149" s="704" t="s">
        <v>751</v>
      </c>
      <c r="D1149" s="704" t="s">
        <v>675</v>
      </c>
      <c r="E1149" s="704" t="s">
        <v>448</v>
      </c>
      <c r="F1149" s="705">
        <v>1.4657563741830274E-4</v>
      </c>
      <c r="G1149" s="705">
        <v>0.19047277494344422</v>
      </c>
    </row>
    <row r="1150" spans="2:7" ht="11.25" hidden="1" customHeight="1" outlineLevel="2" x14ac:dyDescent="0.25">
      <c r="B1150" s="704" t="s">
        <v>684</v>
      </c>
      <c r="C1150" s="704" t="s">
        <v>751</v>
      </c>
      <c r="D1150" s="704" t="s">
        <v>675</v>
      </c>
      <c r="E1150" s="704" t="s">
        <v>448</v>
      </c>
      <c r="F1150" s="705">
        <v>1.9107355517366003E-5</v>
      </c>
      <c r="G1150" s="705">
        <v>2.4862328077750715E-2</v>
      </c>
    </row>
    <row r="1151" spans="2:7" ht="11.25" hidden="1" customHeight="1" outlineLevel="2" x14ac:dyDescent="0.25">
      <c r="B1151" s="704" t="s">
        <v>685</v>
      </c>
      <c r="C1151" s="704" t="s">
        <v>751</v>
      </c>
      <c r="D1151" s="704" t="s">
        <v>675</v>
      </c>
      <c r="E1151" s="704" t="s">
        <v>448</v>
      </c>
      <c r="F1151" s="705">
        <v>1.7590439120521558E-4</v>
      </c>
      <c r="G1151" s="705">
        <v>0.22858495217807082</v>
      </c>
    </row>
    <row r="1152" spans="2:7" ht="11.25" hidden="1" customHeight="1" outlineLevel="2" x14ac:dyDescent="0.25">
      <c r="B1152" s="704" t="s">
        <v>686</v>
      </c>
      <c r="C1152" s="704" t="s">
        <v>751</v>
      </c>
      <c r="D1152" s="704" t="s">
        <v>675</v>
      </c>
      <c r="E1152" s="704" t="s">
        <v>448</v>
      </c>
      <c r="F1152" s="705">
        <v>4.1708009499922951E-5</v>
      </c>
      <c r="G1152" s="705">
        <v>5.3742322782852493E-2</v>
      </c>
    </row>
    <row r="1153" spans="2:7" ht="11.25" hidden="1" customHeight="1" outlineLevel="2" x14ac:dyDescent="0.25">
      <c r="B1153" s="704" t="s">
        <v>687</v>
      </c>
      <c r="C1153" s="704" t="s">
        <v>751</v>
      </c>
      <c r="D1153" s="704" t="s">
        <v>675</v>
      </c>
      <c r="E1153" s="704" t="s">
        <v>448</v>
      </c>
      <c r="F1153" s="705">
        <v>2.127886342053579E-4</v>
      </c>
      <c r="G1153" s="705">
        <v>0.27528774813832041</v>
      </c>
    </row>
    <row r="1154" spans="2:7" ht="11.25" hidden="1" customHeight="1" outlineLevel="2" x14ac:dyDescent="0.25">
      <c r="B1154" s="704" t="s">
        <v>688</v>
      </c>
      <c r="C1154" s="704" t="s">
        <v>751</v>
      </c>
      <c r="D1154" s="704" t="s">
        <v>675</v>
      </c>
      <c r="E1154" s="704" t="s">
        <v>448</v>
      </c>
      <c r="F1154" s="705">
        <v>1.5020501724367951E-4</v>
      </c>
      <c r="G1154" s="705">
        <v>0.19421000857109755</v>
      </c>
    </row>
    <row r="1155" spans="2:7" ht="11.25" hidden="1" customHeight="1" outlineLevel="2" x14ac:dyDescent="0.25">
      <c r="B1155" s="704" t="s">
        <v>689</v>
      </c>
      <c r="C1155" s="704" t="s">
        <v>751</v>
      </c>
      <c r="D1155" s="704" t="s">
        <v>675</v>
      </c>
      <c r="E1155" s="704" t="s">
        <v>448</v>
      </c>
      <c r="F1155" s="705">
        <v>2.2622912803498214E-5</v>
      </c>
      <c r="G1155" s="705">
        <v>2.9214513376021586E-2</v>
      </c>
    </row>
    <row r="1156" spans="2:7" ht="11.25" hidden="1" customHeight="1" outlineLevel="2" x14ac:dyDescent="0.25">
      <c r="B1156" s="704" t="s">
        <v>690</v>
      </c>
      <c r="C1156" s="704" t="s">
        <v>751</v>
      </c>
      <c r="D1156" s="704" t="s">
        <v>675</v>
      </c>
      <c r="E1156" s="704" t="s">
        <v>448</v>
      </c>
      <c r="F1156" s="705">
        <v>4.949704060485089E-4</v>
      </c>
      <c r="G1156" s="705">
        <v>0.64320632308078496</v>
      </c>
    </row>
    <row r="1157" spans="2:7" ht="11.25" hidden="1" customHeight="1" outlineLevel="2" x14ac:dyDescent="0.25">
      <c r="B1157" s="704" t="s">
        <v>691</v>
      </c>
      <c r="C1157" s="704" t="s">
        <v>751</v>
      </c>
      <c r="D1157" s="704" t="s">
        <v>675</v>
      </c>
      <c r="E1157" s="704" t="s">
        <v>448</v>
      </c>
      <c r="F1157" s="705">
        <v>5.652717718504837E-4</v>
      </c>
      <c r="G1157" s="705">
        <v>0.73456207968541143</v>
      </c>
    </row>
    <row r="1158" spans="2:7" ht="11.25" hidden="1" customHeight="1" outlineLevel="2" x14ac:dyDescent="0.25">
      <c r="B1158" s="704" t="s">
        <v>692</v>
      </c>
      <c r="C1158" s="704" t="s">
        <v>751</v>
      </c>
      <c r="D1158" s="704" t="s">
        <v>675</v>
      </c>
      <c r="E1158" s="704" t="s">
        <v>448</v>
      </c>
      <c r="F1158" s="705">
        <v>3.3203110162359887E-5</v>
      </c>
      <c r="G1158" s="705">
        <v>4.2955341744417494E-2</v>
      </c>
    </row>
    <row r="1159" spans="2:7" ht="11.25" hidden="1" customHeight="1" outlineLevel="2" x14ac:dyDescent="0.25">
      <c r="B1159" s="704" t="s">
        <v>693</v>
      </c>
      <c r="C1159" s="704" t="s">
        <v>751</v>
      </c>
      <c r="D1159" s="704" t="s">
        <v>675</v>
      </c>
      <c r="E1159" s="704" t="s">
        <v>448</v>
      </c>
      <c r="F1159" s="705">
        <v>8.2405339572797271E-5</v>
      </c>
      <c r="G1159" s="705">
        <v>0.10722508917003663</v>
      </c>
    </row>
    <row r="1160" spans="2:7" ht="11.25" hidden="1" customHeight="1" outlineLevel="2" x14ac:dyDescent="0.25">
      <c r="B1160" s="704" t="s">
        <v>694</v>
      </c>
      <c r="C1160" s="704" t="s">
        <v>751</v>
      </c>
      <c r="D1160" s="704" t="s">
        <v>675</v>
      </c>
      <c r="E1160" s="704" t="s">
        <v>448</v>
      </c>
      <c r="F1160" s="705">
        <v>9.2385970736953512E-6</v>
      </c>
      <c r="G1160" s="705">
        <v>1.2021188143555095E-2</v>
      </c>
    </row>
    <row r="1161" spans="2:7" ht="11.25" hidden="1" customHeight="1" outlineLevel="2" x14ac:dyDescent="0.25">
      <c r="B1161" s="704" t="s">
        <v>695</v>
      </c>
      <c r="C1161" s="704" t="s">
        <v>751</v>
      </c>
      <c r="D1161" s="704" t="s">
        <v>675</v>
      </c>
      <c r="E1161" s="704" t="s">
        <v>448</v>
      </c>
      <c r="F1161" s="705">
        <v>4.3821461696402239E-5</v>
      </c>
      <c r="G1161" s="705">
        <v>5.7020127269528313E-2</v>
      </c>
    </row>
    <row r="1162" spans="2:7" ht="11.25" hidden="1" customHeight="1" outlineLevel="2" x14ac:dyDescent="0.25">
      <c r="B1162" s="704" t="s">
        <v>696</v>
      </c>
      <c r="C1162" s="704" t="s">
        <v>751</v>
      </c>
      <c r="D1162" s="704" t="s">
        <v>675</v>
      </c>
      <c r="E1162" s="704" t="s">
        <v>448</v>
      </c>
      <c r="F1162" s="705">
        <v>1.1056507836612924E-4</v>
      </c>
      <c r="G1162" s="705">
        <v>0.1424672198908567</v>
      </c>
    </row>
    <row r="1163" spans="2:7" ht="11.25" hidden="1" customHeight="1" outlineLevel="2" x14ac:dyDescent="0.25">
      <c r="B1163" s="704" t="s">
        <v>697</v>
      </c>
      <c r="C1163" s="704" t="s">
        <v>751</v>
      </c>
      <c r="D1163" s="704" t="s">
        <v>675</v>
      </c>
      <c r="E1163" s="704" t="s">
        <v>448</v>
      </c>
      <c r="F1163" s="705">
        <v>5.9905040942566818E-5</v>
      </c>
      <c r="G1163" s="705">
        <v>7.7947961708111205E-2</v>
      </c>
    </row>
    <row r="1164" spans="2:7" ht="11.25" hidden="1" customHeight="1" outlineLevel="2" x14ac:dyDescent="0.25">
      <c r="B1164" s="704" t="s">
        <v>698</v>
      </c>
      <c r="C1164" s="704" t="s">
        <v>751</v>
      </c>
      <c r="D1164" s="704" t="s">
        <v>675</v>
      </c>
      <c r="E1164" s="704" t="s">
        <v>448</v>
      </c>
      <c r="F1164" s="705">
        <v>6.5781001504463952E-5</v>
      </c>
      <c r="G1164" s="705">
        <v>8.5593652830586939E-2</v>
      </c>
    </row>
    <row r="1165" spans="2:7" ht="11.25" hidden="1" customHeight="1" outlineLevel="2" x14ac:dyDescent="0.25">
      <c r="B1165" s="704" t="s">
        <v>699</v>
      </c>
      <c r="C1165" s="704" t="s">
        <v>751</v>
      </c>
      <c r="D1165" s="704" t="s">
        <v>675</v>
      </c>
      <c r="E1165" s="704" t="s">
        <v>448</v>
      </c>
      <c r="F1165" s="705">
        <v>2.8188941846536646E-35</v>
      </c>
      <c r="G1165" s="705">
        <v>3.6468459944899661E-32</v>
      </c>
    </row>
    <row r="1166" spans="2:7" ht="11.25" hidden="1" customHeight="1" outlineLevel="2" x14ac:dyDescent="0.25">
      <c r="B1166" s="704" t="s">
        <v>673</v>
      </c>
      <c r="C1166" s="704" t="s">
        <v>752</v>
      </c>
      <c r="D1166" s="704" t="s">
        <v>675</v>
      </c>
      <c r="E1166" s="704" t="s">
        <v>448</v>
      </c>
      <c r="F1166" s="706">
        <v>5.7191920101656076E-3</v>
      </c>
      <c r="G1166" s="705">
        <v>6.78413957881763</v>
      </c>
    </row>
    <row r="1167" spans="2:7" ht="11.25" hidden="1" customHeight="1" outlineLevel="2" x14ac:dyDescent="0.25">
      <c r="B1167" s="704" t="s">
        <v>677</v>
      </c>
      <c r="C1167" s="704" t="s">
        <v>752</v>
      </c>
      <c r="D1167" s="704" t="s">
        <v>675</v>
      </c>
      <c r="E1167" s="704" t="s">
        <v>448</v>
      </c>
      <c r="F1167" s="706">
        <v>9.5904017693048196E-2</v>
      </c>
      <c r="G1167" s="705">
        <v>112.58171934712634</v>
      </c>
    </row>
    <row r="1168" spans="2:7" ht="11.25" hidden="1" customHeight="1" outlineLevel="2" x14ac:dyDescent="0.25">
      <c r="B1168" s="704" t="s">
        <v>678</v>
      </c>
      <c r="C1168" s="704" t="s">
        <v>752</v>
      </c>
      <c r="D1168" s="704" t="s">
        <v>675</v>
      </c>
      <c r="E1168" s="704" t="s">
        <v>448</v>
      </c>
      <c r="F1168" s="706">
        <v>0.21895933529834</v>
      </c>
      <c r="G1168" s="705">
        <v>260.77473919157478</v>
      </c>
    </row>
    <row r="1169" spans="2:7" ht="11.25" hidden="1" customHeight="1" outlineLevel="2" x14ac:dyDescent="0.25">
      <c r="B1169" s="704" t="s">
        <v>679</v>
      </c>
      <c r="C1169" s="704" t="s">
        <v>752</v>
      </c>
      <c r="D1169" s="704" t="s">
        <v>675</v>
      </c>
      <c r="E1169" s="704" t="s">
        <v>448</v>
      </c>
      <c r="F1169" s="706">
        <v>1.7690127908418042E-2</v>
      </c>
      <c r="G1169" s="705">
        <v>21.162422698473296</v>
      </c>
    </row>
    <row r="1170" spans="2:7" ht="11.25" hidden="1" customHeight="1" outlineLevel="2" x14ac:dyDescent="0.25">
      <c r="B1170" s="704" t="s">
        <v>680</v>
      </c>
      <c r="C1170" s="704" t="s">
        <v>752</v>
      </c>
      <c r="D1170" s="704" t="s">
        <v>675</v>
      </c>
      <c r="E1170" s="704" t="s">
        <v>448</v>
      </c>
      <c r="F1170" s="706">
        <v>3.274511557678847E-3</v>
      </c>
      <c r="G1170" s="705">
        <v>3.9223927002788339</v>
      </c>
    </row>
    <row r="1171" spans="2:7" ht="11.25" hidden="1" customHeight="1" outlineLevel="2" x14ac:dyDescent="0.25">
      <c r="B1171" s="704" t="s">
        <v>681</v>
      </c>
      <c r="C1171" s="704" t="s">
        <v>752</v>
      </c>
      <c r="D1171" s="704" t="s">
        <v>675</v>
      </c>
      <c r="E1171" s="704" t="s">
        <v>448</v>
      </c>
      <c r="F1171" s="706">
        <v>2.7779093259250383E-2</v>
      </c>
      <c r="G1171" s="705">
        <v>33.084153852502311</v>
      </c>
    </row>
    <row r="1172" spans="2:7" ht="11.25" hidden="1" customHeight="1" outlineLevel="2" x14ac:dyDescent="0.25">
      <c r="B1172" s="704" t="s">
        <v>682</v>
      </c>
      <c r="C1172" s="704" t="s">
        <v>752</v>
      </c>
      <c r="D1172" s="704" t="s">
        <v>675</v>
      </c>
      <c r="E1172" s="704" t="s">
        <v>448</v>
      </c>
      <c r="F1172" s="706">
        <v>2.4383560646629374E-2</v>
      </c>
      <c r="G1172" s="705">
        <v>29.042812974388013</v>
      </c>
    </row>
    <row r="1173" spans="2:7" ht="11.25" hidden="1" customHeight="1" outlineLevel="2" x14ac:dyDescent="0.25">
      <c r="B1173" s="704" t="s">
        <v>683</v>
      </c>
      <c r="C1173" s="704" t="s">
        <v>752</v>
      </c>
      <c r="D1173" s="704" t="s">
        <v>675</v>
      </c>
      <c r="E1173" s="704" t="s">
        <v>448</v>
      </c>
      <c r="F1173" s="706">
        <v>4.0319238293233778E-2</v>
      </c>
      <c r="G1173" s="705">
        <v>48.233243192237964</v>
      </c>
    </row>
    <row r="1174" spans="2:7" ht="11.25" hidden="1" customHeight="1" outlineLevel="2" x14ac:dyDescent="0.25">
      <c r="B1174" s="704" t="s">
        <v>684</v>
      </c>
      <c r="C1174" s="704" t="s">
        <v>752</v>
      </c>
      <c r="D1174" s="704" t="s">
        <v>675</v>
      </c>
      <c r="E1174" s="704" t="s">
        <v>448</v>
      </c>
      <c r="F1174" s="706">
        <v>5.2559479231985458E-3</v>
      </c>
      <c r="G1174" s="705">
        <v>6.2958651449687562</v>
      </c>
    </row>
    <row r="1175" spans="2:7" ht="11.25" hidden="1" customHeight="1" outlineLevel="2" x14ac:dyDescent="0.25">
      <c r="B1175" s="704" t="s">
        <v>685</v>
      </c>
      <c r="C1175" s="704" t="s">
        <v>752</v>
      </c>
      <c r="D1175" s="704" t="s">
        <v>675</v>
      </c>
      <c r="E1175" s="704" t="s">
        <v>448</v>
      </c>
      <c r="F1175" s="706">
        <v>4.8386811525431665E-2</v>
      </c>
      <c r="G1175" s="705">
        <v>57.884366198126052</v>
      </c>
    </row>
    <row r="1176" spans="2:7" ht="11.25" hidden="1" customHeight="1" outlineLevel="2" x14ac:dyDescent="0.25">
      <c r="B1176" s="704" t="s">
        <v>686</v>
      </c>
      <c r="C1176" s="704" t="s">
        <v>752</v>
      </c>
      <c r="D1176" s="704" t="s">
        <v>675</v>
      </c>
      <c r="E1176" s="704" t="s">
        <v>448</v>
      </c>
      <c r="F1176" s="706">
        <v>1.1472813796787384E-2</v>
      </c>
      <c r="G1176" s="705">
        <v>13.609107124397132</v>
      </c>
    </row>
    <row r="1177" spans="2:7" ht="11.25" hidden="1" customHeight="1" outlineLevel="2" x14ac:dyDescent="0.25">
      <c r="B1177" s="704" t="s">
        <v>687</v>
      </c>
      <c r="C1177" s="704" t="s">
        <v>752</v>
      </c>
      <c r="D1177" s="704" t="s">
        <v>675</v>
      </c>
      <c r="E1177" s="704" t="s">
        <v>448</v>
      </c>
      <c r="F1177" s="706">
        <v>5.853274717683845E-2</v>
      </c>
      <c r="G1177" s="705">
        <v>69.710886573539142</v>
      </c>
    </row>
    <row r="1178" spans="2:7" ht="11.25" hidden="1" customHeight="1" outlineLevel="2" x14ac:dyDescent="0.25">
      <c r="B1178" s="704" t="s">
        <v>688</v>
      </c>
      <c r="C1178" s="704" t="s">
        <v>752</v>
      </c>
      <c r="D1178" s="704" t="s">
        <v>675</v>
      </c>
      <c r="E1178" s="704" t="s">
        <v>448</v>
      </c>
      <c r="F1178" s="706">
        <v>4.1317554326148309E-2</v>
      </c>
      <c r="G1178" s="705">
        <v>49.179632655655737</v>
      </c>
    </row>
    <row r="1179" spans="2:7" ht="11.25" hidden="1" customHeight="1" outlineLevel="2" x14ac:dyDescent="0.25">
      <c r="B1179" s="704" t="s">
        <v>689</v>
      </c>
      <c r="C1179" s="704" t="s">
        <v>752</v>
      </c>
      <c r="D1179" s="704" t="s">
        <v>675</v>
      </c>
      <c r="E1179" s="704" t="s">
        <v>448</v>
      </c>
      <c r="F1179" s="706">
        <v>6.2229869871918168E-3</v>
      </c>
      <c r="G1179" s="705">
        <v>7.3979655644450633</v>
      </c>
    </row>
    <row r="1180" spans="2:7" ht="11.25" hidden="1" customHeight="1" outlineLevel="2" x14ac:dyDescent="0.25">
      <c r="B1180" s="704" t="s">
        <v>690</v>
      </c>
      <c r="C1180" s="704" t="s">
        <v>752</v>
      </c>
      <c r="D1180" s="704" t="s">
        <v>675</v>
      </c>
      <c r="E1180" s="704" t="s">
        <v>448</v>
      </c>
      <c r="F1180" s="706">
        <v>0.13615378925898308</v>
      </c>
      <c r="G1180" s="705">
        <v>162.87858416728668</v>
      </c>
    </row>
    <row r="1181" spans="2:7" ht="11.25" hidden="1" customHeight="1" outlineLevel="2" x14ac:dyDescent="0.25">
      <c r="B1181" s="704" t="s">
        <v>691</v>
      </c>
      <c r="C1181" s="704" t="s">
        <v>752</v>
      </c>
      <c r="D1181" s="704" t="s">
        <v>675</v>
      </c>
      <c r="E1181" s="704" t="s">
        <v>448</v>
      </c>
      <c r="F1181" s="706">
        <v>0.15549186586636338</v>
      </c>
      <c r="G1181" s="705">
        <v>186.01249488639067</v>
      </c>
    </row>
    <row r="1182" spans="2:7" ht="11.25" hidden="1" customHeight="1" outlineLevel="2" x14ac:dyDescent="0.25">
      <c r="B1182" s="704" t="s">
        <v>692</v>
      </c>
      <c r="C1182" s="704" t="s">
        <v>752</v>
      </c>
      <c r="D1182" s="704" t="s">
        <v>675</v>
      </c>
      <c r="E1182" s="704" t="s">
        <v>448</v>
      </c>
      <c r="F1182" s="706">
        <v>9.1333270592567056E-3</v>
      </c>
      <c r="G1182" s="705">
        <v>10.87754550107802</v>
      </c>
    </row>
    <row r="1183" spans="2:7" ht="11.25" hidden="1" customHeight="1" outlineLevel="2" x14ac:dyDescent="0.25">
      <c r="B1183" s="704" t="s">
        <v>693</v>
      </c>
      <c r="C1183" s="704" t="s">
        <v>752</v>
      </c>
      <c r="D1183" s="704" t="s">
        <v>675</v>
      </c>
      <c r="E1183" s="704" t="s">
        <v>448</v>
      </c>
      <c r="F1183" s="706">
        <v>2.2667596908859496E-2</v>
      </c>
      <c r="G1183" s="705">
        <v>27.152517357746092</v>
      </c>
    </row>
    <row r="1184" spans="2:7" ht="11.25" hidden="1" customHeight="1" outlineLevel="2" x14ac:dyDescent="0.25">
      <c r="B1184" s="704" t="s">
        <v>694</v>
      </c>
      <c r="C1184" s="704" t="s">
        <v>752</v>
      </c>
      <c r="D1184" s="704" t="s">
        <v>675</v>
      </c>
      <c r="E1184" s="704" t="s">
        <v>448</v>
      </c>
      <c r="F1184" s="706">
        <v>2.5413033776703351E-3</v>
      </c>
      <c r="G1184" s="705">
        <v>3.0441148174551604</v>
      </c>
    </row>
    <row r="1185" spans="2:7" ht="11.25" hidden="1" customHeight="1" outlineLevel="2" x14ac:dyDescent="0.25">
      <c r="B1185" s="704" t="s">
        <v>695</v>
      </c>
      <c r="C1185" s="704" t="s">
        <v>752</v>
      </c>
      <c r="D1185" s="704" t="s">
        <v>675</v>
      </c>
      <c r="E1185" s="704" t="s">
        <v>448</v>
      </c>
      <c r="F1185" s="706">
        <v>1.2054168421194248E-2</v>
      </c>
      <c r="G1185" s="705">
        <v>14.439152899239401</v>
      </c>
    </row>
    <row r="1186" spans="2:7" ht="11.25" hidden="1" customHeight="1" outlineLevel="2" x14ac:dyDescent="0.25">
      <c r="B1186" s="704" t="s">
        <v>696</v>
      </c>
      <c r="C1186" s="704" t="s">
        <v>752</v>
      </c>
      <c r="D1186" s="704" t="s">
        <v>675</v>
      </c>
      <c r="E1186" s="704" t="s">
        <v>448</v>
      </c>
      <c r="F1186" s="706">
        <v>3.0413632905572131E-2</v>
      </c>
      <c r="G1186" s="705">
        <v>36.076839006152738</v>
      </c>
    </row>
    <row r="1187" spans="2:7" ht="11.25" hidden="1" customHeight="1" outlineLevel="2" x14ac:dyDescent="0.25">
      <c r="B1187" s="704" t="s">
        <v>697</v>
      </c>
      <c r="C1187" s="704" t="s">
        <v>752</v>
      </c>
      <c r="D1187" s="704" t="s">
        <v>675</v>
      </c>
      <c r="E1187" s="704" t="s">
        <v>448</v>
      </c>
      <c r="F1187" s="706">
        <v>1.6478353630890591E-2</v>
      </c>
      <c r="G1187" s="705">
        <v>19.738687356135554</v>
      </c>
    </row>
    <row r="1188" spans="2:7" ht="11.25" hidden="1" customHeight="1" outlineLevel="2" x14ac:dyDescent="0.25">
      <c r="B1188" s="704" t="s">
        <v>698</v>
      </c>
      <c r="C1188" s="704" t="s">
        <v>752</v>
      </c>
      <c r="D1188" s="704" t="s">
        <v>675</v>
      </c>
      <c r="E1188" s="704" t="s">
        <v>448</v>
      </c>
      <c r="F1188" s="706">
        <v>1.809467839342312E-2</v>
      </c>
      <c r="G1188" s="705">
        <v>21.674817043067122</v>
      </c>
    </row>
    <row r="1189" spans="2:7" ht="11.25" hidden="1" customHeight="1" outlineLevel="2" x14ac:dyDescent="0.25">
      <c r="B1189" s="704" t="s">
        <v>699</v>
      </c>
      <c r="C1189" s="704" t="s">
        <v>752</v>
      </c>
      <c r="D1189" s="704" t="s">
        <v>675</v>
      </c>
      <c r="E1189" s="704" t="s">
        <v>448</v>
      </c>
      <c r="F1189" s="706">
        <v>5.2807307293900074E-33</v>
      </c>
      <c r="G1189" s="705">
        <v>6.0145549583322237E-30</v>
      </c>
    </row>
    <row r="1190" spans="2:7" ht="11.25" hidden="1" customHeight="1" outlineLevel="2" x14ac:dyDescent="0.25">
      <c r="B1190" s="704" t="s">
        <v>673</v>
      </c>
      <c r="C1190" s="704" t="s">
        <v>753</v>
      </c>
      <c r="D1190" s="704" t="s">
        <v>675</v>
      </c>
      <c r="E1190" s="704" t="s">
        <v>448</v>
      </c>
      <c r="F1190" s="706">
        <v>4.0965872834051635E-3</v>
      </c>
      <c r="G1190" s="705">
        <v>6.4105942367793354</v>
      </c>
    </row>
    <row r="1191" spans="2:7" ht="11.25" hidden="1" customHeight="1" outlineLevel="2" x14ac:dyDescent="0.25">
      <c r="B1191" s="704" t="s">
        <v>677</v>
      </c>
      <c r="C1191" s="704" t="s">
        <v>753</v>
      </c>
      <c r="D1191" s="704" t="s">
        <v>675</v>
      </c>
      <c r="E1191" s="704" t="s">
        <v>448</v>
      </c>
      <c r="F1191" s="705">
        <v>6.8692428760668181E-2</v>
      </c>
      <c r="G1191" s="705">
        <v>106.38274255202634</v>
      </c>
    </row>
    <row r="1192" spans="2:7" ht="11.25" hidden="1" customHeight="1" outlineLevel="2" x14ac:dyDescent="0.25">
      <c r="B1192" s="704" t="s">
        <v>678</v>
      </c>
      <c r="C1192" s="704" t="s">
        <v>753</v>
      </c>
      <c r="D1192" s="704" t="s">
        <v>675</v>
      </c>
      <c r="E1192" s="704" t="s">
        <v>448</v>
      </c>
      <c r="F1192" s="705">
        <v>0.1568400856898968</v>
      </c>
      <c r="G1192" s="705">
        <v>246.41602500952814</v>
      </c>
    </row>
    <row r="1193" spans="2:7" ht="11.25" hidden="1" customHeight="1" outlineLevel="2" x14ac:dyDescent="0.25">
      <c r="B1193" s="704" t="s">
        <v>679</v>
      </c>
      <c r="C1193" s="704" t="s">
        <v>753</v>
      </c>
      <c r="D1193" s="704" t="s">
        <v>675</v>
      </c>
      <c r="E1193" s="704" t="s">
        <v>448</v>
      </c>
      <c r="F1193" s="705">
        <v>1.2671597375598165E-2</v>
      </c>
      <c r="G1193" s="705">
        <v>19.997186779984336</v>
      </c>
    </row>
    <row r="1194" spans="2:7" ht="11.25" hidden="1" customHeight="1" outlineLevel="2" x14ac:dyDescent="0.25">
      <c r="B1194" s="704" t="s">
        <v>680</v>
      </c>
      <c r="C1194" s="704" t="s">
        <v>753</v>
      </c>
      <c r="D1194" s="704" t="s">
        <v>675</v>
      </c>
      <c r="E1194" s="704" t="s">
        <v>448</v>
      </c>
      <c r="F1194" s="705">
        <v>2.3455723603111249E-3</v>
      </c>
      <c r="G1194" s="705">
        <v>3.7064206793268251</v>
      </c>
    </row>
    <row r="1195" spans="2:7" ht="11.25" hidden="1" customHeight="1" outlineLevel="2" x14ac:dyDescent="0.25">
      <c r="B1195" s="704" t="s">
        <v>681</v>
      </c>
      <c r="C1195" s="704" t="s">
        <v>753</v>
      </c>
      <c r="D1195" s="704" t="s">
        <v>675</v>
      </c>
      <c r="E1195" s="704" t="s">
        <v>448</v>
      </c>
      <c r="F1195" s="705">
        <v>1.9898101230484726E-2</v>
      </c>
      <c r="G1195" s="705">
        <v>31.262487885200009</v>
      </c>
    </row>
    <row r="1196" spans="2:7" ht="11.25" hidden="1" customHeight="1" outlineLevel="2" x14ac:dyDescent="0.25">
      <c r="B1196" s="704" t="s">
        <v>682</v>
      </c>
      <c r="C1196" s="704" t="s">
        <v>753</v>
      </c>
      <c r="D1196" s="704" t="s">
        <v>675</v>
      </c>
      <c r="E1196" s="704" t="s">
        <v>448</v>
      </c>
      <c r="F1196" s="705">
        <v>1.7465896143108013E-2</v>
      </c>
      <c r="G1196" s="705">
        <v>27.443679524689365</v>
      </c>
    </row>
    <row r="1197" spans="2:7" ht="11.25" hidden="1" customHeight="1" outlineLevel="2" x14ac:dyDescent="0.25">
      <c r="B1197" s="704" t="s">
        <v>683</v>
      </c>
      <c r="C1197" s="704" t="s">
        <v>753</v>
      </c>
      <c r="D1197" s="704" t="s">
        <v>675</v>
      </c>
      <c r="E1197" s="704" t="s">
        <v>448</v>
      </c>
      <c r="F1197" s="705">
        <v>2.8881013566062715E-2</v>
      </c>
      <c r="G1197" s="705">
        <v>45.577467531895572</v>
      </c>
    </row>
    <row r="1198" spans="2:7" ht="11.25" hidden="1" customHeight="1" outlineLevel="2" x14ac:dyDescent="0.25">
      <c r="B1198" s="704" t="s">
        <v>684</v>
      </c>
      <c r="C1198" s="704" t="s">
        <v>753</v>
      </c>
      <c r="D1198" s="704" t="s">
        <v>675</v>
      </c>
      <c r="E1198" s="704" t="s">
        <v>448</v>
      </c>
      <c r="F1198" s="705">
        <v>3.7648992049191532E-3</v>
      </c>
      <c r="G1198" s="705">
        <v>5.9492075329649357</v>
      </c>
    </row>
    <row r="1199" spans="2:7" ht="11.25" hidden="1" customHeight="1" outlineLevel="2" x14ac:dyDescent="0.25">
      <c r="B1199" s="704" t="s">
        <v>685</v>
      </c>
      <c r="C1199" s="704" t="s">
        <v>753</v>
      </c>
      <c r="D1199" s="704" t="s">
        <v>675</v>
      </c>
      <c r="E1199" s="704" t="s">
        <v>448</v>
      </c>
      <c r="F1199" s="705">
        <v>3.465989307498922E-2</v>
      </c>
      <c r="G1199" s="705">
        <v>54.697172684154495</v>
      </c>
    </row>
    <row r="1200" spans="2:7" ht="11.25" hidden="1" customHeight="1" outlineLevel="2" x14ac:dyDescent="0.25">
      <c r="B1200" s="704" t="s">
        <v>686</v>
      </c>
      <c r="C1200" s="704" t="s">
        <v>753</v>
      </c>
      <c r="D1200" s="704" t="s">
        <v>675</v>
      </c>
      <c r="E1200" s="704" t="s">
        <v>448</v>
      </c>
      <c r="F1200" s="705">
        <v>8.2178360258584066E-3</v>
      </c>
      <c r="G1200" s="705">
        <v>12.859775460473136</v>
      </c>
    </row>
    <row r="1201" spans="2:7" ht="11.25" hidden="1" customHeight="1" outlineLevel="2" x14ac:dyDescent="0.25">
      <c r="B1201" s="704" t="s">
        <v>687</v>
      </c>
      <c r="C1201" s="704" t="s">
        <v>753</v>
      </c>
      <c r="D1201" s="704" t="s">
        <v>675</v>
      </c>
      <c r="E1201" s="704" t="s">
        <v>448</v>
      </c>
      <c r="F1201" s="705">
        <v>4.1926859331536594E-2</v>
      </c>
      <c r="G1201" s="705">
        <v>65.872507198967327</v>
      </c>
    </row>
    <row r="1202" spans="2:7" ht="11.25" hidden="1" customHeight="1" outlineLevel="2" x14ac:dyDescent="0.25">
      <c r="B1202" s="704" t="s">
        <v>688</v>
      </c>
      <c r="C1202" s="704" t="s">
        <v>753</v>
      </c>
      <c r="D1202" s="704" t="s">
        <v>675</v>
      </c>
      <c r="E1202" s="704" t="s">
        <v>448</v>
      </c>
      <c r="F1202" s="705">
        <v>2.9595609959814029E-2</v>
      </c>
      <c r="G1202" s="705">
        <v>46.471736343095998</v>
      </c>
    </row>
    <row r="1203" spans="2:7" ht="11.25" hidden="1" customHeight="1" outlineLevel="2" x14ac:dyDescent="0.25">
      <c r="B1203" s="704" t="s">
        <v>689</v>
      </c>
      <c r="C1203" s="704" t="s">
        <v>753</v>
      </c>
      <c r="D1203" s="704" t="s">
        <v>675</v>
      </c>
      <c r="E1203" s="704" t="s">
        <v>448</v>
      </c>
      <c r="F1203" s="705">
        <v>4.4574815545550791E-3</v>
      </c>
      <c r="G1203" s="705">
        <v>6.9906235463266251</v>
      </c>
    </row>
    <row r="1204" spans="2:7" ht="11.25" hidden="1" customHeight="1" outlineLevel="2" x14ac:dyDescent="0.25">
      <c r="B1204" s="704" t="s">
        <v>690</v>
      </c>
      <c r="C1204" s="704" t="s">
        <v>753</v>
      </c>
      <c r="D1204" s="704" t="s">
        <v>675</v>
      </c>
      <c r="E1204" s="704" t="s">
        <v>448</v>
      </c>
      <c r="F1204" s="705">
        <v>9.7528093092460341E-2</v>
      </c>
      <c r="G1204" s="705">
        <v>153.91022985669468</v>
      </c>
    </row>
    <row r="1205" spans="2:7" ht="11.25" hidden="1" customHeight="1" outlineLevel="2" x14ac:dyDescent="0.25">
      <c r="B1205" s="704" t="s">
        <v>691</v>
      </c>
      <c r="C1205" s="704" t="s">
        <v>753</v>
      </c>
      <c r="D1205" s="704" t="s">
        <v>675</v>
      </c>
      <c r="E1205" s="704" t="s">
        <v>448</v>
      </c>
      <c r="F1205" s="705">
        <v>0.11138023400817618</v>
      </c>
      <c r="G1205" s="705">
        <v>175.77033987204032</v>
      </c>
    </row>
    <row r="1206" spans="2:7" ht="11.25" hidden="1" customHeight="1" outlineLevel="2" x14ac:dyDescent="0.25">
      <c r="B1206" s="704" t="s">
        <v>692</v>
      </c>
      <c r="C1206" s="704" t="s">
        <v>753</v>
      </c>
      <c r="D1206" s="704" t="s">
        <v>675</v>
      </c>
      <c r="E1206" s="704" t="s">
        <v>448</v>
      </c>
      <c r="F1206" s="705">
        <v>6.5421808827049038E-3</v>
      </c>
      <c r="G1206" s="705">
        <v>10.278611511291659</v>
      </c>
    </row>
    <row r="1207" spans="2:7" ht="11.25" hidden="1" customHeight="1" outlineLevel="2" x14ac:dyDescent="0.25">
      <c r="B1207" s="704" t="s">
        <v>693</v>
      </c>
      <c r="C1207" s="704" t="s">
        <v>753</v>
      </c>
      <c r="D1207" s="704" t="s">
        <v>675</v>
      </c>
      <c r="E1207" s="704" t="s">
        <v>448</v>
      </c>
      <c r="F1207" s="705">
        <v>1.6237066587020368E-2</v>
      </c>
      <c r="G1207" s="705">
        <v>25.657445645214295</v>
      </c>
    </row>
    <row r="1208" spans="2:7" ht="11.25" hidden="1" customHeight="1" outlineLevel="2" x14ac:dyDescent="0.25">
      <c r="B1208" s="704" t="s">
        <v>694</v>
      </c>
      <c r="C1208" s="704" t="s">
        <v>753</v>
      </c>
      <c r="D1208" s="704" t="s">
        <v>675</v>
      </c>
      <c r="E1208" s="704" t="s">
        <v>448</v>
      </c>
      <c r="F1208" s="705">
        <v>1.8203658485368972E-3</v>
      </c>
      <c r="G1208" s="705">
        <v>2.876500397521859</v>
      </c>
    </row>
    <row r="1209" spans="2:7" ht="11.25" hidden="1" customHeight="1" outlineLevel="2" x14ac:dyDescent="0.25">
      <c r="B1209" s="704" t="s">
        <v>695</v>
      </c>
      <c r="C1209" s="704" t="s">
        <v>753</v>
      </c>
      <c r="D1209" s="704" t="s">
        <v>675</v>
      </c>
      <c r="E1209" s="704" t="s">
        <v>448</v>
      </c>
      <c r="F1209" s="705">
        <v>8.6345473829895283E-3</v>
      </c>
      <c r="G1209" s="705">
        <v>13.644118682759089</v>
      </c>
    </row>
    <row r="1210" spans="2:7" ht="11.25" hidden="1" customHeight="1" outlineLevel="2" x14ac:dyDescent="0.25">
      <c r="B1210" s="704" t="s">
        <v>696</v>
      </c>
      <c r="C1210" s="704" t="s">
        <v>753</v>
      </c>
      <c r="D1210" s="704" t="s">
        <v>675</v>
      </c>
      <c r="E1210" s="704" t="s">
        <v>448</v>
      </c>
      <c r="F1210" s="705">
        <v>2.1784913909264129E-2</v>
      </c>
      <c r="G1210" s="705">
        <v>34.09039598093382</v>
      </c>
    </row>
    <row r="1211" spans="2:7" ht="11.25" hidden="1" customHeight="1" outlineLevel="2" x14ac:dyDescent="0.25">
      <c r="B1211" s="704" t="s">
        <v>697</v>
      </c>
      <c r="C1211" s="704" t="s">
        <v>753</v>
      </c>
      <c r="D1211" s="704" t="s">
        <v>675</v>
      </c>
      <c r="E1211" s="704" t="s">
        <v>448</v>
      </c>
      <c r="F1211" s="706">
        <v>1.1803644215976633E-2</v>
      </c>
      <c r="G1211" s="705">
        <v>18.651851721638163</v>
      </c>
    </row>
    <row r="1212" spans="2:7" ht="11.25" hidden="1" customHeight="1" outlineLevel="2" x14ac:dyDescent="0.25">
      <c r="B1212" s="704" t="s">
        <v>698</v>
      </c>
      <c r="C1212" s="704" t="s">
        <v>753</v>
      </c>
      <c r="D1212" s="704" t="s">
        <v>675</v>
      </c>
      <c r="E1212" s="704" t="s">
        <v>448</v>
      </c>
      <c r="F1212" s="706">
        <v>1.2961433514894267E-2</v>
      </c>
      <c r="G1212" s="705">
        <v>20.481367408088168</v>
      </c>
    </row>
    <row r="1213" spans="2:7" ht="11.25" hidden="1" customHeight="1" outlineLevel="2" x14ac:dyDescent="0.25">
      <c r="B1213" s="704" t="s">
        <v>699</v>
      </c>
      <c r="C1213" s="704" t="s">
        <v>753</v>
      </c>
      <c r="D1213" s="704" t="s">
        <v>675</v>
      </c>
      <c r="E1213" s="704" t="s">
        <v>448</v>
      </c>
      <c r="F1213" s="706">
        <v>8.5123808420439548E-34</v>
      </c>
      <c r="G1213" s="705">
        <v>1.1081640453670495E-30</v>
      </c>
    </row>
    <row r="1214" spans="2:7" ht="11.25" hidden="1" customHeight="1" outlineLevel="2" x14ac:dyDescent="0.25">
      <c r="B1214" s="704" t="s">
        <v>673</v>
      </c>
      <c r="C1214" s="704" t="s">
        <v>754</v>
      </c>
      <c r="D1214" s="704" t="s">
        <v>675</v>
      </c>
      <c r="E1214" s="704" t="s">
        <v>448</v>
      </c>
      <c r="F1214" s="706">
        <v>1.0086601966614546E-2</v>
      </c>
      <c r="G1214" s="705">
        <v>12.75925244931836</v>
      </c>
    </row>
    <row r="1215" spans="2:7" ht="11.25" hidden="1" customHeight="1" outlineLevel="2" x14ac:dyDescent="0.25">
      <c r="B1215" s="704" t="s">
        <v>677</v>
      </c>
      <c r="C1215" s="704" t="s">
        <v>754</v>
      </c>
      <c r="D1215" s="704" t="s">
        <v>675</v>
      </c>
      <c r="E1215" s="704" t="s">
        <v>448</v>
      </c>
      <c r="F1215" s="706">
        <v>0.16913559068365674</v>
      </c>
      <c r="G1215" s="705">
        <v>211.73776566086232</v>
      </c>
    </row>
    <row r="1216" spans="2:7" ht="11.25" hidden="1" customHeight="1" outlineLevel="2" x14ac:dyDescent="0.25">
      <c r="B1216" s="704" t="s">
        <v>678</v>
      </c>
      <c r="C1216" s="704" t="s">
        <v>754</v>
      </c>
      <c r="D1216" s="704" t="s">
        <v>675</v>
      </c>
      <c r="E1216" s="704" t="s">
        <v>448</v>
      </c>
      <c r="F1216" s="706">
        <v>0.38616977750008896</v>
      </c>
      <c r="G1216" s="705">
        <v>490.45113642773418</v>
      </c>
    </row>
    <row r="1217" spans="2:7" ht="11.25" hidden="1" customHeight="1" outlineLevel="2" x14ac:dyDescent="0.25">
      <c r="B1217" s="704" t="s">
        <v>679</v>
      </c>
      <c r="C1217" s="704" t="s">
        <v>754</v>
      </c>
      <c r="D1217" s="704" t="s">
        <v>675</v>
      </c>
      <c r="E1217" s="704" t="s">
        <v>448</v>
      </c>
      <c r="F1217" s="706">
        <v>3.1199739041247045E-2</v>
      </c>
      <c r="G1217" s="705">
        <v>39.801163941755007</v>
      </c>
    </row>
    <row r="1218" spans="2:7" ht="11.25" hidden="1" customHeight="1" outlineLevel="2" x14ac:dyDescent="0.25">
      <c r="B1218" s="704" t="s">
        <v>680</v>
      </c>
      <c r="C1218" s="704" t="s">
        <v>754</v>
      </c>
      <c r="D1218" s="704" t="s">
        <v>675</v>
      </c>
      <c r="E1218" s="704" t="s">
        <v>448</v>
      </c>
      <c r="F1218" s="705">
        <v>5.7752161000933708E-3</v>
      </c>
      <c r="G1218" s="705">
        <v>7.377032384965589</v>
      </c>
    </row>
    <row r="1219" spans="2:7" ht="11.25" hidden="1" customHeight="1" outlineLevel="2" x14ac:dyDescent="0.25">
      <c r="B1219" s="704" t="s">
        <v>681</v>
      </c>
      <c r="C1219" s="704" t="s">
        <v>754</v>
      </c>
      <c r="D1219" s="704" t="s">
        <v>675</v>
      </c>
      <c r="E1219" s="704" t="s">
        <v>448</v>
      </c>
      <c r="F1219" s="705">
        <v>4.899287197987344E-2</v>
      </c>
      <c r="G1219" s="705">
        <v>62.222941508706285</v>
      </c>
    </row>
    <row r="1220" spans="2:7" ht="11.25" hidden="1" customHeight="1" outlineLevel="2" x14ac:dyDescent="0.25">
      <c r="B1220" s="704" t="s">
        <v>682</v>
      </c>
      <c r="C1220" s="704" t="s">
        <v>754</v>
      </c>
      <c r="D1220" s="704" t="s">
        <v>675</v>
      </c>
      <c r="E1220" s="704" t="s">
        <v>448</v>
      </c>
      <c r="F1220" s="705">
        <v>4.3004331263589282E-2</v>
      </c>
      <c r="G1220" s="705">
        <v>54.622198748411236</v>
      </c>
    </row>
    <row r="1221" spans="2:7" ht="11.25" hidden="1" customHeight="1" outlineLevel="2" x14ac:dyDescent="0.25">
      <c r="B1221" s="704" t="s">
        <v>683</v>
      </c>
      <c r="C1221" s="704" t="s">
        <v>754</v>
      </c>
      <c r="D1221" s="704" t="s">
        <v>675</v>
      </c>
      <c r="E1221" s="704" t="s">
        <v>448</v>
      </c>
      <c r="F1221" s="705">
        <v>7.1110251294058915E-2</v>
      </c>
      <c r="G1221" s="705">
        <v>90.714568777791399</v>
      </c>
    </row>
    <row r="1222" spans="2:7" ht="11.25" hidden="1" customHeight="1" outlineLevel="2" x14ac:dyDescent="0.25">
      <c r="B1222" s="704" t="s">
        <v>684</v>
      </c>
      <c r="C1222" s="704" t="s">
        <v>754</v>
      </c>
      <c r="D1222" s="704" t="s">
        <v>675</v>
      </c>
      <c r="E1222" s="704" t="s">
        <v>448</v>
      </c>
      <c r="F1222" s="705">
        <v>9.2698445902685191E-3</v>
      </c>
      <c r="G1222" s="705">
        <v>11.840934173497095</v>
      </c>
    </row>
    <row r="1223" spans="2:7" ht="11.25" hidden="1" customHeight="1" outlineLevel="2" x14ac:dyDescent="0.25">
      <c r="B1223" s="704" t="s">
        <v>685</v>
      </c>
      <c r="C1223" s="704" t="s">
        <v>754</v>
      </c>
      <c r="D1223" s="704" t="s">
        <v>675</v>
      </c>
      <c r="E1223" s="704" t="s">
        <v>448</v>
      </c>
      <c r="F1223" s="705">
        <v>8.5338891266215147E-2</v>
      </c>
      <c r="G1223" s="705">
        <v>108.86586558904753</v>
      </c>
    </row>
    <row r="1224" spans="2:7" ht="11.25" hidden="1" customHeight="1" outlineLevel="2" x14ac:dyDescent="0.25">
      <c r="B1224" s="704" t="s">
        <v>686</v>
      </c>
      <c r="C1224" s="704" t="s">
        <v>754</v>
      </c>
      <c r="D1224" s="704" t="s">
        <v>675</v>
      </c>
      <c r="E1224" s="704" t="s">
        <v>448</v>
      </c>
      <c r="F1224" s="705">
        <v>2.0233915421044916E-2</v>
      </c>
      <c r="G1224" s="705">
        <v>25.59530263978786</v>
      </c>
    </row>
    <row r="1225" spans="2:7" ht="11.25" hidden="1" customHeight="1" outlineLevel="2" x14ac:dyDescent="0.25">
      <c r="B1225" s="704" t="s">
        <v>687</v>
      </c>
      <c r="C1225" s="704" t="s">
        <v>754</v>
      </c>
      <c r="D1225" s="704" t="s">
        <v>675</v>
      </c>
      <c r="E1225" s="704" t="s">
        <v>448</v>
      </c>
      <c r="F1225" s="705">
        <v>0.10323182860594592</v>
      </c>
      <c r="G1225" s="705">
        <v>131.10856538658672</v>
      </c>
    </row>
    <row r="1226" spans="2:7" ht="11.25" hidden="1" customHeight="1" outlineLevel="2" x14ac:dyDescent="0.25">
      <c r="B1226" s="704" t="s">
        <v>688</v>
      </c>
      <c r="C1226" s="704" t="s">
        <v>754</v>
      </c>
      <c r="D1226" s="704" t="s">
        <v>675</v>
      </c>
      <c r="E1226" s="704" t="s">
        <v>448</v>
      </c>
      <c r="F1226" s="705">
        <v>7.287000000126477E-2</v>
      </c>
      <c r="G1226" s="705">
        <v>94.107736875199265</v>
      </c>
    </row>
    <row r="1227" spans="2:7" ht="11.25" hidden="1" customHeight="1" outlineLevel="2" x14ac:dyDescent="0.25">
      <c r="B1227" s="704" t="s">
        <v>689</v>
      </c>
      <c r="C1227" s="704" t="s">
        <v>754</v>
      </c>
      <c r="D1227" s="704" t="s">
        <v>675</v>
      </c>
      <c r="E1227" s="704" t="s">
        <v>448</v>
      </c>
      <c r="F1227" s="705">
        <v>1.0975177842623822E-2</v>
      </c>
      <c r="G1227" s="705">
        <v>13.913702376200044</v>
      </c>
    </row>
    <row r="1228" spans="2:7" ht="11.25" hidden="1" customHeight="1" outlineLevel="2" x14ac:dyDescent="0.25">
      <c r="B1228" s="704" t="s">
        <v>690</v>
      </c>
      <c r="C1228" s="704" t="s">
        <v>754</v>
      </c>
      <c r="D1228" s="704" t="s">
        <v>675</v>
      </c>
      <c r="E1228" s="704" t="s">
        <v>448</v>
      </c>
      <c r="F1228" s="705">
        <v>0.2401317481744209</v>
      </c>
      <c r="G1228" s="705">
        <v>306.33337501442378</v>
      </c>
    </row>
    <row r="1229" spans="2:7" ht="11.25" hidden="1" customHeight="1" outlineLevel="2" x14ac:dyDescent="0.25">
      <c r="B1229" s="704" t="s">
        <v>691</v>
      </c>
      <c r="C1229" s="704" t="s">
        <v>754</v>
      </c>
      <c r="D1229" s="704" t="s">
        <v>675</v>
      </c>
      <c r="E1229" s="704" t="s">
        <v>448</v>
      </c>
      <c r="F1229" s="705">
        <v>0.27423797208565281</v>
      </c>
      <c r="G1229" s="705">
        <v>349.84230726718607</v>
      </c>
    </row>
    <row r="1230" spans="2:7" ht="11.25" hidden="1" customHeight="1" outlineLevel="2" x14ac:dyDescent="0.25">
      <c r="B1230" s="704" t="s">
        <v>692</v>
      </c>
      <c r="C1230" s="704" t="s">
        <v>754</v>
      </c>
      <c r="D1230" s="704" t="s">
        <v>675</v>
      </c>
      <c r="E1230" s="704" t="s">
        <v>448</v>
      </c>
      <c r="F1230" s="705">
        <v>1.6108082566619226E-2</v>
      </c>
      <c r="G1230" s="705">
        <v>20.457905842967438</v>
      </c>
    </row>
    <row r="1231" spans="2:7" ht="11.25" hidden="1" customHeight="1" outlineLevel="2" x14ac:dyDescent="0.25">
      <c r="B1231" s="704" t="s">
        <v>693</v>
      </c>
      <c r="C1231" s="704" t="s">
        <v>754</v>
      </c>
      <c r="D1231" s="704" t="s">
        <v>675</v>
      </c>
      <c r="E1231" s="704" t="s">
        <v>448</v>
      </c>
      <c r="F1231" s="705">
        <v>3.9978540596252915E-2</v>
      </c>
      <c r="G1231" s="705">
        <v>51.067021772166463</v>
      </c>
    </row>
    <row r="1232" spans="2:7" ht="11.25" hidden="1" customHeight="1" outlineLevel="2" x14ac:dyDescent="0.25">
      <c r="B1232" s="704" t="s">
        <v>694</v>
      </c>
      <c r="C1232" s="704" t="s">
        <v>754</v>
      </c>
      <c r="D1232" s="704" t="s">
        <v>675</v>
      </c>
      <c r="E1232" s="704" t="s">
        <v>448</v>
      </c>
      <c r="F1232" s="705">
        <v>4.4820633247252412E-3</v>
      </c>
      <c r="G1232" s="705">
        <v>5.7252096919717372</v>
      </c>
    </row>
    <row r="1233" spans="2:7" ht="11.25" hidden="1" customHeight="1" outlineLevel="2" x14ac:dyDescent="0.25">
      <c r="B1233" s="704" t="s">
        <v>695</v>
      </c>
      <c r="C1233" s="704" t="s">
        <v>754</v>
      </c>
      <c r="D1233" s="704" t="s">
        <v>675</v>
      </c>
      <c r="E1233" s="704" t="s">
        <v>448</v>
      </c>
      <c r="F1233" s="705">
        <v>2.1259783682195083E-2</v>
      </c>
      <c r="G1233" s="705">
        <v>27.156396181479636</v>
      </c>
    </row>
    <row r="1234" spans="2:7" ht="11.25" hidden="1" customHeight="1" outlineLevel="2" x14ac:dyDescent="0.25">
      <c r="B1234" s="704" t="s">
        <v>696</v>
      </c>
      <c r="C1234" s="704" t="s">
        <v>754</v>
      </c>
      <c r="D1234" s="704" t="s">
        <v>675</v>
      </c>
      <c r="E1234" s="704" t="s">
        <v>448</v>
      </c>
      <c r="F1234" s="705">
        <v>5.3638725828972458E-2</v>
      </c>
      <c r="G1234" s="705">
        <v>67.851406511729806</v>
      </c>
    </row>
    <row r="1235" spans="2:7" ht="11.25" hidden="1" customHeight="1" outlineLevel="2" x14ac:dyDescent="0.25">
      <c r="B1235" s="704" t="s">
        <v>697</v>
      </c>
      <c r="C1235" s="704" t="s">
        <v>754</v>
      </c>
      <c r="D1235" s="704" t="s">
        <v>675</v>
      </c>
      <c r="E1235" s="704" t="s">
        <v>448</v>
      </c>
      <c r="F1235" s="705">
        <v>2.9062658882609761E-2</v>
      </c>
      <c r="G1235" s="705">
        <v>37.123491147504978</v>
      </c>
    </row>
    <row r="1236" spans="2:7" ht="11.25" hidden="1" customHeight="1" outlineLevel="2" x14ac:dyDescent="0.25">
      <c r="B1236" s="704" t="s">
        <v>698</v>
      </c>
      <c r="C1236" s="704" t="s">
        <v>754</v>
      </c>
      <c r="D1236" s="704" t="s">
        <v>675</v>
      </c>
      <c r="E1236" s="704" t="s">
        <v>448</v>
      </c>
      <c r="F1236" s="705">
        <v>3.1913345855798587E-2</v>
      </c>
      <c r="G1236" s="705">
        <v>40.764852541149878</v>
      </c>
    </row>
    <row r="1237" spans="2:7" ht="11.25" hidden="1" customHeight="1" outlineLevel="2" x14ac:dyDescent="0.25">
      <c r="B1237" s="704" t="s">
        <v>699</v>
      </c>
      <c r="C1237" s="704" t="s">
        <v>754</v>
      </c>
      <c r="D1237" s="704" t="s">
        <v>675</v>
      </c>
      <c r="E1237" s="704" t="s">
        <v>448</v>
      </c>
      <c r="F1237" s="705">
        <v>2.9100613553238081E-32</v>
      </c>
      <c r="G1237" s="705">
        <v>3.8714333524127069E-29</v>
      </c>
    </row>
    <row r="1238" spans="2:7" ht="11.25" hidden="1" customHeight="1" outlineLevel="2" x14ac:dyDescent="0.25">
      <c r="B1238" s="704" t="s">
        <v>673</v>
      </c>
      <c r="C1238" s="704" t="s">
        <v>755</v>
      </c>
      <c r="D1238" s="704" t="s">
        <v>675</v>
      </c>
      <c r="E1238" s="704" t="s">
        <v>448</v>
      </c>
      <c r="F1238" s="705">
        <v>3.9453336324789083E-3</v>
      </c>
      <c r="G1238" s="705">
        <v>5.3805788278073576</v>
      </c>
    </row>
    <row r="1239" spans="2:7" ht="11.25" hidden="1" customHeight="1" outlineLevel="2" x14ac:dyDescent="0.25">
      <c r="B1239" s="704" t="s">
        <v>677</v>
      </c>
      <c r="C1239" s="704" t="s">
        <v>755</v>
      </c>
      <c r="D1239" s="704" t="s">
        <v>675</v>
      </c>
      <c r="E1239" s="704" t="s">
        <v>448</v>
      </c>
      <c r="F1239" s="705">
        <v>6.6157611596048271E-2</v>
      </c>
      <c r="G1239" s="705">
        <v>89.289826822928163</v>
      </c>
    </row>
    <row r="1240" spans="2:7" ht="11.25" hidden="1" customHeight="1" outlineLevel="2" x14ac:dyDescent="0.25">
      <c r="B1240" s="704" t="s">
        <v>678</v>
      </c>
      <c r="C1240" s="704" t="s">
        <v>755</v>
      </c>
      <c r="D1240" s="704" t="s">
        <v>675</v>
      </c>
      <c r="E1240" s="704" t="s">
        <v>448</v>
      </c>
      <c r="F1240" s="705">
        <v>0.15104800563103521</v>
      </c>
      <c r="G1240" s="705">
        <v>206.82340535116322</v>
      </c>
    </row>
    <row r="1241" spans="2:7" ht="11.25" hidden="1" customHeight="1" outlineLevel="2" x14ac:dyDescent="0.25">
      <c r="B1241" s="704" t="s">
        <v>679</v>
      </c>
      <c r="C1241" s="704" t="s">
        <v>755</v>
      </c>
      <c r="D1241" s="704" t="s">
        <v>675</v>
      </c>
      <c r="E1241" s="704" t="s">
        <v>448</v>
      </c>
      <c r="F1241" s="705">
        <v>1.220351387995665E-2</v>
      </c>
      <c r="G1241" s="705">
        <v>16.784155947371271</v>
      </c>
    </row>
    <row r="1242" spans="2:7" ht="11.25" hidden="1" customHeight="1" outlineLevel="2" x14ac:dyDescent="0.25">
      <c r="B1242" s="704" t="s">
        <v>680</v>
      </c>
      <c r="C1242" s="704" t="s">
        <v>755</v>
      </c>
      <c r="D1242" s="704" t="s">
        <v>675</v>
      </c>
      <c r="E1242" s="704" t="s">
        <v>448</v>
      </c>
      <c r="F1242" s="705">
        <v>2.2589232724588241E-3</v>
      </c>
      <c r="G1242" s="705">
        <v>3.110895198063834</v>
      </c>
    </row>
    <row r="1243" spans="2:7" ht="11.25" hidden="1" customHeight="1" outlineLevel="2" x14ac:dyDescent="0.25">
      <c r="B1243" s="704" t="s">
        <v>681</v>
      </c>
      <c r="C1243" s="704" t="s">
        <v>755</v>
      </c>
      <c r="D1243" s="704" t="s">
        <v>675</v>
      </c>
      <c r="E1243" s="704" t="s">
        <v>448</v>
      </c>
      <c r="F1243" s="705">
        <v>1.9163271062270081E-2</v>
      </c>
      <c r="G1243" s="705">
        <v>26.239412289042221</v>
      </c>
    </row>
    <row r="1244" spans="2:7" ht="11.25" hidden="1" customHeight="1" outlineLevel="2" x14ac:dyDescent="0.25">
      <c r="B1244" s="704" t="s">
        <v>682</v>
      </c>
      <c r="C1244" s="704" t="s">
        <v>755</v>
      </c>
      <c r="D1244" s="704" t="s">
        <v>675</v>
      </c>
      <c r="E1244" s="704" t="s">
        <v>448</v>
      </c>
      <c r="F1244" s="705">
        <v>1.6820883196031849E-2</v>
      </c>
      <c r="G1244" s="705">
        <v>23.034190320711126</v>
      </c>
    </row>
    <row r="1245" spans="2:7" ht="11.25" hidden="1" customHeight="1" outlineLevel="2" x14ac:dyDescent="0.25">
      <c r="B1245" s="704" t="s">
        <v>683</v>
      </c>
      <c r="C1245" s="704" t="s">
        <v>755</v>
      </c>
      <c r="D1245" s="704" t="s">
        <v>675</v>
      </c>
      <c r="E1245" s="704" t="s">
        <v>448</v>
      </c>
      <c r="F1245" s="705">
        <v>2.7814187052841596E-2</v>
      </c>
      <c r="G1245" s="705">
        <v>38.25434727696355</v>
      </c>
    </row>
    <row r="1246" spans="2:7" ht="11.25" hidden="1" customHeight="1" outlineLevel="2" x14ac:dyDescent="0.25">
      <c r="B1246" s="704" t="s">
        <v>684</v>
      </c>
      <c r="C1246" s="704" t="s">
        <v>755</v>
      </c>
      <c r="D1246" s="704" t="s">
        <v>675</v>
      </c>
      <c r="E1246" s="704" t="s">
        <v>448</v>
      </c>
      <c r="F1246" s="705">
        <v>3.6258153567567653E-3</v>
      </c>
      <c r="G1246" s="705">
        <v>4.9933229396703203</v>
      </c>
    </row>
    <row r="1247" spans="2:7" ht="11.25" hidden="1" customHeight="1" outlineLevel="2" x14ac:dyDescent="0.25">
      <c r="B1247" s="704" t="s">
        <v>685</v>
      </c>
      <c r="C1247" s="704" t="s">
        <v>755</v>
      </c>
      <c r="D1247" s="704" t="s">
        <v>675</v>
      </c>
      <c r="E1247" s="704" t="s">
        <v>448</v>
      </c>
      <c r="F1247" s="705">
        <v>3.3379590943408637E-2</v>
      </c>
      <c r="G1247" s="705">
        <v>45.90875483761787</v>
      </c>
    </row>
    <row r="1248" spans="2:7" ht="11.25" hidden="1" customHeight="1" outlineLevel="2" x14ac:dyDescent="0.25">
      <c r="B1248" s="704" t="s">
        <v>686</v>
      </c>
      <c r="C1248" s="704" t="s">
        <v>755</v>
      </c>
      <c r="D1248" s="704" t="s">
        <v>675</v>
      </c>
      <c r="E1248" s="704" t="s">
        <v>448</v>
      </c>
      <c r="F1248" s="705">
        <v>7.9144158356947731E-3</v>
      </c>
      <c r="G1248" s="705">
        <v>10.793553862974365</v>
      </c>
    </row>
    <row r="1249" spans="2:7" ht="11.25" hidden="1" customHeight="1" outlineLevel="2" x14ac:dyDescent="0.25">
      <c r="B1249" s="704" t="s">
        <v>687</v>
      </c>
      <c r="C1249" s="704" t="s">
        <v>755</v>
      </c>
      <c r="D1249" s="704" t="s">
        <v>675</v>
      </c>
      <c r="E1249" s="704" t="s">
        <v>448</v>
      </c>
      <c r="F1249" s="705">
        <v>4.0378498797049113E-2</v>
      </c>
      <c r="G1249" s="705">
        <v>55.288508255864208</v>
      </c>
    </row>
    <row r="1250" spans="2:7" ht="11.25" hidden="1" customHeight="1" outlineLevel="2" x14ac:dyDescent="0.25">
      <c r="B1250" s="704" t="s">
        <v>688</v>
      </c>
      <c r="C1250" s="704" t="s">
        <v>755</v>
      </c>
      <c r="D1250" s="704" t="s">
        <v>675</v>
      </c>
      <c r="E1250" s="704" t="s">
        <v>448</v>
      </c>
      <c r="F1250" s="706">
        <v>2.8983074227351861E-2</v>
      </c>
      <c r="G1250" s="705">
        <v>39.685244809252723</v>
      </c>
    </row>
    <row r="1251" spans="2:7" ht="11.25" hidden="1" customHeight="1" outlineLevel="2" x14ac:dyDescent="0.25">
      <c r="B1251" s="704" t="s">
        <v>689</v>
      </c>
      <c r="C1251" s="704" t="s">
        <v>755</v>
      </c>
      <c r="D1251" s="704" t="s">
        <v>675</v>
      </c>
      <c r="E1251" s="704" t="s">
        <v>448</v>
      </c>
      <c r="F1251" s="706">
        <v>4.2928849270982405E-3</v>
      </c>
      <c r="G1251" s="705">
        <v>5.8674133720287109</v>
      </c>
    </row>
    <row r="1252" spans="2:7" ht="11.25" hidden="1" customHeight="1" outlineLevel="2" x14ac:dyDescent="0.25">
      <c r="B1252" s="704" t="s">
        <v>690</v>
      </c>
      <c r="C1252" s="704" t="s">
        <v>755</v>
      </c>
      <c r="D1252" s="704" t="s">
        <v>675</v>
      </c>
      <c r="E1252" s="704" t="s">
        <v>448</v>
      </c>
      <c r="F1252" s="706">
        <v>9.3925517615923923E-2</v>
      </c>
      <c r="G1252" s="705">
        <v>129.18081955568059</v>
      </c>
    </row>
    <row r="1253" spans="2:7" ht="11.25" hidden="1" customHeight="1" outlineLevel="2" x14ac:dyDescent="0.25">
      <c r="B1253" s="704" t="s">
        <v>691</v>
      </c>
      <c r="C1253" s="704" t="s">
        <v>755</v>
      </c>
      <c r="D1253" s="704" t="s">
        <v>675</v>
      </c>
      <c r="E1253" s="704" t="s">
        <v>448</v>
      </c>
      <c r="F1253" s="706">
        <v>0.10726595777636527</v>
      </c>
      <c r="G1253" s="705">
        <v>147.52860446090148</v>
      </c>
    </row>
    <row r="1254" spans="2:7" ht="11.25" hidden="1" customHeight="1" outlineLevel="2" x14ac:dyDescent="0.25">
      <c r="B1254" s="704" t="s">
        <v>692</v>
      </c>
      <c r="C1254" s="704" t="s">
        <v>755</v>
      </c>
      <c r="D1254" s="704" t="s">
        <v>675</v>
      </c>
      <c r="E1254" s="704" t="s">
        <v>448</v>
      </c>
      <c r="F1254" s="706">
        <v>6.3005791237491313E-3</v>
      </c>
      <c r="G1254" s="705">
        <v>8.6271011815780003</v>
      </c>
    </row>
    <row r="1255" spans="2:7" ht="11.25" hidden="1" customHeight="1" outlineLevel="2" x14ac:dyDescent="0.25">
      <c r="B1255" s="704" t="s">
        <v>693</v>
      </c>
      <c r="C1255" s="704" t="s">
        <v>755</v>
      </c>
      <c r="D1255" s="704" t="s">
        <v>675</v>
      </c>
      <c r="E1255" s="704" t="s">
        <v>448</v>
      </c>
      <c r="F1255" s="706">
        <v>1.563724727563753E-2</v>
      </c>
      <c r="G1255" s="705">
        <v>21.534959633379145</v>
      </c>
    </row>
    <row r="1256" spans="2:7" ht="11.25" hidden="1" customHeight="1" outlineLevel="2" x14ac:dyDescent="0.25">
      <c r="B1256" s="704" t="s">
        <v>694</v>
      </c>
      <c r="C1256" s="704" t="s">
        <v>755</v>
      </c>
      <c r="D1256" s="704" t="s">
        <v>675</v>
      </c>
      <c r="E1256" s="704" t="s">
        <v>448</v>
      </c>
      <c r="F1256" s="706">
        <v>1.7531187416813059E-3</v>
      </c>
      <c r="G1256" s="705">
        <v>2.4143222406641027</v>
      </c>
    </row>
    <row r="1257" spans="2:7" ht="11.25" hidden="1" customHeight="1" outlineLevel="2" x14ac:dyDescent="0.25">
      <c r="B1257" s="704" t="s">
        <v>695</v>
      </c>
      <c r="C1257" s="704" t="s">
        <v>755</v>
      </c>
      <c r="D1257" s="704" t="s">
        <v>675</v>
      </c>
      <c r="E1257" s="704" t="s">
        <v>448</v>
      </c>
      <c r="F1257" s="705">
        <v>8.3155711399357565E-3</v>
      </c>
      <c r="G1257" s="705">
        <v>11.451855559446015</v>
      </c>
    </row>
    <row r="1258" spans="2:7" ht="11.25" hidden="1" customHeight="1" outlineLevel="2" x14ac:dyDescent="0.25">
      <c r="B1258" s="704" t="s">
        <v>696</v>
      </c>
      <c r="C1258" s="704" t="s">
        <v>755</v>
      </c>
      <c r="D1258" s="704" t="s">
        <v>675</v>
      </c>
      <c r="E1258" s="704" t="s">
        <v>448</v>
      </c>
      <c r="F1258" s="705">
        <v>2.098058286231734E-2</v>
      </c>
      <c r="G1258" s="705">
        <v>28.612947773246873</v>
      </c>
    </row>
    <row r="1259" spans="2:7" ht="11.25" hidden="1" customHeight="1" outlineLevel="2" x14ac:dyDescent="0.25">
      <c r="B1259" s="704" t="s">
        <v>697</v>
      </c>
      <c r="C1259" s="704" t="s">
        <v>755</v>
      </c>
      <c r="D1259" s="704" t="s">
        <v>675</v>
      </c>
      <c r="E1259" s="704" t="s">
        <v>448</v>
      </c>
      <c r="F1259" s="705">
        <v>1.1367596695741826E-2</v>
      </c>
      <c r="G1259" s="705">
        <v>15.654980043085438</v>
      </c>
    </row>
    <row r="1260" spans="2:7" ht="11.25" hidden="1" customHeight="1" outlineLevel="2" x14ac:dyDescent="0.25">
      <c r="B1260" s="704" t="s">
        <v>698</v>
      </c>
      <c r="C1260" s="704" t="s">
        <v>755</v>
      </c>
      <c r="D1260" s="704" t="s">
        <v>675</v>
      </c>
      <c r="E1260" s="704" t="s">
        <v>448</v>
      </c>
      <c r="F1260" s="706">
        <v>1.2482624440050657E-2</v>
      </c>
      <c r="G1260" s="705">
        <v>17.190543420336219</v>
      </c>
    </row>
    <row r="1261" spans="2:7" ht="11.25" hidden="1" customHeight="1" outlineLevel="2" x14ac:dyDescent="0.25">
      <c r="B1261" s="704" t="s">
        <v>699</v>
      </c>
      <c r="C1261" s="704" t="s">
        <v>755</v>
      </c>
      <c r="D1261" s="704" t="s">
        <v>675</v>
      </c>
      <c r="E1261" s="704" t="s">
        <v>448</v>
      </c>
      <c r="F1261" s="705">
        <v>6.9477016515633839E-33</v>
      </c>
      <c r="G1261" s="705">
        <v>8.9487470916639854E-30</v>
      </c>
    </row>
    <row r="1262" spans="2:7" ht="11.25" hidden="1" customHeight="1" outlineLevel="2" x14ac:dyDescent="0.25">
      <c r="B1262" s="704" t="s">
        <v>673</v>
      </c>
      <c r="C1262" s="704" t="s">
        <v>756</v>
      </c>
      <c r="D1262" s="704" t="s">
        <v>675</v>
      </c>
      <c r="E1262" s="704" t="s">
        <v>448</v>
      </c>
      <c r="F1262" s="705">
        <v>2.1261539581283786E-4</v>
      </c>
      <c r="G1262" s="705">
        <v>0.27935609107643172</v>
      </c>
    </row>
    <row r="1263" spans="2:7" ht="11.25" hidden="1" customHeight="1" outlineLevel="2" x14ac:dyDescent="0.25">
      <c r="B1263" s="704" t="s">
        <v>677</v>
      </c>
      <c r="C1263" s="704" t="s">
        <v>756</v>
      </c>
      <c r="D1263" s="704" t="s">
        <v>675</v>
      </c>
      <c r="E1263" s="704" t="s">
        <v>448</v>
      </c>
      <c r="F1263" s="706">
        <v>3.5653070302279063E-3</v>
      </c>
      <c r="G1263" s="705">
        <v>4.6358685431137454</v>
      </c>
    </row>
    <row r="1264" spans="2:7" ht="11.25" hidden="1" customHeight="1" outlineLevel="2" x14ac:dyDescent="0.25">
      <c r="B1264" s="704" t="s">
        <v>678</v>
      </c>
      <c r="C1264" s="704" t="s">
        <v>756</v>
      </c>
      <c r="D1264" s="704" t="s">
        <v>675</v>
      </c>
      <c r="E1264" s="704" t="s">
        <v>448</v>
      </c>
      <c r="F1264" s="705">
        <v>8.1399890491395486E-3</v>
      </c>
      <c r="G1264" s="705">
        <v>10.738129997193372</v>
      </c>
    </row>
    <row r="1265" spans="2:7" ht="11.25" hidden="1" customHeight="1" outlineLevel="2" x14ac:dyDescent="0.25">
      <c r="B1265" s="704" t="s">
        <v>679</v>
      </c>
      <c r="C1265" s="704" t="s">
        <v>756</v>
      </c>
      <c r="D1265" s="704" t="s">
        <v>675</v>
      </c>
      <c r="E1265" s="704" t="s">
        <v>448</v>
      </c>
      <c r="F1265" s="705">
        <v>6.5764440550342281E-4</v>
      </c>
      <c r="G1265" s="705">
        <v>0.87142237299246383</v>
      </c>
    </row>
    <row r="1266" spans="2:7" ht="11.25" hidden="1" customHeight="1" outlineLevel="2" x14ac:dyDescent="0.25">
      <c r="B1266" s="704" t="s">
        <v>680</v>
      </c>
      <c r="C1266" s="704" t="s">
        <v>756</v>
      </c>
      <c r="D1266" s="704" t="s">
        <v>675</v>
      </c>
      <c r="E1266" s="704" t="s">
        <v>448</v>
      </c>
      <c r="F1266" s="705">
        <v>1.2173258292096384E-4</v>
      </c>
      <c r="G1266" s="705">
        <v>0.1615155729366928</v>
      </c>
    </row>
    <row r="1267" spans="2:7" ht="11.25" hidden="1" customHeight="1" outlineLevel="2" x14ac:dyDescent="0.25">
      <c r="B1267" s="704" t="s">
        <v>681</v>
      </c>
      <c r="C1267" s="704" t="s">
        <v>756</v>
      </c>
      <c r="D1267" s="704" t="s">
        <v>675</v>
      </c>
      <c r="E1267" s="704" t="s">
        <v>448</v>
      </c>
      <c r="F1267" s="706">
        <v>1.0327097475297995E-3</v>
      </c>
      <c r="G1267" s="705">
        <v>1.3623336205022971</v>
      </c>
    </row>
    <row r="1268" spans="2:7" ht="11.25" hidden="1" customHeight="1" outlineLevel="2" x14ac:dyDescent="0.25">
      <c r="B1268" s="704" t="s">
        <v>682</v>
      </c>
      <c r="C1268" s="704" t="s">
        <v>756</v>
      </c>
      <c r="D1268" s="704" t="s">
        <v>675</v>
      </c>
      <c r="E1268" s="704" t="s">
        <v>448</v>
      </c>
      <c r="F1268" s="706">
        <v>9.0647797887975843E-4</v>
      </c>
      <c r="G1268" s="705">
        <v>1.1959199792526203</v>
      </c>
    </row>
    <row r="1269" spans="2:7" ht="11.25" hidden="1" customHeight="1" outlineLevel="2" x14ac:dyDescent="0.25">
      <c r="B1269" s="704" t="s">
        <v>683</v>
      </c>
      <c r="C1269" s="704" t="s">
        <v>756</v>
      </c>
      <c r="D1269" s="704" t="s">
        <v>675</v>
      </c>
      <c r="E1269" s="704" t="s">
        <v>448</v>
      </c>
      <c r="F1269" s="706">
        <v>1.4988992031008239E-3</v>
      </c>
      <c r="G1269" s="705">
        <v>1.9861407444479708</v>
      </c>
    </row>
    <row r="1270" spans="2:7" ht="11.25" hidden="1" customHeight="1" outlineLevel="2" x14ac:dyDescent="0.25">
      <c r="B1270" s="704" t="s">
        <v>684</v>
      </c>
      <c r="C1270" s="704" t="s">
        <v>756</v>
      </c>
      <c r="D1270" s="704" t="s">
        <v>675</v>
      </c>
      <c r="E1270" s="704" t="s">
        <v>448</v>
      </c>
      <c r="F1270" s="705">
        <v>1.9539388939575217E-4</v>
      </c>
      <c r="G1270" s="705">
        <v>0.2592500348223517</v>
      </c>
    </row>
    <row r="1271" spans="2:7" ht="11.25" hidden="1" customHeight="1" outlineLevel="2" x14ac:dyDescent="0.25">
      <c r="B1271" s="704" t="s">
        <v>685</v>
      </c>
      <c r="C1271" s="704" t="s">
        <v>756</v>
      </c>
      <c r="D1271" s="704" t="s">
        <v>675</v>
      </c>
      <c r="E1271" s="704" t="s">
        <v>448</v>
      </c>
      <c r="F1271" s="705">
        <v>1.7988174938507319E-3</v>
      </c>
      <c r="G1271" s="705">
        <v>2.3835522322157363</v>
      </c>
    </row>
    <row r="1272" spans="2:7" ht="11.25" hidden="1" customHeight="1" outlineLevel="2" x14ac:dyDescent="0.25">
      <c r="B1272" s="704" t="s">
        <v>686</v>
      </c>
      <c r="C1272" s="704" t="s">
        <v>756</v>
      </c>
      <c r="D1272" s="704" t="s">
        <v>675</v>
      </c>
      <c r="E1272" s="704" t="s">
        <v>448</v>
      </c>
      <c r="F1272" s="705">
        <v>4.2651075606968056E-4</v>
      </c>
      <c r="G1272" s="705">
        <v>0.56039386362490407</v>
      </c>
    </row>
    <row r="1273" spans="2:7" ht="11.25" hidden="1" customHeight="1" outlineLevel="2" x14ac:dyDescent="0.25">
      <c r="B1273" s="704" t="s">
        <v>687</v>
      </c>
      <c r="C1273" s="704" t="s">
        <v>756</v>
      </c>
      <c r="D1273" s="704" t="s">
        <v>675</v>
      </c>
      <c r="E1273" s="704" t="s">
        <v>448</v>
      </c>
      <c r="F1273" s="705">
        <v>2.1760004173757433E-3</v>
      </c>
      <c r="G1273" s="705">
        <v>2.8705424742670442</v>
      </c>
    </row>
    <row r="1274" spans="2:7" ht="11.25" hidden="1" customHeight="1" outlineLevel="2" x14ac:dyDescent="0.25">
      <c r="B1274" s="704" t="s">
        <v>688</v>
      </c>
      <c r="C1274" s="704" t="s">
        <v>756</v>
      </c>
      <c r="D1274" s="704" t="s">
        <v>675</v>
      </c>
      <c r="E1274" s="704" t="s">
        <v>448</v>
      </c>
      <c r="F1274" s="705">
        <v>1.5618994148667948E-3</v>
      </c>
      <c r="G1274" s="705">
        <v>2.0604313156162117</v>
      </c>
    </row>
    <row r="1275" spans="2:7" ht="11.25" hidden="1" customHeight="1" outlineLevel="2" x14ac:dyDescent="0.25">
      <c r="B1275" s="704" t="s">
        <v>689</v>
      </c>
      <c r="C1275" s="704" t="s">
        <v>756</v>
      </c>
      <c r="D1275" s="704" t="s">
        <v>675</v>
      </c>
      <c r="E1275" s="704" t="s">
        <v>448</v>
      </c>
      <c r="F1275" s="705">
        <v>2.3134434651014214E-4</v>
      </c>
      <c r="G1275" s="705">
        <v>0.30463202696399411</v>
      </c>
    </row>
    <row r="1276" spans="2:7" ht="11.25" hidden="1" customHeight="1" outlineLevel="2" x14ac:dyDescent="0.25">
      <c r="B1276" s="704" t="s">
        <v>690</v>
      </c>
      <c r="C1276" s="704" t="s">
        <v>756</v>
      </c>
      <c r="D1276" s="704" t="s">
        <v>675</v>
      </c>
      <c r="E1276" s="704" t="s">
        <v>448</v>
      </c>
      <c r="F1276" s="705">
        <v>5.0616211827888081E-3</v>
      </c>
      <c r="G1276" s="705">
        <v>6.7069835744016881</v>
      </c>
    </row>
    <row r="1277" spans="2:7" ht="11.25" hidden="1" customHeight="1" outlineLevel="2" x14ac:dyDescent="0.25">
      <c r="B1277" s="704" t="s">
        <v>691</v>
      </c>
      <c r="C1277" s="704" t="s">
        <v>756</v>
      </c>
      <c r="D1277" s="704" t="s">
        <v>675</v>
      </c>
      <c r="E1277" s="704" t="s">
        <v>448</v>
      </c>
      <c r="F1277" s="705">
        <v>5.7805337967976704E-3</v>
      </c>
      <c r="G1277" s="705">
        <v>7.6595859810700446</v>
      </c>
    </row>
    <row r="1278" spans="2:7" ht="11.25" hidden="1" customHeight="1" outlineLevel="2" x14ac:dyDescent="0.25">
      <c r="B1278" s="704" t="s">
        <v>692</v>
      </c>
      <c r="C1278" s="704" t="s">
        <v>756</v>
      </c>
      <c r="D1278" s="704" t="s">
        <v>675</v>
      </c>
      <c r="E1278" s="704" t="s">
        <v>448</v>
      </c>
      <c r="F1278" s="705">
        <v>3.3953858530170832E-4</v>
      </c>
      <c r="G1278" s="705">
        <v>0.4479135190870025</v>
      </c>
    </row>
    <row r="1279" spans="2:7" ht="11.25" hidden="1" customHeight="1" outlineLevel="2" x14ac:dyDescent="0.25">
      <c r="B1279" s="704" t="s">
        <v>693</v>
      </c>
      <c r="C1279" s="704" t="s">
        <v>756</v>
      </c>
      <c r="D1279" s="704" t="s">
        <v>675</v>
      </c>
      <c r="E1279" s="704" t="s">
        <v>448</v>
      </c>
      <c r="F1279" s="705">
        <v>8.4268602086911659E-4</v>
      </c>
      <c r="G1279" s="705">
        <v>1.1180806003255719</v>
      </c>
    </row>
    <row r="1280" spans="2:7" ht="11.25" hidden="1" customHeight="1" outlineLevel="2" x14ac:dyDescent="0.25">
      <c r="B1280" s="704" t="s">
        <v>694</v>
      </c>
      <c r="C1280" s="704" t="s">
        <v>756</v>
      </c>
      <c r="D1280" s="704" t="s">
        <v>675</v>
      </c>
      <c r="E1280" s="704" t="s">
        <v>448</v>
      </c>
      <c r="F1280" s="705">
        <v>9.4474902048765928E-5</v>
      </c>
      <c r="G1280" s="705">
        <v>0.12534993576041117</v>
      </c>
    </row>
    <row r="1281" spans="2:7" ht="11.25" hidden="1" customHeight="1" outlineLevel="2" x14ac:dyDescent="0.25">
      <c r="B1281" s="704" t="s">
        <v>695</v>
      </c>
      <c r="C1281" s="704" t="s">
        <v>756</v>
      </c>
      <c r="D1281" s="704" t="s">
        <v>675</v>
      </c>
      <c r="E1281" s="704" t="s">
        <v>448</v>
      </c>
      <c r="F1281" s="706">
        <v>4.4812313000956261E-4</v>
      </c>
      <c r="G1281" s="705">
        <v>0.59457254806912563</v>
      </c>
    </row>
    <row r="1282" spans="2:7" ht="11.25" hidden="1" customHeight="1" outlineLevel="2" x14ac:dyDescent="0.25">
      <c r="B1282" s="704" t="s">
        <v>696</v>
      </c>
      <c r="C1282" s="704" t="s">
        <v>756</v>
      </c>
      <c r="D1282" s="704" t="s">
        <v>675</v>
      </c>
      <c r="E1282" s="704" t="s">
        <v>448</v>
      </c>
      <c r="F1282" s="706">
        <v>1.1306506893197315E-3</v>
      </c>
      <c r="G1282" s="705">
        <v>1.4855659539702772</v>
      </c>
    </row>
    <row r="1283" spans="2:7" ht="11.25" hidden="1" customHeight="1" outlineLevel="2" x14ac:dyDescent="0.25">
      <c r="B1283" s="704" t="s">
        <v>697</v>
      </c>
      <c r="C1283" s="704" t="s">
        <v>756</v>
      </c>
      <c r="D1283" s="704" t="s">
        <v>675</v>
      </c>
      <c r="E1283" s="704" t="s">
        <v>448</v>
      </c>
      <c r="F1283" s="705">
        <v>6.1259590889929216E-4</v>
      </c>
      <c r="G1283" s="705">
        <v>0.81279590337117424</v>
      </c>
    </row>
    <row r="1284" spans="2:7" ht="11.25" hidden="1" customHeight="1" outlineLevel="2" x14ac:dyDescent="0.25">
      <c r="B1284" s="704" t="s">
        <v>698</v>
      </c>
      <c r="C1284" s="704" t="s">
        <v>756</v>
      </c>
      <c r="D1284" s="704" t="s">
        <v>675</v>
      </c>
      <c r="E1284" s="704" t="s">
        <v>448</v>
      </c>
      <c r="F1284" s="705">
        <v>6.7268399845940292E-4</v>
      </c>
      <c r="G1284" s="705">
        <v>0.89252159627275429</v>
      </c>
    </row>
    <row r="1285" spans="2:7" ht="11.25" hidden="1" customHeight="1" outlineLevel="2" x14ac:dyDescent="0.25">
      <c r="B1285" s="704" t="s">
        <v>699</v>
      </c>
      <c r="C1285" s="704" t="s">
        <v>756</v>
      </c>
      <c r="D1285" s="704" t="s">
        <v>675</v>
      </c>
      <c r="E1285" s="704" t="s">
        <v>448</v>
      </c>
      <c r="F1285" s="705">
        <v>6.3111657622653414E-34</v>
      </c>
      <c r="G1285" s="705">
        <v>7.9647149724644296E-31</v>
      </c>
    </row>
    <row r="1286" spans="2:7" ht="11.25" hidden="1" customHeight="1" outlineLevel="2" x14ac:dyDescent="0.25">
      <c r="B1286" s="704" t="s">
        <v>673</v>
      </c>
      <c r="C1286" s="704" t="s">
        <v>757</v>
      </c>
      <c r="D1286" s="704" t="s">
        <v>675</v>
      </c>
      <c r="E1286" s="704" t="s">
        <v>448</v>
      </c>
      <c r="F1286" s="705">
        <v>7.5173782339259861E-3</v>
      </c>
      <c r="G1286" s="705">
        <v>11.264093231981585</v>
      </c>
    </row>
    <row r="1287" spans="2:7" ht="11.25" hidden="1" customHeight="1" outlineLevel="2" x14ac:dyDescent="0.25">
      <c r="B1287" s="704" t="s">
        <v>677</v>
      </c>
      <c r="C1287" s="704" t="s">
        <v>757</v>
      </c>
      <c r="D1287" s="704" t="s">
        <v>675</v>
      </c>
      <c r="E1287" s="704" t="s">
        <v>448</v>
      </c>
      <c r="F1287" s="705">
        <v>0.12603708479081513</v>
      </c>
      <c r="G1287" s="705">
        <v>186.9257999695933</v>
      </c>
    </row>
    <row r="1288" spans="2:7" ht="11.25" hidden="1" customHeight="1" outlineLevel="2" x14ac:dyDescent="0.25">
      <c r="B1288" s="704" t="s">
        <v>678</v>
      </c>
      <c r="C1288" s="704" t="s">
        <v>757</v>
      </c>
      <c r="D1288" s="704" t="s">
        <v>675</v>
      </c>
      <c r="E1288" s="704" t="s">
        <v>448</v>
      </c>
      <c r="F1288" s="705">
        <v>0.28782100757752993</v>
      </c>
      <c r="G1288" s="705">
        <v>432.97922902867367</v>
      </c>
    </row>
    <row r="1289" spans="2:7" ht="11.25" hidden="1" customHeight="1" outlineLevel="2" x14ac:dyDescent="0.25">
      <c r="B1289" s="704" t="s">
        <v>679</v>
      </c>
      <c r="C1289" s="704" t="s">
        <v>757</v>
      </c>
      <c r="D1289" s="704" t="s">
        <v>675</v>
      </c>
      <c r="E1289" s="704" t="s">
        <v>448</v>
      </c>
      <c r="F1289" s="705">
        <v>2.325521162964073E-2</v>
      </c>
      <c r="G1289" s="705">
        <v>35.137177917999239</v>
      </c>
    </row>
    <row r="1290" spans="2:7" ht="11.25" hidden="1" customHeight="1" outlineLevel="2" x14ac:dyDescent="0.25">
      <c r="B1290" s="704" t="s">
        <v>680</v>
      </c>
      <c r="C1290" s="704" t="s">
        <v>757</v>
      </c>
      <c r="D1290" s="704" t="s">
        <v>675</v>
      </c>
      <c r="E1290" s="704" t="s">
        <v>448</v>
      </c>
      <c r="F1290" s="705">
        <v>4.3047189603625437E-3</v>
      </c>
      <c r="G1290" s="705">
        <v>6.5125743718652265</v>
      </c>
    </row>
    <row r="1291" spans="2:7" ht="11.25" hidden="1" customHeight="1" outlineLevel="2" x14ac:dyDescent="0.25">
      <c r="B1291" s="704" t="s">
        <v>681</v>
      </c>
      <c r="C1291" s="704" t="s">
        <v>757</v>
      </c>
      <c r="D1291" s="704" t="s">
        <v>675</v>
      </c>
      <c r="E1291" s="704" t="s">
        <v>448</v>
      </c>
      <c r="F1291" s="705">
        <v>3.6515493829710616E-2</v>
      </c>
      <c r="G1291" s="705">
        <v>54.931510291209484</v>
      </c>
    </row>
    <row r="1292" spans="2:7" ht="11.25" hidden="1" customHeight="1" outlineLevel="2" x14ac:dyDescent="0.25">
      <c r="B1292" s="704" t="s">
        <v>682</v>
      </c>
      <c r="C1292" s="704" t="s">
        <v>757</v>
      </c>
      <c r="D1292" s="704" t="s">
        <v>675</v>
      </c>
      <c r="E1292" s="704" t="s">
        <v>448</v>
      </c>
      <c r="F1292" s="705">
        <v>3.2052119073147284E-2</v>
      </c>
      <c r="G1292" s="705">
        <v>48.22143993860842</v>
      </c>
    </row>
    <row r="1293" spans="2:7" ht="11.25" hidden="1" customHeight="1" outlineLevel="2" x14ac:dyDescent="0.25">
      <c r="B1293" s="704" t="s">
        <v>683</v>
      </c>
      <c r="C1293" s="704" t="s">
        <v>757</v>
      </c>
      <c r="D1293" s="704" t="s">
        <v>675</v>
      </c>
      <c r="E1293" s="704" t="s">
        <v>448</v>
      </c>
      <c r="F1293" s="705">
        <v>5.3003109995902034E-2</v>
      </c>
      <c r="G1293" s="705">
        <v>80.084420762005664</v>
      </c>
    </row>
    <row r="1294" spans="2:7" ht="11.25" hidden="1" customHeight="1" outlineLevel="2" x14ac:dyDescent="0.25">
      <c r="B1294" s="704" t="s">
        <v>684</v>
      </c>
      <c r="C1294" s="704" t="s">
        <v>757</v>
      </c>
      <c r="D1294" s="704" t="s">
        <v>675</v>
      </c>
      <c r="E1294" s="704" t="s">
        <v>448</v>
      </c>
      <c r="F1294" s="705">
        <v>6.909539159596861E-3</v>
      </c>
      <c r="G1294" s="705">
        <v>10.453387497717284</v>
      </c>
    </row>
    <row r="1295" spans="2:7" ht="11.25" hidden="1" customHeight="1" outlineLevel="2" x14ac:dyDescent="0.25">
      <c r="B1295" s="704" t="s">
        <v>685</v>
      </c>
      <c r="C1295" s="704" t="s">
        <v>757</v>
      </c>
      <c r="D1295" s="704" t="s">
        <v>675</v>
      </c>
      <c r="E1295" s="704" t="s">
        <v>448</v>
      </c>
      <c r="F1295" s="705">
        <v>6.3608655322207261E-2</v>
      </c>
      <c r="G1295" s="705">
        <v>96.108742032228008</v>
      </c>
    </row>
    <row r="1296" spans="2:7" ht="11.25" hidden="1" customHeight="1" outlineLevel="2" x14ac:dyDescent="0.25">
      <c r="B1296" s="704" t="s">
        <v>686</v>
      </c>
      <c r="C1296" s="704" t="s">
        <v>757</v>
      </c>
      <c r="D1296" s="704" t="s">
        <v>675</v>
      </c>
      <c r="E1296" s="704" t="s">
        <v>448</v>
      </c>
      <c r="F1296" s="705">
        <v>1.5080007604084037E-2</v>
      </c>
      <c r="G1296" s="705">
        <v>22.595998245146657</v>
      </c>
    </row>
    <row r="1297" spans="2:7" ht="11.25" hidden="1" customHeight="1" outlineLevel="2" x14ac:dyDescent="0.25">
      <c r="B1297" s="704" t="s">
        <v>687</v>
      </c>
      <c r="C1297" s="704" t="s">
        <v>757</v>
      </c>
      <c r="D1297" s="704" t="s">
        <v>675</v>
      </c>
      <c r="E1297" s="704" t="s">
        <v>448</v>
      </c>
      <c r="F1297" s="705">
        <v>7.6940981517430382E-2</v>
      </c>
      <c r="G1297" s="705">
        <v>115.74499382138103</v>
      </c>
    </row>
    <row r="1298" spans="2:7" ht="11.25" hidden="1" customHeight="1" outlineLevel="2" x14ac:dyDescent="0.25">
      <c r="B1298" s="704" t="s">
        <v>688</v>
      </c>
      <c r="C1298" s="704" t="s">
        <v>757</v>
      </c>
      <c r="D1298" s="704" t="s">
        <v>675</v>
      </c>
      <c r="E1298" s="704" t="s">
        <v>448</v>
      </c>
      <c r="F1298" s="706">
        <v>5.5227058949910118E-2</v>
      </c>
      <c r="G1298" s="705">
        <v>83.079966785053074</v>
      </c>
    </row>
    <row r="1299" spans="2:7" ht="11.25" hidden="1" customHeight="1" outlineLevel="2" x14ac:dyDescent="0.25">
      <c r="B1299" s="704" t="s">
        <v>689</v>
      </c>
      <c r="C1299" s="704" t="s">
        <v>757</v>
      </c>
      <c r="D1299" s="704" t="s">
        <v>675</v>
      </c>
      <c r="E1299" s="704" t="s">
        <v>448</v>
      </c>
      <c r="F1299" s="706">
        <v>8.1798528402472464E-3</v>
      </c>
      <c r="G1299" s="705">
        <v>12.283264860607348</v>
      </c>
    </row>
    <row r="1300" spans="2:7" ht="11.25" hidden="1" customHeight="1" outlineLevel="2" x14ac:dyDescent="0.25">
      <c r="B1300" s="704" t="s">
        <v>690</v>
      </c>
      <c r="C1300" s="704" t="s">
        <v>757</v>
      </c>
      <c r="D1300" s="704" t="s">
        <v>675</v>
      </c>
      <c r="E1300" s="704" t="s">
        <v>448</v>
      </c>
      <c r="F1300" s="706">
        <v>0.17898588295493581</v>
      </c>
      <c r="G1300" s="705">
        <v>270.4365567230243</v>
      </c>
    </row>
    <row r="1301" spans="2:7" ht="11.25" hidden="1" customHeight="1" outlineLevel="2" x14ac:dyDescent="0.25">
      <c r="B1301" s="704" t="s">
        <v>691</v>
      </c>
      <c r="C1301" s="704" t="s">
        <v>757</v>
      </c>
      <c r="D1301" s="704" t="s">
        <v>675</v>
      </c>
      <c r="E1301" s="704" t="s">
        <v>448</v>
      </c>
      <c r="F1301" s="706">
        <v>0.20440750781713052</v>
      </c>
      <c r="G1301" s="705">
        <v>308.84719825140365</v>
      </c>
    </row>
    <row r="1302" spans="2:7" ht="11.25" hidden="1" customHeight="1" outlineLevel="2" x14ac:dyDescent="0.25">
      <c r="B1302" s="704" t="s">
        <v>692</v>
      </c>
      <c r="C1302" s="704" t="s">
        <v>757</v>
      </c>
      <c r="D1302" s="704" t="s">
        <v>675</v>
      </c>
      <c r="E1302" s="704" t="s">
        <v>448</v>
      </c>
      <c r="F1302" s="706">
        <v>1.2005711011566219E-2</v>
      </c>
      <c r="G1302" s="705">
        <v>18.060603768148411</v>
      </c>
    </row>
    <row r="1303" spans="2:7" ht="11.25" hidden="1" customHeight="1" outlineLevel="2" x14ac:dyDescent="0.25">
      <c r="B1303" s="704" t="s">
        <v>693</v>
      </c>
      <c r="C1303" s="704" t="s">
        <v>757</v>
      </c>
      <c r="D1303" s="704" t="s">
        <v>675</v>
      </c>
      <c r="E1303" s="704" t="s">
        <v>448</v>
      </c>
      <c r="F1303" s="706">
        <v>2.9799137563480658E-2</v>
      </c>
      <c r="G1303" s="705">
        <v>45.082870029187227</v>
      </c>
    </row>
    <row r="1304" spans="2:7" ht="11.25" hidden="1" customHeight="1" outlineLevel="2" x14ac:dyDescent="0.25">
      <c r="B1304" s="704" t="s">
        <v>694</v>
      </c>
      <c r="C1304" s="704" t="s">
        <v>757</v>
      </c>
      <c r="D1304" s="704" t="s">
        <v>675</v>
      </c>
      <c r="E1304" s="704" t="s">
        <v>448</v>
      </c>
      <c r="F1304" s="706">
        <v>3.3408319455174797E-3</v>
      </c>
      <c r="G1304" s="705">
        <v>5.0543174371653832</v>
      </c>
    </row>
    <row r="1305" spans="2:7" ht="11.25" hidden="1" customHeight="1" outlineLevel="2" x14ac:dyDescent="0.25">
      <c r="B1305" s="704" t="s">
        <v>695</v>
      </c>
      <c r="C1305" s="704" t="s">
        <v>757</v>
      </c>
      <c r="D1305" s="704" t="s">
        <v>675</v>
      </c>
      <c r="E1305" s="704" t="s">
        <v>448</v>
      </c>
      <c r="F1305" s="706">
        <v>1.5846574765203243E-2</v>
      </c>
      <c r="G1305" s="705">
        <v>23.974167065215767</v>
      </c>
    </row>
    <row r="1306" spans="2:7" ht="11.25" hidden="1" customHeight="1" outlineLevel="2" x14ac:dyDescent="0.25">
      <c r="B1306" s="704" t="s">
        <v>696</v>
      </c>
      <c r="C1306" s="704" t="s">
        <v>757</v>
      </c>
      <c r="D1306" s="704" t="s">
        <v>675</v>
      </c>
      <c r="E1306" s="704" t="s">
        <v>448</v>
      </c>
      <c r="F1306" s="706">
        <v>3.9976069578128416E-2</v>
      </c>
      <c r="G1306" s="705">
        <v>59.900436475507803</v>
      </c>
    </row>
    <row r="1307" spans="2:7" ht="11.25" hidden="1" customHeight="1" outlineLevel="2" x14ac:dyDescent="0.25">
      <c r="B1307" s="704" t="s">
        <v>697</v>
      </c>
      <c r="C1307" s="704" t="s">
        <v>757</v>
      </c>
      <c r="D1307" s="704" t="s">
        <v>675</v>
      </c>
      <c r="E1307" s="704" t="s">
        <v>448</v>
      </c>
      <c r="F1307" s="706">
        <v>2.166267153228223E-2</v>
      </c>
      <c r="G1307" s="705">
        <v>32.773275569895773</v>
      </c>
    </row>
    <row r="1308" spans="2:7" ht="11.25" hidden="1" customHeight="1" outlineLevel="2" x14ac:dyDescent="0.25">
      <c r="B1308" s="704" t="s">
        <v>698</v>
      </c>
      <c r="C1308" s="704" t="s">
        <v>757</v>
      </c>
      <c r="D1308" s="704" t="s">
        <v>675</v>
      </c>
      <c r="E1308" s="704" t="s">
        <v>448</v>
      </c>
      <c r="F1308" s="705">
        <v>2.3787504076747408E-2</v>
      </c>
      <c r="G1308" s="705">
        <v>35.987942143022401</v>
      </c>
    </row>
    <row r="1309" spans="2:7" ht="11.25" hidden="1" customHeight="1" outlineLevel="2" x14ac:dyDescent="0.25">
      <c r="B1309" s="704" t="s">
        <v>699</v>
      </c>
      <c r="C1309" s="704" t="s">
        <v>757</v>
      </c>
      <c r="D1309" s="704" t="s">
        <v>675</v>
      </c>
      <c r="E1309" s="704" t="s">
        <v>448</v>
      </c>
      <c r="F1309" s="705">
        <v>7.7763069249459399E-34</v>
      </c>
      <c r="G1309" s="705">
        <v>1.3915771514807513E-30</v>
      </c>
    </row>
    <row r="1310" spans="2:7" ht="11.25" hidden="1" customHeight="1" outlineLevel="2" x14ac:dyDescent="0.25">
      <c r="B1310" s="704" t="s">
        <v>673</v>
      </c>
      <c r="C1310" s="704" t="s">
        <v>758</v>
      </c>
      <c r="D1310" s="704" t="s">
        <v>675</v>
      </c>
      <c r="E1310" s="704" t="s">
        <v>448</v>
      </c>
      <c r="F1310" s="706">
        <v>3.3837862718013156E-3</v>
      </c>
      <c r="G1310" s="705">
        <v>3.8795353341208401</v>
      </c>
    </row>
    <row r="1311" spans="2:7" ht="11.25" hidden="1" customHeight="1" outlineLevel="2" x14ac:dyDescent="0.25">
      <c r="B1311" s="704" t="s">
        <v>677</v>
      </c>
      <c r="C1311" s="704" t="s">
        <v>758</v>
      </c>
      <c r="D1311" s="704" t="s">
        <v>675</v>
      </c>
      <c r="E1311" s="704" t="s">
        <v>448</v>
      </c>
      <c r="F1311" s="705">
        <v>5.6714708037978269E-2</v>
      </c>
      <c r="G1311" s="705">
        <v>64.380251940692716</v>
      </c>
    </row>
    <row r="1312" spans="2:7" ht="11.25" hidden="1" customHeight="1" outlineLevel="2" x14ac:dyDescent="0.25">
      <c r="B1312" s="704" t="s">
        <v>678</v>
      </c>
      <c r="C1312" s="704" t="s">
        <v>758</v>
      </c>
      <c r="D1312" s="704" t="s">
        <v>675</v>
      </c>
      <c r="E1312" s="704" t="s">
        <v>448</v>
      </c>
      <c r="F1312" s="705">
        <v>0.12957251222305702</v>
      </c>
      <c r="G1312" s="705">
        <v>149.12495414457123</v>
      </c>
    </row>
    <row r="1313" spans="2:7" ht="11.25" hidden="1" customHeight="1" outlineLevel="2" x14ac:dyDescent="0.25">
      <c r="B1313" s="704" t="s">
        <v>679</v>
      </c>
      <c r="C1313" s="704" t="s">
        <v>758</v>
      </c>
      <c r="D1313" s="704" t="s">
        <v>675</v>
      </c>
      <c r="E1313" s="704" t="s">
        <v>448</v>
      </c>
      <c r="F1313" s="705">
        <v>1.0470579285291147E-2</v>
      </c>
      <c r="G1313" s="705">
        <v>12.101806082441291</v>
      </c>
    </row>
    <row r="1314" spans="2:7" ht="11.25" hidden="1" customHeight="1" outlineLevel="2" x14ac:dyDescent="0.25">
      <c r="B1314" s="704" t="s">
        <v>680</v>
      </c>
      <c r="C1314" s="704" t="s">
        <v>758</v>
      </c>
      <c r="D1314" s="704" t="s">
        <v>675</v>
      </c>
      <c r="E1314" s="704" t="s">
        <v>448</v>
      </c>
      <c r="F1314" s="705">
        <v>1.9382641194140438E-3</v>
      </c>
      <c r="G1314" s="705">
        <v>2.2430355576999776</v>
      </c>
    </row>
    <row r="1315" spans="2:7" ht="11.25" hidden="1" customHeight="1" outlineLevel="2" x14ac:dyDescent="0.25">
      <c r="B1315" s="704" t="s">
        <v>681</v>
      </c>
      <c r="C1315" s="704" t="s">
        <v>758</v>
      </c>
      <c r="D1315" s="704" t="s">
        <v>675</v>
      </c>
      <c r="E1315" s="704" t="s">
        <v>448</v>
      </c>
      <c r="F1315" s="705">
        <v>1.6438704891780731E-2</v>
      </c>
      <c r="G1315" s="705">
        <v>18.919285776095375</v>
      </c>
    </row>
    <row r="1316" spans="2:7" ht="11.25" hidden="1" customHeight="1" outlineLevel="2" x14ac:dyDescent="0.25">
      <c r="B1316" s="704" t="s">
        <v>682</v>
      </c>
      <c r="C1316" s="704" t="s">
        <v>758</v>
      </c>
      <c r="D1316" s="704" t="s">
        <v>675</v>
      </c>
      <c r="E1316" s="704" t="s">
        <v>448</v>
      </c>
      <c r="F1316" s="705">
        <v>1.4429403233470984E-2</v>
      </c>
      <c r="G1316" s="705">
        <v>16.608240302000493</v>
      </c>
    </row>
    <row r="1317" spans="2:7" ht="11.25" hidden="1" customHeight="1" outlineLevel="2" x14ac:dyDescent="0.25">
      <c r="B1317" s="704" t="s">
        <v>683</v>
      </c>
      <c r="C1317" s="704" t="s">
        <v>758</v>
      </c>
      <c r="D1317" s="704" t="s">
        <v>675</v>
      </c>
      <c r="E1317" s="704" t="s">
        <v>448</v>
      </c>
      <c r="F1317" s="705">
        <v>2.3864471139603903E-2</v>
      </c>
      <c r="G1317" s="705">
        <v>27.58236287768721</v>
      </c>
    </row>
    <row r="1318" spans="2:7" ht="11.25" hidden="1" customHeight="1" outlineLevel="2" x14ac:dyDescent="0.25">
      <c r="B1318" s="704" t="s">
        <v>684</v>
      </c>
      <c r="C1318" s="704" t="s">
        <v>758</v>
      </c>
      <c r="D1318" s="704" t="s">
        <v>675</v>
      </c>
      <c r="E1318" s="704" t="s">
        <v>448</v>
      </c>
      <c r="F1318" s="705">
        <v>3.1111236783028747E-3</v>
      </c>
      <c r="G1318" s="705">
        <v>3.6003139777926267</v>
      </c>
    </row>
    <row r="1319" spans="2:7" ht="11.25" hidden="1" customHeight="1" outlineLevel="2" x14ac:dyDescent="0.25">
      <c r="B1319" s="704" t="s">
        <v>685</v>
      </c>
      <c r="C1319" s="704" t="s">
        <v>758</v>
      </c>
      <c r="D1319" s="704" t="s">
        <v>675</v>
      </c>
      <c r="E1319" s="704" t="s">
        <v>448</v>
      </c>
      <c r="F1319" s="705">
        <v>2.8639583510906463E-2</v>
      </c>
      <c r="G1319" s="705">
        <v>33.101394135101515</v>
      </c>
    </row>
    <row r="1320" spans="2:7" ht="11.25" hidden="1" customHeight="1" outlineLevel="2" x14ac:dyDescent="0.25">
      <c r="B1320" s="704" t="s">
        <v>686</v>
      </c>
      <c r="C1320" s="704" t="s">
        <v>758</v>
      </c>
      <c r="D1320" s="704" t="s">
        <v>675</v>
      </c>
      <c r="E1320" s="704" t="s">
        <v>448</v>
      </c>
      <c r="F1320" s="705">
        <v>6.7879412410316456E-3</v>
      </c>
      <c r="G1320" s="705">
        <v>7.7824231388208034</v>
      </c>
    </row>
    <row r="1321" spans="2:7" ht="11.25" hidden="1" customHeight="1" outlineLevel="2" x14ac:dyDescent="0.25">
      <c r="B1321" s="704" t="s">
        <v>687</v>
      </c>
      <c r="C1321" s="704" t="s">
        <v>758</v>
      </c>
      <c r="D1321" s="704" t="s">
        <v>675</v>
      </c>
      <c r="E1321" s="704" t="s">
        <v>448</v>
      </c>
      <c r="F1321" s="705">
        <v>3.4637629925918852E-2</v>
      </c>
      <c r="G1321" s="705">
        <v>39.864429912580718</v>
      </c>
    </row>
    <row r="1322" spans="2:7" ht="11.25" hidden="1" customHeight="1" outlineLevel="2" x14ac:dyDescent="0.25">
      <c r="B1322" s="704" t="s">
        <v>688</v>
      </c>
      <c r="C1322" s="704" t="s">
        <v>758</v>
      </c>
      <c r="D1322" s="704" t="s">
        <v>675</v>
      </c>
      <c r="E1322" s="704" t="s">
        <v>448</v>
      </c>
      <c r="F1322" s="705">
        <v>2.4862365144279249E-2</v>
      </c>
      <c r="G1322" s="705">
        <v>28.614078743321212</v>
      </c>
    </row>
    <row r="1323" spans="2:7" ht="11.25" hidden="1" customHeight="1" outlineLevel="2" x14ac:dyDescent="0.25">
      <c r="B1323" s="704" t="s">
        <v>689</v>
      </c>
      <c r="C1323" s="704" t="s">
        <v>758</v>
      </c>
      <c r="D1323" s="704" t="s">
        <v>675</v>
      </c>
      <c r="E1323" s="704" t="s">
        <v>448</v>
      </c>
      <c r="F1323" s="705">
        <v>3.6822348382677035E-3</v>
      </c>
      <c r="G1323" s="705">
        <v>4.2305552690390886</v>
      </c>
    </row>
    <row r="1324" spans="2:7" ht="11.25" hidden="1" customHeight="1" outlineLevel="2" x14ac:dyDescent="0.25">
      <c r="B1324" s="704" t="s">
        <v>690</v>
      </c>
      <c r="C1324" s="704" t="s">
        <v>758</v>
      </c>
      <c r="D1324" s="704" t="s">
        <v>675</v>
      </c>
      <c r="E1324" s="704" t="s">
        <v>448</v>
      </c>
      <c r="F1324" s="705">
        <v>8.0587784520916042E-2</v>
      </c>
      <c r="G1324" s="705">
        <v>93.142729529471083</v>
      </c>
    </row>
    <row r="1325" spans="2:7" ht="11.25" hidden="1" customHeight="1" outlineLevel="2" x14ac:dyDescent="0.25">
      <c r="B1325" s="704" t="s">
        <v>691</v>
      </c>
      <c r="C1325" s="704" t="s">
        <v>758</v>
      </c>
      <c r="D1325" s="704" t="s">
        <v>675</v>
      </c>
      <c r="E1325" s="704" t="s">
        <v>448</v>
      </c>
      <c r="F1325" s="705">
        <v>9.2033804787490431E-2</v>
      </c>
      <c r="G1325" s="705">
        <v>106.37190937548402</v>
      </c>
    </row>
    <row r="1326" spans="2:7" ht="11.25" hidden="1" customHeight="1" outlineLevel="2" x14ac:dyDescent="0.25">
      <c r="B1326" s="704" t="s">
        <v>692</v>
      </c>
      <c r="C1326" s="704" t="s">
        <v>758</v>
      </c>
      <c r="D1326" s="704" t="s">
        <v>675</v>
      </c>
      <c r="E1326" s="704" t="s">
        <v>448</v>
      </c>
      <c r="F1326" s="705">
        <v>5.4047830001928464E-3</v>
      </c>
      <c r="G1326" s="705">
        <v>6.2203623999652615</v>
      </c>
    </row>
    <row r="1327" spans="2:7" ht="11.25" hidden="1" customHeight="1" outlineLevel="2" x14ac:dyDescent="0.25">
      <c r="B1327" s="704" t="s">
        <v>693</v>
      </c>
      <c r="C1327" s="704" t="s">
        <v>758</v>
      </c>
      <c r="D1327" s="704" t="s">
        <v>675</v>
      </c>
      <c r="E1327" s="704" t="s">
        <v>448</v>
      </c>
      <c r="F1327" s="705">
        <v>1.3417508529465294E-2</v>
      </c>
      <c r="G1327" s="705">
        <v>15.527263686242458</v>
      </c>
    </row>
    <row r="1328" spans="2:7" ht="11.25" hidden="1" customHeight="1" outlineLevel="2" x14ac:dyDescent="0.25">
      <c r="B1328" s="704" t="s">
        <v>694</v>
      </c>
      <c r="C1328" s="704" t="s">
        <v>758</v>
      </c>
      <c r="D1328" s="704" t="s">
        <v>675</v>
      </c>
      <c r="E1328" s="704" t="s">
        <v>448</v>
      </c>
      <c r="F1328" s="705">
        <v>1.5042597344358415E-3</v>
      </c>
      <c r="G1328" s="705">
        <v>1.7407876606815913</v>
      </c>
    </row>
    <row r="1329" spans="2:7" ht="11.25" hidden="1" customHeight="1" outlineLevel="2" x14ac:dyDescent="0.25">
      <c r="B1329" s="704" t="s">
        <v>695</v>
      </c>
      <c r="C1329" s="704" t="s">
        <v>758</v>
      </c>
      <c r="D1329" s="704" t="s">
        <v>675</v>
      </c>
      <c r="E1329" s="704" t="s">
        <v>448</v>
      </c>
      <c r="F1329" s="705">
        <v>7.1351590296876381E-3</v>
      </c>
      <c r="G1329" s="705">
        <v>8.2570846031404521</v>
      </c>
    </row>
    <row r="1330" spans="2:7" ht="11.25" hidden="1" customHeight="1" outlineLevel="2" x14ac:dyDescent="0.25">
      <c r="B1330" s="704" t="s">
        <v>696</v>
      </c>
      <c r="C1330" s="704" t="s">
        <v>758</v>
      </c>
      <c r="D1330" s="704" t="s">
        <v>675</v>
      </c>
      <c r="E1330" s="704" t="s">
        <v>448</v>
      </c>
      <c r="F1330" s="705">
        <v>1.7994364726166504E-2</v>
      </c>
      <c r="G1330" s="705">
        <v>20.630666281840618</v>
      </c>
    </row>
    <row r="1331" spans="2:7" ht="11.25" hidden="1" customHeight="1" outlineLevel="2" x14ac:dyDescent="0.25">
      <c r="B1331" s="704" t="s">
        <v>697</v>
      </c>
      <c r="C1331" s="704" t="s">
        <v>758</v>
      </c>
      <c r="D1331" s="704" t="s">
        <v>675</v>
      </c>
      <c r="E1331" s="704" t="s">
        <v>448</v>
      </c>
      <c r="F1331" s="706">
        <v>9.7539453380934438E-3</v>
      </c>
      <c r="G1331" s="705">
        <v>11.287642780858933</v>
      </c>
    </row>
    <row r="1332" spans="2:7" ht="11.25" hidden="1" customHeight="1" outlineLevel="2" x14ac:dyDescent="0.25">
      <c r="B1332" s="704" t="s">
        <v>698</v>
      </c>
      <c r="C1332" s="704" t="s">
        <v>758</v>
      </c>
      <c r="D1332" s="704" t="s">
        <v>675</v>
      </c>
      <c r="E1332" s="704" t="s">
        <v>448</v>
      </c>
      <c r="F1332" s="706">
        <v>1.0710682615751609E-2</v>
      </c>
      <c r="G1332" s="705">
        <v>12.394816489272602</v>
      </c>
    </row>
    <row r="1333" spans="2:7" ht="11.25" hidden="1" customHeight="1" outlineLevel="2" x14ac:dyDescent="0.25">
      <c r="B1333" s="704" t="s">
        <v>699</v>
      </c>
      <c r="C1333" s="704" t="s">
        <v>758</v>
      </c>
      <c r="D1333" s="704" t="s">
        <v>675</v>
      </c>
      <c r="E1333" s="704" t="s">
        <v>448</v>
      </c>
      <c r="F1333" s="706">
        <v>2.5840475884423704E-33</v>
      </c>
      <c r="G1333" s="705">
        <v>3.0253925261209732E-30</v>
      </c>
    </row>
    <row r="1334" spans="2:7" ht="11.25" hidden="1" customHeight="1" outlineLevel="2" x14ac:dyDescent="0.25">
      <c r="B1334" s="704" t="s">
        <v>673</v>
      </c>
      <c r="C1334" s="704" t="s">
        <v>759</v>
      </c>
      <c r="D1334" s="704" t="s">
        <v>675</v>
      </c>
      <c r="E1334" s="704" t="s">
        <v>448</v>
      </c>
      <c r="F1334" s="706">
        <v>1.6747018168624526E-2</v>
      </c>
      <c r="G1334" s="705">
        <v>23.460891342720757</v>
      </c>
    </row>
    <row r="1335" spans="2:7" ht="11.25" hidden="1" customHeight="1" outlineLevel="2" x14ac:dyDescent="0.25">
      <c r="B1335" s="704" t="s">
        <v>677</v>
      </c>
      <c r="C1335" s="704" t="s">
        <v>759</v>
      </c>
      <c r="D1335" s="704" t="s">
        <v>675</v>
      </c>
      <c r="E1335" s="704" t="s">
        <v>448</v>
      </c>
      <c r="F1335" s="706">
        <v>0.28082682873278003</v>
      </c>
      <c r="G1335" s="705">
        <v>389.32961734280099</v>
      </c>
    </row>
    <row r="1336" spans="2:7" ht="11.25" hidden="1" customHeight="1" outlineLevel="2" x14ac:dyDescent="0.25">
      <c r="B1336" s="704" t="s">
        <v>678</v>
      </c>
      <c r="C1336" s="704" t="s">
        <v>759</v>
      </c>
      <c r="D1336" s="704" t="s">
        <v>675</v>
      </c>
      <c r="E1336" s="704" t="s">
        <v>448</v>
      </c>
      <c r="F1336" s="706">
        <v>0.64116089945177623</v>
      </c>
      <c r="G1336" s="705">
        <v>901.80992216682216</v>
      </c>
    </row>
    <row r="1337" spans="2:7" ht="11.25" hidden="1" customHeight="1" outlineLevel="2" x14ac:dyDescent="0.25">
      <c r="B1337" s="704" t="s">
        <v>679</v>
      </c>
      <c r="C1337" s="704" t="s">
        <v>759</v>
      </c>
      <c r="D1337" s="704" t="s">
        <v>675</v>
      </c>
      <c r="E1337" s="704" t="s">
        <v>448</v>
      </c>
      <c r="F1337" s="705">
        <v>5.180062972746434E-2</v>
      </c>
      <c r="G1337" s="705">
        <v>73.183844580809122</v>
      </c>
    </row>
    <row r="1338" spans="2:7" ht="11.25" hidden="1" customHeight="1" outlineLevel="2" x14ac:dyDescent="0.25">
      <c r="B1338" s="704" t="s">
        <v>680</v>
      </c>
      <c r="C1338" s="704" t="s">
        <v>759</v>
      </c>
      <c r="D1338" s="704" t="s">
        <v>675</v>
      </c>
      <c r="E1338" s="704" t="s">
        <v>448</v>
      </c>
      <c r="F1338" s="705">
        <v>9.5885012212110019E-3</v>
      </c>
      <c r="G1338" s="705">
        <v>13.56440484841888</v>
      </c>
    </row>
    <row r="1339" spans="2:7" ht="11.25" hidden="1" customHeight="1" outlineLevel="2" x14ac:dyDescent="0.25">
      <c r="B1339" s="704" t="s">
        <v>681</v>
      </c>
      <c r="C1339" s="704" t="s">
        <v>759</v>
      </c>
      <c r="D1339" s="704" t="s">
        <v>675</v>
      </c>
      <c r="E1339" s="704" t="s">
        <v>448</v>
      </c>
      <c r="F1339" s="705">
        <v>8.1343254352802222E-2</v>
      </c>
      <c r="G1339" s="705">
        <v>114.41148213871776</v>
      </c>
    </row>
    <row r="1340" spans="2:7" ht="11.25" hidden="1" customHeight="1" outlineLevel="2" x14ac:dyDescent="0.25">
      <c r="B1340" s="704" t="s">
        <v>682</v>
      </c>
      <c r="C1340" s="704" t="s">
        <v>759</v>
      </c>
      <c r="D1340" s="704" t="s">
        <v>675</v>
      </c>
      <c r="E1340" s="704" t="s">
        <v>448</v>
      </c>
      <c r="F1340" s="705">
        <v>7.1400394219006555E-2</v>
      </c>
      <c r="G1340" s="705">
        <v>100.43578218781363</v>
      </c>
    </row>
    <row r="1341" spans="2:7" ht="11.25" hidden="1" customHeight="1" outlineLevel="2" x14ac:dyDescent="0.25">
      <c r="B1341" s="704" t="s">
        <v>683</v>
      </c>
      <c r="C1341" s="704" t="s">
        <v>759</v>
      </c>
      <c r="D1341" s="704" t="s">
        <v>675</v>
      </c>
      <c r="E1341" s="704" t="s">
        <v>448</v>
      </c>
      <c r="F1341" s="705">
        <v>0.1180636641988477</v>
      </c>
      <c r="G1341" s="705">
        <v>166.79999001972749</v>
      </c>
    </row>
    <row r="1342" spans="2:7" ht="11.25" hidden="1" customHeight="1" outlineLevel="2" x14ac:dyDescent="0.25">
      <c r="B1342" s="704" t="s">
        <v>684</v>
      </c>
      <c r="C1342" s="704" t="s">
        <v>759</v>
      </c>
      <c r="D1342" s="704" t="s">
        <v>675</v>
      </c>
      <c r="E1342" s="704" t="s">
        <v>448</v>
      </c>
      <c r="F1342" s="705">
        <v>1.539058869578485E-2</v>
      </c>
      <c r="G1342" s="705">
        <v>21.772344660952559</v>
      </c>
    </row>
    <row r="1343" spans="2:7" ht="11.25" hidden="1" customHeight="1" outlineLevel="2" x14ac:dyDescent="0.25">
      <c r="B1343" s="704" t="s">
        <v>685</v>
      </c>
      <c r="C1343" s="704" t="s">
        <v>759</v>
      </c>
      <c r="D1343" s="704" t="s">
        <v>675</v>
      </c>
      <c r="E1343" s="704" t="s">
        <v>448</v>
      </c>
      <c r="F1343" s="705">
        <v>0.14168732654455896</v>
      </c>
      <c r="G1343" s="705">
        <v>200.17553285541766</v>
      </c>
    </row>
    <row r="1344" spans="2:7" ht="11.25" hidden="1" customHeight="1" outlineLevel="2" x14ac:dyDescent="0.25">
      <c r="B1344" s="704" t="s">
        <v>686</v>
      </c>
      <c r="C1344" s="704" t="s">
        <v>759</v>
      </c>
      <c r="D1344" s="704" t="s">
        <v>675</v>
      </c>
      <c r="E1344" s="704" t="s">
        <v>448</v>
      </c>
      <c r="F1344" s="705">
        <v>3.3594857959301214E-2</v>
      </c>
      <c r="G1344" s="705">
        <v>47.063000818418864</v>
      </c>
    </row>
    <row r="1345" spans="2:7" ht="11.25" hidden="1" customHeight="1" outlineLevel="2" x14ac:dyDescent="0.25">
      <c r="B1345" s="704" t="s">
        <v>687</v>
      </c>
      <c r="C1345" s="704" t="s">
        <v>759</v>
      </c>
      <c r="D1345" s="704" t="s">
        <v>675</v>
      </c>
      <c r="E1345" s="704" t="s">
        <v>448</v>
      </c>
      <c r="F1345" s="705">
        <v>0.17139657414471449</v>
      </c>
      <c r="G1345" s="705">
        <v>241.07398724205689</v>
      </c>
    </row>
    <row r="1346" spans="2:7" ht="11.25" hidden="1" customHeight="1" outlineLevel="2" x14ac:dyDescent="0.25">
      <c r="B1346" s="704" t="s">
        <v>688</v>
      </c>
      <c r="C1346" s="704" t="s">
        <v>759</v>
      </c>
      <c r="D1346" s="704" t="s">
        <v>675</v>
      </c>
      <c r="E1346" s="704" t="s">
        <v>448</v>
      </c>
      <c r="F1346" s="705">
        <v>0.12302582255976917</v>
      </c>
      <c r="G1346" s="705">
        <v>173.03917063000512</v>
      </c>
    </row>
    <row r="1347" spans="2:7" ht="11.25" hidden="1" customHeight="1" outlineLevel="2" x14ac:dyDescent="0.25">
      <c r="B1347" s="704" t="s">
        <v>689</v>
      </c>
      <c r="C1347" s="704" t="s">
        <v>759</v>
      </c>
      <c r="D1347" s="704" t="s">
        <v>675</v>
      </c>
      <c r="E1347" s="704" t="s">
        <v>448</v>
      </c>
      <c r="F1347" s="705">
        <v>1.822225455249506E-2</v>
      </c>
      <c r="G1347" s="705">
        <v>25.583619473470563</v>
      </c>
    </row>
    <row r="1348" spans="2:7" ht="11.25" hidden="1" customHeight="1" outlineLevel="2" x14ac:dyDescent="0.25">
      <c r="B1348" s="704" t="s">
        <v>690</v>
      </c>
      <c r="C1348" s="704" t="s">
        <v>759</v>
      </c>
      <c r="D1348" s="704" t="s">
        <v>675</v>
      </c>
      <c r="E1348" s="704" t="s">
        <v>448</v>
      </c>
      <c r="F1348" s="705">
        <v>0.39868832658351899</v>
      </c>
      <c r="G1348" s="705">
        <v>563.26590449421019</v>
      </c>
    </row>
    <row r="1349" spans="2:7" ht="11.25" hidden="1" customHeight="1" outlineLevel="2" x14ac:dyDescent="0.25">
      <c r="B1349" s="704" t="s">
        <v>691</v>
      </c>
      <c r="C1349" s="704" t="s">
        <v>759</v>
      </c>
      <c r="D1349" s="704" t="s">
        <v>675</v>
      </c>
      <c r="E1349" s="704" t="s">
        <v>448</v>
      </c>
      <c r="F1349" s="705">
        <v>0.45531476404442262</v>
      </c>
      <c r="G1349" s="705">
        <v>643.26750601179947</v>
      </c>
    </row>
    <row r="1350" spans="2:7" ht="11.25" hidden="1" customHeight="1" outlineLevel="2" x14ac:dyDescent="0.25">
      <c r="B1350" s="704" t="s">
        <v>692</v>
      </c>
      <c r="C1350" s="704" t="s">
        <v>759</v>
      </c>
      <c r="D1350" s="704" t="s">
        <v>675</v>
      </c>
      <c r="E1350" s="704" t="s">
        <v>448</v>
      </c>
      <c r="F1350" s="705">
        <v>2.6744366171713493E-2</v>
      </c>
      <c r="G1350" s="705">
        <v>37.616678066826395</v>
      </c>
    </row>
    <row r="1351" spans="2:7" ht="11.25" hidden="1" customHeight="1" outlineLevel="2" x14ac:dyDescent="0.25">
      <c r="B1351" s="704" t="s">
        <v>693</v>
      </c>
      <c r="C1351" s="704" t="s">
        <v>759</v>
      </c>
      <c r="D1351" s="704" t="s">
        <v>675</v>
      </c>
      <c r="E1351" s="704" t="s">
        <v>448</v>
      </c>
      <c r="F1351" s="705">
        <v>6.6375746536942518E-2</v>
      </c>
      <c r="G1351" s="705">
        <v>93.898745163547716</v>
      </c>
    </row>
    <row r="1352" spans="2:7" ht="11.25" hidden="1" customHeight="1" outlineLevel="2" x14ac:dyDescent="0.25">
      <c r="B1352" s="704" t="s">
        <v>694</v>
      </c>
      <c r="C1352" s="704" t="s">
        <v>759</v>
      </c>
      <c r="D1352" s="704" t="s">
        <v>675</v>
      </c>
      <c r="E1352" s="704" t="s">
        <v>448</v>
      </c>
      <c r="F1352" s="705">
        <v>7.441501409593234E-3</v>
      </c>
      <c r="G1352" s="705">
        <v>10.527148637027233</v>
      </c>
    </row>
    <row r="1353" spans="2:7" ht="11.25" hidden="1" customHeight="1" outlineLevel="2" x14ac:dyDescent="0.25">
      <c r="B1353" s="704" t="s">
        <v>695</v>
      </c>
      <c r="C1353" s="704" t="s">
        <v>759</v>
      </c>
      <c r="D1353" s="704" t="s">
        <v>675</v>
      </c>
      <c r="E1353" s="704" t="s">
        <v>448</v>
      </c>
      <c r="F1353" s="705">
        <v>3.5297288451012966E-2</v>
      </c>
      <c r="G1353" s="705">
        <v>49.933434798063104</v>
      </c>
    </row>
    <row r="1354" spans="2:7" ht="11.25" hidden="1" customHeight="1" outlineLevel="2" x14ac:dyDescent="0.25">
      <c r="B1354" s="704" t="s">
        <v>696</v>
      </c>
      <c r="C1354" s="704" t="s">
        <v>759</v>
      </c>
      <c r="D1354" s="704" t="s">
        <v>675</v>
      </c>
      <c r="E1354" s="704" t="s">
        <v>448</v>
      </c>
      <c r="F1354" s="705">
        <v>8.9057712886010387E-2</v>
      </c>
      <c r="G1354" s="705">
        <v>124.7607678603746</v>
      </c>
    </row>
    <row r="1355" spans="2:7" ht="11.25" hidden="1" customHeight="1" outlineLevel="2" x14ac:dyDescent="0.25">
      <c r="B1355" s="704" t="s">
        <v>697</v>
      </c>
      <c r="C1355" s="704" t="s">
        <v>759</v>
      </c>
      <c r="D1355" s="704" t="s">
        <v>675</v>
      </c>
      <c r="E1355" s="704" t="s">
        <v>448</v>
      </c>
      <c r="F1355" s="705">
        <v>4.8252300828086542E-2</v>
      </c>
      <c r="G1355" s="705">
        <v>68.2602895506312</v>
      </c>
    </row>
    <row r="1356" spans="2:7" ht="11.25" hidden="1" customHeight="1" outlineLevel="2" x14ac:dyDescent="0.25">
      <c r="B1356" s="704" t="s">
        <v>698</v>
      </c>
      <c r="C1356" s="704" t="s">
        <v>759</v>
      </c>
      <c r="D1356" s="704" t="s">
        <v>675</v>
      </c>
      <c r="E1356" s="704" t="s">
        <v>448</v>
      </c>
      <c r="F1356" s="705">
        <v>5.2985247308876077E-2</v>
      </c>
      <c r="G1356" s="705">
        <v>74.95575475688554</v>
      </c>
    </row>
    <row r="1357" spans="2:7" ht="11.25" hidden="1" customHeight="1" outlineLevel="2" x14ac:dyDescent="0.25">
      <c r="B1357" s="704" t="s">
        <v>699</v>
      </c>
      <c r="C1357" s="704" t="s">
        <v>759</v>
      </c>
      <c r="D1357" s="704" t="s">
        <v>675</v>
      </c>
      <c r="E1357" s="704" t="s">
        <v>448</v>
      </c>
      <c r="F1357" s="705">
        <v>5.1595613345166052E-33</v>
      </c>
      <c r="G1357" s="705">
        <v>6.6774071907901284E-30</v>
      </c>
    </row>
    <row r="1358" spans="2:7" ht="11.25" hidden="1" customHeight="1" outlineLevel="2" x14ac:dyDescent="0.25">
      <c r="B1358" s="704" t="s">
        <v>673</v>
      </c>
      <c r="C1358" s="704" t="s">
        <v>760</v>
      </c>
      <c r="D1358" s="704" t="s">
        <v>675</v>
      </c>
      <c r="E1358" s="704" t="s">
        <v>448</v>
      </c>
      <c r="F1358" s="705">
        <v>1.1286243131800254E-2</v>
      </c>
      <c r="G1358" s="705">
        <v>11.238999827008357</v>
      </c>
    </row>
    <row r="1359" spans="2:7" ht="11.25" hidden="1" customHeight="1" outlineLevel="2" x14ac:dyDescent="0.25">
      <c r="B1359" s="704" t="s">
        <v>677</v>
      </c>
      <c r="C1359" s="704" t="s">
        <v>760</v>
      </c>
      <c r="D1359" s="704" t="s">
        <v>675</v>
      </c>
      <c r="E1359" s="704" t="s">
        <v>448</v>
      </c>
      <c r="F1359" s="705">
        <v>0.18925189697909559</v>
      </c>
      <c r="G1359" s="705">
        <v>186.50937383735328</v>
      </c>
    </row>
    <row r="1360" spans="2:7" ht="11.25" hidden="1" customHeight="1" outlineLevel="2" x14ac:dyDescent="0.25">
      <c r="B1360" s="704" t="s">
        <v>678</v>
      </c>
      <c r="C1360" s="704" t="s">
        <v>760</v>
      </c>
      <c r="D1360" s="704" t="s">
        <v>675</v>
      </c>
      <c r="E1360" s="704" t="s">
        <v>448</v>
      </c>
      <c r="F1360" s="705">
        <v>0.43209866156461235</v>
      </c>
      <c r="G1360" s="705">
        <v>432.01425759697133</v>
      </c>
    </row>
    <row r="1361" spans="2:7" ht="11.25" hidden="1" customHeight="1" outlineLevel="2" x14ac:dyDescent="0.25">
      <c r="B1361" s="704" t="s">
        <v>679</v>
      </c>
      <c r="C1361" s="704" t="s">
        <v>760</v>
      </c>
      <c r="D1361" s="704" t="s">
        <v>675</v>
      </c>
      <c r="E1361" s="704" t="s">
        <v>448</v>
      </c>
      <c r="F1361" s="705">
        <v>3.4910440145241244E-2</v>
      </c>
      <c r="G1361" s="705">
        <v>35.058891667753549</v>
      </c>
    </row>
    <row r="1362" spans="2:7" ht="11.25" hidden="1" customHeight="1" outlineLevel="2" x14ac:dyDescent="0.25">
      <c r="B1362" s="704" t="s">
        <v>680</v>
      </c>
      <c r="C1362" s="704" t="s">
        <v>760</v>
      </c>
      <c r="D1362" s="704" t="s">
        <v>675</v>
      </c>
      <c r="E1362" s="704" t="s">
        <v>448</v>
      </c>
      <c r="F1362" s="705">
        <v>6.4620810116543543E-3</v>
      </c>
      <c r="G1362" s="705">
        <v>6.4980637039862694</v>
      </c>
    </row>
    <row r="1363" spans="2:7" ht="11.25" hidden="1" customHeight="1" outlineLevel="2" x14ac:dyDescent="0.25">
      <c r="B1363" s="704" t="s">
        <v>681</v>
      </c>
      <c r="C1363" s="704" t="s">
        <v>760</v>
      </c>
      <c r="D1363" s="704" t="s">
        <v>675</v>
      </c>
      <c r="E1363" s="704" t="s">
        <v>448</v>
      </c>
      <c r="F1363" s="705">
        <v>5.4819799500223101E-2</v>
      </c>
      <c r="G1363" s="705">
        <v>54.809101117093533</v>
      </c>
    </row>
    <row r="1364" spans="2:7" ht="11.25" hidden="1" customHeight="1" outlineLevel="2" x14ac:dyDescent="0.25">
      <c r="B1364" s="704" t="s">
        <v>682</v>
      </c>
      <c r="C1364" s="704" t="s">
        <v>760</v>
      </c>
      <c r="D1364" s="704" t="s">
        <v>675</v>
      </c>
      <c r="E1364" s="704" t="s">
        <v>448</v>
      </c>
      <c r="F1364" s="705">
        <v>4.8118997927598522E-2</v>
      </c>
      <c r="G1364" s="705">
        <v>48.113998625570822</v>
      </c>
    </row>
    <row r="1365" spans="2:7" ht="11.25" hidden="1" customHeight="1" outlineLevel="2" x14ac:dyDescent="0.25">
      <c r="B1365" s="704" t="s">
        <v>683</v>
      </c>
      <c r="C1365" s="704" t="s">
        <v>760</v>
      </c>
      <c r="D1365" s="704" t="s">
        <v>675</v>
      </c>
      <c r="E1365" s="704" t="s">
        <v>448</v>
      </c>
      <c r="F1365" s="705">
        <v>7.9567655962265241E-2</v>
      </c>
      <c r="G1365" s="705">
        <v>79.905997861474361</v>
      </c>
    </row>
    <row r="1366" spans="2:7" ht="11.25" hidden="1" customHeight="1" outlineLevel="2" x14ac:dyDescent="0.25">
      <c r="B1366" s="704" t="s">
        <v>684</v>
      </c>
      <c r="C1366" s="704" t="s">
        <v>760</v>
      </c>
      <c r="D1366" s="704" t="s">
        <v>675</v>
      </c>
      <c r="E1366" s="704" t="s">
        <v>448</v>
      </c>
      <c r="F1366" s="705">
        <v>1.0372338274581111E-2</v>
      </c>
      <c r="G1366" s="705">
        <v>10.430094043917002</v>
      </c>
    </row>
    <row r="1367" spans="2:7" ht="11.25" hidden="1" customHeight="1" outlineLevel="2" x14ac:dyDescent="0.25">
      <c r="B1367" s="704" t="s">
        <v>685</v>
      </c>
      <c r="C1367" s="704" t="s">
        <v>760</v>
      </c>
      <c r="D1367" s="704" t="s">
        <v>675</v>
      </c>
      <c r="E1367" s="704" t="s">
        <v>448</v>
      </c>
      <c r="F1367" s="705">
        <v>9.5488532887982466E-2</v>
      </c>
      <c r="G1367" s="705">
        <v>95.894613702032757</v>
      </c>
    </row>
    <row r="1368" spans="2:7" ht="11.25" hidden="1" customHeight="1" outlineLevel="2" x14ac:dyDescent="0.25">
      <c r="B1368" s="704" t="s">
        <v>686</v>
      </c>
      <c r="C1368" s="704" t="s">
        <v>760</v>
      </c>
      <c r="D1368" s="704" t="s">
        <v>675</v>
      </c>
      <c r="E1368" s="704" t="s">
        <v>448</v>
      </c>
      <c r="F1368" s="705">
        <v>2.2640437548126838E-2</v>
      </c>
      <c r="G1368" s="705">
        <v>22.545640257950499</v>
      </c>
    </row>
    <row r="1369" spans="2:7" ht="11.25" hidden="1" customHeight="1" outlineLevel="2" x14ac:dyDescent="0.25">
      <c r="B1369" s="704" t="s">
        <v>687</v>
      </c>
      <c r="C1369" s="704" t="s">
        <v>760</v>
      </c>
      <c r="D1369" s="704" t="s">
        <v>675</v>
      </c>
      <c r="E1369" s="704" t="s">
        <v>448</v>
      </c>
      <c r="F1369" s="705">
        <v>0.1155095778696419</v>
      </c>
      <c r="G1369" s="705">
        <v>115.48711905502971</v>
      </c>
    </row>
    <row r="1370" spans="2:7" ht="11.25" hidden="1" customHeight="1" outlineLevel="2" x14ac:dyDescent="0.25">
      <c r="B1370" s="704" t="s">
        <v>688</v>
      </c>
      <c r="C1370" s="704" t="s">
        <v>760</v>
      </c>
      <c r="D1370" s="704" t="s">
        <v>675</v>
      </c>
      <c r="E1370" s="704" t="s">
        <v>448</v>
      </c>
      <c r="F1370" s="705">
        <v>8.2911039314939025E-2</v>
      </c>
      <c r="G1370" s="705">
        <v>82.894866255710355</v>
      </c>
    </row>
    <row r="1371" spans="2:7" ht="11.25" hidden="1" customHeight="1" outlineLevel="2" x14ac:dyDescent="0.25">
      <c r="B1371" s="704" t="s">
        <v>689</v>
      </c>
      <c r="C1371" s="704" t="s">
        <v>760</v>
      </c>
      <c r="D1371" s="704" t="s">
        <v>675</v>
      </c>
      <c r="E1371" s="704" t="s">
        <v>448</v>
      </c>
      <c r="F1371" s="705">
        <v>1.2280498620997752E-2</v>
      </c>
      <c r="G1371" s="705">
        <v>12.255897990097637</v>
      </c>
    </row>
    <row r="1372" spans="2:7" ht="11.25" hidden="1" customHeight="1" outlineLevel="2" x14ac:dyDescent="0.25">
      <c r="B1372" s="704" t="s">
        <v>690</v>
      </c>
      <c r="C1372" s="704" t="s">
        <v>760</v>
      </c>
      <c r="D1372" s="704" t="s">
        <v>675</v>
      </c>
      <c r="E1372" s="704" t="s">
        <v>448</v>
      </c>
      <c r="F1372" s="705">
        <v>0.26869145911374259</v>
      </c>
      <c r="G1372" s="705">
        <v>269.83398430372574</v>
      </c>
    </row>
    <row r="1373" spans="2:7" ht="11.25" hidden="1" customHeight="1" outlineLevel="2" x14ac:dyDescent="0.25">
      <c r="B1373" s="704" t="s">
        <v>691</v>
      </c>
      <c r="C1373" s="704" t="s">
        <v>760</v>
      </c>
      <c r="D1373" s="704" t="s">
        <v>675</v>
      </c>
      <c r="E1373" s="704" t="s">
        <v>448</v>
      </c>
      <c r="F1373" s="705">
        <v>0.30685410671388086</v>
      </c>
      <c r="G1373" s="705">
        <v>308.15900092940763</v>
      </c>
    </row>
    <row r="1374" spans="2:7" ht="11.25" hidden="1" customHeight="1" outlineLevel="2" x14ac:dyDescent="0.25">
      <c r="B1374" s="704" t="s">
        <v>692</v>
      </c>
      <c r="C1374" s="704" t="s">
        <v>760</v>
      </c>
      <c r="D1374" s="704" t="s">
        <v>675</v>
      </c>
      <c r="E1374" s="704" t="s">
        <v>448</v>
      </c>
      <c r="F1374" s="705">
        <v>1.8023887461879308E-2</v>
      </c>
      <c r="G1374" s="705">
        <v>18.02036169880089</v>
      </c>
    </row>
    <row r="1375" spans="2:7" ht="11.25" hidden="1" customHeight="1" outlineLevel="2" x14ac:dyDescent="0.25">
      <c r="B1375" s="704" t="s">
        <v>693</v>
      </c>
      <c r="C1375" s="704" t="s">
        <v>760</v>
      </c>
      <c r="D1375" s="704" t="s">
        <v>675</v>
      </c>
      <c r="E1375" s="704" t="s">
        <v>448</v>
      </c>
      <c r="F1375" s="705">
        <v>4.4733322926005251E-2</v>
      </c>
      <c r="G1375" s="705">
        <v>44.982407973433411</v>
      </c>
    </row>
    <row r="1376" spans="2:7" ht="11.25" hidden="1" customHeight="1" outlineLevel="2" x14ac:dyDescent="0.25">
      <c r="B1376" s="704" t="s">
        <v>694</v>
      </c>
      <c r="C1376" s="704" t="s">
        <v>760</v>
      </c>
      <c r="D1376" s="704" t="s">
        <v>675</v>
      </c>
      <c r="E1376" s="704" t="s">
        <v>448</v>
      </c>
      <c r="F1376" s="705">
        <v>5.0151292132669641E-3</v>
      </c>
      <c r="G1376" s="705">
        <v>5.0430541812443321</v>
      </c>
    </row>
    <row r="1377" spans="2:7" ht="11.25" hidden="1" customHeight="1" outlineLevel="2" x14ac:dyDescent="0.25">
      <c r="B1377" s="704" t="s">
        <v>695</v>
      </c>
      <c r="C1377" s="704" t="s">
        <v>760</v>
      </c>
      <c r="D1377" s="704" t="s">
        <v>675</v>
      </c>
      <c r="E1377" s="704" t="s">
        <v>448</v>
      </c>
      <c r="F1377" s="706">
        <v>2.3788278695837134E-2</v>
      </c>
      <c r="G1377" s="705">
        <v>23.920730532378489</v>
      </c>
    </row>
    <row r="1378" spans="2:7" ht="11.25" hidden="1" customHeight="1" outlineLevel="2" x14ac:dyDescent="0.25">
      <c r="B1378" s="704" t="s">
        <v>696</v>
      </c>
      <c r="C1378" s="704" t="s">
        <v>760</v>
      </c>
      <c r="D1378" s="704" t="s">
        <v>675</v>
      </c>
      <c r="E1378" s="704" t="s">
        <v>448</v>
      </c>
      <c r="F1378" s="706">
        <v>6.0018232186042929E-2</v>
      </c>
      <c r="G1378" s="705">
        <v>59.766972301455908</v>
      </c>
    </row>
    <row r="1379" spans="2:7" ht="11.25" hidden="1" customHeight="1" outlineLevel="2" x14ac:dyDescent="0.25">
      <c r="B1379" s="704" t="s">
        <v>697</v>
      </c>
      <c r="C1379" s="704" t="s">
        <v>760</v>
      </c>
      <c r="D1379" s="704" t="s">
        <v>675</v>
      </c>
      <c r="E1379" s="704" t="s">
        <v>448</v>
      </c>
      <c r="F1379" s="706">
        <v>3.2519186615173369E-2</v>
      </c>
      <c r="G1379" s="705">
        <v>32.700249004442604</v>
      </c>
    </row>
    <row r="1380" spans="2:7" ht="11.25" hidden="1" customHeight="1" outlineLevel="2" x14ac:dyDescent="0.25">
      <c r="B1380" s="704" t="s">
        <v>698</v>
      </c>
      <c r="C1380" s="704" t="s">
        <v>760</v>
      </c>
      <c r="D1380" s="704" t="s">
        <v>675</v>
      </c>
      <c r="E1380" s="704" t="s">
        <v>448</v>
      </c>
      <c r="F1380" s="706">
        <v>3.5708910511080716E-2</v>
      </c>
      <c r="G1380" s="705">
        <v>35.907742648303085</v>
      </c>
    </row>
    <row r="1381" spans="2:7" ht="11.25" hidden="1" customHeight="1" outlineLevel="2" x14ac:dyDescent="0.25">
      <c r="B1381" s="704" t="s">
        <v>699</v>
      </c>
      <c r="C1381" s="704" t="s">
        <v>760</v>
      </c>
      <c r="D1381" s="704" t="s">
        <v>675</v>
      </c>
      <c r="E1381" s="704" t="s">
        <v>448</v>
      </c>
      <c r="F1381" s="706">
        <v>2.9121146972715174E-34</v>
      </c>
      <c r="G1381" s="705">
        <v>2.8715258328323827E-31</v>
      </c>
    </row>
    <row r="1382" spans="2:7" ht="11.25" hidden="1" customHeight="1" outlineLevel="2" x14ac:dyDescent="0.25">
      <c r="B1382" s="704" t="s">
        <v>673</v>
      </c>
      <c r="C1382" s="704" t="s">
        <v>761</v>
      </c>
      <c r="D1382" s="704" t="s">
        <v>675</v>
      </c>
      <c r="E1382" s="704" t="s">
        <v>448</v>
      </c>
      <c r="F1382" s="706">
        <v>5.3579418989565565E-4</v>
      </c>
      <c r="G1382" s="705">
        <v>0.89592460058893952</v>
      </c>
    </row>
    <row r="1383" spans="2:7" ht="11.25" hidden="1" customHeight="1" outlineLevel="2" x14ac:dyDescent="0.25">
      <c r="B1383" s="704" t="s">
        <v>677</v>
      </c>
      <c r="C1383" s="704" t="s">
        <v>761</v>
      </c>
      <c r="D1383" s="704" t="s">
        <v>675</v>
      </c>
      <c r="E1383" s="704" t="s">
        <v>448</v>
      </c>
      <c r="F1383" s="706">
        <v>8.9657674816854844E-3</v>
      </c>
      <c r="G1383" s="705">
        <v>14.867727178828478</v>
      </c>
    </row>
    <row r="1384" spans="2:7" ht="11.25" hidden="1" customHeight="1" outlineLevel="2" x14ac:dyDescent="0.25">
      <c r="B1384" s="704" t="s">
        <v>678</v>
      </c>
      <c r="C1384" s="704" t="s">
        <v>761</v>
      </c>
      <c r="D1384" s="704" t="s">
        <v>675</v>
      </c>
      <c r="E1384" s="704" t="s">
        <v>448</v>
      </c>
      <c r="F1384" s="706">
        <v>2.0529574193766002E-2</v>
      </c>
      <c r="G1384" s="705">
        <v>34.438326263909723</v>
      </c>
    </row>
    <row r="1385" spans="2:7" ht="11.25" hidden="1" customHeight="1" outlineLevel="2" x14ac:dyDescent="0.25">
      <c r="B1385" s="704" t="s">
        <v>679</v>
      </c>
      <c r="C1385" s="704" t="s">
        <v>761</v>
      </c>
      <c r="D1385" s="704" t="s">
        <v>675</v>
      </c>
      <c r="E1385" s="704" t="s">
        <v>448</v>
      </c>
      <c r="F1385" s="706">
        <v>1.6601234578053569E-3</v>
      </c>
      <c r="G1385" s="705">
        <v>2.7947439666220744</v>
      </c>
    </row>
    <row r="1386" spans="2:7" ht="11.25" hidden="1" customHeight="1" outlineLevel="2" x14ac:dyDescent="0.25">
      <c r="B1386" s="704" t="s">
        <v>680</v>
      </c>
      <c r="C1386" s="704" t="s">
        <v>761</v>
      </c>
      <c r="D1386" s="704" t="s">
        <v>675</v>
      </c>
      <c r="E1386" s="704" t="s">
        <v>448</v>
      </c>
      <c r="F1386" s="706">
        <v>3.0737755000439295E-4</v>
      </c>
      <c r="G1386" s="705">
        <v>0.51799775422733041</v>
      </c>
    </row>
    <row r="1387" spans="2:7" ht="11.25" hidden="1" customHeight="1" outlineLevel="2" x14ac:dyDescent="0.25">
      <c r="B1387" s="704" t="s">
        <v>681</v>
      </c>
      <c r="C1387" s="704" t="s">
        <v>761</v>
      </c>
      <c r="D1387" s="704" t="s">
        <v>675</v>
      </c>
      <c r="E1387" s="704" t="s">
        <v>448</v>
      </c>
      <c r="F1387" s="706">
        <v>2.6045611025575423E-3</v>
      </c>
      <c r="G1387" s="705">
        <v>4.3691479688194024</v>
      </c>
    </row>
    <row r="1388" spans="2:7" ht="11.25" hidden="1" customHeight="1" outlineLevel="2" x14ac:dyDescent="0.25">
      <c r="B1388" s="704" t="s">
        <v>682</v>
      </c>
      <c r="C1388" s="704" t="s">
        <v>761</v>
      </c>
      <c r="D1388" s="704" t="s">
        <v>675</v>
      </c>
      <c r="E1388" s="704" t="s">
        <v>448</v>
      </c>
      <c r="F1388" s="706">
        <v>2.2862390492979934E-3</v>
      </c>
      <c r="G1388" s="705">
        <v>3.8354411658239922</v>
      </c>
    </row>
    <row r="1389" spans="2:7" ht="11.25" hidden="1" customHeight="1" outlineLevel="2" x14ac:dyDescent="0.25">
      <c r="B1389" s="704" t="s">
        <v>683</v>
      </c>
      <c r="C1389" s="704" t="s">
        <v>761</v>
      </c>
      <c r="D1389" s="704" t="s">
        <v>675</v>
      </c>
      <c r="E1389" s="704" t="s">
        <v>448</v>
      </c>
      <c r="F1389" s="706">
        <v>3.7837429430160824E-3</v>
      </c>
      <c r="G1389" s="705">
        <v>6.3697631192732587</v>
      </c>
    </row>
    <row r="1390" spans="2:7" ht="11.25" hidden="1" customHeight="1" outlineLevel="2" x14ac:dyDescent="0.25">
      <c r="B1390" s="704" t="s">
        <v>684</v>
      </c>
      <c r="C1390" s="704" t="s">
        <v>761</v>
      </c>
      <c r="D1390" s="704" t="s">
        <v>675</v>
      </c>
      <c r="E1390" s="704" t="s">
        <v>448</v>
      </c>
      <c r="F1390" s="706">
        <v>4.9337425256974743E-4</v>
      </c>
      <c r="G1390" s="705">
        <v>0.83144255785814802</v>
      </c>
    </row>
    <row r="1391" spans="2:7" ht="11.25" hidden="1" customHeight="1" outlineLevel="2" x14ac:dyDescent="0.25">
      <c r="B1391" s="704" t="s">
        <v>685</v>
      </c>
      <c r="C1391" s="704" t="s">
        <v>761</v>
      </c>
      <c r="D1391" s="704" t="s">
        <v>675</v>
      </c>
      <c r="E1391" s="704" t="s">
        <v>448</v>
      </c>
      <c r="F1391" s="706">
        <v>4.5408403373922261E-3</v>
      </c>
      <c r="G1391" s="705">
        <v>7.6443069678658704</v>
      </c>
    </row>
    <row r="1392" spans="2:7" ht="11.25" hidden="1" customHeight="1" outlineLevel="2" x14ac:dyDescent="0.25">
      <c r="B1392" s="704" t="s">
        <v>686</v>
      </c>
      <c r="C1392" s="704" t="s">
        <v>761</v>
      </c>
      <c r="D1392" s="704" t="s">
        <v>675</v>
      </c>
      <c r="E1392" s="704" t="s">
        <v>448</v>
      </c>
      <c r="F1392" s="706">
        <v>1.0748136184895712E-3</v>
      </c>
      <c r="G1392" s="705">
        <v>1.7972425642460244</v>
      </c>
    </row>
    <row r="1393" spans="2:7" ht="11.25" hidden="1" customHeight="1" outlineLevel="2" x14ac:dyDescent="0.25">
      <c r="B1393" s="704" t="s">
        <v>687</v>
      </c>
      <c r="C1393" s="704" t="s">
        <v>761</v>
      </c>
      <c r="D1393" s="704" t="s">
        <v>675</v>
      </c>
      <c r="E1393" s="704" t="s">
        <v>448</v>
      </c>
      <c r="F1393" s="706">
        <v>5.4880132209896033E-3</v>
      </c>
      <c r="G1393" s="705">
        <v>9.2061378740414863</v>
      </c>
    </row>
    <row r="1394" spans="2:7" ht="11.25" hidden="1" customHeight="1" outlineLevel="2" x14ac:dyDescent="0.25">
      <c r="B1394" s="704" t="s">
        <v>688</v>
      </c>
      <c r="C1394" s="704" t="s">
        <v>761</v>
      </c>
      <c r="D1394" s="704" t="s">
        <v>675</v>
      </c>
      <c r="E1394" s="704" t="s">
        <v>448</v>
      </c>
      <c r="F1394" s="706">
        <v>3.9392111619041201E-3</v>
      </c>
      <c r="G1394" s="705">
        <v>6.608024508841785</v>
      </c>
    </row>
    <row r="1395" spans="2:7" ht="11.25" hidden="1" customHeight="1" outlineLevel="2" x14ac:dyDescent="0.25">
      <c r="B1395" s="704" t="s">
        <v>689</v>
      </c>
      <c r="C1395" s="704" t="s">
        <v>761</v>
      </c>
      <c r="D1395" s="704" t="s">
        <v>675</v>
      </c>
      <c r="E1395" s="704" t="s">
        <v>448</v>
      </c>
      <c r="F1395" s="706">
        <v>5.8325073242064193E-4</v>
      </c>
      <c r="G1395" s="705">
        <v>0.97698764034384544</v>
      </c>
    </row>
    <row r="1396" spans="2:7" ht="11.25" hidden="1" customHeight="1" outlineLevel="2" x14ac:dyDescent="0.25">
      <c r="B1396" s="704" t="s">
        <v>690</v>
      </c>
      <c r="C1396" s="704" t="s">
        <v>761</v>
      </c>
      <c r="D1396" s="704" t="s">
        <v>675</v>
      </c>
      <c r="E1396" s="704" t="s">
        <v>448</v>
      </c>
      <c r="F1396" s="706">
        <v>1.2777293230573443E-2</v>
      </c>
      <c r="G1396" s="705">
        <v>21.510008590714001</v>
      </c>
    </row>
    <row r="1397" spans="2:7" ht="11.25" hidden="1" customHeight="1" outlineLevel="2" x14ac:dyDescent="0.25">
      <c r="B1397" s="704" t="s">
        <v>691</v>
      </c>
      <c r="C1397" s="704" t="s">
        <v>761</v>
      </c>
      <c r="D1397" s="704" t="s">
        <v>675</v>
      </c>
      <c r="E1397" s="704" t="s">
        <v>448</v>
      </c>
      <c r="F1397" s="706">
        <v>1.4592072382607756E-2</v>
      </c>
      <c r="G1397" s="705">
        <v>24.565110961894387</v>
      </c>
    </row>
    <row r="1398" spans="2:7" ht="11.25" hidden="1" customHeight="1" outlineLevel="2" x14ac:dyDescent="0.25">
      <c r="B1398" s="704" t="s">
        <v>692</v>
      </c>
      <c r="C1398" s="704" t="s">
        <v>761</v>
      </c>
      <c r="D1398" s="704" t="s">
        <v>675</v>
      </c>
      <c r="E1398" s="704" t="s">
        <v>448</v>
      </c>
      <c r="F1398" s="706">
        <v>8.5633817005928913E-4</v>
      </c>
      <c r="G1398" s="705">
        <v>1.436506758695151</v>
      </c>
    </row>
    <row r="1399" spans="2:7" ht="11.25" hidden="1" customHeight="1" outlineLevel="2" x14ac:dyDescent="0.25">
      <c r="B1399" s="704" t="s">
        <v>693</v>
      </c>
      <c r="C1399" s="704" t="s">
        <v>761</v>
      </c>
      <c r="D1399" s="704" t="s">
        <v>675</v>
      </c>
      <c r="E1399" s="704" t="s">
        <v>448</v>
      </c>
      <c r="F1399" s="706">
        <v>2.1278003550200754E-3</v>
      </c>
      <c r="G1399" s="705">
        <v>3.5858058765410328</v>
      </c>
    </row>
    <row r="1400" spans="2:7" ht="11.25" hidden="1" customHeight="1" outlineLevel="2" x14ac:dyDescent="0.25">
      <c r="B1400" s="704" t="s">
        <v>694</v>
      </c>
      <c r="C1400" s="704" t="s">
        <v>761</v>
      </c>
      <c r="D1400" s="704" t="s">
        <v>675</v>
      </c>
      <c r="E1400" s="704" t="s">
        <v>448</v>
      </c>
      <c r="F1400" s="706">
        <v>2.3855140989362164E-4</v>
      </c>
      <c r="G1400" s="705">
        <v>0.40201071551313672</v>
      </c>
    </row>
    <row r="1401" spans="2:7" ht="11.25" hidden="1" customHeight="1" outlineLevel="2" x14ac:dyDescent="0.25">
      <c r="B1401" s="704" t="s">
        <v>695</v>
      </c>
      <c r="C1401" s="704" t="s">
        <v>761</v>
      </c>
      <c r="D1401" s="704" t="s">
        <v>675</v>
      </c>
      <c r="E1401" s="704" t="s">
        <v>448</v>
      </c>
      <c r="F1401" s="706">
        <v>1.1315211996235726E-3</v>
      </c>
      <c r="G1401" s="705">
        <v>1.9068587562907453</v>
      </c>
    </row>
    <row r="1402" spans="2:7" ht="11.25" hidden="1" customHeight="1" outlineLevel="2" x14ac:dyDescent="0.25">
      <c r="B1402" s="704" t="s">
        <v>696</v>
      </c>
      <c r="C1402" s="704" t="s">
        <v>761</v>
      </c>
      <c r="D1402" s="704" t="s">
        <v>675</v>
      </c>
      <c r="E1402" s="704" t="s">
        <v>448</v>
      </c>
      <c r="F1402" s="705">
        <v>2.8492562514666683E-3</v>
      </c>
      <c r="G1402" s="705">
        <v>4.7643667420282796</v>
      </c>
    </row>
    <row r="1403" spans="2:7" ht="11.25" hidden="1" customHeight="1" outlineLevel="2" x14ac:dyDescent="0.25">
      <c r="B1403" s="704" t="s">
        <v>697</v>
      </c>
      <c r="C1403" s="704" t="s">
        <v>761</v>
      </c>
      <c r="D1403" s="704" t="s">
        <v>675</v>
      </c>
      <c r="E1403" s="704" t="s">
        <v>448</v>
      </c>
      <c r="F1403" s="705">
        <v>1.5468187114101122E-3</v>
      </c>
      <c r="G1403" s="705">
        <v>2.6067245892415558</v>
      </c>
    </row>
    <row r="1404" spans="2:7" ht="11.25" hidden="1" customHeight="1" outlineLevel="2" x14ac:dyDescent="0.25">
      <c r="B1404" s="704" t="s">
        <v>698</v>
      </c>
      <c r="C1404" s="704" t="s">
        <v>761</v>
      </c>
      <c r="D1404" s="704" t="s">
        <v>675</v>
      </c>
      <c r="E1404" s="704" t="s">
        <v>448</v>
      </c>
      <c r="F1404" s="705">
        <v>1.698542516892713E-3</v>
      </c>
      <c r="G1404" s="705">
        <v>2.8624113327232807</v>
      </c>
    </row>
    <row r="1405" spans="2:7" ht="11.25" hidden="1" customHeight="1" outlineLevel="2" x14ac:dyDescent="0.25">
      <c r="B1405" s="704" t="s">
        <v>699</v>
      </c>
      <c r="C1405" s="704" t="s">
        <v>761</v>
      </c>
      <c r="D1405" s="704" t="s">
        <v>675</v>
      </c>
      <c r="E1405" s="704" t="s">
        <v>448</v>
      </c>
      <c r="F1405" s="705">
        <v>4.7006865638535548E-34</v>
      </c>
      <c r="G1405" s="705">
        <v>8.1534945445003144E-31</v>
      </c>
    </row>
    <row r="1406" spans="2:7" ht="11.25" hidden="1" customHeight="1" outlineLevel="2" x14ac:dyDescent="0.25">
      <c r="B1406" s="704" t="s">
        <v>673</v>
      </c>
      <c r="C1406" s="704" t="s">
        <v>762</v>
      </c>
      <c r="D1406" s="704" t="s">
        <v>675</v>
      </c>
      <c r="E1406" s="704" t="s">
        <v>448</v>
      </c>
      <c r="F1406" s="705">
        <v>1.0904831015834803E-3</v>
      </c>
      <c r="G1406" s="705">
        <v>1.5191642571694584</v>
      </c>
    </row>
    <row r="1407" spans="2:7" ht="11.25" hidden="1" customHeight="1" outlineLevel="2" x14ac:dyDescent="0.25">
      <c r="B1407" s="704" t="s">
        <v>677</v>
      </c>
      <c r="C1407" s="704" t="s">
        <v>762</v>
      </c>
      <c r="D1407" s="704" t="s">
        <v>675</v>
      </c>
      <c r="E1407" s="704" t="s">
        <v>448</v>
      </c>
      <c r="F1407" s="705">
        <v>1.8283270945554573E-2</v>
      </c>
      <c r="G1407" s="705">
        <v>25.210291456756615</v>
      </c>
    </row>
    <row r="1408" spans="2:7" ht="11.25" hidden="1" customHeight="1" outlineLevel="2" x14ac:dyDescent="0.25">
      <c r="B1408" s="704" t="s">
        <v>678</v>
      </c>
      <c r="C1408" s="704" t="s">
        <v>762</v>
      </c>
      <c r="D1408" s="704" t="s">
        <v>675</v>
      </c>
      <c r="E1408" s="704" t="s">
        <v>448</v>
      </c>
      <c r="F1408" s="705">
        <v>4.1751652859715695E-2</v>
      </c>
      <c r="G1408" s="705">
        <v>58.394976504337286</v>
      </c>
    </row>
    <row r="1409" spans="2:7" ht="11.25" hidden="1" customHeight="1" outlineLevel="2" x14ac:dyDescent="0.25">
      <c r="B1409" s="704" t="s">
        <v>679</v>
      </c>
      <c r="C1409" s="704" t="s">
        <v>762</v>
      </c>
      <c r="D1409" s="704" t="s">
        <v>675</v>
      </c>
      <c r="E1409" s="704" t="s">
        <v>448</v>
      </c>
      <c r="F1409" s="705">
        <v>3.3734167622716969E-3</v>
      </c>
      <c r="G1409" s="705">
        <v>4.7388761966074799</v>
      </c>
    </row>
    <row r="1410" spans="2:7" ht="11.25" hidden="1" customHeight="1" outlineLevel="2" x14ac:dyDescent="0.25">
      <c r="B1410" s="704" t="s">
        <v>680</v>
      </c>
      <c r="C1410" s="704" t="s">
        <v>762</v>
      </c>
      <c r="D1410" s="704" t="s">
        <v>675</v>
      </c>
      <c r="E1410" s="704" t="s">
        <v>448</v>
      </c>
      <c r="F1410" s="705">
        <v>6.2444517856340446E-4</v>
      </c>
      <c r="G1410" s="705">
        <v>0.8783373305359492</v>
      </c>
    </row>
    <row r="1411" spans="2:7" ht="11.25" hidden="1" customHeight="1" outlineLevel="2" x14ac:dyDescent="0.25">
      <c r="B1411" s="704" t="s">
        <v>681</v>
      </c>
      <c r="C1411" s="704" t="s">
        <v>762</v>
      </c>
      <c r="D1411" s="704" t="s">
        <v>675</v>
      </c>
      <c r="E1411" s="704" t="s">
        <v>448</v>
      </c>
      <c r="F1411" s="705">
        <v>5.296978263082181E-3</v>
      </c>
      <c r="G1411" s="705">
        <v>7.4085007171411013</v>
      </c>
    </row>
    <row r="1412" spans="2:7" ht="11.25" hidden="1" customHeight="1" outlineLevel="2" x14ac:dyDescent="0.25">
      <c r="B1412" s="704" t="s">
        <v>682</v>
      </c>
      <c r="C1412" s="704" t="s">
        <v>762</v>
      </c>
      <c r="D1412" s="704" t="s">
        <v>675</v>
      </c>
      <c r="E1412" s="704" t="s">
        <v>448</v>
      </c>
      <c r="F1412" s="705">
        <v>4.7283028008247175E-3</v>
      </c>
      <c r="G1412" s="705">
        <v>6.610965881657429</v>
      </c>
    </row>
    <row r="1413" spans="2:7" ht="11.25" hidden="1" customHeight="1" outlineLevel="2" x14ac:dyDescent="0.25">
      <c r="B1413" s="704" t="s">
        <v>683</v>
      </c>
      <c r="C1413" s="704" t="s">
        <v>762</v>
      </c>
      <c r="D1413" s="704" t="s">
        <v>675</v>
      </c>
      <c r="E1413" s="704" t="s">
        <v>448</v>
      </c>
      <c r="F1413" s="705">
        <v>7.6886721267976571E-3</v>
      </c>
      <c r="G1413" s="705">
        <v>10.800822003592536</v>
      </c>
    </row>
    <row r="1414" spans="2:7" ht="11.25" hidden="1" customHeight="1" outlineLevel="2" x14ac:dyDescent="0.25">
      <c r="B1414" s="704" t="s">
        <v>684</v>
      </c>
      <c r="C1414" s="704" t="s">
        <v>762</v>
      </c>
      <c r="D1414" s="704" t="s">
        <v>675</v>
      </c>
      <c r="E1414" s="704" t="s">
        <v>448</v>
      </c>
      <c r="F1414" s="705">
        <v>1.0023021527877714E-3</v>
      </c>
      <c r="G1414" s="705">
        <v>1.4098264359678729</v>
      </c>
    </row>
    <row r="1415" spans="2:7" ht="11.25" hidden="1" customHeight="1" outlineLevel="2" x14ac:dyDescent="0.25">
      <c r="B1415" s="704" t="s">
        <v>685</v>
      </c>
      <c r="C1415" s="704" t="s">
        <v>762</v>
      </c>
      <c r="D1415" s="704" t="s">
        <v>675</v>
      </c>
      <c r="E1415" s="704" t="s">
        <v>448</v>
      </c>
      <c r="F1415" s="705">
        <v>9.2271153617651605E-3</v>
      </c>
      <c r="G1415" s="705">
        <v>12.96198031772764</v>
      </c>
    </row>
    <row r="1416" spans="2:7" ht="11.25" hidden="1" customHeight="1" outlineLevel="2" x14ac:dyDescent="0.25">
      <c r="B1416" s="704" t="s">
        <v>686</v>
      </c>
      <c r="C1416" s="704" t="s">
        <v>762</v>
      </c>
      <c r="D1416" s="704" t="s">
        <v>675</v>
      </c>
      <c r="E1416" s="704" t="s">
        <v>448</v>
      </c>
      <c r="F1416" s="705">
        <v>2.1875304683466519E-3</v>
      </c>
      <c r="G1416" s="705">
        <v>3.0474743407191718</v>
      </c>
    </row>
    <row r="1417" spans="2:7" ht="11.25" hidden="1" customHeight="1" outlineLevel="2" x14ac:dyDescent="0.25">
      <c r="B1417" s="704" t="s">
        <v>687</v>
      </c>
      <c r="C1417" s="704" t="s">
        <v>762</v>
      </c>
      <c r="D1417" s="704" t="s">
        <v>675</v>
      </c>
      <c r="E1417" s="704" t="s">
        <v>448</v>
      </c>
      <c r="F1417" s="705">
        <v>1.1161146858374897E-2</v>
      </c>
      <c r="G1417" s="705">
        <v>15.610280952334666</v>
      </c>
    </row>
    <row r="1418" spans="2:7" ht="11.25" hidden="1" customHeight="1" outlineLevel="2" x14ac:dyDescent="0.25">
      <c r="B1418" s="704" t="s">
        <v>688</v>
      </c>
      <c r="C1418" s="704" t="s">
        <v>762</v>
      </c>
      <c r="D1418" s="704" t="s">
        <v>675</v>
      </c>
      <c r="E1418" s="704" t="s">
        <v>448</v>
      </c>
      <c r="F1418" s="705">
        <v>8.0113033315182876E-3</v>
      </c>
      <c r="G1418" s="705">
        <v>11.204820651015494</v>
      </c>
    </row>
    <row r="1419" spans="2:7" ht="11.25" hidden="1" customHeight="1" outlineLevel="2" x14ac:dyDescent="0.25">
      <c r="B1419" s="704" t="s">
        <v>689</v>
      </c>
      <c r="C1419" s="704" t="s">
        <v>762</v>
      </c>
      <c r="D1419" s="704" t="s">
        <v>675</v>
      </c>
      <c r="E1419" s="704" t="s">
        <v>448</v>
      </c>
      <c r="F1419" s="705">
        <v>1.1865804259119871E-3</v>
      </c>
      <c r="G1419" s="705">
        <v>1.6566182825901814</v>
      </c>
    </row>
    <row r="1420" spans="2:7" ht="11.25" hidden="1" customHeight="1" outlineLevel="2" x14ac:dyDescent="0.25">
      <c r="B1420" s="704" t="s">
        <v>690</v>
      </c>
      <c r="C1420" s="704" t="s">
        <v>762</v>
      </c>
      <c r="D1420" s="704" t="s">
        <v>675</v>
      </c>
      <c r="E1420" s="704" t="s">
        <v>448</v>
      </c>
      <c r="F1420" s="705">
        <v>2.5963824402120968E-2</v>
      </c>
      <c r="G1420" s="705">
        <v>36.473206045987119</v>
      </c>
    </row>
    <row r="1421" spans="2:7" ht="11.25" hidden="1" customHeight="1" outlineLevel="2" x14ac:dyDescent="0.25">
      <c r="B1421" s="704" t="s">
        <v>691</v>
      </c>
      <c r="C1421" s="704" t="s">
        <v>762</v>
      </c>
      <c r="D1421" s="704" t="s">
        <v>675</v>
      </c>
      <c r="E1421" s="704" t="s">
        <v>448</v>
      </c>
      <c r="F1421" s="705">
        <v>2.9651512352541268E-2</v>
      </c>
      <c r="G1421" s="705">
        <v>41.6535575811968</v>
      </c>
    </row>
    <row r="1422" spans="2:7" ht="11.25" hidden="1" customHeight="1" outlineLevel="2" x14ac:dyDescent="0.25">
      <c r="B1422" s="704" t="s">
        <v>692</v>
      </c>
      <c r="C1422" s="704" t="s">
        <v>762</v>
      </c>
      <c r="D1422" s="704" t="s">
        <v>675</v>
      </c>
      <c r="E1422" s="704" t="s">
        <v>448</v>
      </c>
      <c r="F1422" s="706">
        <v>1.7415631602668662E-3</v>
      </c>
      <c r="G1422" s="705">
        <v>2.4357952855144025</v>
      </c>
    </row>
    <row r="1423" spans="2:7" ht="11.25" hidden="1" customHeight="1" outlineLevel="2" x14ac:dyDescent="0.25">
      <c r="B1423" s="704" t="s">
        <v>693</v>
      </c>
      <c r="C1423" s="704" t="s">
        <v>762</v>
      </c>
      <c r="D1423" s="704" t="s">
        <v>675</v>
      </c>
      <c r="E1423" s="704" t="s">
        <v>448</v>
      </c>
      <c r="F1423" s="706">
        <v>4.322679215563432E-3</v>
      </c>
      <c r="G1423" s="705">
        <v>6.0802321544497824</v>
      </c>
    </row>
    <row r="1424" spans="2:7" ht="11.25" hidden="1" customHeight="1" outlineLevel="2" x14ac:dyDescent="0.25">
      <c r="B1424" s="704" t="s">
        <v>694</v>
      </c>
      <c r="C1424" s="704" t="s">
        <v>762</v>
      </c>
      <c r="D1424" s="704" t="s">
        <v>675</v>
      </c>
      <c r="E1424" s="704" t="s">
        <v>448</v>
      </c>
      <c r="F1424" s="706">
        <v>4.8462311995913426E-4</v>
      </c>
      <c r="G1424" s="705">
        <v>0.68166518477247351</v>
      </c>
    </row>
    <row r="1425" spans="2:7" ht="11.25" hidden="1" customHeight="1" outlineLevel="2" x14ac:dyDescent="0.25">
      <c r="B1425" s="704" t="s">
        <v>695</v>
      </c>
      <c r="C1425" s="704" t="s">
        <v>762</v>
      </c>
      <c r="D1425" s="704" t="s">
        <v>675</v>
      </c>
      <c r="E1425" s="704" t="s">
        <v>448</v>
      </c>
      <c r="F1425" s="706">
        <v>2.2987132387022593E-3</v>
      </c>
      <c r="G1425" s="705">
        <v>3.2333434839988184</v>
      </c>
    </row>
    <row r="1426" spans="2:7" ht="11.25" hidden="1" customHeight="1" outlineLevel="2" x14ac:dyDescent="0.25">
      <c r="B1426" s="704" t="s">
        <v>696</v>
      </c>
      <c r="C1426" s="704" t="s">
        <v>762</v>
      </c>
      <c r="D1426" s="704" t="s">
        <v>675</v>
      </c>
      <c r="E1426" s="704" t="s">
        <v>448</v>
      </c>
      <c r="F1426" s="706">
        <v>5.7989919603569631E-3</v>
      </c>
      <c r="G1426" s="705">
        <v>8.078641449104218</v>
      </c>
    </row>
    <row r="1427" spans="2:7" ht="11.25" hidden="1" customHeight="1" outlineLevel="2" x14ac:dyDescent="0.25">
      <c r="B1427" s="704" t="s">
        <v>697</v>
      </c>
      <c r="C1427" s="704" t="s">
        <v>762</v>
      </c>
      <c r="D1427" s="704" t="s">
        <v>675</v>
      </c>
      <c r="E1427" s="704" t="s">
        <v>448</v>
      </c>
      <c r="F1427" s="706">
        <v>3.1424009511798732E-3</v>
      </c>
      <c r="G1427" s="705">
        <v>4.420062778896849</v>
      </c>
    </row>
    <row r="1428" spans="2:7" ht="11.25" hidden="1" customHeight="1" outlineLevel="2" x14ac:dyDescent="0.25">
      <c r="B1428" s="704" t="s">
        <v>698</v>
      </c>
      <c r="C1428" s="704" t="s">
        <v>762</v>
      </c>
      <c r="D1428" s="704" t="s">
        <v>675</v>
      </c>
      <c r="E1428" s="704" t="s">
        <v>448</v>
      </c>
      <c r="F1428" s="706">
        <v>3.4506305354439931E-3</v>
      </c>
      <c r="G1428" s="705">
        <v>4.8536161518622247</v>
      </c>
    </row>
    <row r="1429" spans="2:7" ht="11.25" hidden="1" customHeight="1" outlineLevel="2" x14ac:dyDescent="0.25">
      <c r="B1429" s="704" t="s">
        <v>699</v>
      </c>
      <c r="C1429" s="704" t="s">
        <v>762</v>
      </c>
      <c r="D1429" s="704" t="s">
        <v>675</v>
      </c>
      <c r="E1429" s="704" t="s">
        <v>448</v>
      </c>
      <c r="F1429" s="705">
        <v>3.8613429593165804E-34</v>
      </c>
      <c r="G1429" s="705">
        <v>7.0591480651042828E-31</v>
      </c>
    </row>
    <row r="1430" spans="2:7" ht="11.25" hidden="1" customHeight="1" outlineLevel="2" x14ac:dyDescent="0.25">
      <c r="B1430" s="704" t="s">
        <v>673</v>
      </c>
      <c r="C1430" s="704" t="s">
        <v>763</v>
      </c>
      <c r="D1430" s="704" t="s">
        <v>675</v>
      </c>
      <c r="E1430" s="704" t="s">
        <v>448</v>
      </c>
      <c r="F1430" s="705">
        <v>4.8405765105927602E-4</v>
      </c>
      <c r="G1430" s="705">
        <v>1.3613086046352181</v>
      </c>
    </row>
    <row r="1431" spans="2:7" ht="11.25" hidden="1" customHeight="1" outlineLevel="2" x14ac:dyDescent="0.25">
      <c r="B1431" s="704" t="s">
        <v>677</v>
      </c>
      <c r="C1431" s="704" t="s">
        <v>763</v>
      </c>
      <c r="D1431" s="704" t="s">
        <v>675</v>
      </c>
      <c r="E1431" s="704" t="s">
        <v>448</v>
      </c>
      <c r="F1431" s="705">
        <v>8.100496467256536E-3</v>
      </c>
      <c r="G1431" s="705">
        <v>22.590694558193594</v>
      </c>
    </row>
    <row r="1432" spans="2:7" ht="11.25" hidden="1" customHeight="1" outlineLevel="2" x14ac:dyDescent="0.25">
      <c r="B1432" s="704" t="s">
        <v>678</v>
      </c>
      <c r="C1432" s="704" t="s">
        <v>763</v>
      </c>
      <c r="D1432" s="704" t="s">
        <v>675</v>
      </c>
      <c r="E1432" s="704" t="s">
        <v>448</v>
      </c>
      <c r="F1432" s="705">
        <v>1.8546819783719328E-2</v>
      </c>
      <c r="G1432" s="705">
        <v>52.327155507770854</v>
      </c>
    </row>
    <row r="1433" spans="2:7" ht="11.25" hidden="1" customHeight="1" outlineLevel="2" x14ac:dyDescent="0.25">
      <c r="B1433" s="704" t="s">
        <v>679</v>
      </c>
      <c r="C1433" s="704" t="s">
        <v>763</v>
      </c>
      <c r="D1433" s="704" t="s">
        <v>675</v>
      </c>
      <c r="E1433" s="704" t="s">
        <v>448</v>
      </c>
      <c r="F1433" s="705">
        <v>1.4997508572044053E-3</v>
      </c>
      <c r="G1433" s="705">
        <v>4.246461301507126</v>
      </c>
    </row>
    <row r="1434" spans="2:7" ht="11.25" hidden="1" customHeight="1" outlineLevel="2" x14ac:dyDescent="0.25">
      <c r="B1434" s="704" t="s">
        <v>680</v>
      </c>
      <c r="C1434" s="704" t="s">
        <v>763</v>
      </c>
      <c r="D1434" s="704" t="s">
        <v>675</v>
      </c>
      <c r="E1434" s="704" t="s">
        <v>448</v>
      </c>
      <c r="F1434" s="705">
        <v>2.7768206507384227E-4</v>
      </c>
      <c r="G1434" s="705">
        <v>0.78706957409165701</v>
      </c>
    </row>
    <row r="1435" spans="2:7" ht="11.25" hidden="1" customHeight="1" outlineLevel="2" x14ac:dyDescent="0.25">
      <c r="B1435" s="704" t="s">
        <v>681</v>
      </c>
      <c r="C1435" s="704" t="s">
        <v>763</v>
      </c>
      <c r="D1435" s="704" t="s">
        <v>675</v>
      </c>
      <c r="E1435" s="704" t="s">
        <v>448</v>
      </c>
      <c r="F1435" s="705">
        <v>2.3530115002435743E-3</v>
      </c>
      <c r="G1435" s="705">
        <v>6.6386846525838967</v>
      </c>
    </row>
    <row r="1436" spans="2:7" ht="11.25" hidden="1" customHeight="1" outlineLevel="2" x14ac:dyDescent="0.25">
      <c r="B1436" s="704" t="s">
        <v>682</v>
      </c>
      <c r="C1436" s="704" t="s">
        <v>763</v>
      </c>
      <c r="D1436" s="704" t="s">
        <v>675</v>
      </c>
      <c r="E1436" s="704" t="s">
        <v>448</v>
      </c>
      <c r="F1436" s="705">
        <v>2.0654320688585212E-3</v>
      </c>
      <c r="G1436" s="705">
        <v>5.8277443009287921</v>
      </c>
    </row>
    <row r="1437" spans="2:7" ht="11.25" hidden="1" customHeight="1" outlineLevel="2" x14ac:dyDescent="0.25">
      <c r="B1437" s="704" t="s">
        <v>683</v>
      </c>
      <c r="C1437" s="704" t="s">
        <v>763</v>
      </c>
      <c r="D1437" s="704" t="s">
        <v>675</v>
      </c>
      <c r="E1437" s="704" t="s">
        <v>448</v>
      </c>
      <c r="F1437" s="705">
        <v>3.4182223827060113E-3</v>
      </c>
      <c r="G1437" s="705">
        <v>9.6785086683750379</v>
      </c>
    </row>
    <row r="1438" spans="2:7" ht="11.25" hidden="1" customHeight="1" outlineLevel="2" x14ac:dyDescent="0.25">
      <c r="B1438" s="704" t="s">
        <v>684</v>
      </c>
      <c r="C1438" s="704" t="s">
        <v>763</v>
      </c>
      <c r="D1438" s="704" t="s">
        <v>675</v>
      </c>
      <c r="E1438" s="704" t="s">
        <v>448</v>
      </c>
      <c r="F1438" s="705">
        <v>4.4570980062055236E-4</v>
      </c>
      <c r="G1438" s="705">
        <v>1.2633311126752076</v>
      </c>
    </row>
    <row r="1439" spans="2:7" ht="11.25" hidden="1" customHeight="1" outlineLevel="2" x14ac:dyDescent="0.25">
      <c r="B1439" s="704" t="s">
        <v>685</v>
      </c>
      <c r="C1439" s="704" t="s">
        <v>763</v>
      </c>
      <c r="D1439" s="704" t="s">
        <v>675</v>
      </c>
      <c r="E1439" s="704" t="s">
        <v>448</v>
      </c>
      <c r="F1439" s="705">
        <v>4.1021840453118255E-3</v>
      </c>
      <c r="G1439" s="705">
        <v>11.61511280779415</v>
      </c>
    </row>
    <row r="1440" spans="2:7" ht="11.25" hidden="1" customHeight="1" outlineLevel="2" x14ac:dyDescent="0.25">
      <c r="B1440" s="704" t="s">
        <v>686</v>
      </c>
      <c r="C1440" s="704" t="s">
        <v>763</v>
      </c>
      <c r="D1440" s="704" t="s">
        <v>675</v>
      </c>
      <c r="E1440" s="704" t="s">
        <v>448</v>
      </c>
      <c r="F1440" s="705">
        <v>9.7102902920359363E-4</v>
      </c>
      <c r="G1440" s="705">
        <v>2.7308114339759579</v>
      </c>
    </row>
    <row r="1441" spans="2:7" ht="11.25" hidden="1" customHeight="1" outlineLevel="2" x14ac:dyDescent="0.25">
      <c r="B1441" s="704" t="s">
        <v>687</v>
      </c>
      <c r="C1441" s="704" t="s">
        <v>763</v>
      </c>
      <c r="D1441" s="704" t="s">
        <v>675</v>
      </c>
      <c r="E1441" s="704" t="s">
        <v>448</v>
      </c>
      <c r="F1441" s="705">
        <v>4.9579801850298836E-3</v>
      </c>
      <c r="G1441" s="705">
        <v>13.988222920148392</v>
      </c>
    </row>
    <row r="1442" spans="2:7" ht="11.25" hidden="1" customHeight="1" outlineLevel="2" x14ac:dyDescent="0.25">
      <c r="B1442" s="704" t="s">
        <v>688</v>
      </c>
      <c r="C1442" s="704" t="s">
        <v>763</v>
      </c>
      <c r="D1442" s="704" t="s">
        <v>675</v>
      </c>
      <c r="E1442" s="704" t="s">
        <v>448</v>
      </c>
      <c r="F1442" s="705">
        <v>3.5587614778928509E-3</v>
      </c>
      <c r="G1442" s="705">
        <v>10.040531045450034</v>
      </c>
    </row>
    <row r="1443" spans="2:7" ht="11.25" hidden="1" customHeight="1" outlineLevel="2" x14ac:dyDescent="0.25">
      <c r="B1443" s="704" t="s">
        <v>689</v>
      </c>
      <c r="C1443" s="704" t="s">
        <v>763</v>
      </c>
      <c r="D1443" s="704" t="s">
        <v>675</v>
      </c>
      <c r="E1443" s="704" t="s">
        <v>448</v>
      </c>
      <c r="F1443" s="705">
        <v>5.2692531099801686E-4</v>
      </c>
      <c r="G1443" s="705">
        <v>1.4844792623393668</v>
      </c>
    </row>
    <row r="1444" spans="2:7" ht="11.25" hidden="1" customHeight="1" outlineLevel="2" x14ac:dyDescent="0.25">
      <c r="B1444" s="704" t="s">
        <v>690</v>
      </c>
      <c r="C1444" s="704" t="s">
        <v>763</v>
      </c>
      <c r="D1444" s="704" t="s">
        <v>675</v>
      </c>
      <c r="E1444" s="704" t="s">
        <v>448</v>
      </c>
      <c r="F1444" s="705">
        <v>1.1542977042526794E-2</v>
      </c>
      <c r="G1444" s="705">
        <v>32.683283541969537</v>
      </c>
    </row>
    <row r="1445" spans="2:7" ht="11.25" hidden="1" customHeight="1" outlineLevel="2" x14ac:dyDescent="0.25">
      <c r="B1445" s="704" t="s">
        <v>691</v>
      </c>
      <c r="C1445" s="704" t="s">
        <v>763</v>
      </c>
      <c r="D1445" s="704" t="s">
        <v>675</v>
      </c>
      <c r="E1445" s="704" t="s">
        <v>448</v>
      </c>
      <c r="F1445" s="705">
        <v>1.318244012631755E-2</v>
      </c>
      <c r="G1445" s="705">
        <v>37.325349481311214</v>
      </c>
    </row>
    <row r="1446" spans="2:7" ht="11.25" hidden="1" customHeight="1" outlineLevel="2" x14ac:dyDescent="0.25">
      <c r="B1446" s="704" t="s">
        <v>692</v>
      </c>
      <c r="C1446" s="704" t="s">
        <v>763</v>
      </c>
      <c r="D1446" s="704" t="s">
        <v>675</v>
      </c>
      <c r="E1446" s="704" t="s">
        <v>448</v>
      </c>
      <c r="F1446" s="705">
        <v>7.7363294790251398E-4</v>
      </c>
      <c r="G1446" s="705">
        <v>2.1826931432762917</v>
      </c>
    </row>
    <row r="1447" spans="2:7" ht="11.25" hidden="1" customHeight="1" outlineLevel="2" x14ac:dyDescent="0.25">
      <c r="B1447" s="704" t="s">
        <v>693</v>
      </c>
      <c r="C1447" s="704" t="s">
        <v>763</v>
      </c>
      <c r="D1447" s="704" t="s">
        <v>675</v>
      </c>
      <c r="E1447" s="704" t="s">
        <v>448</v>
      </c>
      <c r="F1447" s="705">
        <v>1.9222357847168184E-3</v>
      </c>
      <c r="G1447" s="705">
        <v>5.4484362661178789</v>
      </c>
    </row>
    <row r="1448" spans="2:7" ht="11.25" hidden="1" customHeight="1" outlineLevel="2" x14ac:dyDescent="0.25">
      <c r="B1448" s="704" t="s">
        <v>694</v>
      </c>
      <c r="C1448" s="704" t="s">
        <v>763</v>
      </c>
      <c r="D1448" s="704" t="s">
        <v>675</v>
      </c>
      <c r="E1448" s="704" t="s">
        <v>448</v>
      </c>
      <c r="F1448" s="705">
        <v>2.1550512750739077E-4</v>
      </c>
      <c r="G1448" s="705">
        <v>0.61083341678923486</v>
      </c>
    </row>
    <row r="1449" spans="2:7" ht="11.25" hidden="1" customHeight="1" outlineLevel="2" x14ac:dyDescent="0.25">
      <c r="B1449" s="704" t="s">
        <v>695</v>
      </c>
      <c r="C1449" s="704" t="s">
        <v>763</v>
      </c>
      <c r="D1449" s="704" t="s">
        <v>675</v>
      </c>
      <c r="E1449" s="704" t="s">
        <v>448</v>
      </c>
      <c r="F1449" s="705">
        <v>1.0222059355994369E-3</v>
      </c>
      <c r="G1449" s="705">
        <v>2.8973670992681391</v>
      </c>
    </row>
    <row r="1450" spans="2:7" ht="11.25" hidden="1" customHeight="1" outlineLevel="2" x14ac:dyDescent="0.25">
      <c r="B1450" s="704" t="s">
        <v>696</v>
      </c>
      <c r="C1450" s="704" t="s">
        <v>763</v>
      </c>
      <c r="D1450" s="704" t="s">
        <v>675</v>
      </c>
      <c r="E1450" s="704" t="s">
        <v>448</v>
      </c>
      <c r="F1450" s="705">
        <v>2.5741315143140769E-3</v>
      </c>
      <c r="G1450" s="705">
        <v>7.2391944783990683</v>
      </c>
    </row>
    <row r="1451" spans="2:7" ht="11.25" hidden="1" customHeight="1" outlineLevel="2" x14ac:dyDescent="0.25">
      <c r="B1451" s="704" t="s">
        <v>697</v>
      </c>
      <c r="C1451" s="704" t="s">
        <v>763</v>
      </c>
      <c r="D1451" s="704" t="s">
        <v>675</v>
      </c>
      <c r="E1451" s="704" t="s">
        <v>448</v>
      </c>
      <c r="F1451" s="705">
        <v>1.3973820206286444E-3</v>
      </c>
      <c r="G1451" s="705">
        <v>3.9607755637512163</v>
      </c>
    </row>
    <row r="1452" spans="2:7" ht="11.25" hidden="1" customHeight="1" outlineLevel="2" x14ac:dyDescent="0.25">
      <c r="B1452" s="704" t="s">
        <v>698</v>
      </c>
      <c r="C1452" s="704" t="s">
        <v>763</v>
      </c>
      <c r="D1452" s="704" t="s">
        <v>675</v>
      </c>
      <c r="E1452" s="704" t="s">
        <v>448</v>
      </c>
      <c r="F1452" s="705">
        <v>1.5344479293580261E-3</v>
      </c>
      <c r="G1452" s="705">
        <v>4.3492779191203841</v>
      </c>
    </row>
    <row r="1453" spans="2:7" ht="11.25" hidden="1" customHeight="1" outlineLevel="2" x14ac:dyDescent="0.25">
      <c r="B1453" s="704" t="s">
        <v>699</v>
      </c>
      <c r="C1453" s="704" t="s">
        <v>763</v>
      </c>
      <c r="D1453" s="704" t="s">
        <v>675</v>
      </c>
      <c r="E1453" s="704" t="s">
        <v>448</v>
      </c>
      <c r="F1453" s="705">
        <v>8.1554348903242171E-36</v>
      </c>
      <c r="G1453" s="705">
        <v>9.3254471537192438E-32</v>
      </c>
    </row>
    <row r="1454" spans="2:7" ht="11.25" hidden="1" customHeight="1" outlineLevel="2" x14ac:dyDescent="0.25">
      <c r="B1454" s="704" t="s">
        <v>673</v>
      </c>
      <c r="C1454" s="704" t="s">
        <v>764</v>
      </c>
      <c r="D1454" s="704" t="s">
        <v>675</v>
      </c>
      <c r="E1454" s="704" t="s">
        <v>448</v>
      </c>
      <c r="F1454" s="705">
        <v>5.6409125147795073E-4</v>
      </c>
      <c r="G1454" s="705">
        <v>3.2514068607923261</v>
      </c>
    </row>
    <row r="1455" spans="2:7" ht="11.25" hidden="1" customHeight="1" outlineLevel="2" x14ac:dyDescent="0.25">
      <c r="B1455" s="704" t="s">
        <v>677</v>
      </c>
      <c r="C1455" s="704" t="s">
        <v>764</v>
      </c>
      <c r="D1455" s="704" t="s">
        <v>675</v>
      </c>
      <c r="E1455" s="704" t="s">
        <v>448</v>
      </c>
      <c r="F1455" s="705">
        <v>9.446348463655033E-3</v>
      </c>
      <c r="G1455" s="705">
        <v>53.956541496335049</v>
      </c>
    </row>
    <row r="1456" spans="2:7" ht="11.25" hidden="1" customHeight="1" outlineLevel="2" x14ac:dyDescent="0.25">
      <c r="B1456" s="704" t="s">
        <v>678</v>
      </c>
      <c r="C1456" s="704" t="s">
        <v>764</v>
      </c>
      <c r="D1456" s="704" t="s">
        <v>675</v>
      </c>
      <c r="E1456" s="704" t="s">
        <v>448</v>
      </c>
      <c r="F1456" s="705">
        <v>2.1607550131488254E-2</v>
      </c>
      <c r="G1456" s="705">
        <v>124.98039403701344</v>
      </c>
    </row>
    <row r="1457" spans="2:7" ht="11.25" hidden="1" customHeight="1" outlineLevel="2" x14ac:dyDescent="0.25">
      <c r="B1457" s="704" t="s">
        <v>679</v>
      </c>
      <c r="C1457" s="704" t="s">
        <v>764</v>
      </c>
      <c r="D1457" s="704" t="s">
        <v>675</v>
      </c>
      <c r="E1457" s="704" t="s">
        <v>448</v>
      </c>
      <c r="F1457" s="705">
        <v>1.7467315506609802E-3</v>
      </c>
      <c r="G1457" s="705">
        <v>10.142426793158759</v>
      </c>
    </row>
    <row r="1458" spans="2:7" ht="11.25" hidden="1" customHeight="1" outlineLevel="2" x14ac:dyDescent="0.25">
      <c r="B1458" s="704" t="s">
        <v>680</v>
      </c>
      <c r="C1458" s="704" t="s">
        <v>764</v>
      </c>
      <c r="D1458" s="704" t="s">
        <v>675</v>
      </c>
      <c r="E1458" s="704" t="s">
        <v>448</v>
      </c>
      <c r="F1458" s="705">
        <v>3.2338265709310366E-4</v>
      </c>
      <c r="G1458" s="705">
        <v>1.8798694675910603</v>
      </c>
    </row>
    <row r="1459" spans="2:7" ht="11.25" hidden="1" customHeight="1" outlineLevel="2" x14ac:dyDescent="0.25">
      <c r="B1459" s="704" t="s">
        <v>681</v>
      </c>
      <c r="C1459" s="704" t="s">
        <v>764</v>
      </c>
      <c r="D1459" s="704" t="s">
        <v>675</v>
      </c>
      <c r="E1459" s="704" t="s">
        <v>448</v>
      </c>
      <c r="F1459" s="705">
        <v>2.7413229058066771E-3</v>
      </c>
      <c r="G1459" s="705">
        <v>15.856099755703084</v>
      </c>
    </row>
    <row r="1460" spans="2:7" ht="11.25" hidden="1" customHeight="1" outlineLevel="2" x14ac:dyDescent="0.25">
      <c r="B1460" s="704" t="s">
        <v>682</v>
      </c>
      <c r="C1460" s="704" t="s">
        <v>764</v>
      </c>
      <c r="D1460" s="704" t="s">
        <v>675</v>
      </c>
      <c r="E1460" s="704" t="s">
        <v>448</v>
      </c>
      <c r="F1460" s="705">
        <v>2.4062703613937737E-3</v>
      </c>
      <c r="G1460" s="705">
        <v>13.919224995712563</v>
      </c>
    </row>
    <row r="1461" spans="2:7" ht="11.25" hidden="1" customHeight="1" outlineLevel="2" x14ac:dyDescent="0.25">
      <c r="B1461" s="704" t="s">
        <v>683</v>
      </c>
      <c r="C1461" s="704" t="s">
        <v>764</v>
      </c>
      <c r="D1461" s="704" t="s">
        <v>675</v>
      </c>
      <c r="E1461" s="704" t="s">
        <v>448</v>
      </c>
      <c r="F1461" s="706">
        <v>3.981139547486837E-3</v>
      </c>
      <c r="G1461" s="705">
        <v>23.116554286426588</v>
      </c>
    </row>
    <row r="1462" spans="2:7" ht="11.25" hidden="1" customHeight="1" outlineLevel="2" x14ac:dyDescent="0.25">
      <c r="B1462" s="704" t="s">
        <v>684</v>
      </c>
      <c r="C1462" s="704" t="s">
        <v>764</v>
      </c>
      <c r="D1462" s="704" t="s">
        <v>675</v>
      </c>
      <c r="E1462" s="704" t="s">
        <v>448</v>
      </c>
      <c r="F1462" s="706">
        <v>5.1906412412780782E-4</v>
      </c>
      <c r="G1462" s="705">
        <v>3.0173933740784671</v>
      </c>
    </row>
    <row r="1463" spans="2:7" ht="11.25" hidden="1" customHeight="1" outlineLevel="2" x14ac:dyDescent="0.25">
      <c r="B1463" s="704" t="s">
        <v>685</v>
      </c>
      <c r="C1463" s="704" t="s">
        <v>764</v>
      </c>
      <c r="D1463" s="704" t="s">
        <v>675</v>
      </c>
      <c r="E1463" s="704" t="s">
        <v>448</v>
      </c>
      <c r="F1463" s="706">
        <v>4.7777358822459421E-3</v>
      </c>
      <c r="G1463" s="705">
        <v>27.742011109926803</v>
      </c>
    </row>
    <row r="1464" spans="2:7" ht="11.25" hidden="1" customHeight="1" outlineLevel="2" x14ac:dyDescent="0.25">
      <c r="B1464" s="704" t="s">
        <v>686</v>
      </c>
      <c r="C1464" s="704" t="s">
        <v>764</v>
      </c>
      <c r="D1464" s="704" t="s">
        <v>675</v>
      </c>
      <c r="E1464" s="704" t="s">
        <v>448</v>
      </c>
      <c r="F1464" s="706">
        <v>1.1315780640607921E-3</v>
      </c>
      <c r="G1464" s="705">
        <v>6.5223846203098654</v>
      </c>
    </row>
    <row r="1465" spans="2:7" ht="11.25" hidden="1" customHeight="1" outlineLevel="2" x14ac:dyDescent="0.25">
      <c r="B1465" s="704" t="s">
        <v>687</v>
      </c>
      <c r="C1465" s="704" t="s">
        <v>764</v>
      </c>
      <c r="D1465" s="704" t="s">
        <v>675</v>
      </c>
      <c r="E1465" s="704" t="s">
        <v>448</v>
      </c>
      <c r="F1465" s="706">
        <v>5.7761812455473299E-3</v>
      </c>
      <c r="G1465" s="705">
        <v>33.41005399229411</v>
      </c>
    </row>
    <row r="1466" spans="2:7" ht="11.25" hidden="1" customHeight="1" outlineLevel="2" x14ac:dyDescent="0.25">
      <c r="B1466" s="704" t="s">
        <v>688</v>
      </c>
      <c r="C1466" s="704" t="s">
        <v>764</v>
      </c>
      <c r="D1466" s="704" t="s">
        <v>675</v>
      </c>
      <c r="E1466" s="704" t="s">
        <v>448</v>
      </c>
      <c r="F1466" s="706">
        <v>4.1460553240648757E-3</v>
      </c>
      <c r="G1466" s="705">
        <v>23.981224897833314</v>
      </c>
    </row>
    <row r="1467" spans="2:7" ht="11.25" hidden="1" customHeight="1" outlineLevel="2" x14ac:dyDescent="0.25">
      <c r="B1467" s="704" t="s">
        <v>689</v>
      </c>
      <c r="C1467" s="704" t="s">
        <v>764</v>
      </c>
      <c r="D1467" s="704" t="s">
        <v>675</v>
      </c>
      <c r="E1467" s="704" t="s">
        <v>448</v>
      </c>
      <c r="F1467" s="706">
        <v>6.1395669034887868E-4</v>
      </c>
      <c r="G1467" s="705">
        <v>3.5455922172594896</v>
      </c>
    </row>
    <row r="1468" spans="2:7" ht="11.25" hidden="1" customHeight="1" outlineLevel="2" x14ac:dyDescent="0.25">
      <c r="B1468" s="704" t="s">
        <v>690</v>
      </c>
      <c r="C1468" s="704" t="s">
        <v>764</v>
      </c>
      <c r="D1468" s="704" t="s">
        <v>675</v>
      </c>
      <c r="E1468" s="704" t="s">
        <v>448</v>
      </c>
      <c r="F1468" s="705">
        <v>1.3443884662421361E-2</v>
      </c>
      <c r="G1468" s="705">
        <v>78.062115692555381</v>
      </c>
    </row>
    <row r="1469" spans="2:7" ht="11.25" hidden="1" customHeight="1" outlineLevel="2" x14ac:dyDescent="0.25">
      <c r="B1469" s="704" t="s">
        <v>691</v>
      </c>
      <c r="C1469" s="704" t="s">
        <v>764</v>
      </c>
      <c r="D1469" s="704" t="s">
        <v>675</v>
      </c>
      <c r="E1469" s="704" t="s">
        <v>448</v>
      </c>
      <c r="F1469" s="705">
        <v>1.5353339045219674E-2</v>
      </c>
      <c r="G1469" s="705">
        <v>89.14942914289027</v>
      </c>
    </row>
    <row r="1470" spans="2:7" ht="11.25" hidden="1" customHeight="1" outlineLevel="2" x14ac:dyDescent="0.25">
      <c r="B1470" s="704" t="s">
        <v>692</v>
      </c>
      <c r="C1470" s="704" t="s">
        <v>764</v>
      </c>
      <c r="D1470" s="704" t="s">
        <v>675</v>
      </c>
      <c r="E1470" s="704" t="s">
        <v>448</v>
      </c>
      <c r="F1470" s="705">
        <v>9.0130322356434586E-4</v>
      </c>
      <c r="G1470" s="705">
        <v>5.2132310758119624</v>
      </c>
    </row>
    <row r="1471" spans="2:7" ht="11.25" hidden="1" customHeight="1" outlineLevel="2" x14ac:dyDescent="0.25">
      <c r="B1471" s="704" t="s">
        <v>693</v>
      </c>
      <c r="C1471" s="704" t="s">
        <v>764</v>
      </c>
      <c r="D1471" s="704" t="s">
        <v>675</v>
      </c>
      <c r="E1471" s="704" t="s">
        <v>448</v>
      </c>
      <c r="F1471" s="706">
        <v>2.2385956611903372E-3</v>
      </c>
      <c r="G1471" s="705">
        <v>13.01326872656902</v>
      </c>
    </row>
    <row r="1472" spans="2:7" ht="11.25" hidden="1" customHeight="1" outlineLevel="2" x14ac:dyDescent="0.25">
      <c r="B1472" s="704" t="s">
        <v>694</v>
      </c>
      <c r="C1472" s="704" t="s">
        <v>764</v>
      </c>
      <c r="D1472" s="704" t="s">
        <v>675</v>
      </c>
      <c r="E1472" s="704" t="s">
        <v>448</v>
      </c>
      <c r="F1472" s="705">
        <v>2.5097267743868416E-4</v>
      </c>
      <c r="G1472" s="705">
        <v>1.4589399489057251</v>
      </c>
    </row>
    <row r="1473" spans="2:7" ht="11.25" hidden="1" customHeight="1" outlineLevel="2" x14ac:dyDescent="0.25">
      <c r="B1473" s="704" t="s">
        <v>695</v>
      </c>
      <c r="C1473" s="704" t="s">
        <v>764</v>
      </c>
      <c r="D1473" s="704" t="s">
        <v>675</v>
      </c>
      <c r="E1473" s="704" t="s">
        <v>448</v>
      </c>
      <c r="F1473" s="705">
        <v>1.1904390296498379E-3</v>
      </c>
      <c r="G1473" s="705">
        <v>6.920189291243978</v>
      </c>
    </row>
    <row r="1474" spans="2:7" ht="11.25" hidden="1" customHeight="1" outlineLevel="2" x14ac:dyDescent="0.25">
      <c r="B1474" s="704" t="s">
        <v>696</v>
      </c>
      <c r="C1474" s="704" t="s">
        <v>764</v>
      </c>
      <c r="D1474" s="704" t="s">
        <v>675</v>
      </c>
      <c r="E1474" s="704" t="s">
        <v>448</v>
      </c>
      <c r="F1474" s="706">
        <v>2.9997358692300472E-3</v>
      </c>
      <c r="G1474" s="705">
        <v>17.29039935333045</v>
      </c>
    </row>
    <row r="1475" spans="2:7" ht="11.25" hidden="1" customHeight="1" outlineLevel="2" x14ac:dyDescent="0.25">
      <c r="B1475" s="704" t="s">
        <v>697</v>
      </c>
      <c r="C1475" s="704" t="s">
        <v>764</v>
      </c>
      <c r="D1475" s="704" t="s">
        <v>675</v>
      </c>
      <c r="E1475" s="704" t="s">
        <v>448</v>
      </c>
      <c r="F1475" s="705">
        <v>1.6273610453521371E-3</v>
      </c>
      <c r="G1475" s="705">
        <v>9.4600841119494028</v>
      </c>
    </row>
    <row r="1476" spans="2:7" ht="11.25" hidden="1" customHeight="1" outlineLevel="2" x14ac:dyDescent="0.25">
      <c r="B1476" s="704" t="s">
        <v>698</v>
      </c>
      <c r="C1476" s="704" t="s">
        <v>764</v>
      </c>
      <c r="D1476" s="704" t="s">
        <v>675</v>
      </c>
      <c r="E1476" s="704" t="s">
        <v>448</v>
      </c>
      <c r="F1476" s="705">
        <v>1.7869854610084266E-3</v>
      </c>
      <c r="G1476" s="705">
        <v>10.387996124493155</v>
      </c>
    </row>
    <row r="1477" spans="2:7" ht="11.25" hidden="1" customHeight="1" outlineLevel="2" x14ac:dyDescent="0.25">
      <c r="B1477" s="704" t="s">
        <v>699</v>
      </c>
      <c r="C1477" s="704" t="s">
        <v>764</v>
      </c>
      <c r="D1477" s="704" t="s">
        <v>675</v>
      </c>
      <c r="E1477" s="704" t="s">
        <v>448</v>
      </c>
      <c r="F1477" s="705">
        <v>4.504606933838142E-35</v>
      </c>
      <c r="G1477" s="705">
        <v>2.6624500171759199E-31</v>
      </c>
    </row>
    <row r="1478" spans="2:7" ht="11.25" hidden="1" customHeight="1" outlineLevel="2" x14ac:dyDescent="0.25">
      <c r="B1478" s="704" t="s">
        <v>673</v>
      </c>
      <c r="C1478" s="704" t="s">
        <v>765</v>
      </c>
      <c r="D1478" s="704" t="s">
        <v>675</v>
      </c>
      <c r="E1478" s="704" t="s">
        <v>448</v>
      </c>
      <c r="F1478" s="706">
        <v>5.3393198250496999E-3</v>
      </c>
      <c r="G1478" s="705">
        <v>7.7049845249846376</v>
      </c>
    </row>
    <row r="1479" spans="2:7" ht="11.25" hidden="1" customHeight="1" outlineLevel="2" x14ac:dyDescent="0.25">
      <c r="B1479" s="704" t="s">
        <v>677</v>
      </c>
      <c r="C1479" s="704" t="s">
        <v>765</v>
      </c>
      <c r="D1479" s="704" t="s">
        <v>675</v>
      </c>
      <c r="E1479" s="704" t="s">
        <v>448</v>
      </c>
      <c r="F1479" s="706">
        <v>8.9533387765775768E-2</v>
      </c>
      <c r="G1479" s="705">
        <v>127.86298104008107</v>
      </c>
    </row>
    <row r="1480" spans="2:7" ht="11.25" hidden="1" customHeight="1" outlineLevel="2" x14ac:dyDescent="0.25">
      <c r="B1480" s="704" t="s">
        <v>678</v>
      </c>
      <c r="C1480" s="704" t="s">
        <v>765</v>
      </c>
      <c r="D1480" s="704" t="s">
        <v>675</v>
      </c>
      <c r="E1480" s="704" t="s">
        <v>448</v>
      </c>
      <c r="F1480" s="706">
        <v>0.20441628618670513</v>
      </c>
      <c r="G1480" s="705">
        <v>296.1710678964086</v>
      </c>
    </row>
    <row r="1481" spans="2:7" ht="11.25" hidden="1" customHeight="1" outlineLevel="2" x14ac:dyDescent="0.25">
      <c r="B1481" s="704" t="s">
        <v>679</v>
      </c>
      <c r="C1481" s="704" t="s">
        <v>765</v>
      </c>
      <c r="D1481" s="704" t="s">
        <v>675</v>
      </c>
      <c r="E1481" s="704" t="s">
        <v>448</v>
      </c>
      <c r="F1481" s="705">
        <v>1.6515243158937588E-2</v>
      </c>
      <c r="G1481" s="705">
        <v>24.034911341426284</v>
      </c>
    </row>
    <row r="1482" spans="2:7" ht="11.25" hidden="1" customHeight="1" outlineLevel="2" x14ac:dyDescent="0.25">
      <c r="B1482" s="704" t="s">
        <v>680</v>
      </c>
      <c r="C1482" s="704" t="s">
        <v>765</v>
      </c>
      <c r="D1482" s="704" t="s">
        <v>675</v>
      </c>
      <c r="E1482" s="704" t="s">
        <v>448</v>
      </c>
      <c r="F1482" s="705">
        <v>3.057035976378727E-3</v>
      </c>
      <c r="G1482" s="705">
        <v>4.4548029196942709</v>
      </c>
    </row>
    <row r="1483" spans="2:7" ht="11.25" hidden="1" customHeight="1" outlineLevel="2" x14ac:dyDescent="0.25">
      <c r="B1483" s="704" t="s">
        <v>681</v>
      </c>
      <c r="C1483" s="704" t="s">
        <v>765</v>
      </c>
      <c r="D1483" s="704" t="s">
        <v>675</v>
      </c>
      <c r="E1483" s="704" t="s">
        <v>448</v>
      </c>
      <c r="F1483" s="705">
        <v>2.5934053709689479E-2</v>
      </c>
      <c r="G1483" s="705">
        <v>37.574847100157186</v>
      </c>
    </row>
    <row r="1484" spans="2:7" ht="11.25" hidden="1" customHeight="1" outlineLevel="2" x14ac:dyDescent="0.25">
      <c r="B1484" s="704" t="s">
        <v>682</v>
      </c>
      <c r="C1484" s="704" t="s">
        <v>765</v>
      </c>
      <c r="D1484" s="704" t="s">
        <v>675</v>
      </c>
      <c r="E1484" s="704" t="s">
        <v>448</v>
      </c>
      <c r="F1484" s="705">
        <v>2.2764035889633771E-2</v>
      </c>
      <c r="G1484" s="705">
        <v>32.984942815794071</v>
      </c>
    </row>
    <row r="1485" spans="2:7" ht="11.25" hidden="1" customHeight="1" outlineLevel="2" x14ac:dyDescent="0.25">
      <c r="B1485" s="704" t="s">
        <v>683</v>
      </c>
      <c r="C1485" s="704" t="s">
        <v>765</v>
      </c>
      <c r="D1485" s="704" t="s">
        <v>675</v>
      </c>
      <c r="E1485" s="704" t="s">
        <v>448</v>
      </c>
      <c r="F1485" s="705">
        <v>3.7641383045452885E-2</v>
      </c>
      <c r="G1485" s="705">
        <v>54.780258371951433</v>
      </c>
    </row>
    <row r="1486" spans="2:7" ht="11.25" hidden="1" customHeight="1" outlineLevel="2" x14ac:dyDescent="0.25">
      <c r="B1486" s="704" t="s">
        <v>684</v>
      </c>
      <c r="C1486" s="704" t="s">
        <v>765</v>
      </c>
      <c r="D1486" s="704" t="s">
        <v>675</v>
      </c>
      <c r="E1486" s="704" t="s">
        <v>448</v>
      </c>
      <c r="F1486" s="705">
        <v>4.90687233416292E-3</v>
      </c>
      <c r="G1486" s="705">
        <v>7.1504389892337761</v>
      </c>
    </row>
    <row r="1487" spans="2:7" ht="11.25" hidden="1" customHeight="1" outlineLevel="2" x14ac:dyDescent="0.25">
      <c r="B1487" s="704" t="s">
        <v>685</v>
      </c>
      <c r="C1487" s="704" t="s">
        <v>765</v>
      </c>
      <c r="D1487" s="704" t="s">
        <v>675</v>
      </c>
      <c r="E1487" s="704" t="s">
        <v>448</v>
      </c>
      <c r="F1487" s="705">
        <v>4.5173201193825528E-2</v>
      </c>
      <c r="G1487" s="705">
        <v>65.74130502562582</v>
      </c>
    </row>
    <row r="1488" spans="2:7" ht="11.25" hidden="1" customHeight="1" outlineLevel="2" x14ac:dyDescent="0.25">
      <c r="B1488" s="704" t="s">
        <v>686</v>
      </c>
      <c r="C1488" s="704" t="s">
        <v>765</v>
      </c>
      <c r="D1488" s="704" t="s">
        <v>675</v>
      </c>
      <c r="E1488" s="704" t="s">
        <v>448</v>
      </c>
      <c r="F1488" s="705">
        <v>1.0710773256576338E-2</v>
      </c>
      <c r="G1488" s="705">
        <v>15.456357520948826</v>
      </c>
    </row>
    <row r="1489" spans="2:7" ht="11.25" hidden="1" customHeight="1" outlineLevel="2" x14ac:dyDescent="0.25">
      <c r="B1489" s="704" t="s">
        <v>687</v>
      </c>
      <c r="C1489" s="704" t="s">
        <v>765</v>
      </c>
      <c r="D1489" s="704" t="s">
        <v>675</v>
      </c>
      <c r="E1489" s="704" t="s">
        <v>448</v>
      </c>
      <c r="F1489" s="705">
        <v>5.4645117107831986E-2</v>
      </c>
      <c r="G1489" s="705">
        <v>79.173203367900669</v>
      </c>
    </row>
    <row r="1490" spans="2:7" ht="11.25" hidden="1" customHeight="1" outlineLevel="2" x14ac:dyDescent="0.25">
      <c r="B1490" s="704" t="s">
        <v>688</v>
      </c>
      <c r="C1490" s="704" t="s">
        <v>765</v>
      </c>
      <c r="D1490" s="704" t="s">
        <v>675</v>
      </c>
      <c r="E1490" s="704" t="s">
        <v>448</v>
      </c>
      <c r="F1490" s="705">
        <v>3.9223408472152776E-2</v>
      </c>
      <c r="G1490" s="705">
        <v>56.829239228527484</v>
      </c>
    </row>
    <row r="1491" spans="2:7" ht="11.25" hidden="1" customHeight="1" outlineLevel="2" x14ac:dyDescent="0.25">
      <c r="B1491" s="704" t="s">
        <v>689</v>
      </c>
      <c r="C1491" s="704" t="s">
        <v>765</v>
      </c>
      <c r="D1491" s="704" t="s">
        <v>675</v>
      </c>
      <c r="E1491" s="704" t="s">
        <v>448</v>
      </c>
      <c r="F1491" s="705">
        <v>5.8096567224137589E-3</v>
      </c>
      <c r="G1491" s="705">
        <v>8.4021297389685703</v>
      </c>
    </row>
    <row r="1492" spans="2:7" ht="11.25" hidden="1" customHeight="1" outlineLevel="2" x14ac:dyDescent="0.25">
      <c r="B1492" s="704" t="s">
        <v>690</v>
      </c>
      <c r="C1492" s="704" t="s">
        <v>765</v>
      </c>
      <c r="D1492" s="704" t="s">
        <v>675</v>
      </c>
      <c r="E1492" s="704" t="s">
        <v>448</v>
      </c>
      <c r="F1492" s="706">
        <v>0.12711102683176856</v>
      </c>
      <c r="G1492" s="705">
        <v>184.98698119634037</v>
      </c>
    </row>
    <row r="1493" spans="2:7" ht="11.25" hidden="1" customHeight="1" outlineLevel="2" x14ac:dyDescent="0.25">
      <c r="B1493" s="704" t="s">
        <v>691</v>
      </c>
      <c r="C1493" s="704" t="s">
        <v>765</v>
      </c>
      <c r="D1493" s="704" t="s">
        <v>675</v>
      </c>
      <c r="E1493" s="704" t="s">
        <v>448</v>
      </c>
      <c r="F1493" s="706">
        <v>0.14516478400622432</v>
      </c>
      <c r="G1493" s="705">
        <v>211.26091058153278</v>
      </c>
    </row>
    <row r="1494" spans="2:7" ht="11.25" hidden="1" customHeight="1" outlineLevel="2" x14ac:dyDescent="0.25">
      <c r="B1494" s="704" t="s">
        <v>692</v>
      </c>
      <c r="C1494" s="704" t="s">
        <v>765</v>
      </c>
      <c r="D1494" s="704" t="s">
        <v>675</v>
      </c>
      <c r="E1494" s="704" t="s">
        <v>448</v>
      </c>
      <c r="F1494" s="705">
        <v>8.5267046324393678E-3</v>
      </c>
      <c r="G1494" s="705">
        <v>12.354007941666024</v>
      </c>
    </row>
    <row r="1495" spans="2:7" ht="11.25" hidden="1" customHeight="1" outlineLevel="2" x14ac:dyDescent="0.25">
      <c r="B1495" s="704" t="s">
        <v>693</v>
      </c>
      <c r="C1495" s="704" t="s">
        <v>765</v>
      </c>
      <c r="D1495" s="704" t="s">
        <v>675</v>
      </c>
      <c r="E1495" s="704" t="s">
        <v>448</v>
      </c>
      <c r="F1495" s="705">
        <v>2.1162128358370197E-2</v>
      </c>
      <c r="G1495" s="705">
        <v>30.838064647628972</v>
      </c>
    </row>
    <row r="1496" spans="2:7" ht="11.25" hidden="1" customHeight="1" outlineLevel="2" x14ac:dyDescent="0.25">
      <c r="B1496" s="704" t="s">
        <v>694</v>
      </c>
      <c r="C1496" s="704" t="s">
        <v>765</v>
      </c>
      <c r="D1496" s="704" t="s">
        <v>675</v>
      </c>
      <c r="E1496" s="704" t="s">
        <v>448</v>
      </c>
      <c r="F1496" s="705">
        <v>2.3725224419614403E-3</v>
      </c>
      <c r="G1496" s="705">
        <v>3.4573095744893458</v>
      </c>
    </row>
    <row r="1497" spans="2:7" ht="11.25" hidden="1" customHeight="1" outlineLevel="2" x14ac:dyDescent="0.25">
      <c r="B1497" s="704" t="s">
        <v>695</v>
      </c>
      <c r="C1497" s="704" t="s">
        <v>765</v>
      </c>
      <c r="D1497" s="704" t="s">
        <v>675</v>
      </c>
      <c r="E1497" s="704" t="s">
        <v>448</v>
      </c>
      <c r="F1497" s="705">
        <v>1.1253595675030153E-2</v>
      </c>
      <c r="G1497" s="705">
        <v>16.399063992205154</v>
      </c>
    </row>
    <row r="1498" spans="2:7" ht="11.25" hidden="1" customHeight="1" outlineLevel="2" x14ac:dyDescent="0.25">
      <c r="B1498" s="704" t="s">
        <v>696</v>
      </c>
      <c r="C1498" s="704" t="s">
        <v>765</v>
      </c>
      <c r="D1498" s="704" t="s">
        <v>675</v>
      </c>
      <c r="E1498" s="704" t="s">
        <v>448</v>
      </c>
      <c r="F1498" s="705">
        <v>2.8393519904483945E-2</v>
      </c>
      <c r="G1498" s="705">
        <v>40.973764592472335</v>
      </c>
    </row>
    <row r="1499" spans="2:7" ht="11.25" hidden="1" customHeight="1" outlineLevel="2" x14ac:dyDescent="0.25">
      <c r="B1499" s="704" t="s">
        <v>697</v>
      </c>
      <c r="C1499" s="704" t="s">
        <v>765</v>
      </c>
      <c r="D1499" s="704" t="s">
        <v>675</v>
      </c>
      <c r="E1499" s="704" t="s">
        <v>448</v>
      </c>
      <c r="F1499" s="705">
        <v>1.5383942809834896E-2</v>
      </c>
      <c r="G1499" s="705">
        <v>22.417935668409797</v>
      </c>
    </row>
    <row r="1500" spans="2:7" ht="11.25" hidden="1" customHeight="1" outlineLevel="2" x14ac:dyDescent="0.25">
      <c r="B1500" s="704" t="s">
        <v>698</v>
      </c>
      <c r="C1500" s="704" t="s">
        <v>765</v>
      </c>
      <c r="D1500" s="704" t="s">
        <v>675</v>
      </c>
      <c r="E1500" s="704" t="s">
        <v>448</v>
      </c>
      <c r="F1500" s="705">
        <v>1.6892926997875035E-2</v>
      </c>
      <c r="G1500" s="705">
        <v>24.616848747697066</v>
      </c>
    </row>
    <row r="1501" spans="2:7" ht="11.25" hidden="1" customHeight="1" outlineLevel="2" x14ac:dyDescent="0.25">
      <c r="B1501" s="704" t="s">
        <v>699</v>
      </c>
      <c r="C1501" s="704" t="s">
        <v>765</v>
      </c>
      <c r="D1501" s="704" t="s">
        <v>675</v>
      </c>
      <c r="E1501" s="704" t="s">
        <v>448</v>
      </c>
      <c r="F1501" s="705">
        <v>1.1093063311404508E-34</v>
      </c>
      <c r="G1501" s="705">
        <v>1.5540462074317711E-31</v>
      </c>
    </row>
    <row r="1502" spans="2:7" ht="11.25" hidden="1" customHeight="1" outlineLevel="2" x14ac:dyDescent="0.25">
      <c r="B1502" s="704" t="s">
        <v>673</v>
      </c>
      <c r="C1502" s="704" t="s">
        <v>766</v>
      </c>
      <c r="D1502" s="704" t="s">
        <v>675</v>
      </c>
      <c r="E1502" s="704" t="s">
        <v>448</v>
      </c>
      <c r="F1502" s="705">
        <v>3.3103406103199571E-3</v>
      </c>
      <c r="G1502" s="705">
        <v>5.288033336867036</v>
      </c>
    </row>
    <row r="1503" spans="2:7" ht="11.25" hidden="1" customHeight="1" outlineLevel="2" x14ac:dyDescent="0.25">
      <c r="B1503" s="704" t="s">
        <v>677</v>
      </c>
      <c r="C1503" s="704" t="s">
        <v>766</v>
      </c>
      <c r="D1503" s="704" t="s">
        <v>675</v>
      </c>
      <c r="E1503" s="704" t="s">
        <v>448</v>
      </c>
      <c r="F1503" s="705">
        <v>5.5452066675657809E-2</v>
      </c>
      <c r="G1503" s="705">
        <v>87.75405322223088</v>
      </c>
    </row>
    <row r="1504" spans="2:7" ht="11.25" hidden="1" customHeight="1" outlineLevel="2" x14ac:dyDescent="0.25">
      <c r="B1504" s="704" t="s">
        <v>678</v>
      </c>
      <c r="C1504" s="704" t="s">
        <v>766</v>
      </c>
      <c r="D1504" s="704" t="s">
        <v>675</v>
      </c>
      <c r="E1504" s="704" t="s">
        <v>448</v>
      </c>
      <c r="F1504" s="705">
        <v>0.1267880826158829</v>
      </c>
      <c r="G1504" s="705">
        <v>203.26604939188658</v>
      </c>
    </row>
    <row r="1505" spans="2:7" ht="11.25" hidden="1" customHeight="1" outlineLevel="2" x14ac:dyDescent="0.25">
      <c r="B1505" s="704" t="s">
        <v>679</v>
      </c>
      <c r="C1505" s="704" t="s">
        <v>766</v>
      </c>
      <c r="D1505" s="704" t="s">
        <v>675</v>
      </c>
      <c r="E1505" s="704" t="s">
        <v>448</v>
      </c>
      <c r="F1505" s="705">
        <v>1.0248089026993375E-2</v>
      </c>
      <c r="G1505" s="705">
        <v>16.495470047639301</v>
      </c>
    </row>
    <row r="1506" spans="2:7" ht="11.25" hidden="1" customHeight="1" outlineLevel="2" x14ac:dyDescent="0.25">
      <c r="B1506" s="704" t="s">
        <v>680</v>
      </c>
      <c r="C1506" s="704" t="s">
        <v>766</v>
      </c>
      <c r="D1506" s="704" t="s">
        <v>675</v>
      </c>
      <c r="E1506" s="704" t="s">
        <v>448</v>
      </c>
      <c r="F1506" s="705">
        <v>1.8972159504522228E-3</v>
      </c>
      <c r="G1506" s="705">
        <v>3.057387402097441</v>
      </c>
    </row>
    <row r="1507" spans="2:7" ht="11.25" hidden="1" customHeight="1" outlineLevel="2" x14ac:dyDescent="0.25">
      <c r="B1507" s="704" t="s">
        <v>681</v>
      </c>
      <c r="C1507" s="704" t="s">
        <v>766</v>
      </c>
      <c r="D1507" s="704" t="s">
        <v>675</v>
      </c>
      <c r="E1507" s="704" t="s">
        <v>448</v>
      </c>
      <c r="F1507" s="705">
        <v>1.6085444213560004E-2</v>
      </c>
      <c r="G1507" s="705">
        <v>25.788101606617854</v>
      </c>
    </row>
    <row r="1508" spans="2:7" ht="11.25" hidden="1" customHeight="1" outlineLevel="2" x14ac:dyDescent="0.25">
      <c r="B1508" s="704" t="s">
        <v>682</v>
      </c>
      <c r="C1508" s="704" t="s">
        <v>766</v>
      </c>
      <c r="D1508" s="704" t="s">
        <v>675</v>
      </c>
      <c r="E1508" s="704" t="s">
        <v>448</v>
      </c>
      <c r="F1508" s="705">
        <v>1.4119393301794148E-2</v>
      </c>
      <c r="G1508" s="705">
        <v>22.638003707105074</v>
      </c>
    </row>
    <row r="1509" spans="2:7" ht="11.25" hidden="1" customHeight="1" outlineLevel="2" x14ac:dyDescent="0.25">
      <c r="B1509" s="704" t="s">
        <v>683</v>
      </c>
      <c r="C1509" s="704" t="s">
        <v>766</v>
      </c>
      <c r="D1509" s="704" t="s">
        <v>675</v>
      </c>
      <c r="E1509" s="704" t="s">
        <v>448</v>
      </c>
      <c r="F1509" s="706">
        <v>2.3357375775249808E-2</v>
      </c>
      <c r="G1509" s="705">
        <v>37.596380757625482</v>
      </c>
    </row>
    <row r="1510" spans="2:7" ht="11.25" hidden="1" customHeight="1" outlineLevel="2" x14ac:dyDescent="0.25">
      <c r="B1510" s="704" t="s">
        <v>684</v>
      </c>
      <c r="C1510" s="704" t="s">
        <v>766</v>
      </c>
      <c r="D1510" s="704" t="s">
        <v>675</v>
      </c>
      <c r="E1510" s="704" t="s">
        <v>448</v>
      </c>
      <c r="F1510" s="706">
        <v>3.0452370802144259E-3</v>
      </c>
      <c r="G1510" s="705">
        <v>4.9074391607036425</v>
      </c>
    </row>
    <row r="1511" spans="2:7" ht="11.25" hidden="1" customHeight="1" outlineLevel="2" x14ac:dyDescent="0.25">
      <c r="B1511" s="704" t="s">
        <v>685</v>
      </c>
      <c r="C1511" s="704" t="s">
        <v>766</v>
      </c>
      <c r="D1511" s="704" t="s">
        <v>675</v>
      </c>
      <c r="E1511" s="704" t="s">
        <v>448</v>
      </c>
      <c r="F1511" s="706">
        <v>2.8031019134722203E-2</v>
      </c>
      <c r="G1511" s="705">
        <v>45.119141515557111</v>
      </c>
    </row>
    <row r="1512" spans="2:7" ht="11.25" hidden="1" customHeight="1" outlineLevel="2" x14ac:dyDescent="0.25">
      <c r="B1512" s="704" t="s">
        <v>686</v>
      </c>
      <c r="C1512" s="704" t="s">
        <v>766</v>
      </c>
      <c r="D1512" s="704" t="s">
        <v>675</v>
      </c>
      <c r="E1512" s="704" t="s">
        <v>448</v>
      </c>
      <c r="F1512" s="706">
        <v>6.6406083486204841E-3</v>
      </c>
      <c r="G1512" s="705">
        <v>10.607896345828177</v>
      </c>
    </row>
    <row r="1513" spans="2:7" ht="11.25" hidden="1" customHeight="1" outlineLevel="2" x14ac:dyDescent="0.25">
      <c r="B1513" s="704" t="s">
        <v>687</v>
      </c>
      <c r="C1513" s="704" t="s">
        <v>766</v>
      </c>
      <c r="D1513" s="704" t="s">
        <v>675</v>
      </c>
      <c r="E1513" s="704" t="s">
        <v>448</v>
      </c>
      <c r="F1513" s="706">
        <v>3.3893286407440375E-2</v>
      </c>
      <c r="G1513" s="705">
        <v>54.337547976930551</v>
      </c>
    </row>
    <row r="1514" spans="2:7" ht="11.25" hidden="1" customHeight="1" outlineLevel="2" x14ac:dyDescent="0.25">
      <c r="B1514" s="704" t="s">
        <v>688</v>
      </c>
      <c r="C1514" s="704" t="s">
        <v>766</v>
      </c>
      <c r="D1514" s="704" t="s">
        <v>675</v>
      </c>
      <c r="E1514" s="704" t="s">
        <v>448</v>
      </c>
      <c r="F1514" s="706">
        <v>2.4328082004007268E-2</v>
      </c>
      <c r="G1514" s="705">
        <v>39.002672018541062</v>
      </c>
    </row>
    <row r="1515" spans="2:7" ht="11.25" hidden="1" customHeight="1" outlineLevel="2" x14ac:dyDescent="0.25">
      <c r="B1515" s="704" t="s">
        <v>689</v>
      </c>
      <c r="C1515" s="704" t="s">
        <v>766</v>
      </c>
      <c r="D1515" s="704" t="s">
        <v>675</v>
      </c>
      <c r="E1515" s="704" t="s">
        <v>448</v>
      </c>
      <c r="F1515" s="706">
        <v>3.6027456409736328E-3</v>
      </c>
      <c r="G1515" s="705">
        <v>5.7664931887694575</v>
      </c>
    </row>
    <row r="1516" spans="2:7" ht="11.25" hidden="1" customHeight="1" outlineLevel="2" x14ac:dyDescent="0.25">
      <c r="B1516" s="704" t="s">
        <v>690</v>
      </c>
      <c r="C1516" s="704" t="s">
        <v>766</v>
      </c>
      <c r="D1516" s="704" t="s">
        <v>675</v>
      </c>
      <c r="E1516" s="704" t="s">
        <v>448</v>
      </c>
      <c r="F1516" s="706">
        <v>7.8875390416495397E-2</v>
      </c>
      <c r="G1516" s="705">
        <v>126.95896122421105</v>
      </c>
    </row>
    <row r="1517" spans="2:7" ht="11.25" hidden="1" customHeight="1" outlineLevel="2" x14ac:dyDescent="0.25">
      <c r="B1517" s="704" t="s">
        <v>691</v>
      </c>
      <c r="C1517" s="704" t="s">
        <v>766</v>
      </c>
      <c r="D1517" s="704" t="s">
        <v>675</v>
      </c>
      <c r="E1517" s="704" t="s">
        <v>448</v>
      </c>
      <c r="F1517" s="706">
        <v>9.0078171615274011E-2</v>
      </c>
      <c r="G1517" s="705">
        <v>144.99114397208555</v>
      </c>
    </row>
    <row r="1518" spans="2:7" ht="11.25" hidden="1" customHeight="1" outlineLevel="2" x14ac:dyDescent="0.25">
      <c r="B1518" s="704" t="s">
        <v>692</v>
      </c>
      <c r="C1518" s="704" t="s">
        <v>766</v>
      </c>
      <c r="D1518" s="704" t="s">
        <v>675</v>
      </c>
      <c r="E1518" s="704" t="s">
        <v>448</v>
      </c>
      <c r="F1518" s="706">
        <v>5.2886386641339692E-3</v>
      </c>
      <c r="G1518" s="705">
        <v>8.4787187325651416</v>
      </c>
    </row>
    <row r="1519" spans="2:7" ht="11.25" hidden="1" customHeight="1" outlineLevel="2" x14ac:dyDescent="0.25">
      <c r="B1519" s="704" t="s">
        <v>693</v>
      </c>
      <c r="C1519" s="704" t="s">
        <v>766</v>
      </c>
      <c r="D1519" s="704" t="s">
        <v>675</v>
      </c>
      <c r="E1519" s="704" t="s">
        <v>448</v>
      </c>
      <c r="F1519" s="705">
        <v>1.3133351097044383E-2</v>
      </c>
      <c r="G1519" s="705">
        <v>21.164566221096404</v>
      </c>
    </row>
    <row r="1520" spans="2:7" ht="11.25" hidden="1" customHeight="1" outlineLevel="2" x14ac:dyDescent="0.25">
      <c r="B1520" s="704" t="s">
        <v>694</v>
      </c>
      <c r="C1520" s="704" t="s">
        <v>766</v>
      </c>
      <c r="D1520" s="704" t="s">
        <v>675</v>
      </c>
      <c r="E1520" s="704" t="s">
        <v>448</v>
      </c>
      <c r="F1520" s="705">
        <v>1.4724029773079436E-3</v>
      </c>
      <c r="G1520" s="705">
        <v>2.3727957349666298</v>
      </c>
    </row>
    <row r="1521" spans="2:7" ht="11.25" hidden="1" customHeight="1" outlineLevel="2" x14ac:dyDescent="0.25">
      <c r="B1521" s="704" t="s">
        <v>695</v>
      </c>
      <c r="C1521" s="704" t="s">
        <v>766</v>
      </c>
      <c r="D1521" s="704" t="s">
        <v>675</v>
      </c>
      <c r="E1521" s="704" t="s">
        <v>448</v>
      </c>
      <c r="F1521" s="706">
        <v>6.9840520178042417E-3</v>
      </c>
      <c r="G1521" s="705">
        <v>11.25488556841451</v>
      </c>
    </row>
    <row r="1522" spans="2:7" ht="11.25" hidden="1" customHeight="1" outlineLevel="2" x14ac:dyDescent="0.25">
      <c r="B1522" s="704" t="s">
        <v>696</v>
      </c>
      <c r="C1522" s="704" t="s">
        <v>766</v>
      </c>
      <c r="D1522" s="704" t="s">
        <v>675</v>
      </c>
      <c r="E1522" s="704" t="s">
        <v>448</v>
      </c>
      <c r="F1522" s="705">
        <v>1.7603790575566686E-2</v>
      </c>
      <c r="G1522" s="705">
        <v>28.12081523578625</v>
      </c>
    </row>
    <row r="1523" spans="2:7" ht="11.25" hidden="1" customHeight="1" outlineLevel="2" x14ac:dyDescent="0.25">
      <c r="B1523" s="704" t="s">
        <v>697</v>
      </c>
      <c r="C1523" s="704" t="s">
        <v>766</v>
      </c>
      <c r="D1523" s="704" t="s">
        <v>675</v>
      </c>
      <c r="E1523" s="704" t="s">
        <v>448</v>
      </c>
      <c r="F1523" s="705">
        <v>9.5473763614551642E-3</v>
      </c>
      <c r="G1523" s="705">
        <v>15.385721142870356</v>
      </c>
    </row>
    <row r="1524" spans="2:7" ht="11.25" hidden="1" customHeight="1" outlineLevel="2" x14ac:dyDescent="0.25">
      <c r="B1524" s="704" t="s">
        <v>698</v>
      </c>
      <c r="C1524" s="704" t="s">
        <v>766</v>
      </c>
      <c r="D1524" s="704" t="s">
        <v>675</v>
      </c>
      <c r="E1524" s="704" t="s">
        <v>448</v>
      </c>
      <c r="F1524" s="705">
        <v>1.0483854868132024E-2</v>
      </c>
      <c r="G1524" s="705">
        <v>16.894870028766086</v>
      </c>
    </row>
    <row r="1525" spans="2:7" ht="11.25" hidden="1" customHeight="1" outlineLevel="2" x14ac:dyDescent="0.25">
      <c r="B1525" s="704" t="s">
        <v>699</v>
      </c>
      <c r="C1525" s="704" t="s">
        <v>766</v>
      </c>
      <c r="D1525" s="704" t="s">
        <v>675</v>
      </c>
      <c r="E1525" s="704" t="s">
        <v>448</v>
      </c>
      <c r="F1525" s="705">
        <v>9.9999841675024043E-33</v>
      </c>
      <c r="G1525" s="705">
        <v>1.3023641966440594E-29</v>
      </c>
    </row>
    <row r="1526" spans="2:7" ht="11.25" hidden="1" customHeight="1" outlineLevel="2" x14ac:dyDescent="0.25">
      <c r="B1526" s="704" t="s">
        <v>673</v>
      </c>
      <c r="C1526" s="704" t="s">
        <v>767</v>
      </c>
      <c r="D1526" s="704" t="s">
        <v>675</v>
      </c>
      <c r="E1526" s="704" t="s">
        <v>448</v>
      </c>
      <c r="F1526" s="705">
        <v>1.6674982661846964E-3</v>
      </c>
      <c r="G1526" s="705">
        <v>1.7423591884838927</v>
      </c>
    </row>
    <row r="1527" spans="2:7" ht="11.25" hidden="1" customHeight="1" outlineLevel="2" x14ac:dyDescent="0.25">
      <c r="B1527" s="704" t="s">
        <v>677</v>
      </c>
      <c r="C1527" s="704" t="s">
        <v>767</v>
      </c>
      <c r="D1527" s="704" t="s">
        <v>675</v>
      </c>
      <c r="E1527" s="704" t="s">
        <v>448</v>
      </c>
      <c r="F1527" s="705">
        <v>2.7956649512240389E-2</v>
      </c>
      <c r="G1527" s="705">
        <v>28.914162741830111</v>
      </c>
    </row>
    <row r="1528" spans="2:7" ht="11.25" hidden="1" customHeight="1" outlineLevel="2" x14ac:dyDescent="0.25">
      <c r="B1528" s="704" t="s">
        <v>678</v>
      </c>
      <c r="C1528" s="704" t="s">
        <v>767</v>
      </c>
      <c r="D1528" s="704" t="s">
        <v>675</v>
      </c>
      <c r="E1528" s="704" t="s">
        <v>448</v>
      </c>
      <c r="F1528" s="705">
        <v>6.3844896985083638E-2</v>
      </c>
      <c r="G1528" s="705">
        <v>66.974308623725491</v>
      </c>
    </row>
    <row r="1529" spans="2:7" ht="11.25" hidden="1" customHeight="1" outlineLevel="2" x14ac:dyDescent="0.25">
      <c r="B1529" s="704" t="s">
        <v>679</v>
      </c>
      <c r="C1529" s="704" t="s">
        <v>767</v>
      </c>
      <c r="D1529" s="704" t="s">
        <v>675</v>
      </c>
      <c r="E1529" s="704" t="s">
        <v>448</v>
      </c>
      <c r="F1529" s="705">
        <v>5.1585676965125518E-3</v>
      </c>
      <c r="G1529" s="705">
        <v>5.4351088608429787</v>
      </c>
    </row>
    <row r="1530" spans="2:7" ht="11.25" hidden="1" customHeight="1" outlineLevel="2" x14ac:dyDescent="0.25">
      <c r="B1530" s="704" t="s">
        <v>680</v>
      </c>
      <c r="C1530" s="704" t="s">
        <v>767</v>
      </c>
      <c r="D1530" s="704" t="s">
        <v>675</v>
      </c>
      <c r="E1530" s="704" t="s">
        <v>448</v>
      </c>
      <c r="F1530" s="705">
        <v>9.5489417115571294E-4</v>
      </c>
      <c r="G1530" s="705">
        <v>1.0073816231320221</v>
      </c>
    </row>
    <row r="1531" spans="2:7" ht="11.25" hidden="1" customHeight="1" outlineLevel="2" x14ac:dyDescent="0.25">
      <c r="B1531" s="704" t="s">
        <v>681</v>
      </c>
      <c r="C1531" s="704" t="s">
        <v>767</v>
      </c>
      <c r="D1531" s="704" t="s">
        <v>675</v>
      </c>
      <c r="E1531" s="704" t="s">
        <v>448</v>
      </c>
      <c r="F1531" s="705">
        <v>8.0999188843776677E-3</v>
      </c>
      <c r="G1531" s="705">
        <v>8.4969468176300165</v>
      </c>
    </row>
    <row r="1532" spans="2:7" ht="11.25" hidden="1" customHeight="1" outlineLevel="2" x14ac:dyDescent="0.25">
      <c r="B1532" s="704" t="s">
        <v>682</v>
      </c>
      <c r="C1532" s="704" t="s">
        <v>767</v>
      </c>
      <c r="D1532" s="704" t="s">
        <v>675</v>
      </c>
      <c r="E1532" s="704" t="s">
        <v>448</v>
      </c>
      <c r="F1532" s="705">
        <v>7.1098522677548988E-3</v>
      </c>
      <c r="G1532" s="705">
        <v>7.4590178834742922</v>
      </c>
    </row>
    <row r="1533" spans="2:7" ht="11.25" hidden="1" customHeight="1" outlineLevel="2" x14ac:dyDescent="0.25">
      <c r="B1533" s="704" t="s">
        <v>683</v>
      </c>
      <c r="C1533" s="704" t="s">
        <v>767</v>
      </c>
      <c r="D1533" s="704" t="s">
        <v>675</v>
      </c>
      <c r="E1533" s="704" t="s">
        <v>448</v>
      </c>
      <c r="F1533" s="705">
        <v>1.1757368234064111E-2</v>
      </c>
      <c r="G1533" s="705">
        <v>12.387664284195946</v>
      </c>
    </row>
    <row r="1534" spans="2:7" ht="11.25" hidden="1" customHeight="1" outlineLevel="2" x14ac:dyDescent="0.25">
      <c r="B1534" s="704" t="s">
        <v>684</v>
      </c>
      <c r="C1534" s="704" t="s">
        <v>767</v>
      </c>
      <c r="D1534" s="704" t="s">
        <v>675</v>
      </c>
      <c r="E1534" s="704" t="s">
        <v>448</v>
      </c>
      <c r="F1534" s="705">
        <v>1.5327084604590581E-3</v>
      </c>
      <c r="G1534" s="705">
        <v>1.6169568228253335</v>
      </c>
    </row>
    <row r="1535" spans="2:7" ht="11.25" hidden="1" customHeight="1" outlineLevel="2" x14ac:dyDescent="0.25">
      <c r="B1535" s="704" t="s">
        <v>685</v>
      </c>
      <c r="C1535" s="704" t="s">
        <v>767</v>
      </c>
      <c r="D1535" s="704" t="s">
        <v>675</v>
      </c>
      <c r="E1535" s="704" t="s">
        <v>448</v>
      </c>
      <c r="F1535" s="705">
        <v>1.4109939860902176E-2</v>
      </c>
      <c r="G1535" s="705">
        <v>14.866340683713981</v>
      </c>
    </row>
    <row r="1536" spans="2:7" ht="11.25" hidden="1" customHeight="1" outlineLevel="2" x14ac:dyDescent="0.25">
      <c r="B1536" s="704" t="s">
        <v>686</v>
      </c>
      <c r="C1536" s="704" t="s">
        <v>767</v>
      </c>
      <c r="D1536" s="704" t="s">
        <v>675</v>
      </c>
      <c r="E1536" s="704" t="s">
        <v>448</v>
      </c>
      <c r="F1536" s="705">
        <v>3.3450330753355428E-3</v>
      </c>
      <c r="G1536" s="705">
        <v>3.4952073605644891</v>
      </c>
    </row>
    <row r="1537" spans="2:7" ht="11.25" hidden="1" customHeight="1" outlineLevel="2" x14ac:dyDescent="0.25">
      <c r="B1537" s="704" t="s">
        <v>687</v>
      </c>
      <c r="C1537" s="704" t="s">
        <v>767</v>
      </c>
      <c r="D1537" s="704" t="s">
        <v>675</v>
      </c>
      <c r="E1537" s="704" t="s">
        <v>448</v>
      </c>
      <c r="F1537" s="705">
        <v>1.7067163441156136E-2</v>
      </c>
      <c r="G1537" s="705">
        <v>17.903729312556393</v>
      </c>
    </row>
    <row r="1538" spans="2:7" ht="11.25" hidden="1" customHeight="1" outlineLevel="2" x14ac:dyDescent="0.25">
      <c r="B1538" s="704" t="s">
        <v>688</v>
      </c>
      <c r="C1538" s="704" t="s">
        <v>767</v>
      </c>
      <c r="D1538" s="704" t="s">
        <v>675</v>
      </c>
      <c r="E1538" s="704" t="s">
        <v>448</v>
      </c>
      <c r="F1538" s="705">
        <v>1.2250554028453707E-2</v>
      </c>
      <c r="G1538" s="705">
        <v>12.85101702751423</v>
      </c>
    </row>
    <row r="1539" spans="2:7" ht="11.25" hidden="1" customHeight="1" outlineLevel="2" x14ac:dyDescent="0.25">
      <c r="B1539" s="704" t="s">
        <v>689</v>
      </c>
      <c r="C1539" s="704" t="s">
        <v>767</v>
      </c>
      <c r="D1539" s="704" t="s">
        <v>675</v>
      </c>
      <c r="E1539" s="704" t="s">
        <v>448</v>
      </c>
      <c r="F1539" s="705">
        <v>1.8144578028780757E-3</v>
      </c>
      <c r="G1539" s="705">
        <v>1.9000064542108166</v>
      </c>
    </row>
    <row r="1540" spans="2:7" ht="11.25" hidden="1" customHeight="1" outlineLevel="2" x14ac:dyDescent="0.25">
      <c r="B1540" s="704" t="s">
        <v>690</v>
      </c>
      <c r="C1540" s="704" t="s">
        <v>767</v>
      </c>
      <c r="D1540" s="704" t="s">
        <v>675</v>
      </c>
      <c r="E1540" s="704" t="s">
        <v>448</v>
      </c>
      <c r="F1540" s="705">
        <v>3.9703402227266121E-2</v>
      </c>
      <c r="G1540" s="705">
        <v>41.831831126756654</v>
      </c>
    </row>
    <row r="1541" spans="2:7" ht="11.25" hidden="1" customHeight="1" outlineLevel="2" x14ac:dyDescent="0.25">
      <c r="B1541" s="704" t="s">
        <v>691</v>
      </c>
      <c r="C1541" s="704" t="s">
        <v>767</v>
      </c>
      <c r="D1541" s="704" t="s">
        <v>675</v>
      </c>
      <c r="E1541" s="704" t="s">
        <v>448</v>
      </c>
      <c r="F1541" s="705">
        <v>4.5342535818840353E-2</v>
      </c>
      <c r="G1541" s="705">
        <v>47.773265304127733</v>
      </c>
    </row>
    <row r="1542" spans="2:7" ht="11.25" hidden="1" customHeight="1" outlineLevel="2" x14ac:dyDescent="0.25">
      <c r="B1542" s="704" t="s">
        <v>692</v>
      </c>
      <c r="C1542" s="704" t="s">
        <v>767</v>
      </c>
      <c r="D1542" s="704" t="s">
        <v>675</v>
      </c>
      <c r="E1542" s="704" t="s">
        <v>448</v>
      </c>
      <c r="F1542" s="706">
        <v>2.6631252024846902E-3</v>
      </c>
      <c r="G1542" s="705">
        <v>2.7936613719433252</v>
      </c>
    </row>
    <row r="1543" spans="2:7" ht="11.25" hidden="1" customHeight="1" outlineLevel="2" x14ac:dyDescent="0.25">
      <c r="B1543" s="704" t="s">
        <v>693</v>
      </c>
      <c r="C1543" s="704" t="s">
        <v>767</v>
      </c>
      <c r="D1543" s="704" t="s">
        <v>675</v>
      </c>
      <c r="E1543" s="704" t="s">
        <v>448</v>
      </c>
      <c r="F1543" s="706">
        <v>6.6101909650428748E-3</v>
      </c>
      <c r="G1543" s="705">
        <v>6.9735336102156591</v>
      </c>
    </row>
    <row r="1544" spans="2:7" ht="11.25" hidden="1" customHeight="1" outlineLevel="2" x14ac:dyDescent="0.25">
      <c r="B1544" s="704" t="s">
        <v>694</v>
      </c>
      <c r="C1544" s="704" t="s">
        <v>767</v>
      </c>
      <c r="D1544" s="704" t="s">
        <v>675</v>
      </c>
      <c r="E1544" s="704" t="s">
        <v>448</v>
      </c>
      <c r="F1544" s="706">
        <v>7.4107992732697114E-4</v>
      </c>
      <c r="G1544" s="705">
        <v>0.78181478079180466</v>
      </c>
    </row>
    <row r="1545" spans="2:7" ht="11.25" hidden="1" customHeight="1" outlineLevel="2" x14ac:dyDescent="0.25">
      <c r="B1545" s="704" t="s">
        <v>695</v>
      </c>
      <c r="C1545" s="704" t="s">
        <v>767</v>
      </c>
      <c r="D1545" s="704" t="s">
        <v>675</v>
      </c>
      <c r="E1545" s="704" t="s">
        <v>448</v>
      </c>
      <c r="F1545" s="706">
        <v>3.5151675075415266E-3</v>
      </c>
      <c r="G1545" s="705">
        <v>3.7083852876024226</v>
      </c>
    </row>
    <row r="1546" spans="2:7" ht="11.25" hidden="1" customHeight="1" outlineLevel="2" x14ac:dyDescent="0.25">
      <c r="B1546" s="704" t="s">
        <v>696</v>
      </c>
      <c r="C1546" s="704" t="s">
        <v>767</v>
      </c>
      <c r="D1546" s="704" t="s">
        <v>675</v>
      </c>
      <c r="E1546" s="704" t="s">
        <v>448</v>
      </c>
      <c r="F1546" s="706">
        <v>8.8674558441865902E-3</v>
      </c>
      <c r="G1546" s="705">
        <v>9.2655523470312957</v>
      </c>
    </row>
    <row r="1547" spans="2:7" ht="11.25" hidden="1" customHeight="1" outlineLevel="2" x14ac:dyDescent="0.25">
      <c r="B1547" s="704" t="s">
        <v>697</v>
      </c>
      <c r="C1547" s="704" t="s">
        <v>767</v>
      </c>
      <c r="D1547" s="704" t="s">
        <v>675</v>
      </c>
      <c r="E1547" s="704" t="s">
        <v>448</v>
      </c>
      <c r="F1547" s="706">
        <v>4.8053217768195102E-3</v>
      </c>
      <c r="G1547" s="705">
        <v>5.0694566580504965</v>
      </c>
    </row>
    <row r="1548" spans="2:7" ht="11.25" hidden="1" customHeight="1" outlineLevel="2" x14ac:dyDescent="0.25">
      <c r="B1548" s="704" t="s">
        <v>698</v>
      </c>
      <c r="C1548" s="704" t="s">
        <v>767</v>
      </c>
      <c r="D1548" s="704" t="s">
        <v>675</v>
      </c>
      <c r="E1548" s="704" t="s">
        <v>448</v>
      </c>
      <c r="F1548" s="705">
        <v>5.2766650558513824E-3</v>
      </c>
      <c r="G1548" s="705">
        <v>5.5667056667213499</v>
      </c>
    </row>
    <row r="1549" spans="2:7" ht="11.25" hidden="1" customHeight="1" outlineLevel="2" x14ac:dyDescent="0.25">
      <c r="B1549" s="704" t="s">
        <v>699</v>
      </c>
      <c r="C1549" s="704" t="s">
        <v>767</v>
      </c>
      <c r="D1549" s="704" t="s">
        <v>675</v>
      </c>
      <c r="E1549" s="704" t="s">
        <v>448</v>
      </c>
      <c r="F1549" s="705">
        <v>1.3378774024136669E-33</v>
      </c>
      <c r="G1549" s="705">
        <v>1.5687843423089569E-30</v>
      </c>
    </row>
    <row r="1550" spans="2:7" ht="11.25" hidden="1" customHeight="1" outlineLevel="2" x14ac:dyDescent="0.25">
      <c r="B1550" s="704" t="s">
        <v>673</v>
      </c>
      <c r="C1550" s="704" t="s">
        <v>768</v>
      </c>
      <c r="D1550" s="704" t="s">
        <v>675</v>
      </c>
      <c r="E1550" s="704" t="s">
        <v>448</v>
      </c>
      <c r="F1550" s="705">
        <v>7.7692727787547378E-4</v>
      </c>
      <c r="G1550" s="705">
        <v>1.2308575538862856</v>
      </c>
    </row>
    <row r="1551" spans="2:7" ht="11.25" hidden="1" customHeight="1" outlineLevel="2" x14ac:dyDescent="0.25">
      <c r="B1551" s="704" t="s">
        <v>677</v>
      </c>
      <c r="C1551" s="704" t="s">
        <v>768</v>
      </c>
      <c r="D1551" s="704" t="s">
        <v>675</v>
      </c>
      <c r="E1551" s="704" t="s">
        <v>448</v>
      </c>
      <c r="F1551" s="705">
        <v>1.2994631924494258E-2</v>
      </c>
      <c r="G1551" s="705">
        <v>20.425876570073228</v>
      </c>
    </row>
    <row r="1552" spans="2:7" ht="11.25" hidden="1" customHeight="1" outlineLevel="2" x14ac:dyDescent="0.25">
      <c r="B1552" s="704" t="s">
        <v>678</v>
      </c>
      <c r="C1552" s="704" t="s">
        <v>768</v>
      </c>
      <c r="D1552" s="704" t="s">
        <v>675</v>
      </c>
      <c r="E1552" s="704" t="s">
        <v>448</v>
      </c>
      <c r="F1552" s="705">
        <v>2.9774306789756268E-2</v>
      </c>
      <c r="G1552" s="705">
        <v>47.312777291445258</v>
      </c>
    </row>
    <row r="1553" spans="2:7" ht="11.25" hidden="1" customHeight="1" outlineLevel="2" x14ac:dyDescent="0.25">
      <c r="B1553" s="704" t="s">
        <v>679</v>
      </c>
      <c r="C1553" s="704" t="s">
        <v>768</v>
      </c>
      <c r="D1553" s="704" t="s">
        <v>675</v>
      </c>
      <c r="E1553" s="704" t="s">
        <v>448</v>
      </c>
      <c r="F1553" s="705">
        <v>2.4081884053820716E-3</v>
      </c>
      <c r="G1553" s="705">
        <v>3.8395334144719246</v>
      </c>
    </row>
    <row r="1554" spans="2:7" ht="11.25" hidden="1" customHeight="1" outlineLevel="2" x14ac:dyDescent="0.25">
      <c r="B1554" s="704" t="s">
        <v>680</v>
      </c>
      <c r="C1554" s="704" t="s">
        <v>768</v>
      </c>
      <c r="D1554" s="704" t="s">
        <v>675</v>
      </c>
      <c r="E1554" s="704" t="s">
        <v>448</v>
      </c>
      <c r="F1554" s="705">
        <v>4.4591123197610955E-4</v>
      </c>
      <c r="G1554" s="705">
        <v>0.71164633055443249</v>
      </c>
    </row>
    <row r="1555" spans="2:7" ht="11.25" hidden="1" customHeight="1" outlineLevel="2" x14ac:dyDescent="0.25">
      <c r="B1555" s="704" t="s">
        <v>681</v>
      </c>
      <c r="C1555" s="704" t="s">
        <v>768</v>
      </c>
      <c r="D1555" s="704" t="s">
        <v>675</v>
      </c>
      <c r="E1555" s="704" t="s">
        <v>448</v>
      </c>
      <c r="F1555" s="705">
        <v>3.7774291049893606E-3</v>
      </c>
      <c r="G1555" s="705">
        <v>6.0025125252576137</v>
      </c>
    </row>
    <row r="1556" spans="2:7" ht="11.25" hidden="1" customHeight="1" outlineLevel="2" x14ac:dyDescent="0.25">
      <c r="B1556" s="704" t="s">
        <v>682</v>
      </c>
      <c r="C1556" s="704" t="s">
        <v>768</v>
      </c>
      <c r="D1556" s="704" t="s">
        <v>675</v>
      </c>
      <c r="E1556" s="704" t="s">
        <v>448</v>
      </c>
      <c r="F1556" s="705">
        <v>3.3157763943667071E-3</v>
      </c>
      <c r="G1556" s="705">
        <v>5.2692873499703339</v>
      </c>
    </row>
    <row r="1557" spans="2:7" ht="11.25" hidden="1" customHeight="1" outlineLevel="2" x14ac:dyDescent="0.25">
      <c r="B1557" s="704" t="s">
        <v>683</v>
      </c>
      <c r="C1557" s="704" t="s">
        <v>768</v>
      </c>
      <c r="D1557" s="704" t="s">
        <v>675</v>
      </c>
      <c r="E1557" s="704" t="s">
        <v>448</v>
      </c>
      <c r="F1557" s="705">
        <v>5.4887267597359974E-3</v>
      </c>
      <c r="G1557" s="705">
        <v>8.7510339113744173</v>
      </c>
    </row>
    <row r="1558" spans="2:7" ht="11.25" hidden="1" customHeight="1" outlineLevel="2" x14ac:dyDescent="0.25">
      <c r="B1558" s="704" t="s">
        <v>684</v>
      </c>
      <c r="C1558" s="704" t="s">
        <v>768</v>
      </c>
      <c r="D1558" s="704" t="s">
        <v>675</v>
      </c>
      <c r="E1558" s="704" t="s">
        <v>448</v>
      </c>
      <c r="F1558" s="705">
        <v>7.1573546444358722E-4</v>
      </c>
      <c r="G1558" s="705">
        <v>1.1422702605344375</v>
      </c>
    </row>
    <row r="1559" spans="2:7" ht="11.25" hidden="1" customHeight="1" outlineLevel="2" x14ac:dyDescent="0.25">
      <c r="B1559" s="704" t="s">
        <v>685</v>
      </c>
      <c r="C1559" s="704" t="s">
        <v>768</v>
      </c>
      <c r="D1559" s="704" t="s">
        <v>675</v>
      </c>
      <c r="E1559" s="704" t="s">
        <v>448</v>
      </c>
      <c r="F1559" s="705">
        <v>6.5869802633671554E-3</v>
      </c>
      <c r="G1559" s="705">
        <v>10.502063640684286</v>
      </c>
    </row>
    <row r="1560" spans="2:7" ht="11.25" hidden="1" customHeight="1" outlineLevel="2" x14ac:dyDescent="0.25">
      <c r="B1560" s="704" t="s">
        <v>686</v>
      </c>
      <c r="C1560" s="704" t="s">
        <v>768</v>
      </c>
      <c r="D1560" s="704" t="s">
        <v>675</v>
      </c>
      <c r="E1560" s="704" t="s">
        <v>448</v>
      </c>
      <c r="F1560" s="705">
        <v>1.5585316636509891E-3</v>
      </c>
      <c r="G1560" s="705">
        <v>2.4691239449128535</v>
      </c>
    </row>
    <row r="1561" spans="2:7" ht="11.25" hidden="1" customHeight="1" outlineLevel="2" x14ac:dyDescent="0.25">
      <c r="B1561" s="704" t="s">
        <v>687</v>
      </c>
      <c r="C1561" s="704" t="s">
        <v>768</v>
      </c>
      <c r="D1561" s="704" t="s">
        <v>675</v>
      </c>
      <c r="E1561" s="704" t="s">
        <v>448</v>
      </c>
      <c r="F1561" s="705">
        <v>7.9593406719046036E-3</v>
      </c>
      <c r="G1561" s="705">
        <v>12.647765756651916</v>
      </c>
    </row>
    <row r="1562" spans="2:7" ht="11.25" hidden="1" customHeight="1" outlineLevel="2" x14ac:dyDescent="0.25">
      <c r="B1562" s="704" t="s">
        <v>688</v>
      </c>
      <c r="C1562" s="704" t="s">
        <v>768</v>
      </c>
      <c r="D1562" s="704" t="s">
        <v>675</v>
      </c>
      <c r="E1562" s="704" t="s">
        <v>448</v>
      </c>
      <c r="F1562" s="705">
        <v>5.7130946191812949E-3</v>
      </c>
      <c r="G1562" s="705">
        <v>9.0783724197196118</v>
      </c>
    </row>
    <row r="1563" spans="2:7" ht="11.25" hidden="1" customHeight="1" outlineLevel="2" x14ac:dyDescent="0.25">
      <c r="B1563" s="704" t="s">
        <v>689</v>
      </c>
      <c r="C1563" s="704" t="s">
        <v>768</v>
      </c>
      <c r="D1563" s="704" t="s">
        <v>675</v>
      </c>
      <c r="E1563" s="704" t="s">
        <v>448</v>
      </c>
      <c r="F1563" s="705">
        <v>8.458262820319239E-4</v>
      </c>
      <c r="G1563" s="705">
        <v>1.3422244252642226</v>
      </c>
    </row>
    <row r="1564" spans="2:7" ht="11.25" hidden="1" customHeight="1" outlineLevel="2" x14ac:dyDescent="0.25">
      <c r="B1564" s="704" t="s">
        <v>690</v>
      </c>
      <c r="C1564" s="704" t="s">
        <v>768</v>
      </c>
      <c r="D1564" s="704" t="s">
        <v>675</v>
      </c>
      <c r="E1564" s="704" t="s">
        <v>448</v>
      </c>
      <c r="F1564" s="705">
        <v>1.8534852354382979E-2</v>
      </c>
      <c r="G1564" s="705">
        <v>29.551335518688099</v>
      </c>
    </row>
    <row r="1565" spans="2:7" ht="11.25" hidden="1" customHeight="1" outlineLevel="2" x14ac:dyDescent="0.25">
      <c r="B1565" s="704" t="s">
        <v>691</v>
      </c>
      <c r="C1565" s="704" t="s">
        <v>768</v>
      </c>
      <c r="D1565" s="704" t="s">
        <v>675</v>
      </c>
      <c r="E1565" s="704" t="s">
        <v>448</v>
      </c>
      <c r="F1565" s="705">
        <v>2.1167384282546501E-2</v>
      </c>
      <c r="G1565" s="705">
        <v>33.748545599238625</v>
      </c>
    </row>
    <row r="1566" spans="2:7" ht="11.25" hidden="1" customHeight="1" outlineLevel="2" x14ac:dyDescent="0.25">
      <c r="B1566" s="704" t="s">
        <v>692</v>
      </c>
      <c r="C1566" s="704" t="s">
        <v>768</v>
      </c>
      <c r="D1566" s="704" t="s">
        <v>675</v>
      </c>
      <c r="E1566" s="704" t="s">
        <v>448</v>
      </c>
      <c r="F1566" s="705">
        <v>1.2419587380555338E-3</v>
      </c>
      <c r="G1566" s="705">
        <v>1.9735309144422348</v>
      </c>
    </row>
    <row r="1567" spans="2:7" ht="11.25" hidden="1" customHeight="1" outlineLevel="2" x14ac:dyDescent="0.25">
      <c r="B1567" s="704" t="s">
        <v>693</v>
      </c>
      <c r="C1567" s="704" t="s">
        <v>768</v>
      </c>
      <c r="D1567" s="704" t="s">
        <v>675</v>
      </c>
      <c r="E1567" s="704" t="s">
        <v>448</v>
      </c>
      <c r="F1567" s="705">
        <v>3.0867903854900204E-3</v>
      </c>
      <c r="G1567" s="705">
        <v>4.9263246421715374</v>
      </c>
    </row>
    <row r="1568" spans="2:7" ht="11.25" hidden="1" customHeight="1" outlineLevel="2" x14ac:dyDescent="0.25">
      <c r="B1568" s="704" t="s">
        <v>694</v>
      </c>
      <c r="C1568" s="704" t="s">
        <v>768</v>
      </c>
      <c r="D1568" s="704" t="s">
        <v>675</v>
      </c>
      <c r="E1568" s="704" t="s">
        <v>448</v>
      </c>
      <c r="F1568" s="705">
        <v>3.4606536769126632E-4</v>
      </c>
      <c r="G1568" s="705">
        <v>0.55229865551432544</v>
      </c>
    </row>
    <row r="1569" spans="2:7" ht="11.25" hidden="1" customHeight="1" outlineLevel="2" x14ac:dyDescent="0.25">
      <c r="B1569" s="704" t="s">
        <v>695</v>
      </c>
      <c r="C1569" s="704" t="s">
        <v>768</v>
      </c>
      <c r="D1569" s="704" t="s">
        <v>675</v>
      </c>
      <c r="E1569" s="704" t="s">
        <v>448</v>
      </c>
      <c r="F1569" s="705">
        <v>1.6414933486810191E-3</v>
      </c>
      <c r="G1569" s="705">
        <v>2.6197204352138903</v>
      </c>
    </row>
    <row r="1570" spans="2:7" ht="11.25" hidden="1" customHeight="1" outlineLevel="2" x14ac:dyDescent="0.25">
      <c r="B1570" s="704" t="s">
        <v>696</v>
      </c>
      <c r="C1570" s="704" t="s">
        <v>768</v>
      </c>
      <c r="D1570" s="704" t="s">
        <v>675</v>
      </c>
      <c r="E1570" s="704" t="s">
        <v>448</v>
      </c>
      <c r="F1570" s="705">
        <v>4.1315594028742027E-3</v>
      </c>
      <c r="G1570" s="705">
        <v>6.5454798931552025</v>
      </c>
    </row>
    <row r="1571" spans="2:7" ht="11.25" hidden="1" customHeight="1" outlineLevel="2" x14ac:dyDescent="0.25">
      <c r="B1571" s="704" t="s">
        <v>697</v>
      </c>
      <c r="C1571" s="704" t="s">
        <v>768</v>
      </c>
      <c r="D1571" s="704" t="s">
        <v>675</v>
      </c>
      <c r="E1571" s="704" t="s">
        <v>448</v>
      </c>
      <c r="F1571" s="705">
        <v>2.2439635639761295E-3</v>
      </c>
      <c r="G1571" s="705">
        <v>3.5812248277846779</v>
      </c>
    </row>
    <row r="1572" spans="2:7" ht="11.25" hidden="1" customHeight="1" outlineLevel="2" x14ac:dyDescent="0.25">
      <c r="B1572" s="704" t="s">
        <v>698</v>
      </c>
      <c r="C1572" s="704" t="s">
        <v>768</v>
      </c>
      <c r="D1572" s="704" t="s">
        <v>675</v>
      </c>
      <c r="E1572" s="704" t="s">
        <v>448</v>
      </c>
      <c r="F1572" s="705">
        <v>2.4640673377183558E-3</v>
      </c>
      <c r="G1572" s="705">
        <v>3.932498989331306</v>
      </c>
    </row>
    <row r="1573" spans="2:7" ht="11.25" hidden="1" customHeight="1" outlineLevel="2" x14ac:dyDescent="0.25">
      <c r="B1573" s="704" t="s">
        <v>699</v>
      </c>
      <c r="C1573" s="704" t="s">
        <v>768</v>
      </c>
      <c r="D1573" s="704" t="s">
        <v>675</v>
      </c>
      <c r="E1573" s="704" t="s">
        <v>448</v>
      </c>
      <c r="F1573" s="705">
        <v>7.4273721289766249E-35</v>
      </c>
      <c r="G1573" s="705">
        <v>1.1561437038615444E-31</v>
      </c>
    </row>
    <row r="1574" spans="2:7" ht="11.25" hidden="1" customHeight="1" outlineLevel="2" x14ac:dyDescent="0.25">
      <c r="B1574" s="704" t="s">
        <v>673</v>
      </c>
      <c r="C1574" s="704" t="s">
        <v>769</v>
      </c>
      <c r="D1574" s="704" t="s">
        <v>563</v>
      </c>
      <c r="E1574" s="704" t="s">
        <v>448</v>
      </c>
      <c r="F1574" s="705">
        <v>1.5213487945923707E-2</v>
      </c>
      <c r="G1574" s="705">
        <v>16.121582572880097</v>
      </c>
    </row>
    <row r="1575" spans="2:7" ht="11.25" hidden="1" customHeight="1" outlineLevel="2" x14ac:dyDescent="0.25">
      <c r="B1575" s="704" t="s">
        <v>677</v>
      </c>
      <c r="C1575" s="704" t="s">
        <v>769</v>
      </c>
      <c r="D1575" s="704" t="s">
        <v>563</v>
      </c>
      <c r="E1575" s="704" t="s">
        <v>448</v>
      </c>
      <c r="F1575" s="705">
        <v>6.4999079531758361E-2</v>
      </c>
      <c r="G1575" s="705">
        <v>68.31038307665645</v>
      </c>
    </row>
    <row r="1576" spans="2:7" ht="11.25" hidden="1" customHeight="1" outlineLevel="2" x14ac:dyDescent="0.25">
      <c r="B1576" s="704" t="s">
        <v>678</v>
      </c>
      <c r="C1576" s="704" t="s">
        <v>769</v>
      </c>
      <c r="D1576" s="704" t="s">
        <v>563</v>
      </c>
      <c r="E1576" s="704" t="s">
        <v>448</v>
      </c>
      <c r="F1576" s="705">
        <v>0.11752235067220348</v>
      </c>
      <c r="G1576" s="705">
        <v>125.01342704825485</v>
      </c>
    </row>
    <row r="1577" spans="2:7" ht="11.25" hidden="1" customHeight="1" outlineLevel="2" x14ac:dyDescent="0.25">
      <c r="B1577" s="704" t="s">
        <v>679</v>
      </c>
      <c r="C1577" s="704" t="s">
        <v>769</v>
      </c>
      <c r="D1577" s="704" t="s">
        <v>563</v>
      </c>
      <c r="E1577" s="704" t="s">
        <v>448</v>
      </c>
      <c r="F1577" s="705">
        <v>3.1322339779011848E-3</v>
      </c>
      <c r="G1577" s="705">
        <v>3.3451536773093613</v>
      </c>
    </row>
    <row r="1578" spans="2:7" ht="11.25" hidden="1" customHeight="1" outlineLevel="2" x14ac:dyDescent="0.25">
      <c r="B1578" s="704" t="s">
        <v>680</v>
      </c>
      <c r="C1578" s="704" t="s">
        <v>769</v>
      </c>
      <c r="D1578" s="704" t="s">
        <v>563</v>
      </c>
      <c r="E1578" s="704" t="s">
        <v>448</v>
      </c>
      <c r="F1578" s="705">
        <v>7.5825981585375575E-3</v>
      </c>
      <c r="G1578" s="705">
        <v>8.1050029384108129</v>
      </c>
    </row>
    <row r="1579" spans="2:7" ht="11.25" hidden="1" customHeight="1" outlineLevel="2" x14ac:dyDescent="0.25">
      <c r="B1579" s="704" t="s">
        <v>681</v>
      </c>
      <c r="C1579" s="704" t="s">
        <v>769</v>
      </c>
      <c r="D1579" s="704" t="s">
        <v>563</v>
      </c>
      <c r="E1579" s="704" t="s">
        <v>448</v>
      </c>
      <c r="F1579" s="705">
        <v>1.637924803889465E-2</v>
      </c>
      <c r="G1579" s="705">
        <v>17.423298631607793</v>
      </c>
    </row>
    <row r="1580" spans="2:7" ht="11.25" hidden="1" customHeight="1" outlineLevel="2" x14ac:dyDescent="0.25">
      <c r="B1580" s="704" t="s">
        <v>682</v>
      </c>
      <c r="C1580" s="704" t="s">
        <v>769</v>
      </c>
      <c r="D1580" s="704" t="s">
        <v>563</v>
      </c>
      <c r="E1580" s="704" t="s">
        <v>448</v>
      </c>
      <c r="F1580" s="705">
        <v>1.49373867446263E-2</v>
      </c>
      <c r="G1580" s="705">
        <v>15.890699504536363</v>
      </c>
    </row>
    <row r="1581" spans="2:7" ht="11.25" hidden="1" customHeight="1" outlineLevel="2" x14ac:dyDescent="0.25">
      <c r="B1581" s="704" t="s">
        <v>683</v>
      </c>
      <c r="C1581" s="704" t="s">
        <v>769</v>
      </c>
      <c r="D1581" s="704" t="s">
        <v>563</v>
      </c>
      <c r="E1581" s="704" t="s">
        <v>448</v>
      </c>
      <c r="F1581" s="705">
        <v>5.1720938974191806E-3</v>
      </c>
      <c r="G1581" s="705">
        <v>5.5236816032044196</v>
      </c>
    </row>
    <row r="1582" spans="2:7" ht="11.25" hidden="1" customHeight="1" outlineLevel="2" x14ac:dyDescent="0.25">
      <c r="B1582" s="704" t="s">
        <v>684</v>
      </c>
      <c r="C1582" s="704" t="s">
        <v>769</v>
      </c>
      <c r="D1582" s="704" t="s">
        <v>563</v>
      </c>
      <c r="E1582" s="704" t="s">
        <v>448</v>
      </c>
      <c r="F1582" s="705">
        <v>1.0731384687763731E-2</v>
      </c>
      <c r="G1582" s="705">
        <v>11.324895939563417</v>
      </c>
    </row>
    <row r="1583" spans="2:7" ht="11.25" hidden="1" customHeight="1" outlineLevel="2" x14ac:dyDescent="0.25">
      <c r="B1583" s="704" t="s">
        <v>685</v>
      </c>
      <c r="C1583" s="704" t="s">
        <v>769</v>
      </c>
      <c r="D1583" s="704" t="s">
        <v>563</v>
      </c>
      <c r="E1583" s="704" t="s">
        <v>448</v>
      </c>
      <c r="F1583" s="705">
        <v>3.9477167613563027E-2</v>
      </c>
      <c r="G1583" s="705">
        <v>42.160711308315491</v>
      </c>
    </row>
    <row r="1584" spans="2:7" ht="11.25" hidden="1" customHeight="1" outlineLevel="2" x14ac:dyDescent="0.25">
      <c r="B1584" s="704" t="s">
        <v>686</v>
      </c>
      <c r="C1584" s="704" t="s">
        <v>769</v>
      </c>
      <c r="D1584" s="704" t="s">
        <v>563</v>
      </c>
      <c r="E1584" s="704" t="s">
        <v>448</v>
      </c>
      <c r="F1584" s="705">
        <v>3.9099877627100724E-3</v>
      </c>
      <c r="G1584" s="705">
        <v>4.143372622936031</v>
      </c>
    </row>
    <row r="1585" spans="2:7" ht="11.25" hidden="1" customHeight="1" outlineLevel="2" x14ac:dyDescent="0.25">
      <c r="B1585" s="704" t="s">
        <v>687</v>
      </c>
      <c r="C1585" s="704" t="s">
        <v>769</v>
      </c>
      <c r="D1585" s="704" t="s">
        <v>563</v>
      </c>
      <c r="E1585" s="704" t="s">
        <v>448</v>
      </c>
      <c r="F1585" s="705">
        <v>2.645061454633274E-2</v>
      </c>
      <c r="G1585" s="705">
        <v>28.136632427405448</v>
      </c>
    </row>
    <row r="1586" spans="2:7" ht="11.25" hidden="1" customHeight="1" outlineLevel="2" x14ac:dyDescent="0.25">
      <c r="B1586" s="704" t="s">
        <v>688</v>
      </c>
      <c r="C1586" s="704" t="s">
        <v>769</v>
      </c>
      <c r="D1586" s="704" t="s">
        <v>563</v>
      </c>
      <c r="E1586" s="704" t="s">
        <v>448</v>
      </c>
      <c r="F1586" s="705">
        <v>3.5923986006507001E-2</v>
      </c>
      <c r="G1586" s="705">
        <v>38.213830774558339</v>
      </c>
    </row>
    <row r="1587" spans="2:7" ht="11.25" hidden="1" customHeight="1" outlineLevel="2" x14ac:dyDescent="0.25">
      <c r="B1587" s="704" t="s">
        <v>689</v>
      </c>
      <c r="C1587" s="704" t="s">
        <v>769</v>
      </c>
      <c r="D1587" s="704" t="s">
        <v>563</v>
      </c>
      <c r="E1587" s="704" t="s">
        <v>448</v>
      </c>
      <c r="F1587" s="705">
        <v>4.8402610954992433E-3</v>
      </c>
      <c r="G1587" s="705">
        <v>5.1419402006522743</v>
      </c>
    </row>
    <row r="1588" spans="2:7" ht="11.25" hidden="1" customHeight="1" outlineLevel="2" x14ac:dyDescent="0.25">
      <c r="B1588" s="704" t="s">
        <v>690</v>
      </c>
      <c r="C1588" s="704" t="s">
        <v>769</v>
      </c>
      <c r="D1588" s="704" t="s">
        <v>563</v>
      </c>
      <c r="E1588" s="704" t="s">
        <v>448</v>
      </c>
      <c r="F1588" s="706">
        <v>6.6229954265306451E-2</v>
      </c>
      <c r="G1588" s="705">
        <v>70.732053087906706</v>
      </c>
    </row>
    <row r="1589" spans="2:7" ht="11.25" hidden="1" customHeight="1" outlineLevel="2" x14ac:dyDescent="0.25">
      <c r="B1589" s="704" t="s">
        <v>691</v>
      </c>
      <c r="C1589" s="704" t="s">
        <v>769</v>
      </c>
      <c r="D1589" s="704" t="s">
        <v>563</v>
      </c>
      <c r="E1589" s="704" t="s">
        <v>448</v>
      </c>
      <c r="F1589" s="706">
        <v>4.8627803536123622E-2</v>
      </c>
      <c r="G1589" s="705">
        <v>51.933390848799085</v>
      </c>
    </row>
    <row r="1590" spans="2:7" ht="11.25" hidden="1" customHeight="1" outlineLevel="2" x14ac:dyDescent="0.25">
      <c r="B1590" s="704" t="s">
        <v>692</v>
      </c>
      <c r="C1590" s="704" t="s">
        <v>769</v>
      </c>
      <c r="D1590" s="704" t="s">
        <v>563</v>
      </c>
      <c r="E1590" s="704" t="s">
        <v>448</v>
      </c>
      <c r="F1590" s="706">
        <v>3.9989941401296861E-3</v>
      </c>
      <c r="G1590" s="705">
        <v>4.2538944306374269</v>
      </c>
    </row>
    <row r="1591" spans="2:7" ht="11.25" hidden="1" customHeight="1" outlineLevel="2" x14ac:dyDescent="0.25">
      <c r="B1591" s="704" t="s">
        <v>693</v>
      </c>
      <c r="C1591" s="704" t="s">
        <v>769</v>
      </c>
      <c r="D1591" s="704" t="s">
        <v>563</v>
      </c>
      <c r="E1591" s="704" t="s">
        <v>448</v>
      </c>
      <c r="F1591" s="706">
        <v>2.1438058094865654E-3</v>
      </c>
      <c r="G1591" s="705">
        <v>2.2915036852323509</v>
      </c>
    </row>
    <row r="1592" spans="2:7" ht="11.25" hidden="1" customHeight="1" outlineLevel="2" x14ac:dyDescent="0.25">
      <c r="B1592" s="704" t="s">
        <v>694</v>
      </c>
      <c r="C1592" s="704" t="s">
        <v>769</v>
      </c>
      <c r="D1592" s="704" t="s">
        <v>563</v>
      </c>
      <c r="E1592" s="704" t="s">
        <v>448</v>
      </c>
      <c r="F1592" s="706">
        <v>1.4590749894531321E-3</v>
      </c>
      <c r="G1592" s="705">
        <v>1.5595986469633485</v>
      </c>
    </row>
    <row r="1593" spans="2:7" ht="11.25" hidden="1" customHeight="1" outlineLevel="2" x14ac:dyDescent="0.25">
      <c r="B1593" s="704" t="s">
        <v>695</v>
      </c>
      <c r="C1593" s="704" t="s">
        <v>769</v>
      </c>
      <c r="D1593" s="704" t="s">
        <v>563</v>
      </c>
      <c r="E1593" s="704" t="s">
        <v>448</v>
      </c>
      <c r="F1593" s="706">
        <v>1.0252585822422521E-2</v>
      </c>
      <c r="G1593" s="705">
        <v>10.958948589093893</v>
      </c>
    </row>
    <row r="1594" spans="2:7" ht="11.25" hidden="1" customHeight="1" outlineLevel="2" x14ac:dyDescent="0.25">
      <c r="B1594" s="704" t="s">
        <v>696</v>
      </c>
      <c r="C1594" s="704" t="s">
        <v>769</v>
      </c>
      <c r="D1594" s="704" t="s">
        <v>563</v>
      </c>
      <c r="E1594" s="704" t="s">
        <v>448</v>
      </c>
      <c r="F1594" s="706">
        <v>3.7129822650086991E-2</v>
      </c>
      <c r="G1594" s="705">
        <v>39.346077312132827</v>
      </c>
    </row>
    <row r="1595" spans="2:7" ht="11.25" hidden="1" customHeight="1" outlineLevel="2" x14ac:dyDescent="0.25">
      <c r="B1595" s="704" t="s">
        <v>697</v>
      </c>
      <c r="C1595" s="704" t="s">
        <v>769</v>
      </c>
      <c r="D1595" s="704" t="s">
        <v>563</v>
      </c>
      <c r="E1595" s="704" t="s">
        <v>448</v>
      </c>
      <c r="F1595" s="706">
        <v>1.8602631201337757E-2</v>
      </c>
      <c r="G1595" s="705">
        <v>19.884245098114253</v>
      </c>
    </row>
    <row r="1596" spans="2:7" ht="11.25" hidden="1" customHeight="1" outlineLevel="2" x14ac:dyDescent="0.25">
      <c r="B1596" s="704" t="s">
        <v>698</v>
      </c>
      <c r="C1596" s="704" t="s">
        <v>769</v>
      </c>
      <c r="D1596" s="704" t="s">
        <v>563</v>
      </c>
      <c r="E1596" s="704" t="s">
        <v>448</v>
      </c>
      <c r="F1596" s="706">
        <v>4.86664772951928E-3</v>
      </c>
      <c r="G1596" s="705">
        <v>4.8426040666188399</v>
      </c>
    </row>
    <row r="1597" spans="2:7" ht="11.25" hidden="1" customHeight="1" outlineLevel="2" x14ac:dyDescent="0.25">
      <c r="B1597" s="704" t="s">
        <v>699</v>
      </c>
      <c r="C1597" s="704" t="s">
        <v>769</v>
      </c>
      <c r="D1597" s="704" t="s">
        <v>563</v>
      </c>
      <c r="E1597" s="704" t="s">
        <v>448</v>
      </c>
      <c r="F1597" s="706">
        <v>8.9166915397259433E-2</v>
      </c>
      <c r="G1597" s="705">
        <v>94.850497481921465</v>
      </c>
    </row>
    <row r="1598" spans="2:7" ht="11.25" hidden="1" customHeight="1" outlineLevel="2" x14ac:dyDescent="0.25">
      <c r="B1598" s="704" t="s">
        <v>673</v>
      </c>
      <c r="C1598" s="704" t="s">
        <v>770</v>
      </c>
      <c r="D1598" s="704" t="s">
        <v>563</v>
      </c>
      <c r="E1598" s="704" t="s">
        <v>448</v>
      </c>
      <c r="F1598" s="706">
        <v>1.3833928443991507E-2</v>
      </c>
      <c r="G1598" s="705">
        <v>47.740332808858454</v>
      </c>
    </row>
    <row r="1599" spans="2:7" ht="11.25" hidden="1" customHeight="1" outlineLevel="2" x14ac:dyDescent="0.25">
      <c r="B1599" s="704" t="s">
        <v>677</v>
      </c>
      <c r="C1599" s="704" t="s">
        <v>770</v>
      </c>
      <c r="D1599" s="704" t="s">
        <v>563</v>
      </c>
      <c r="E1599" s="704" t="s">
        <v>448</v>
      </c>
      <c r="F1599" s="706">
        <v>5.9119199692486461E-2</v>
      </c>
      <c r="G1599" s="705">
        <v>202.28545366487577</v>
      </c>
    </row>
    <row r="1600" spans="2:7" ht="11.25" hidden="1" customHeight="1" outlineLevel="2" x14ac:dyDescent="0.25">
      <c r="B1600" s="704" t="s">
        <v>678</v>
      </c>
      <c r="C1600" s="704" t="s">
        <v>770</v>
      </c>
      <c r="D1600" s="704" t="s">
        <v>563</v>
      </c>
      <c r="E1600" s="704" t="s">
        <v>448</v>
      </c>
      <c r="F1600" s="706">
        <v>0.10685348586416167</v>
      </c>
      <c r="G1600" s="705">
        <v>370.1985804071499</v>
      </c>
    </row>
    <row r="1601" spans="2:7" ht="11.25" hidden="1" customHeight="1" outlineLevel="2" x14ac:dyDescent="0.25">
      <c r="B1601" s="704" t="s">
        <v>679</v>
      </c>
      <c r="C1601" s="704" t="s">
        <v>770</v>
      </c>
      <c r="D1601" s="704" t="s">
        <v>563</v>
      </c>
      <c r="E1601" s="704" t="s">
        <v>448</v>
      </c>
      <c r="F1601" s="706">
        <v>2.8475511534117211E-3</v>
      </c>
      <c r="G1601" s="705">
        <v>9.9059041064606372</v>
      </c>
    </row>
    <row r="1602" spans="2:7" ht="11.25" hidden="1" customHeight="1" outlineLevel="2" x14ac:dyDescent="0.25">
      <c r="B1602" s="704" t="s">
        <v>680</v>
      </c>
      <c r="C1602" s="704" t="s">
        <v>770</v>
      </c>
      <c r="D1602" s="704" t="s">
        <v>563</v>
      </c>
      <c r="E1602" s="704" t="s">
        <v>448</v>
      </c>
      <c r="F1602" s="706">
        <v>6.8932562975588703E-3</v>
      </c>
      <c r="G1602" s="705">
        <v>24.001085114896568</v>
      </c>
    </row>
    <row r="1603" spans="2:7" ht="11.25" hidden="1" customHeight="1" outlineLevel="2" x14ac:dyDescent="0.25">
      <c r="B1603" s="704" t="s">
        <v>681</v>
      </c>
      <c r="C1603" s="704" t="s">
        <v>770</v>
      </c>
      <c r="D1603" s="704" t="s">
        <v>563</v>
      </c>
      <c r="E1603" s="704" t="s">
        <v>448</v>
      </c>
      <c r="F1603" s="706">
        <v>1.4892312256483516E-2</v>
      </c>
      <c r="G1603" s="705">
        <v>51.595084187382454</v>
      </c>
    </row>
    <row r="1604" spans="2:7" ht="11.25" hidden="1" customHeight="1" outlineLevel="2" x14ac:dyDescent="0.25">
      <c r="B1604" s="704" t="s">
        <v>682</v>
      </c>
      <c r="C1604" s="704" t="s">
        <v>770</v>
      </c>
      <c r="D1604" s="704" t="s">
        <v>563</v>
      </c>
      <c r="E1604" s="704" t="s">
        <v>448</v>
      </c>
      <c r="F1604" s="706">
        <v>1.358131409967772E-2</v>
      </c>
      <c r="G1604" s="705">
        <v>47.056671666416712</v>
      </c>
    </row>
    <row r="1605" spans="2:7" ht="11.25" hidden="1" customHeight="1" outlineLevel="2" x14ac:dyDescent="0.25">
      <c r="B1605" s="704" t="s">
        <v>683</v>
      </c>
      <c r="C1605" s="704" t="s">
        <v>770</v>
      </c>
      <c r="D1605" s="704" t="s">
        <v>563</v>
      </c>
      <c r="E1605" s="704" t="s">
        <v>448</v>
      </c>
      <c r="F1605" s="706">
        <v>4.7020147561236073E-3</v>
      </c>
      <c r="G1605" s="705">
        <v>16.357114774187643</v>
      </c>
    </row>
    <row r="1606" spans="2:7" ht="11.25" hidden="1" customHeight="1" outlineLevel="2" x14ac:dyDescent="0.25">
      <c r="B1606" s="704" t="s">
        <v>684</v>
      </c>
      <c r="C1606" s="704" t="s">
        <v>770</v>
      </c>
      <c r="D1606" s="704" t="s">
        <v>563</v>
      </c>
      <c r="E1606" s="704" t="s">
        <v>448</v>
      </c>
      <c r="F1606" s="706">
        <v>9.6317589134150977E-3</v>
      </c>
      <c r="G1606" s="705">
        <v>33.100828733274916</v>
      </c>
    </row>
    <row r="1607" spans="2:7" ht="11.25" hidden="1" customHeight="1" outlineLevel="2" x14ac:dyDescent="0.25">
      <c r="B1607" s="704" t="s">
        <v>685</v>
      </c>
      <c r="C1607" s="704" t="s">
        <v>770</v>
      </c>
      <c r="D1607" s="704" t="s">
        <v>563</v>
      </c>
      <c r="E1607" s="704" t="s">
        <v>448</v>
      </c>
      <c r="F1607" s="706">
        <v>3.5889180268609953E-2</v>
      </c>
      <c r="G1607" s="705">
        <v>124.84930689731237</v>
      </c>
    </row>
    <row r="1608" spans="2:7" ht="11.25" hidden="1" customHeight="1" outlineLevel="2" x14ac:dyDescent="0.25">
      <c r="B1608" s="704" t="s">
        <v>686</v>
      </c>
      <c r="C1608" s="704" t="s">
        <v>770</v>
      </c>
      <c r="D1608" s="704" t="s">
        <v>563</v>
      </c>
      <c r="E1608" s="704" t="s">
        <v>448</v>
      </c>
      <c r="F1608" s="706">
        <v>3.5554288136190855E-3</v>
      </c>
      <c r="G1608" s="705">
        <v>12.269647567082133</v>
      </c>
    </row>
    <row r="1609" spans="2:7" ht="11.25" hidden="1" customHeight="1" outlineLevel="2" x14ac:dyDescent="0.25">
      <c r="B1609" s="704" t="s">
        <v>687</v>
      </c>
      <c r="C1609" s="704" t="s">
        <v>770</v>
      </c>
      <c r="D1609" s="704" t="s">
        <v>563</v>
      </c>
      <c r="E1609" s="704" t="s">
        <v>448</v>
      </c>
      <c r="F1609" s="706">
        <v>2.4049372059505834E-2</v>
      </c>
      <c r="G1609" s="705">
        <v>83.3201407745008</v>
      </c>
    </row>
    <row r="1610" spans="2:7" ht="11.25" hidden="1" customHeight="1" outlineLevel="2" x14ac:dyDescent="0.25">
      <c r="B1610" s="704" t="s">
        <v>688</v>
      </c>
      <c r="C1610" s="704" t="s">
        <v>770</v>
      </c>
      <c r="D1610" s="704" t="s">
        <v>563</v>
      </c>
      <c r="E1610" s="704" t="s">
        <v>448</v>
      </c>
      <c r="F1610" s="706">
        <v>3.2662736250075708E-2</v>
      </c>
      <c r="G1610" s="705">
        <v>113.16149660668259</v>
      </c>
    </row>
    <row r="1611" spans="2:7" ht="11.25" hidden="1" customHeight="1" outlineLevel="2" x14ac:dyDescent="0.25">
      <c r="B1611" s="704" t="s">
        <v>689</v>
      </c>
      <c r="C1611" s="704" t="s">
        <v>770</v>
      </c>
      <c r="D1611" s="704" t="s">
        <v>563</v>
      </c>
      <c r="E1611" s="704" t="s">
        <v>448</v>
      </c>
      <c r="F1611" s="706">
        <v>4.4010267406730591E-3</v>
      </c>
      <c r="G1611" s="705">
        <v>15.226672523699087</v>
      </c>
    </row>
    <row r="1612" spans="2:7" ht="11.25" hidden="1" customHeight="1" outlineLevel="2" x14ac:dyDescent="0.25">
      <c r="B1612" s="704" t="s">
        <v>690</v>
      </c>
      <c r="C1612" s="704" t="s">
        <v>770</v>
      </c>
      <c r="D1612" s="704" t="s">
        <v>563</v>
      </c>
      <c r="E1612" s="704" t="s">
        <v>448</v>
      </c>
      <c r="F1612" s="706">
        <v>6.0210442373786151E-2</v>
      </c>
      <c r="G1612" s="705">
        <v>209.45676887995367</v>
      </c>
    </row>
    <row r="1613" spans="2:7" ht="11.25" hidden="1" customHeight="1" outlineLevel="2" x14ac:dyDescent="0.25">
      <c r="B1613" s="704" t="s">
        <v>691</v>
      </c>
      <c r="C1613" s="704" t="s">
        <v>770</v>
      </c>
      <c r="D1613" s="704" t="s">
        <v>563</v>
      </c>
      <c r="E1613" s="704" t="s">
        <v>448</v>
      </c>
      <c r="F1613" s="705">
        <v>4.4208126217943559E-2</v>
      </c>
      <c r="G1613" s="705">
        <v>153.78869560900375</v>
      </c>
    </row>
    <row r="1614" spans="2:7" ht="11.25" hidden="1" customHeight="1" outlineLevel="2" x14ac:dyDescent="0.25">
      <c r="B1614" s="704" t="s">
        <v>692</v>
      </c>
      <c r="C1614" s="704" t="s">
        <v>770</v>
      </c>
      <c r="D1614" s="704" t="s">
        <v>563</v>
      </c>
      <c r="E1614" s="704" t="s">
        <v>448</v>
      </c>
      <c r="F1614" s="705">
        <v>3.6359566733543025E-3</v>
      </c>
      <c r="G1614" s="705">
        <v>12.59693507885504</v>
      </c>
    </row>
    <row r="1615" spans="2:7" ht="11.25" hidden="1" customHeight="1" outlineLevel="2" x14ac:dyDescent="0.25">
      <c r="B1615" s="704" t="s">
        <v>693</v>
      </c>
      <c r="C1615" s="704" t="s">
        <v>770</v>
      </c>
      <c r="D1615" s="704" t="s">
        <v>563</v>
      </c>
      <c r="E1615" s="704" t="s">
        <v>448</v>
      </c>
      <c r="F1615" s="705">
        <v>1.9489112524140348E-3</v>
      </c>
      <c r="G1615" s="705">
        <v>6.7857643976469397</v>
      </c>
    </row>
    <row r="1616" spans="2:7" ht="11.25" hidden="1" customHeight="1" outlineLevel="2" x14ac:dyDescent="0.25">
      <c r="B1616" s="704" t="s">
        <v>694</v>
      </c>
      <c r="C1616" s="704" t="s">
        <v>770</v>
      </c>
      <c r="D1616" s="704" t="s">
        <v>563</v>
      </c>
      <c r="E1616" s="704" t="s">
        <v>448</v>
      </c>
      <c r="F1616" s="705">
        <v>1.3264296209603212E-3</v>
      </c>
      <c r="G1616" s="705">
        <v>4.6183900474138033</v>
      </c>
    </row>
    <row r="1617" spans="2:7" ht="11.25" hidden="1" customHeight="1" outlineLevel="2" x14ac:dyDescent="0.25">
      <c r="B1617" s="704" t="s">
        <v>695</v>
      </c>
      <c r="C1617" s="704" t="s">
        <v>770</v>
      </c>
      <c r="D1617" s="704" t="s">
        <v>563</v>
      </c>
      <c r="E1617" s="704" t="s">
        <v>448</v>
      </c>
      <c r="F1617" s="705">
        <v>9.3205179377346559E-3</v>
      </c>
      <c r="G1617" s="705">
        <v>32.452359586445766</v>
      </c>
    </row>
    <row r="1618" spans="2:7" ht="11.25" hidden="1" customHeight="1" outlineLevel="2" x14ac:dyDescent="0.25">
      <c r="B1618" s="704" t="s">
        <v>696</v>
      </c>
      <c r="C1618" s="704" t="s">
        <v>770</v>
      </c>
      <c r="D1618" s="704" t="s">
        <v>563</v>
      </c>
      <c r="E1618" s="704" t="s">
        <v>448</v>
      </c>
      <c r="F1618" s="705">
        <v>3.3762874863268538E-2</v>
      </c>
      <c r="G1618" s="705">
        <v>116.51438481627349</v>
      </c>
    </row>
    <row r="1619" spans="2:7" ht="11.25" hidden="1" customHeight="1" outlineLevel="2" x14ac:dyDescent="0.25">
      <c r="B1619" s="704" t="s">
        <v>697</v>
      </c>
      <c r="C1619" s="704" t="s">
        <v>770</v>
      </c>
      <c r="D1619" s="704" t="s">
        <v>563</v>
      </c>
      <c r="E1619" s="704" t="s">
        <v>448</v>
      </c>
      <c r="F1619" s="705">
        <v>1.6911457413295226E-2</v>
      </c>
      <c r="G1619" s="705">
        <v>58.88264417107186</v>
      </c>
    </row>
    <row r="1620" spans="2:7" ht="11.25" hidden="1" customHeight="1" outlineLevel="2" x14ac:dyDescent="0.25">
      <c r="B1620" s="704" t="s">
        <v>698</v>
      </c>
      <c r="C1620" s="704" t="s">
        <v>770</v>
      </c>
      <c r="D1620" s="704" t="s">
        <v>563</v>
      </c>
      <c r="E1620" s="704" t="s">
        <v>448</v>
      </c>
      <c r="F1620" s="705">
        <v>4.1251006761173648E-3</v>
      </c>
      <c r="G1620" s="705">
        <v>14.340248505412191</v>
      </c>
    </row>
    <row r="1621" spans="2:7" ht="11.25" hidden="1" customHeight="1" outlineLevel="2" x14ac:dyDescent="0.25">
      <c r="B1621" s="704" t="s">
        <v>699</v>
      </c>
      <c r="C1621" s="704" t="s">
        <v>770</v>
      </c>
      <c r="D1621" s="704" t="s">
        <v>563</v>
      </c>
      <c r="E1621" s="704" t="s">
        <v>448</v>
      </c>
      <c r="F1621" s="705">
        <v>8.1072203141179341E-2</v>
      </c>
      <c r="G1621" s="705">
        <v>280.87822818993857</v>
      </c>
    </row>
    <row r="1622" spans="2:7" ht="11.25" hidden="1" customHeight="1" outlineLevel="2" x14ac:dyDescent="0.25">
      <c r="B1622" s="704" t="s">
        <v>673</v>
      </c>
      <c r="C1622" s="704" t="s">
        <v>771</v>
      </c>
      <c r="D1622" s="704" t="s">
        <v>563</v>
      </c>
      <c r="E1622" s="704" t="s">
        <v>448</v>
      </c>
      <c r="F1622" s="705">
        <v>5.1795970225510827E-3</v>
      </c>
      <c r="G1622" s="705">
        <v>12.056931147145857</v>
      </c>
    </row>
    <row r="1623" spans="2:7" ht="11.25" hidden="1" customHeight="1" outlineLevel="2" x14ac:dyDescent="0.25">
      <c r="B1623" s="704" t="s">
        <v>677</v>
      </c>
      <c r="C1623" s="704" t="s">
        <v>771</v>
      </c>
      <c r="D1623" s="704" t="s">
        <v>563</v>
      </c>
      <c r="E1623" s="704" t="s">
        <v>448</v>
      </c>
      <c r="F1623" s="705">
        <v>2.2167644747385438E-2</v>
      </c>
      <c r="G1623" s="705">
        <v>51.08770233517486</v>
      </c>
    </row>
    <row r="1624" spans="2:7" ht="11.25" hidden="1" customHeight="1" outlineLevel="2" x14ac:dyDescent="0.25">
      <c r="B1624" s="704" t="s">
        <v>678</v>
      </c>
      <c r="C1624" s="704" t="s">
        <v>771</v>
      </c>
      <c r="D1624" s="704" t="s">
        <v>563</v>
      </c>
      <c r="E1624" s="704" t="s">
        <v>448</v>
      </c>
      <c r="F1624" s="705">
        <v>3.9979932605677303E-2</v>
      </c>
      <c r="G1624" s="705">
        <v>93.494512899630834</v>
      </c>
    </row>
    <row r="1625" spans="2:7" ht="11.25" hidden="1" customHeight="1" outlineLevel="2" x14ac:dyDescent="0.25">
      <c r="B1625" s="704" t="s">
        <v>679</v>
      </c>
      <c r="C1625" s="704" t="s">
        <v>771</v>
      </c>
      <c r="D1625" s="704" t="s">
        <v>563</v>
      </c>
      <c r="E1625" s="704" t="s">
        <v>448</v>
      </c>
      <c r="F1625" s="705">
        <v>1.0646676839135107E-3</v>
      </c>
      <c r="G1625" s="705">
        <v>2.5017603942248643</v>
      </c>
    </row>
    <row r="1626" spans="2:7" ht="11.25" hidden="1" customHeight="1" outlineLevel="2" x14ac:dyDescent="0.25">
      <c r="B1626" s="704" t="s">
        <v>680</v>
      </c>
      <c r="C1626" s="704" t="s">
        <v>771</v>
      </c>
      <c r="D1626" s="704" t="s">
        <v>563</v>
      </c>
      <c r="E1626" s="704" t="s">
        <v>448</v>
      </c>
      <c r="F1626" s="705">
        <v>2.5769101488670389E-3</v>
      </c>
      <c r="G1626" s="705">
        <v>6.0615308953465243</v>
      </c>
    </row>
    <row r="1627" spans="2:7" ht="11.25" hidden="1" customHeight="1" outlineLevel="2" x14ac:dyDescent="0.25">
      <c r="B1627" s="704" t="s">
        <v>681</v>
      </c>
      <c r="C1627" s="704" t="s">
        <v>771</v>
      </c>
      <c r="D1627" s="704" t="s">
        <v>563</v>
      </c>
      <c r="E1627" s="704" t="s">
        <v>448</v>
      </c>
      <c r="F1627" s="705">
        <v>5.5720546727978503E-3</v>
      </c>
      <c r="G1627" s="705">
        <v>13.030448109484412</v>
      </c>
    </row>
    <row r="1628" spans="2:7" ht="11.25" hidden="1" customHeight="1" outlineLevel="2" x14ac:dyDescent="0.25">
      <c r="B1628" s="704" t="s">
        <v>682</v>
      </c>
      <c r="C1628" s="704" t="s">
        <v>771</v>
      </c>
      <c r="D1628" s="704" t="s">
        <v>563</v>
      </c>
      <c r="E1628" s="704" t="s">
        <v>448</v>
      </c>
      <c r="F1628" s="705">
        <v>5.0814687674891135E-3</v>
      </c>
      <c r="G1628" s="705">
        <v>11.884268872043833</v>
      </c>
    </row>
    <row r="1629" spans="2:7" ht="11.25" hidden="1" customHeight="1" outlineLevel="2" x14ac:dyDescent="0.25">
      <c r="B1629" s="704" t="s">
        <v>683</v>
      </c>
      <c r="C1629" s="704" t="s">
        <v>771</v>
      </c>
      <c r="D1629" s="704" t="s">
        <v>563</v>
      </c>
      <c r="E1629" s="704" t="s">
        <v>448</v>
      </c>
      <c r="F1629" s="705">
        <v>1.7580310051601271E-3</v>
      </c>
      <c r="G1629" s="705">
        <v>4.1310255666613829</v>
      </c>
    </row>
    <row r="1630" spans="2:7" ht="11.25" hidden="1" customHeight="1" outlineLevel="2" x14ac:dyDescent="0.25">
      <c r="B1630" s="704" t="s">
        <v>684</v>
      </c>
      <c r="C1630" s="704" t="s">
        <v>771</v>
      </c>
      <c r="D1630" s="704" t="s">
        <v>563</v>
      </c>
      <c r="E1630" s="704" t="s">
        <v>448</v>
      </c>
      <c r="F1630" s="705">
        <v>3.5543625130006634E-3</v>
      </c>
      <c r="G1630" s="705">
        <v>8.3596919916953247</v>
      </c>
    </row>
    <row r="1631" spans="2:7" ht="11.25" hidden="1" customHeight="1" outlineLevel="2" x14ac:dyDescent="0.25">
      <c r="B1631" s="704" t="s">
        <v>685</v>
      </c>
      <c r="C1631" s="704" t="s">
        <v>771</v>
      </c>
      <c r="D1631" s="704" t="s">
        <v>563</v>
      </c>
      <c r="E1631" s="704" t="s">
        <v>448</v>
      </c>
      <c r="F1631" s="705">
        <v>1.3418562802643193E-2</v>
      </c>
      <c r="G1631" s="705">
        <v>31.530962023474466</v>
      </c>
    </row>
    <row r="1632" spans="2:7" ht="11.25" hidden="1" customHeight="1" outlineLevel="2" x14ac:dyDescent="0.25">
      <c r="B1632" s="704" t="s">
        <v>686</v>
      </c>
      <c r="C1632" s="704" t="s">
        <v>771</v>
      </c>
      <c r="D1632" s="704" t="s">
        <v>563</v>
      </c>
      <c r="E1632" s="704" t="s">
        <v>448</v>
      </c>
      <c r="F1632" s="705">
        <v>1.3311976172046759E-3</v>
      </c>
      <c r="G1632" s="705">
        <v>3.0987280323529909</v>
      </c>
    </row>
    <row r="1633" spans="2:7" ht="11.25" hidden="1" customHeight="1" outlineLevel="2" x14ac:dyDescent="0.25">
      <c r="B1633" s="704" t="s">
        <v>687</v>
      </c>
      <c r="C1633" s="704" t="s">
        <v>771</v>
      </c>
      <c r="D1633" s="704" t="s">
        <v>563</v>
      </c>
      <c r="E1633" s="704" t="s">
        <v>448</v>
      </c>
      <c r="F1633" s="706">
        <v>8.9982292301437564E-3</v>
      </c>
      <c r="G1633" s="705">
        <v>21.042678982774646</v>
      </c>
    </row>
    <row r="1634" spans="2:7" ht="11.25" hidden="1" customHeight="1" outlineLevel="2" x14ac:dyDescent="0.25">
      <c r="B1634" s="704" t="s">
        <v>688</v>
      </c>
      <c r="C1634" s="704" t="s">
        <v>771</v>
      </c>
      <c r="D1634" s="704" t="s">
        <v>563</v>
      </c>
      <c r="E1634" s="704" t="s">
        <v>448</v>
      </c>
      <c r="F1634" s="706">
        <v>1.2220975526967546E-2</v>
      </c>
      <c r="G1634" s="705">
        <v>28.57918139457761</v>
      </c>
    </row>
    <row r="1635" spans="2:7" ht="11.25" hidden="1" customHeight="1" outlineLevel="2" x14ac:dyDescent="0.25">
      <c r="B1635" s="704" t="s">
        <v>689</v>
      </c>
      <c r="C1635" s="704" t="s">
        <v>771</v>
      </c>
      <c r="D1635" s="704" t="s">
        <v>563</v>
      </c>
      <c r="E1635" s="704" t="s">
        <v>448</v>
      </c>
      <c r="F1635" s="706">
        <v>1.6470662372641246E-3</v>
      </c>
      <c r="G1635" s="705">
        <v>3.8455305199658145</v>
      </c>
    </row>
    <row r="1636" spans="2:7" ht="11.25" hidden="1" customHeight="1" outlineLevel="2" x14ac:dyDescent="0.25">
      <c r="B1636" s="704" t="s">
        <v>690</v>
      </c>
      <c r="C1636" s="704" t="s">
        <v>771</v>
      </c>
      <c r="D1636" s="704" t="s">
        <v>563</v>
      </c>
      <c r="E1636" s="704" t="s">
        <v>448</v>
      </c>
      <c r="F1636" s="706">
        <v>2.2512011149707068E-2</v>
      </c>
      <c r="G1636" s="705">
        <v>52.898797048878428</v>
      </c>
    </row>
    <row r="1637" spans="2:7" ht="11.25" hidden="1" customHeight="1" outlineLevel="2" x14ac:dyDescent="0.25">
      <c r="B1637" s="704" t="s">
        <v>691</v>
      </c>
      <c r="C1637" s="704" t="s">
        <v>771</v>
      </c>
      <c r="D1637" s="704" t="s">
        <v>563</v>
      </c>
      <c r="E1637" s="704" t="s">
        <v>448</v>
      </c>
      <c r="F1637" s="706">
        <v>1.6528925800354269E-2</v>
      </c>
      <c r="G1637" s="705">
        <v>38.839712351212874</v>
      </c>
    </row>
    <row r="1638" spans="2:7" ht="11.25" hidden="1" customHeight="1" outlineLevel="2" x14ac:dyDescent="0.25">
      <c r="B1638" s="704" t="s">
        <v>692</v>
      </c>
      <c r="C1638" s="704" t="s">
        <v>771</v>
      </c>
      <c r="D1638" s="704" t="s">
        <v>563</v>
      </c>
      <c r="E1638" s="704" t="s">
        <v>448</v>
      </c>
      <c r="F1638" s="706">
        <v>1.3604175515727467E-3</v>
      </c>
      <c r="G1638" s="705">
        <v>3.1813843841201241</v>
      </c>
    </row>
    <row r="1639" spans="2:7" ht="11.25" hidden="1" customHeight="1" outlineLevel="2" x14ac:dyDescent="0.25">
      <c r="B1639" s="704" t="s">
        <v>693</v>
      </c>
      <c r="C1639" s="704" t="s">
        <v>771</v>
      </c>
      <c r="D1639" s="704" t="s">
        <v>563</v>
      </c>
      <c r="E1639" s="704" t="s">
        <v>448</v>
      </c>
      <c r="F1639" s="706">
        <v>7.2856303534211248E-4</v>
      </c>
      <c r="G1639" s="705">
        <v>1.7137599906021779</v>
      </c>
    </row>
    <row r="1640" spans="2:7" ht="11.25" hidden="1" customHeight="1" outlineLevel="2" x14ac:dyDescent="0.25">
      <c r="B1640" s="704" t="s">
        <v>694</v>
      </c>
      <c r="C1640" s="704" t="s">
        <v>771</v>
      </c>
      <c r="D1640" s="704" t="s">
        <v>563</v>
      </c>
      <c r="E1640" s="704" t="s">
        <v>448</v>
      </c>
      <c r="F1640" s="705">
        <v>4.9586029396523506E-4</v>
      </c>
      <c r="G1640" s="705">
        <v>1.1663851159151069</v>
      </c>
    </row>
    <row r="1641" spans="2:7" ht="11.25" hidden="1" customHeight="1" outlineLevel="2" x14ac:dyDescent="0.25">
      <c r="B1641" s="704" t="s">
        <v>695</v>
      </c>
      <c r="C1641" s="704" t="s">
        <v>771</v>
      </c>
      <c r="D1641" s="704" t="s">
        <v>563</v>
      </c>
      <c r="E1641" s="704" t="s">
        <v>448</v>
      </c>
      <c r="F1641" s="705">
        <v>3.4842967618901048E-3</v>
      </c>
      <c r="G1641" s="705">
        <v>8.1959229742347262</v>
      </c>
    </row>
    <row r="1642" spans="2:7" ht="11.25" hidden="1" customHeight="1" outlineLevel="2" x14ac:dyDescent="0.25">
      <c r="B1642" s="704" t="s">
        <v>696</v>
      </c>
      <c r="C1642" s="704" t="s">
        <v>771</v>
      </c>
      <c r="D1642" s="704" t="s">
        <v>563</v>
      </c>
      <c r="E1642" s="704" t="s">
        <v>448</v>
      </c>
      <c r="F1642" s="705">
        <v>1.264124719830061E-2</v>
      </c>
      <c r="G1642" s="705">
        <v>29.425969438446906</v>
      </c>
    </row>
    <row r="1643" spans="2:7" ht="11.25" hidden="1" customHeight="1" outlineLevel="2" x14ac:dyDescent="0.25">
      <c r="B1643" s="704" t="s">
        <v>697</v>
      </c>
      <c r="C1643" s="704" t="s">
        <v>771</v>
      </c>
      <c r="D1643" s="704" t="s">
        <v>563</v>
      </c>
      <c r="E1643" s="704" t="s">
        <v>448</v>
      </c>
      <c r="F1643" s="705">
        <v>6.3220225157992419E-3</v>
      </c>
      <c r="G1643" s="705">
        <v>14.870953554526624</v>
      </c>
    </row>
    <row r="1644" spans="2:7" ht="11.25" hidden="1" customHeight="1" outlineLevel="2" x14ac:dyDescent="0.25">
      <c r="B1644" s="704" t="s">
        <v>698</v>
      </c>
      <c r="C1644" s="704" t="s">
        <v>771</v>
      </c>
      <c r="D1644" s="704" t="s">
        <v>563</v>
      </c>
      <c r="E1644" s="704" t="s">
        <v>448</v>
      </c>
      <c r="F1644" s="705">
        <v>1.54251533904164E-3</v>
      </c>
      <c r="G1644" s="705">
        <v>3.6216651577819503</v>
      </c>
    </row>
    <row r="1645" spans="2:7" ht="11.25" hidden="1" customHeight="1" outlineLevel="2" x14ac:dyDescent="0.25">
      <c r="B1645" s="704" t="s">
        <v>699</v>
      </c>
      <c r="C1645" s="704" t="s">
        <v>771</v>
      </c>
      <c r="D1645" s="704" t="s">
        <v>563</v>
      </c>
      <c r="E1645" s="704" t="s">
        <v>448</v>
      </c>
      <c r="F1645" s="705">
        <v>3.0333684470770984E-2</v>
      </c>
      <c r="G1645" s="705">
        <v>70.93641720746345</v>
      </c>
    </row>
    <row r="1646" spans="2:7" ht="11.25" hidden="1" customHeight="1" outlineLevel="2" x14ac:dyDescent="0.25">
      <c r="B1646" s="704" t="s">
        <v>673</v>
      </c>
      <c r="C1646" s="704" t="s">
        <v>772</v>
      </c>
      <c r="D1646" s="704" t="s">
        <v>563</v>
      </c>
      <c r="E1646" s="704" t="s">
        <v>448</v>
      </c>
      <c r="F1646" s="705">
        <v>1.7380174622713719E-2</v>
      </c>
      <c r="G1646" s="705">
        <v>22.473574423545639</v>
      </c>
    </row>
    <row r="1647" spans="2:7" ht="11.25" hidden="1" customHeight="1" outlineLevel="2" x14ac:dyDescent="0.25">
      <c r="B1647" s="704" t="s">
        <v>677</v>
      </c>
      <c r="C1647" s="704" t="s">
        <v>772</v>
      </c>
      <c r="D1647" s="704" t="s">
        <v>563</v>
      </c>
      <c r="E1647" s="704" t="s">
        <v>448</v>
      </c>
      <c r="F1647" s="705">
        <v>7.4403475242024328E-2</v>
      </c>
      <c r="G1647" s="705">
        <v>95.225119079348843</v>
      </c>
    </row>
    <row r="1648" spans="2:7" ht="11.25" hidden="1" customHeight="1" outlineLevel="2" x14ac:dyDescent="0.25">
      <c r="B1648" s="704" t="s">
        <v>678</v>
      </c>
      <c r="C1648" s="704" t="s">
        <v>772</v>
      </c>
      <c r="D1648" s="704" t="s">
        <v>563</v>
      </c>
      <c r="E1648" s="704" t="s">
        <v>448</v>
      </c>
      <c r="F1648" s="705">
        <v>0.13413638830087166</v>
      </c>
      <c r="G1648" s="705">
        <v>174.26948456430253</v>
      </c>
    </row>
    <row r="1649" spans="2:7" ht="11.25" hidden="1" customHeight="1" outlineLevel="2" x14ac:dyDescent="0.25">
      <c r="B1649" s="704" t="s">
        <v>679</v>
      </c>
      <c r="C1649" s="704" t="s">
        <v>772</v>
      </c>
      <c r="D1649" s="704" t="s">
        <v>563</v>
      </c>
      <c r="E1649" s="704" t="s">
        <v>448</v>
      </c>
      <c r="F1649" s="705">
        <v>3.5715952859300009E-3</v>
      </c>
      <c r="G1649" s="705">
        <v>4.6631647896257711</v>
      </c>
    </row>
    <row r="1650" spans="2:7" ht="11.25" hidden="1" customHeight="1" outlineLevel="2" x14ac:dyDescent="0.25">
      <c r="B1650" s="704" t="s">
        <v>680</v>
      </c>
      <c r="C1650" s="704" t="s">
        <v>772</v>
      </c>
      <c r="D1650" s="704" t="s">
        <v>563</v>
      </c>
      <c r="E1650" s="704" t="s">
        <v>448</v>
      </c>
      <c r="F1650" s="705">
        <v>8.6444136190096978E-3</v>
      </c>
      <c r="G1650" s="705">
        <v>11.298421603621421</v>
      </c>
    </row>
    <row r="1651" spans="2:7" ht="11.25" hidden="1" customHeight="1" outlineLevel="2" x14ac:dyDescent="0.25">
      <c r="B1651" s="704" t="s">
        <v>681</v>
      </c>
      <c r="C1651" s="704" t="s">
        <v>772</v>
      </c>
      <c r="D1651" s="704" t="s">
        <v>563</v>
      </c>
      <c r="E1651" s="704" t="s">
        <v>448</v>
      </c>
      <c r="F1651" s="705">
        <v>1.8694752876962942E-2</v>
      </c>
      <c r="G1651" s="705">
        <v>24.28817188893305</v>
      </c>
    </row>
    <row r="1652" spans="2:7" ht="11.25" hidden="1" customHeight="1" outlineLevel="2" x14ac:dyDescent="0.25">
      <c r="B1652" s="704" t="s">
        <v>682</v>
      </c>
      <c r="C1652" s="704" t="s">
        <v>772</v>
      </c>
      <c r="D1652" s="704" t="s">
        <v>563</v>
      </c>
      <c r="E1652" s="704" t="s">
        <v>448</v>
      </c>
      <c r="F1652" s="705">
        <v>1.7048754330067015E-2</v>
      </c>
      <c r="G1652" s="705">
        <v>22.151744844960856</v>
      </c>
    </row>
    <row r="1653" spans="2:7" ht="11.25" hidden="1" customHeight="1" outlineLevel="2" x14ac:dyDescent="0.25">
      <c r="B1653" s="704" t="s">
        <v>683</v>
      </c>
      <c r="C1653" s="704" t="s">
        <v>772</v>
      </c>
      <c r="D1653" s="704" t="s">
        <v>563</v>
      </c>
      <c r="E1653" s="704" t="s">
        <v>448</v>
      </c>
      <c r="F1653" s="705">
        <v>5.8975908706915192E-3</v>
      </c>
      <c r="G1653" s="705">
        <v>7.7000446571930246</v>
      </c>
    </row>
    <row r="1654" spans="2:7" ht="11.25" hidden="1" customHeight="1" outlineLevel="2" x14ac:dyDescent="0.25">
      <c r="B1654" s="704" t="s">
        <v>684</v>
      </c>
      <c r="C1654" s="704" t="s">
        <v>772</v>
      </c>
      <c r="D1654" s="704" t="s">
        <v>563</v>
      </c>
      <c r="E1654" s="704" t="s">
        <v>448</v>
      </c>
      <c r="F1654" s="705">
        <v>1.1923381103485139E-2</v>
      </c>
      <c r="G1654" s="705">
        <v>15.582086099554557</v>
      </c>
    </row>
    <row r="1655" spans="2:7" ht="11.25" hidden="1" customHeight="1" outlineLevel="2" x14ac:dyDescent="0.25">
      <c r="B1655" s="704" t="s">
        <v>685</v>
      </c>
      <c r="C1655" s="704" t="s">
        <v>772</v>
      </c>
      <c r="D1655" s="704" t="s">
        <v>563</v>
      </c>
      <c r="E1655" s="704" t="s">
        <v>448</v>
      </c>
      <c r="F1655" s="705">
        <v>4.5014687786055219E-2</v>
      </c>
      <c r="G1655" s="705">
        <v>58.772315563183156</v>
      </c>
    </row>
    <row r="1656" spans="2:7" ht="11.25" hidden="1" customHeight="1" outlineLevel="2" x14ac:dyDescent="0.25">
      <c r="B1656" s="704" t="s">
        <v>686</v>
      </c>
      <c r="C1656" s="704" t="s">
        <v>772</v>
      </c>
      <c r="D1656" s="704" t="s">
        <v>563</v>
      </c>
      <c r="E1656" s="704" t="s">
        <v>448</v>
      </c>
      <c r="F1656" s="705">
        <v>4.4668432620313938E-3</v>
      </c>
      <c r="G1656" s="705">
        <v>5.7758866780994964</v>
      </c>
    </row>
    <row r="1657" spans="2:7" ht="11.25" hidden="1" customHeight="1" outlineLevel="2" x14ac:dyDescent="0.25">
      <c r="B1657" s="704" t="s">
        <v>687</v>
      </c>
      <c r="C1657" s="704" t="s">
        <v>772</v>
      </c>
      <c r="D1657" s="704" t="s">
        <v>563</v>
      </c>
      <c r="E1657" s="704" t="s">
        <v>448</v>
      </c>
      <c r="F1657" s="705">
        <v>3.0189895123715473E-2</v>
      </c>
      <c r="G1657" s="705">
        <v>39.222631885138789</v>
      </c>
    </row>
    <row r="1658" spans="2:7" ht="11.25" hidden="1" customHeight="1" outlineLevel="2" x14ac:dyDescent="0.25">
      <c r="B1658" s="704" t="s">
        <v>688</v>
      </c>
      <c r="C1658" s="704" t="s">
        <v>772</v>
      </c>
      <c r="D1658" s="704" t="s">
        <v>563</v>
      </c>
      <c r="E1658" s="704" t="s">
        <v>448</v>
      </c>
      <c r="F1658" s="705">
        <v>4.1002507841335925E-2</v>
      </c>
      <c r="G1658" s="705">
        <v>53.270331227497799</v>
      </c>
    </row>
    <row r="1659" spans="2:7" ht="11.25" hidden="1" customHeight="1" outlineLevel="2" x14ac:dyDescent="0.25">
      <c r="B1659" s="704" t="s">
        <v>689</v>
      </c>
      <c r="C1659" s="704" t="s">
        <v>772</v>
      </c>
      <c r="D1659" s="704" t="s">
        <v>563</v>
      </c>
      <c r="E1659" s="704" t="s">
        <v>448</v>
      </c>
      <c r="F1659" s="705">
        <v>5.5262994351608667E-3</v>
      </c>
      <c r="G1659" s="705">
        <v>7.1678937112344148</v>
      </c>
    </row>
    <row r="1660" spans="2:7" ht="11.25" hidden="1" customHeight="1" outlineLevel="2" x14ac:dyDescent="0.25">
      <c r="B1660" s="704" t="s">
        <v>690</v>
      </c>
      <c r="C1660" s="704" t="s">
        <v>772</v>
      </c>
      <c r="D1660" s="704" t="s">
        <v>563</v>
      </c>
      <c r="E1660" s="704" t="s">
        <v>448</v>
      </c>
      <c r="F1660" s="705">
        <v>7.5520103689415974E-2</v>
      </c>
      <c r="G1660" s="705">
        <v>98.600959519767329</v>
      </c>
    </row>
    <row r="1661" spans="2:7" ht="11.25" hidden="1" customHeight="1" outlineLevel="2" x14ac:dyDescent="0.25">
      <c r="B1661" s="704" t="s">
        <v>691</v>
      </c>
      <c r="C1661" s="704" t="s">
        <v>772</v>
      </c>
      <c r="D1661" s="704" t="s">
        <v>563</v>
      </c>
      <c r="E1661" s="704" t="s">
        <v>448</v>
      </c>
      <c r="F1661" s="705">
        <v>5.5448880770526475E-2</v>
      </c>
      <c r="G1661" s="705">
        <v>72.395463214597271</v>
      </c>
    </row>
    <row r="1662" spans="2:7" ht="11.25" hidden="1" customHeight="1" outlineLevel="2" x14ac:dyDescent="0.25">
      <c r="B1662" s="704" t="s">
        <v>692</v>
      </c>
      <c r="C1662" s="704" t="s">
        <v>772</v>
      </c>
      <c r="D1662" s="704" t="s">
        <v>563</v>
      </c>
      <c r="E1662" s="704" t="s">
        <v>448</v>
      </c>
      <c r="F1662" s="705">
        <v>4.5643249844521429E-3</v>
      </c>
      <c r="G1662" s="705">
        <v>5.9299560942281166</v>
      </c>
    </row>
    <row r="1663" spans="2:7" ht="11.25" hidden="1" customHeight="1" outlineLevel="2" x14ac:dyDescent="0.25">
      <c r="B1663" s="704" t="s">
        <v>693</v>
      </c>
      <c r="C1663" s="704" t="s">
        <v>772</v>
      </c>
      <c r="D1663" s="704" t="s">
        <v>563</v>
      </c>
      <c r="E1663" s="704" t="s">
        <v>448</v>
      </c>
      <c r="F1663" s="705">
        <v>2.4440117384294103E-3</v>
      </c>
      <c r="G1663" s="705">
        <v>3.1943697943315823</v>
      </c>
    </row>
    <row r="1664" spans="2:7" ht="11.25" hidden="1" customHeight="1" outlineLevel="2" x14ac:dyDescent="0.25">
      <c r="B1664" s="704" t="s">
        <v>694</v>
      </c>
      <c r="C1664" s="704" t="s">
        <v>772</v>
      </c>
      <c r="D1664" s="704" t="s">
        <v>563</v>
      </c>
      <c r="E1664" s="704" t="s">
        <v>448</v>
      </c>
      <c r="F1664" s="705">
        <v>1.6633946501474926E-3</v>
      </c>
      <c r="G1664" s="705">
        <v>2.1740899112543755</v>
      </c>
    </row>
    <row r="1665" spans="2:7" ht="11.25" hidden="1" customHeight="1" outlineLevel="2" x14ac:dyDescent="0.25">
      <c r="B1665" s="704" t="s">
        <v>695</v>
      </c>
      <c r="C1665" s="704" t="s">
        <v>772</v>
      </c>
      <c r="D1665" s="704" t="s">
        <v>563</v>
      </c>
      <c r="E1665" s="704" t="s">
        <v>448</v>
      </c>
      <c r="F1665" s="705">
        <v>1.1688297434459928E-2</v>
      </c>
      <c r="G1665" s="705">
        <v>15.276825717798708</v>
      </c>
    </row>
    <row r="1666" spans="2:7" ht="11.25" hidden="1" customHeight="1" outlineLevel="2" x14ac:dyDescent="0.25">
      <c r="B1666" s="704" t="s">
        <v>696</v>
      </c>
      <c r="C1666" s="704" t="s">
        <v>772</v>
      </c>
      <c r="D1666" s="704" t="s">
        <v>563</v>
      </c>
      <c r="E1666" s="704" t="s">
        <v>448</v>
      </c>
      <c r="F1666" s="705">
        <v>4.2417791958802263E-2</v>
      </c>
      <c r="G1666" s="705">
        <v>54.848681099879357</v>
      </c>
    </row>
    <row r="1667" spans="2:7" ht="11.25" hidden="1" customHeight="1" outlineLevel="2" x14ac:dyDescent="0.25">
      <c r="B1667" s="704" t="s">
        <v>697</v>
      </c>
      <c r="C1667" s="704" t="s">
        <v>772</v>
      </c>
      <c r="D1667" s="704" t="s">
        <v>563</v>
      </c>
      <c r="E1667" s="704" t="s">
        <v>448</v>
      </c>
      <c r="F1667" s="705">
        <v>2.1207627583295433E-2</v>
      </c>
      <c r="G1667" s="705">
        <v>27.718778224054205</v>
      </c>
    </row>
    <row r="1668" spans="2:7" ht="11.25" hidden="1" customHeight="1" outlineLevel="2" x14ac:dyDescent="0.25">
      <c r="B1668" s="704" t="s">
        <v>698</v>
      </c>
      <c r="C1668" s="704" t="s">
        <v>772</v>
      </c>
      <c r="D1668" s="704" t="s">
        <v>563</v>
      </c>
      <c r="E1668" s="704" t="s">
        <v>448</v>
      </c>
      <c r="F1668" s="705">
        <v>5.5481419171866048E-3</v>
      </c>
      <c r="G1668" s="705">
        <v>7.2515305426786227</v>
      </c>
    </row>
    <row r="1669" spans="2:7" ht="11.25" hidden="1" customHeight="1" outlineLevel="2" x14ac:dyDescent="0.25">
      <c r="B1669" s="704" t="s">
        <v>699</v>
      </c>
      <c r="C1669" s="704" t="s">
        <v>772</v>
      </c>
      <c r="D1669" s="704" t="s">
        <v>563</v>
      </c>
      <c r="E1669" s="704" t="s">
        <v>448</v>
      </c>
      <c r="F1669" s="705">
        <v>0.10177231060530803</v>
      </c>
      <c r="G1669" s="705">
        <v>132.22226474064894</v>
      </c>
    </row>
    <row r="1670" spans="2:7" ht="11.25" hidden="1" customHeight="1" outlineLevel="2" x14ac:dyDescent="0.25">
      <c r="B1670" s="704" t="s">
        <v>673</v>
      </c>
      <c r="C1670" s="704" t="s">
        <v>773</v>
      </c>
      <c r="D1670" s="704" t="s">
        <v>563</v>
      </c>
      <c r="E1670" s="704" t="s">
        <v>448</v>
      </c>
      <c r="F1670" s="705">
        <v>9.7202809782820864E-4</v>
      </c>
      <c r="G1670" s="705">
        <v>1.1041873832889446</v>
      </c>
    </row>
    <row r="1671" spans="2:7" ht="11.25" hidden="1" customHeight="1" outlineLevel="2" x14ac:dyDescent="0.25">
      <c r="B1671" s="704" t="s">
        <v>677</v>
      </c>
      <c r="C1671" s="704" t="s">
        <v>773</v>
      </c>
      <c r="D1671" s="704" t="s">
        <v>563</v>
      </c>
      <c r="E1671" s="704" t="s">
        <v>448</v>
      </c>
      <c r="F1671" s="705">
        <v>4.1539269009508682E-3</v>
      </c>
      <c r="G1671" s="705">
        <v>4.6786671292178035</v>
      </c>
    </row>
    <row r="1672" spans="2:7" ht="11.25" hidden="1" customHeight="1" outlineLevel="2" x14ac:dyDescent="0.25">
      <c r="B1672" s="704" t="s">
        <v>678</v>
      </c>
      <c r="C1672" s="704" t="s">
        <v>773</v>
      </c>
      <c r="D1672" s="704" t="s">
        <v>563</v>
      </c>
      <c r="E1672" s="704" t="s">
        <v>448</v>
      </c>
      <c r="F1672" s="706">
        <v>7.507981179712425E-3</v>
      </c>
      <c r="G1672" s="705">
        <v>8.5623303903819217</v>
      </c>
    </row>
    <row r="1673" spans="2:7" ht="11.25" hidden="1" customHeight="1" outlineLevel="2" x14ac:dyDescent="0.25">
      <c r="B1673" s="704" t="s">
        <v>679</v>
      </c>
      <c r="C1673" s="704" t="s">
        <v>773</v>
      </c>
      <c r="D1673" s="704" t="s">
        <v>563</v>
      </c>
      <c r="E1673" s="704" t="s">
        <v>448</v>
      </c>
      <c r="F1673" s="706">
        <v>2.0008182721096291E-4</v>
      </c>
      <c r="G1673" s="705">
        <v>0.22911381464592398</v>
      </c>
    </row>
    <row r="1674" spans="2:7" ht="11.25" hidden="1" customHeight="1" outlineLevel="2" x14ac:dyDescent="0.25">
      <c r="B1674" s="704" t="s">
        <v>680</v>
      </c>
      <c r="C1674" s="704" t="s">
        <v>773</v>
      </c>
      <c r="D1674" s="704" t="s">
        <v>563</v>
      </c>
      <c r="E1674" s="704" t="s">
        <v>448</v>
      </c>
      <c r="F1674" s="706">
        <v>4.8435151325748805E-4</v>
      </c>
      <c r="G1674" s="705">
        <v>0.55512165052902385</v>
      </c>
    </row>
    <row r="1675" spans="2:7" ht="11.25" hidden="1" customHeight="1" outlineLevel="2" x14ac:dyDescent="0.25">
      <c r="B1675" s="704" t="s">
        <v>681</v>
      </c>
      <c r="C1675" s="704" t="s">
        <v>773</v>
      </c>
      <c r="D1675" s="704" t="s">
        <v>563</v>
      </c>
      <c r="E1675" s="704" t="s">
        <v>448</v>
      </c>
      <c r="F1675" s="706">
        <v>1.0463975592941114E-3</v>
      </c>
      <c r="G1675" s="705">
        <v>1.19334364601471</v>
      </c>
    </row>
    <row r="1676" spans="2:7" ht="11.25" hidden="1" customHeight="1" outlineLevel="2" x14ac:dyDescent="0.25">
      <c r="B1676" s="704" t="s">
        <v>682</v>
      </c>
      <c r="C1676" s="704" t="s">
        <v>773</v>
      </c>
      <c r="D1676" s="704" t="s">
        <v>563</v>
      </c>
      <c r="E1676" s="704" t="s">
        <v>448</v>
      </c>
      <c r="F1676" s="706">
        <v>9.5428111670386171E-4</v>
      </c>
      <c r="G1676" s="705">
        <v>1.0883745270054617</v>
      </c>
    </row>
    <row r="1677" spans="2:7" ht="11.25" hidden="1" customHeight="1" outlineLevel="2" x14ac:dyDescent="0.25">
      <c r="B1677" s="704" t="s">
        <v>683</v>
      </c>
      <c r="C1677" s="704" t="s">
        <v>773</v>
      </c>
      <c r="D1677" s="704" t="s">
        <v>563</v>
      </c>
      <c r="E1677" s="704" t="s">
        <v>448</v>
      </c>
      <c r="F1677" s="706">
        <v>3.3038454527298115E-4</v>
      </c>
      <c r="G1677" s="705">
        <v>0.37832373067709929</v>
      </c>
    </row>
    <row r="1678" spans="2:7" ht="11.25" hidden="1" customHeight="1" outlineLevel="2" x14ac:dyDescent="0.25">
      <c r="B1678" s="704" t="s">
        <v>684</v>
      </c>
      <c r="C1678" s="704" t="s">
        <v>773</v>
      </c>
      <c r="D1678" s="704" t="s">
        <v>563</v>
      </c>
      <c r="E1678" s="704" t="s">
        <v>448</v>
      </c>
      <c r="F1678" s="706">
        <v>6.6805890681650884E-4</v>
      </c>
      <c r="G1678" s="705">
        <v>0.76558987320213279</v>
      </c>
    </row>
    <row r="1679" spans="2:7" ht="11.25" hidden="1" customHeight="1" outlineLevel="2" x14ac:dyDescent="0.25">
      <c r="B1679" s="704" t="s">
        <v>685</v>
      </c>
      <c r="C1679" s="704" t="s">
        <v>773</v>
      </c>
      <c r="D1679" s="704" t="s">
        <v>563</v>
      </c>
      <c r="E1679" s="704" t="s">
        <v>448</v>
      </c>
      <c r="F1679" s="705">
        <v>2.5217348310018865E-3</v>
      </c>
      <c r="G1679" s="705">
        <v>2.8876427350069234</v>
      </c>
    </row>
    <row r="1680" spans="2:7" ht="11.25" hidden="1" customHeight="1" outlineLevel="2" x14ac:dyDescent="0.25">
      <c r="B1680" s="704" t="s">
        <v>686</v>
      </c>
      <c r="C1680" s="704" t="s">
        <v>773</v>
      </c>
      <c r="D1680" s="704" t="s">
        <v>563</v>
      </c>
      <c r="E1680" s="704" t="s">
        <v>448</v>
      </c>
      <c r="F1680" s="705">
        <v>2.4981884992341578E-4</v>
      </c>
      <c r="G1680" s="705">
        <v>0.28378500069178342</v>
      </c>
    </row>
    <row r="1681" spans="2:7" ht="11.25" hidden="1" customHeight="1" outlineLevel="2" x14ac:dyDescent="0.25">
      <c r="B1681" s="704" t="s">
        <v>687</v>
      </c>
      <c r="C1681" s="704" t="s">
        <v>773</v>
      </c>
      <c r="D1681" s="704" t="s">
        <v>563</v>
      </c>
      <c r="E1681" s="704" t="s">
        <v>448</v>
      </c>
      <c r="F1681" s="705">
        <v>1.6898121503503016E-3</v>
      </c>
      <c r="G1681" s="705">
        <v>1.9271134739456643</v>
      </c>
    </row>
    <row r="1682" spans="2:7" ht="11.25" hidden="1" customHeight="1" outlineLevel="2" x14ac:dyDescent="0.25">
      <c r="B1682" s="704" t="s">
        <v>688</v>
      </c>
      <c r="C1682" s="704" t="s">
        <v>773</v>
      </c>
      <c r="D1682" s="704" t="s">
        <v>563</v>
      </c>
      <c r="E1682" s="704" t="s">
        <v>448</v>
      </c>
      <c r="F1682" s="706">
        <v>2.2950223317475017E-3</v>
      </c>
      <c r="G1682" s="705">
        <v>2.6173147264126357</v>
      </c>
    </row>
    <row r="1683" spans="2:7" ht="11.25" hidden="1" customHeight="1" outlineLevel="2" x14ac:dyDescent="0.25">
      <c r="B1683" s="704" t="s">
        <v>689</v>
      </c>
      <c r="C1683" s="704" t="s">
        <v>773</v>
      </c>
      <c r="D1683" s="704" t="s">
        <v>563</v>
      </c>
      <c r="E1683" s="704" t="s">
        <v>448</v>
      </c>
      <c r="F1683" s="705">
        <v>3.0923449505185165E-4</v>
      </c>
      <c r="G1683" s="705">
        <v>0.35217815898544841</v>
      </c>
    </row>
    <row r="1684" spans="2:7" ht="11.25" hidden="1" customHeight="1" outlineLevel="2" x14ac:dyDescent="0.25">
      <c r="B1684" s="704" t="s">
        <v>690</v>
      </c>
      <c r="C1684" s="704" t="s">
        <v>773</v>
      </c>
      <c r="D1684" s="704" t="s">
        <v>563</v>
      </c>
      <c r="E1684" s="704" t="s">
        <v>448</v>
      </c>
      <c r="F1684" s="705">
        <v>4.2306560866032785E-3</v>
      </c>
      <c r="G1684" s="705">
        <v>4.8445319263122704</v>
      </c>
    </row>
    <row r="1685" spans="2:7" ht="11.25" hidden="1" customHeight="1" outlineLevel="2" x14ac:dyDescent="0.25">
      <c r="B1685" s="704" t="s">
        <v>691</v>
      </c>
      <c r="C1685" s="704" t="s">
        <v>773</v>
      </c>
      <c r="D1685" s="704" t="s">
        <v>563</v>
      </c>
      <c r="E1685" s="704" t="s">
        <v>448</v>
      </c>
      <c r="F1685" s="706">
        <v>3.1062616410176057E-3</v>
      </c>
      <c r="G1685" s="705">
        <v>3.5569839577936095</v>
      </c>
    </row>
    <row r="1686" spans="2:7" ht="11.25" hidden="1" customHeight="1" outlineLevel="2" x14ac:dyDescent="0.25">
      <c r="B1686" s="704" t="s">
        <v>692</v>
      </c>
      <c r="C1686" s="704" t="s">
        <v>773</v>
      </c>
      <c r="D1686" s="704" t="s">
        <v>563</v>
      </c>
      <c r="E1686" s="704" t="s">
        <v>448</v>
      </c>
      <c r="F1686" s="705">
        <v>2.5547785497349244E-4</v>
      </c>
      <c r="G1686" s="705">
        <v>0.29135483954579589</v>
      </c>
    </row>
    <row r="1687" spans="2:7" ht="11.25" hidden="1" customHeight="1" outlineLevel="2" x14ac:dyDescent="0.25">
      <c r="B1687" s="704" t="s">
        <v>693</v>
      </c>
      <c r="C1687" s="704" t="s">
        <v>773</v>
      </c>
      <c r="D1687" s="704" t="s">
        <v>563</v>
      </c>
      <c r="E1687" s="704" t="s">
        <v>448</v>
      </c>
      <c r="F1687" s="705">
        <v>1.3693939060592072E-4</v>
      </c>
      <c r="G1687" s="705">
        <v>0.15694818247347631</v>
      </c>
    </row>
    <row r="1688" spans="2:7" ht="11.25" hidden="1" customHeight="1" outlineLevel="2" x14ac:dyDescent="0.25">
      <c r="B1688" s="704" t="s">
        <v>694</v>
      </c>
      <c r="C1688" s="704" t="s">
        <v>773</v>
      </c>
      <c r="D1688" s="704" t="s">
        <v>563</v>
      </c>
      <c r="E1688" s="704" t="s">
        <v>448</v>
      </c>
      <c r="F1688" s="705">
        <v>9.3201000000954373E-5</v>
      </c>
      <c r="G1688" s="705">
        <v>0.10681890258701691</v>
      </c>
    </row>
    <row r="1689" spans="2:7" ht="11.25" hidden="1" customHeight="1" outlineLevel="2" x14ac:dyDescent="0.25">
      <c r="B1689" s="704" t="s">
        <v>695</v>
      </c>
      <c r="C1689" s="704" t="s">
        <v>773</v>
      </c>
      <c r="D1689" s="704" t="s">
        <v>563</v>
      </c>
      <c r="E1689" s="704" t="s">
        <v>448</v>
      </c>
      <c r="F1689" s="706">
        <v>6.549018519723561E-4</v>
      </c>
      <c r="G1689" s="705">
        <v>0.75059171434629057</v>
      </c>
    </row>
    <row r="1690" spans="2:7" ht="11.25" hidden="1" customHeight="1" outlineLevel="2" x14ac:dyDescent="0.25">
      <c r="B1690" s="704" t="s">
        <v>696</v>
      </c>
      <c r="C1690" s="704" t="s">
        <v>773</v>
      </c>
      <c r="D1690" s="704" t="s">
        <v>563</v>
      </c>
      <c r="E1690" s="704" t="s">
        <v>448</v>
      </c>
      <c r="F1690" s="706">
        <v>2.3723167304111467E-3</v>
      </c>
      <c r="G1690" s="705">
        <v>2.6948646944734791</v>
      </c>
    </row>
    <row r="1691" spans="2:7" ht="11.25" hidden="1" customHeight="1" outlineLevel="2" x14ac:dyDescent="0.25">
      <c r="B1691" s="704" t="s">
        <v>697</v>
      </c>
      <c r="C1691" s="704" t="s">
        <v>773</v>
      </c>
      <c r="D1691" s="704" t="s">
        <v>563</v>
      </c>
      <c r="E1691" s="704" t="s">
        <v>448</v>
      </c>
      <c r="F1691" s="706">
        <v>1.1882757579932536E-3</v>
      </c>
      <c r="G1691" s="705">
        <v>1.3619001888479747</v>
      </c>
    </row>
    <row r="1692" spans="2:7" ht="11.25" hidden="1" customHeight="1" outlineLevel="2" x14ac:dyDescent="0.25">
      <c r="B1692" s="704" t="s">
        <v>698</v>
      </c>
      <c r="C1692" s="704" t="s">
        <v>773</v>
      </c>
      <c r="D1692" s="704" t="s">
        <v>563</v>
      </c>
      <c r="E1692" s="704" t="s">
        <v>448</v>
      </c>
      <c r="F1692" s="705">
        <v>3.1086540177720164E-4</v>
      </c>
      <c r="G1692" s="705">
        <v>0.3562873406800483</v>
      </c>
    </row>
    <row r="1693" spans="2:7" ht="11.25" hidden="1" customHeight="1" outlineLevel="2" x14ac:dyDescent="0.25">
      <c r="B1693" s="704" t="s">
        <v>699</v>
      </c>
      <c r="C1693" s="704" t="s">
        <v>773</v>
      </c>
      <c r="D1693" s="704" t="s">
        <v>563</v>
      </c>
      <c r="E1693" s="704" t="s">
        <v>448</v>
      </c>
      <c r="F1693" s="705">
        <v>5.6964773566100142E-3</v>
      </c>
      <c r="G1693" s="705">
        <v>6.4964354852159119</v>
      </c>
    </row>
    <row r="1694" spans="2:7" ht="11.25" hidden="1" customHeight="1" outlineLevel="2" x14ac:dyDescent="0.25">
      <c r="B1694" s="704" t="s">
        <v>673</v>
      </c>
      <c r="C1694" s="704" t="s">
        <v>774</v>
      </c>
      <c r="D1694" s="704" t="s">
        <v>563</v>
      </c>
      <c r="E1694" s="704" t="s">
        <v>448</v>
      </c>
      <c r="F1694" s="705">
        <v>3.775422395862531E-4</v>
      </c>
      <c r="G1694" s="705">
        <v>0.50614138875111869</v>
      </c>
    </row>
    <row r="1695" spans="2:7" ht="11.25" hidden="1" customHeight="1" outlineLevel="2" x14ac:dyDescent="0.25">
      <c r="B1695" s="704" t="s">
        <v>677</v>
      </c>
      <c r="C1695" s="704" t="s">
        <v>774</v>
      </c>
      <c r="D1695" s="704" t="s">
        <v>563</v>
      </c>
      <c r="E1695" s="704" t="s">
        <v>448</v>
      </c>
      <c r="F1695" s="705">
        <v>2.5881763704647827E-3</v>
      </c>
      <c r="G1695" s="705">
        <v>3.4341572276266112</v>
      </c>
    </row>
    <row r="1696" spans="2:7" ht="11.25" hidden="1" customHeight="1" outlineLevel="2" x14ac:dyDescent="0.25">
      <c r="B1696" s="704" t="s">
        <v>678</v>
      </c>
      <c r="C1696" s="704" t="s">
        <v>774</v>
      </c>
      <c r="D1696" s="704" t="s">
        <v>563</v>
      </c>
      <c r="E1696" s="704" t="s">
        <v>448</v>
      </c>
      <c r="F1696" s="705">
        <v>3.9028893072190563E-3</v>
      </c>
      <c r="G1696" s="705">
        <v>5.257269334617428</v>
      </c>
    </row>
    <row r="1697" spans="2:7" ht="11.25" hidden="1" customHeight="1" outlineLevel="2" x14ac:dyDescent="0.25">
      <c r="B1697" s="704" t="s">
        <v>679</v>
      </c>
      <c r="C1697" s="704" t="s">
        <v>774</v>
      </c>
      <c r="D1697" s="704" t="s">
        <v>563</v>
      </c>
      <c r="E1697" s="704" t="s">
        <v>448</v>
      </c>
      <c r="F1697" s="705">
        <v>4.0879212997327184E-4</v>
      </c>
      <c r="G1697" s="705">
        <v>0.55337786939888889</v>
      </c>
    </row>
    <row r="1698" spans="2:7" ht="11.25" hidden="1" customHeight="1" outlineLevel="2" x14ac:dyDescent="0.25">
      <c r="B1698" s="704" t="s">
        <v>680</v>
      </c>
      <c r="C1698" s="704" t="s">
        <v>774</v>
      </c>
      <c r="D1698" s="704" t="s">
        <v>563</v>
      </c>
      <c r="E1698" s="704" t="s">
        <v>448</v>
      </c>
      <c r="F1698" s="705">
        <v>1.5317288986022376E-4</v>
      </c>
      <c r="G1698" s="705">
        <v>0.20756876617431697</v>
      </c>
    </row>
    <row r="1699" spans="2:7" ht="11.25" hidden="1" customHeight="1" outlineLevel="2" x14ac:dyDescent="0.25">
      <c r="B1699" s="704" t="s">
        <v>681</v>
      </c>
      <c r="C1699" s="704" t="s">
        <v>774</v>
      </c>
      <c r="D1699" s="704" t="s">
        <v>563</v>
      </c>
      <c r="E1699" s="704" t="s">
        <v>448</v>
      </c>
      <c r="F1699" s="705">
        <v>8.0900580260024452E-4</v>
      </c>
      <c r="G1699" s="705">
        <v>1.089746222763859</v>
      </c>
    </row>
    <row r="1700" spans="2:7" ht="11.25" hidden="1" customHeight="1" outlineLevel="2" x14ac:dyDescent="0.25">
      <c r="B1700" s="704" t="s">
        <v>682</v>
      </c>
      <c r="C1700" s="704" t="s">
        <v>774</v>
      </c>
      <c r="D1700" s="704" t="s">
        <v>563</v>
      </c>
      <c r="E1700" s="704" t="s">
        <v>448</v>
      </c>
      <c r="F1700" s="705">
        <v>4.5881660708079288E-4</v>
      </c>
      <c r="G1700" s="705">
        <v>0.6180898021121467</v>
      </c>
    </row>
    <row r="1701" spans="2:7" ht="11.25" hidden="1" customHeight="1" outlineLevel="2" x14ac:dyDescent="0.25">
      <c r="B1701" s="704" t="s">
        <v>683</v>
      </c>
      <c r="C1701" s="704" t="s">
        <v>774</v>
      </c>
      <c r="D1701" s="704" t="s">
        <v>563</v>
      </c>
      <c r="E1701" s="704" t="s">
        <v>448</v>
      </c>
      <c r="F1701" s="705">
        <v>6.4783684540575717E-4</v>
      </c>
      <c r="G1701" s="705">
        <v>0.87696995931548771</v>
      </c>
    </row>
    <row r="1702" spans="2:7" ht="11.25" hidden="1" customHeight="1" outlineLevel="2" x14ac:dyDescent="0.25">
      <c r="B1702" s="704" t="s">
        <v>684</v>
      </c>
      <c r="C1702" s="704" t="s">
        <v>774</v>
      </c>
      <c r="D1702" s="704" t="s">
        <v>563</v>
      </c>
      <c r="E1702" s="704" t="s">
        <v>448</v>
      </c>
      <c r="F1702" s="705">
        <v>1.5051906425468127E-4</v>
      </c>
      <c r="G1702" s="705">
        <v>0.20392672490648989</v>
      </c>
    </row>
    <row r="1703" spans="2:7" ht="11.25" hidden="1" customHeight="1" outlineLevel="2" x14ac:dyDescent="0.25">
      <c r="B1703" s="704" t="s">
        <v>685</v>
      </c>
      <c r="C1703" s="704" t="s">
        <v>774</v>
      </c>
      <c r="D1703" s="704" t="s">
        <v>563</v>
      </c>
      <c r="E1703" s="704" t="s">
        <v>448</v>
      </c>
      <c r="F1703" s="706">
        <v>1.0565435987852298E-3</v>
      </c>
      <c r="G1703" s="705">
        <v>1.4302329961680744</v>
      </c>
    </row>
    <row r="1704" spans="2:7" ht="11.25" hidden="1" customHeight="1" outlineLevel="2" x14ac:dyDescent="0.25">
      <c r="B1704" s="704" t="s">
        <v>686</v>
      </c>
      <c r="C1704" s="704" t="s">
        <v>774</v>
      </c>
      <c r="D1704" s="704" t="s">
        <v>563</v>
      </c>
      <c r="E1704" s="704" t="s">
        <v>448</v>
      </c>
      <c r="F1704" s="706">
        <v>1.5262594972066825E-4</v>
      </c>
      <c r="G1704" s="705">
        <v>0.20461396624474662</v>
      </c>
    </row>
    <row r="1705" spans="2:7" ht="11.25" hidden="1" customHeight="1" outlineLevel="2" x14ac:dyDescent="0.25">
      <c r="B1705" s="704" t="s">
        <v>687</v>
      </c>
      <c r="C1705" s="704" t="s">
        <v>774</v>
      </c>
      <c r="D1705" s="704" t="s">
        <v>563</v>
      </c>
      <c r="E1705" s="704" t="s">
        <v>448</v>
      </c>
      <c r="F1705" s="705">
        <v>1.1544859187757458E-3</v>
      </c>
      <c r="G1705" s="705">
        <v>1.5551150217003011</v>
      </c>
    </row>
    <row r="1706" spans="2:7" ht="11.25" hidden="1" customHeight="1" outlineLevel="2" x14ac:dyDescent="0.25">
      <c r="B1706" s="704" t="s">
        <v>688</v>
      </c>
      <c r="C1706" s="704" t="s">
        <v>774</v>
      </c>
      <c r="D1706" s="704" t="s">
        <v>563</v>
      </c>
      <c r="E1706" s="704" t="s">
        <v>448</v>
      </c>
      <c r="F1706" s="705">
        <v>1.3197170529481458E-3</v>
      </c>
      <c r="G1706" s="705">
        <v>1.7776819619017958</v>
      </c>
    </row>
    <row r="1707" spans="2:7" ht="11.25" hidden="1" customHeight="1" outlineLevel="2" x14ac:dyDescent="0.25">
      <c r="B1707" s="704" t="s">
        <v>689</v>
      </c>
      <c r="C1707" s="704" t="s">
        <v>774</v>
      </c>
      <c r="D1707" s="704" t="s">
        <v>563</v>
      </c>
      <c r="E1707" s="704" t="s">
        <v>448</v>
      </c>
      <c r="F1707" s="705">
        <v>1.3506314818879659E-4</v>
      </c>
      <c r="G1707" s="705">
        <v>0.18163281047114108</v>
      </c>
    </row>
    <row r="1708" spans="2:7" ht="11.25" hidden="1" customHeight="1" outlineLevel="2" x14ac:dyDescent="0.25">
      <c r="B1708" s="704" t="s">
        <v>690</v>
      </c>
      <c r="C1708" s="704" t="s">
        <v>774</v>
      </c>
      <c r="D1708" s="704" t="s">
        <v>563</v>
      </c>
      <c r="E1708" s="704" t="s">
        <v>448</v>
      </c>
      <c r="F1708" s="705">
        <v>4.5777593717603081E-3</v>
      </c>
      <c r="G1708" s="705">
        <v>6.1968609689659724</v>
      </c>
    </row>
    <row r="1709" spans="2:7" ht="11.25" hidden="1" customHeight="1" outlineLevel="2" x14ac:dyDescent="0.25">
      <c r="B1709" s="704" t="s">
        <v>691</v>
      </c>
      <c r="C1709" s="704" t="s">
        <v>774</v>
      </c>
      <c r="D1709" s="704" t="s">
        <v>563</v>
      </c>
      <c r="E1709" s="704" t="s">
        <v>448</v>
      </c>
      <c r="F1709" s="705">
        <v>4.1821746874444159E-3</v>
      </c>
      <c r="G1709" s="705">
        <v>5.6613650240587958</v>
      </c>
    </row>
    <row r="1710" spans="2:7" ht="11.25" hidden="1" customHeight="1" outlineLevel="2" x14ac:dyDescent="0.25">
      <c r="B1710" s="704" t="s">
        <v>692</v>
      </c>
      <c r="C1710" s="704" t="s">
        <v>774</v>
      </c>
      <c r="D1710" s="704" t="s">
        <v>563</v>
      </c>
      <c r="E1710" s="704" t="s">
        <v>448</v>
      </c>
      <c r="F1710" s="705">
        <v>2.1771436670036334E-4</v>
      </c>
      <c r="G1710" s="705">
        <v>0.29326519810824753</v>
      </c>
    </row>
    <row r="1711" spans="2:7" ht="11.25" hidden="1" customHeight="1" outlineLevel="2" x14ac:dyDescent="0.25">
      <c r="B1711" s="704" t="s">
        <v>693</v>
      </c>
      <c r="C1711" s="704" t="s">
        <v>774</v>
      </c>
      <c r="D1711" s="704" t="s">
        <v>563</v>
      </c>
      <c r="E1711" s="704" t="s">
        <v>448</v>
      </c>
      <c r="F1711" s="705">
        <v>4.5401708472075431E-4</v>
      </c>
      <c r="G1711" s="705">
        <v>0.61525046676664819</v>
      </c>
    </row>
    <row r="1712" spans="2:7" ht="11.25" hidden="1" customHeight="1" outlineLevel="2" x14ac:dyDescent="0.25">
      <c r="B1712" s="704" t="s">
        <v>694</v>
      </c>
      <c r="C1712" s="704" t="s">
        <v>774</v>
      </c>
      <c r="D1712" s="704" t="s">
        <v>563</v>
      </c>
      <c r="E1712" s="704" t="s">
        <v>448</v>
      </c>
      <c r="F1712" s="705">
        <v>1.2853155951164354E-4</v>
      </c>
      <c r="G1712" s="705">
        <v>0.17417683096836992</v>
      </c>
    </row>
    <row r="1713" spans="2:7" ht="11.25" hidden="1" customHeight="1" outlineLevel="2" x14ac:dyDescent="0.25">
      <c r="B1713" s="704" t="s">
        <v>695</v>
      </c>
      <c r="C1713" s="704" t="s">
        <v>774</v>
      </c>
      <c r="D1713" s="704" t="s">
        <v>563</v>
      </c>
      <c r="E1713" s="704" t="s">
        <v>448</v>
      </c>
      <c r="F1713" s="705">
        <v>1.7346330663911083E-4</v>
      </c>
      <c r="G1713" s="705">
        <v>0.2350649910864121</v>
      </c>
    </row>
    <row r="1714" spans="2:7" ht="11.25" hidden="1" customHeight="1" outlineLevel="2" x14ac:dyDescent="0.25">
      <c r="B1714" s="704" t="s">
        <v>696</v>
      </c>
      <c r="C1714" s="704" t="s">
        <v>774</v>
      </c>
      <c r="D1714" s="704" t="s">
        <v>563</v>
      </c>
      <c r="E1714" s="704" t="s">
        <v>448</v>
      </c>
      <c r="F1714" s="705">
        <v>6.8768265061129499E-4</v>
      </c>
      <c r="G1714" s="705">
        <v>0.92192354191020531</v>
      </c>
    </row>
    <row r="1715" spans="2:7" ht="11.25" hidden="1" customHeight="1" outlineLevel="2" x14ac:dyDescent="0.25">
      <c r="B1715" s="704" t="s">
        <v>697</v>
      </c>
      <c r="C1715" s="704" t="s">
        <v>774</v>
      </c>
      <c r="D1715" s="704" t="s">
        <v>563</v>
      </c>
      <c r="E1715" s="704" t="s">
        <v>448</v>
      </c>
      <c r="F1715" s="705">
        <v>4.3489247538599325E-4</v>
      </c>
      <c r="G1715" s="705">
        <v>0.58933428077303229</v>
      </c>
    </row>
    <row r="1716" spans="2:7" ht="11.25" hidden="1" customHeight="1" outlineLevel="2" x14ac:dyDescent="0.25">
      <c r="B1716" s="704" t="s">
        <v>698</v>
      </c>
      <c r="C1716" s="704" t="s">
        <v>774</v>
      </c>
      <c r="D1716" s="704" t="s">
        <v>563</v>
      </c>
      <c r="E1716" s="704" t="s">
        <v>448</v>
      </c>
      <c r="F1716" s="705">
        <v>2.4239552723012887E-4</v>
      </c>
      <c r="G1716" s="705">
        <v>0.32847694756379531</v>
      </c>
    </row>
    <row r="1717" spans="2:7" ht="11.25" hidden="1" customHeight="1" outlineLevel="2" x14ac:dyDescent="0.25">
      <c r="B1717" s="704" t="s">
        <v>699</v>
      </c>
      <c r="C1717" s="704" t="s">
        <v>774</v>
      </c>
      <c r="D1717" s="704" t="s">
        <v>563</v>
      </c>
      <c r="E1717" s="704" t="s">
        <v>448</v>
      </c>
      <c r="F1717" s="705">
        <v>3.2301774922591652E-3</v>
      </c>
      <c r="G1717" s="705">
        <v>4.3511063097358624</v>
      </c>
    </row>
    <row r="1718" spans="2:7" ht="11.25" hidden="1" customHeight="1" outlineLevel="2" x14ac:dyDescent="0.25">
      <c r="B1718" s="704" t="s">
        <v>673</v>
      </c>
      <c r="C1718" s="704" t="s">
        <v>775</v>
      </c>
      <c r="D1718" s="704" t="s">
        <v>563</v>
      </c>
      <c r="E1718" s="704" t="s">
        <v>448</v>
      </c>
      <c r="F1718" s="705">
        <v>3.8226915338767921E-4</v>
      </c>
      <c r="G1718" s="705">
        <v>4.8680174919265484</v>
      </c>
    </row>
    <row r="1719" spans="2:7" ht="11.25" hidden="1" customHeight="1" outlineLevel="2" x14ac:dyDescent="0.25">
      <c r="B1719" s="704" t="s">
        <v>677</v>
      </c>
      <c r="C1719" s="704" t="s">
        <v>775</v>
      </c>
      <c r="D1719" s="704" t="s">
        <v>563</v>
      </c>
      <c r="E1719" s="704" t="s">
        <v>448</v>
      </c>
      <c r="F1719" s="705">
        <v>1.6365424220981153E-3</v>
      </c>
      <c r="G1719" s="705">
        <v>20.626774585261938</v>
      </c>
    </row>
    <row r="1720" spans="2:7" ht="11.25" hidden="1" customHeight="1" outlineLevel="2" x14ac:dyDescent="0.25">
      <c r="B1720" s="704" t="s">
        <v>678</v>
      </c>
      <c r="C1720" s="704" t="s">
        <v>775</v>
      </c>
      <c r="D1720" s="704" t="s">
        <v>563</v>
      </c>
      <c r="E1720" s="704" t="s">
        <v>448</v>
      </c>
      <c r="F1720" s="706">
        <v>2.9502096061902881E-3</v>
      </c>
      <c r="G1720" s="705">
        <v>37.748636254183637</v>
      </c>
    </row>
    <row r="1721" spans="2:7" ht="11.25" hidden="1" customHeight="1" outlineLevel="2" x14ac:dyDescent="0.25">
      <c r="B1721" s="704" t="s">
        <v>679</v>
      </c>
      <c r="C1721" s="704" t="s">
        <v>775</v>
      </c>
      <c r="D1721" s="704" t="s">
        <v>563</v>
      </c>
      <c r="E1721" s="704" t="s">
        <v>448</v>
      </c>
      <c r="F1721" s="706">
        <v>7.8552446349812731E-5</v>
      </c>
      <c r="G1721" s="705">
        <v>1.0100913996089811</v>
      </c>
    </row>
    <row r="1722" spans="2:7" ht="11.25" hidden="1" customHeight="1" outlineLevel="2" x14ac:dyDescent="0.25">
      <c r="B1722" s="704" t="s">
        <v>680</v>
      </c>
      <c r="C1722" s="704" t="s">
        <v>775</v>
      </c>
      <c r="D1722" s="704" t="s">
        <v>563</v>
      </c>
      <c r="E1722" s="704" t="s">
        <v>448</v>
      </c>
      <c r="F1722" s="706">
        <v>1.9012136498010551E-4</v>
      </c>
      <c r="G1722" s="705">
        <v>2.4473570607901189</v>
      </c>
    </row>
    <row r="1723" spans="2:7" ht="11.25" hidden="1" customHeight="1" outlineLevel="2" x14ac:dyDescent="0.25">
      <c r="B1723" s="704" t="s">
        <v>681</v>
      </c>
      <c r="C1723" s="704" t="s">
        <v>775</v>
      </c>
      <c r="D1723" s="704" t="s">
        <v>563</v>
      </c>
      <c r="E1723" s="704" t="s">
        <v>448</v>
      </c>
      <c r="F1723" s="706">
        <v>4.111747369712086E-4</v>
      </c>
      <c r="G1723" s="705">
        <v>5.2610753393976406</v>
      </c>
    </row>
    <row r="1724" spans="2:7" ht="11.25" hidden="1" customHeight="1" outlineLevel="2" x14ac:dyDescent="0.25">
      <c r="B1724" s="704" t="s">
        <v>682</v>
      </c>
      <c r="C1724" s="704" t="s">
        <v>775</v>
      </c>
      <c r="D1724" s="704" t="s">
        <v>563</v>
      </c>
      <c r="E1724" s="704" t="s">
        <v>448</v>
      </c>
      <c r="F1724" s="706">
        <v>3.7497216011487389E-4</v>
      </c>
      <c r="G1724" s="705">
        <v>4.7983015515885103</v>
      </c>
    </row>
    <row r="1725" spans="2:7" ht="11.25" hidden="1" customHeight="1" outlineLevel="2" x14ac:dyDescent="0.25">
      <c r="B1725" s="704" t="s">
        <v>683</v>
      </c>
      <c r="C1725" s="704" t="s">
        <v>775</v>
      </c>
      <c r="D1725" s="704" t="s">
        <v>563</v>
      </c>
      <c r="E1725" s="704" t="s">
        <v>448</v>
      </c>
      <c r="F1725" s="706">
        <v>1.2970950753968719E-4</v>
      </c>
      <c r="G1725" s="705">
        <v>1.667911057742447</v>
      </c>
    </row>
    <row r="1726" spans="2:7" ht="11.25" hidden="1" customHeight="1" outlineLevel="2" x14ac:dyDescent="0.25">
      <c r="B1726" s="704" t="s">
        <v>684</v>
      </c>
      <c r="C1726" s="704" t="s">
        <v>775</v>
      </c>
      <c r="D1726" s="704" t="s">
        <v>563</v>
      </c>
      <c r="E1726" s="704" t="s">
        <v>448</v>
      </c>
      <c r="F1726" s="706">
        <v>2.6223767078717669E-4</v>
      </c>
      <c r="G1726" s="705">
        <v>3.375244095325832</v>
      </c>
    </row>
    <row r="1727" spans="2:7" ht="11.25" hidden="1" customHeight="1" outlineLevel="2" x14ac:dyDescent="0.25">
      <c r="B1727" s="704" t="s">
        <v>685</v>
      </c>
      <c r="C1727" s="704" t="s">
        <v>775</v>
      </c>
      <c r="D1727" s="704" t="s">
        <v>563</v>
      </c>
      <c r="E1727" s="704" t="s">
        <v>448</v>
      </c>
      <c r="F1727" s="706">
        <v>9.9003711282573403E-4</v>
      </c>
      <c r="G1727" s="705">
        <v>12.730700426417775</v>
      </c>
    </row>
    <row r="1728" spans="2:7" ht="11.25" hidden="1" customHeight="1" outlineLevel="2" x14ac:dyDescent="0.25">
      <c r="B1728" s="704" t="s">
        <v>686</v>
      </c>
      <c r="C1728" s="704" t="s">
        <v>775</v>
      </c>
      <c r="D1728" s="704" t="s">
        <v>563</v>
      </c>
      <c r="E1728" s="704" t="s">
        <v>448</v>
      </c>
      <c r="F1728" s="706">
        <v>9.824621602482957E-5</v>
      </c>
      <c r="G1728" s="705">
        <v>1.2511181936089173</v>
      </c>
    </row>
    <row r="1729" spans="2:7" ht="11.25" hidden="1" customHeight="1" outlineLevel="2" x14ac:dyDescent="0.25">
      <c r="B1729" s="704" t="s">
        <v>687</v>
      </c>
      <c r="C1729" s="704" t="s">
        <v>775</v>
      </c>
      <c r="D1729" s="704" t="s">
        <v>563</v>
      </c>
      <c r="E1729" s="704" t="s">
        <v>448</v>
      </c>
      <c r="F1729" s="706">
        <v>6.6400027421077538E-4</v>
      </c>
      <c r="G1729" s="705">
        <v>8.4960343084771068</v>
      </c>
    </row>
    <row r="1730" spans="2:7" ht="11.25" hidden="1" customHeight="1" outlineLevel="2" x14ac:dyDescent="0.25">
      <c r="B1730" s="704" t="s">
        <v>688</v>
      </c>
      <c r="C1730" s="704" t="s">
        <v>775</v>
      </c>
      <c r="D1730" s="704" t="s">
        <v>563</v>
      </c>
      <c r="E1730" s="704" t="s">
        <v>448</v>
      </c>
      <c r="F1730" s="705">
        <v>9.0181415583149313E-4</v>
      </c>
      <c r="G1730" s="705">
        <v>11.538929113863654</v>
      </c>
    </row>
    <row r="1731" spans="2:7" ht="11.25" hidden="1" customHeight="1" outlineLevel="2" x14ac:dyDescent="0.25">
      <c r="B1731" s="704" t="s">
        <v>689</v>
      </c>
      <c r="C1731" s="704" t="s">
        <v>775</v>
      </c>
      <c r="D1731" s="704" t="s">
        <v>563</v>
      </c>
      <c r="E1731" s="704" t="s">
        <v>448</v>
      </c>
      <c r="F1731" s="705">
        <v>1.2154691796050467E-4</v>
      </c>
      <c r="G1731" s="705">
        <v>1.552642774811215</v>
      </c>
    </row>
    <row r="1732" spans="2:7" ht="11.25" hidden="1" customHeight="1" outlineLevel="2" x14ac:dyDescent="0.25">
      <c r="B1732" s="704" t="s">
        <v>690</v>
      </c>
      <c r="C1732" s="704" t="s">
        <v>775</v>
      </c>
      <c r="D1732" s="704" t="s">
        <v>563</v>
      </c>
      <c r="E1732" s="704" t="s">
        <v>448</v>
      </c>
      <c r="F1732" s="706">
        <v>1.6609631478459186E-3</v>
      </c>
      <c r="G1732" s="705">
        <v>21.358017978790173</v>
      </c>
    </row>
    <row r="1733" spans="2:7" ht="11.25" hidden="1" customHeight="1" outlineLevel="2" x14ac:dyDescent="0.25">
      <c r="B1733" s="704" t="s">
        <v>691</v>
      </c>
      <c r="C1733" s="704" t="s">
        <v>775</v>
      </c>
      <c r="D1733" s="704" t="s">
        <v>563</v>
      </c>
      <c r="E1733" s="704" t="s">
        <v>448</v>
      </c>
      <c r="F1733" s="705">
        <v>1.219524075342692E-3</v>
      </c>
      <c r="G1733" s="705">
        <v>15.681627753870949</v>
      </c>
    </row>
    <row r="1734" spans="2:7" ht="11.25" hidden="1" customHeight="1" outlineLevel="2" x14ac:dyDescent="0.25">
      <c r="B1734" s="704" t="s">
        <v>692</v>
      </c>
      <c r="C1734" s="704" t="s">
        <v>775</v>
      </c>
      <c r="D1734" s="704" t="s">
        <v>563</v>
      </c>
      <c r="E1734" s="704" t="s">
        <v>448</v>
      </c>
      <c r="F1734" s="705">
        <v>1.0038832431166092E-4</v>
      </c>
      <c r="G1734" s="705">
        <v>1.2844919049531394</v>
      </c>
    </row>
    <row r="1735" spans="2:7" ht="11.25" hidden="1" customHeight="1" outlineLevel="2" x14ac:dyDescent="0.25">
      <c r="B1735" s="704" t="s">
        <v>693</v>
      </c>
      <c r="C1735" s="704" t="s">
        <v>775</v>
      </c>
      <c r="D1735" s="704" t="s">
        <v>563</v>
      </c>
      <c r="E1735" s="704" t="s">
        <v>448</v>
      </c>
      <c r="F1735" s="705">
        <v>5.3752490277903612E-5</v>
      </c>
      <c r="G1735" s="705">
        <v>0.6919351669083138</v>
      </c>
    </row>
    <row r="1736" spans="2:7" ht="11.25" hidden="1" customHeight="1" outlineLevel="2" x14ac:dyDescent="0.25">
      <c r="B1736" s="704" t="s">
        <v>694</v>
      </c>
      <c r="C1736" s="704" t="s">
        <v>775</v>
      </c>
      <c r="D1736" s="704" t="s">
        <v>563</v>
      </c>
      <c r="E1736" s="704" t="s">
        <v>448</v>
      </c>
      <c r="F1736" s="705">
        <v>3.6583953679926098E-5</v>
      </c>
      <c r="G1736" s="705">
        <v>0.47093081766736555</v>
      </c>
    </row>
    <row r="1737" spans="2:7" ht="11.25" hidden="1" customHeight="1" outlineLevel="2" x14ac:dyDescent="0.25">
      <c r="B1737" s="704" t="s">
        <v>695</v>
      </c>
      <c r="C1737" s="704" t="s">
        <v>775</v>
      </c>
      <c r="D1737" s="704" t="s">
        <v>563</v>
      </c>
      <c r="E1737" s="704" t="s">
        <v>448</v>
      </c>
      <c r="F1737" s="705">
        <v>2.570670982875248E-4</v>
      </c>
      <c r="G1737" s="705">
        <v>3.3091237003146241</v>
      </c>
    </row>
    <row r="1738" spans="2:7" ht="11.25" hidden="1" customHeight="1" outlineLevel="2" x14ac:dyDescent="0.25">
      <c r="B1738" s="704" t="s">
        <v>696</v>
      </c>
      <c r="C1738" s="704" t="s">
        <v>775</v>
      </c>
      <c r="D1738" s="704" t="s">
        <v>563</v>
      </c>
      <c r="E1738" s="704" t="s">
        <v>448</v>
      </c>
      <c r="F1738" s="705">
        <v>9.3296074384002997E-4</v>
      </c>
      <c r="G1738" s="705">
        <v>11.880801968442666</v>
      </c>
    </row>
    <row r="1739" spans="2:7" ht="11.25" hidden="1" customHeight="1" outlineLevel="2" x14ac:dyDescent="0.25">
      <c r="B1739" s="704" t="s">
        <v>697</v>
      </c>
      <c r="C1739" s="704" t="s">
        <v>775</v>
      </c>
      <c r="D1739" s="704" t="s">
        <v>563</v>
      </c>
      <c r="E1739" s="704" t="s">
        <v>448</v>
      </c>
      <c r="F1739" s="705">
        <v>4.6643110265598105E-4</v>
      </c>
      <c r="G1739" s="705">
        <v>6.0041765747264861</v>
      </c>
    </row>
    <row r="1740" spans="2:7" ht="11.25" hidden="1" customHeight="1" outlineLevel="2" x14ac:dyDescent="0.25">
      <c r="B1740" s="704" t="s">
        <v>698</v>
      </c>
      <c r="C1740" s="704" t="s">
        <v>775</v>
      </c>
      <c r="D1740" s="704" t="s">
        <v>563</v>
      </c>
      <c r="E1740" s="704" t="s">
        <v>448</v>
      </c>
      <c r="F1740" s="705">
        <v>1.2202335929890334E-4</v>
      </c>
      <c r="G1740" s="705">
        <v>1.5707592380940749</v>
      </c>
    </row>
    <row r="1741" spans="2:7" ht="11.25" hidden="1" customHeight="1" outlineLevel="2" x14ac:dyDescent="0.25">
      <c r="B1741" s="704" t="s">
        <v>699</v>
      </c>
      <c r="C1741" s="704" t="s">
        <v>775</v>
      </c>
      <c r="D1741" s="704" t="s">
        <v>563</v>
      </c>
      <c r="E1741" s="704" t="s">
        <v>448</v>
      </c>
      <c r="F1741" s="705">
        <v>2.2383917843001189E-3</v>
      </c>
      <c r="G1741" s="705">
        <v>28.640743724603901</v>
      </c>
    </row>
    <row r="1742" spans="2:7" ht="11.25" hidden="1" customHeight="1" outlineLevel="2" x14ac:dyDescent="0.25">
      <c r="B1742" s="704" t="s">
        <v>673</v>
      </c>
      <c r="C1742" s="704" t="s">
        <v>776</v>
      </c>
      <c r="D1742" s="704" t="s">
        <v>728</v>
      </c>
      <c r="E1742" s="704" t="s">
        <v>448</v>
      </c>
      <c r="F1742" s="705">
        <v>0.90853161191334786</v>
      </c>
      <c r="G1742" s="705">
        <v>561.68519784646469</v>
      </c>
    </row>
    <row r="1743" spans="2:7" ht="11.25" hidden="1" customHeight="1" outlineLevel="2" x14ac:dyDescent="0.25">
      <c r="B1743" s="704" t="s">
        <v>677</v>
      </c>
      <c r="C1743" s="704" t="s">
        <v>776</v>
      </c>
      <c r="D1743" s="704" t="s">
        <v>728</v>
      </c>
      <c r="E1743" s="704" t="s">
        <v>448</v>
      </c>
      <c r="F1743" s="705">
        <v>5.4104964967075615</v>
      </c>
      <c r="G1743" s="705">
        <v>3309.4882379777764</v>
      </c>
    </row>
    <row r="1744" spans="2:7" ht="11.25" hidden="1" customHeight="1" outlineLevel="2" x14ac:dyDescent="0.25">
      <c r="B1744" s="704" t="s">
        <v>678</v>
      </c>
      <c r="C1744" s="704" t="s">
        <v>776</v>
      </c>
      <c r="D1744" s="704" t="s">
        <v>728</v>
      </c>
      <c r="E1744" s="704" t="s">
        <v>448</v>
      </c>
      <c r="F1744" s="705">
        <v>8.8576080613081398</v>
      </c>
      <c r="G1744" s="705">
        <v>5483.465092252236</v>
      </c>
    </row>
    <row r="1745" spans="2:7" ht="11.25" hidden="1" customHeight="1" outlineLevel="2" x14ac:dyDescent="0.25">
      <c r="B1745" s="704" t="s">
        <v>679</v>
      </c>
      <c r="C1745" s="704" t="s">
        <v>776</v>
      </c>
      <c r="D1745" s="704" t="s">
        <v>728</v>
      </c>
      <c r="E1745" s="704" t="s">
        <v>448</v>
      </c>
      <c r="F1745" s="705">
        <v>0.81508317572152045</v>
      </c>
      <c r="G1745" s="705">
        <v>506.11876351899286</v>
      </c>
    </row>
    <row r="1746" spans="2:7" ht="11.25" hidden="1" customHeight="1" outlineLevel="2" x14ac:dyDescent="0.25">
      <c r="B1746" s="704" t="s">
        <v>680</v>
      </c>
      <c r="C1746" s="704" t="s">
        <v>776</v>
      </c>
      <c r="D1746" s="704" t="s">
        <v>728</v>
      </c>
      <c r="E1746" s="704" t="s">
        <v>448</v>
      </c>
      <c r="F1746" s="705">
        <v>0.33892226817567273</v>
      </c>
      <c r="G1746" s="705">
        <v>210.95006910375324</v>
      </c>
    </row>
    <row r="1747" spans="2:7" ht="11.25" hidden="1" customHeight="1" outlineLevel="2" x14ac:dyDescent="0.25">
      <c r="B1747" s="704" t="s">
        <v>681</v>
      </c>
      <c r="C1747" s="704" t="s">
        <v>776</v>
      </c>
      <c r="D1747" s="704" t="s">
        <v>728</v>
      </c>
      <c r="E1747" s="704" t="s">
        <v>448</v>
      </c>
      <c r="F1747" s="705">
        <v>1.5793974358671667</v>
      </c>
      <c r="G1747" s="705">
        <v>977.75519147137391</v>
      </c>
    </row>
    <row r="1748" spans="2:7" ht="11.25" hidden="1" customHeight="1" outlineLevel="2" x14ac:dyDescent="0.25">
      <c r="B1748" s="704" t="s">
        <v>682</v>
      </c>
      <c r="C1748" s="704" t="s">
        <v>776</v>
      </c>
      <c r="D1748" s="704" t="s">
        <v>728</v>
      </c>
      <c r="E1748" s="704" t="s">
        <v>448</v>
      </c>
      <c r="F1748" s="705">
        <v>1.002011592574815</v>
      </c>
      <c r="G1748" s="705">
        <v>620.38203771528606</v>
      </c>
    </row>
    <row r="1749" spans="2:7" ht="11.25" hidden="1" customHeight="1" outlineLevel="2" x14ac:dyDescent="0.25">
      <c r="B1749" s="704" t="s">
        <v>683</v>
      </c>
      <c r="C1749" s="704" t="s">
        <v>776</v>
      </c>
      <c r="D1749" s="704" t="s">
        <v>728</v>
      </c>
      <c r="E1749" s="704" t="s">
        <v>448</v>
      </c>
      <c r="F1749" s="705">
        <v>1.2909933443198975</v>
      </c>
      <c r="G1749" s="705">
        <v>801.6312234729013</v>
      </c>
    </row>
    <row r="1750" spans="2:7" ht="11.25" hidden="1" customHeight="1" outlineLevel="2" x14ac:dyDescent="0.25">
      <c r="B1750" s="704" t="s">
        <v>684</v>
      </c>
      <c r="C1750" s="704" t="s">
        <v>776</v>
      </c>
      <c r="D1750" s="704" t="s">
        <v>728</v>
      </c>
      <c r="E1750" s="704" t="s">
        <v>448</v>
      </c>
      <c r="F1750" s="705">
        <v>0.40728147722490798</v>
      </c>
      <c r="G1750" s="705">
        <v>253.49785178084431</v>
      </c>
    </row>
    <row r="1751" spans="2:7" ht="11.25" hidden="1" customHeight="1" outlineLevel="2" x14ac:dyDescent="0.25">
      <c r="B1751" s="704" t="s">
        <v>685</v>
      </c>
      <c r="C1751" s="704" t="s">
        <v>776</v>
      </c>
      <c r="D1751" s="704" t="s">
        <v>728</v>
      </c>
      <c r="E1751" s="704" t="s">
        <v>448</v>
      </c>
      <c r="F1751" s="705">
        <v>2.1578966875864363</v>
      </c>
      <c r="G1751" s="705">
        <v>1339.9273685202074</v>
      </c>
    </row>
    <row r="1752" spans="2:7" ht="11.25" hidden="1" customHeight="1" outlineLevel="2" x14ac:dyDescent="0.25">
      <c r="B1752" s="704" t="s">
        <v>686</v>
      </c>
      <c r="C1752" s="704" t="s">
        <v>776</v>
      </c>
      <c r="D1752" s="704" t="s">
        <v>728</v>
      </c>
      <c r="E1752" s="704" t="s">
        <v>448</v>
      </c>
      <c r="F1752" s="705">
        <v>0.47626977056805614</v>
      </c>
      <c r="G1752" s="705">
        <v>294.44627041435342</v>
      </c>
    </row>
    <row r="1753" spans="2:7" ht="11.25" hidden="1" customHeight="1" outlineLevel="2" x14ac:dyDescent="0.25">
      <c r="B1753" s="704" t="s">
        <v>687</v>
      </c>
      <c r="C1753" s="704" t="s">
        <v>776</v>
      </c>
      <c r="D1753" s="704" t="s">
        <v>728</v>
      </c>
      <c r="E1753" s="704" t="s">
        <v>448</v>
      </c>
      <c r="F1753" s="706">
        <v>2.4084748319945444</v>
      </c>
      <c r="G1753" s="705">
        <v>1491.011237677865</v>
      </c>
    </row>
    <row r="1754" spans="2:7" ht="11.25" hidden="1" customHeight="1" outlineLevel="2" x14ac:dyDescent="0.25">
      <c r="B1754" s="704" t="s">
        <v>688</v>
      </c>
      <c r="C1754" s="704" t="s">
        <v>776</v>
      </c>
      <c r="D1754" s="704" t="s">
        <v>728</v>
      </c>
      <c r="E1754" s="704" t="s">
        <v>448</v>
      </c>
      <c r="F1754" s="706">
        <v>2.68455564570045</v>
      </c>
      <c r="G1754" s="705">
        <v>1661.9235739302026</v>
      </c>
    </row>
    <row r="1755" spans="2:7" ht="11.25" hidden="1" customHeight="1" outlineLevel="2" x14ac:dyDescent="0.25">
      <c r="B1755" s="704" t="s">
        <v>689</v>
      </c>
      <c r="C1755" s="704" t="s">
        <v>776</v>
      </c>
      <c r="D1755" s="704" t="s">
        <v>728</v>
      </c>
      <c r="E1755" s="704" t="s">
        <v>448</v>
      </c>
      <c r="F1755" s="706">
        <v>0.42754120583649252</v>
      </c>
      <c r="G1755" s="705">
        <v>264.32309461666063</v>
      </c>
    </row>
    <row r="1756" spans="2:7" ht="11.25" hidden="1" customHeight="1" outlineLevel="2" x14ac:dyDescent="0.25">
      <c r="B1756" s="704" t="s">
        <v>690</v>
      </c>
      <c r="C1756" s="704" t="s">
        <v>776</v>
      </c>
      <c r="D1756" s="704" t="s">
        <v>728</v>
      </c>
      <c r="E1756" s="704" t="s">
        <v>448</v>
      </c>
      <c r="F1756" s="706">
        <v>9.5581488770674383</v>
      </c>
      <c r="G1756" s="705">
        <v>5935.050573343965</v>
      </c>
    </row>
    <row r="1757" spans="2:7" ht="11.25" hidden="1" customHeight="1" outlineLevel="2" x14ac:dyDescent="0.25">
      <c r="B1757" s="704" t="s">
        <v>691</v>
      </c>
      <c r="C1757" s="704" t="s">
        <v>776</v>
      </c>
      <c r="D1757" s="704" t="s">
        <v>728</v>
      </c>
      <c r="E1757" s="704" t="s">
        <v>448</v>
      </c>
      <c r="F1757" s="706">
        <v>8.5562796408432629</v>
      </c>
      <c r="G1757" s="705">
        <v>5312.9472412177165</v>
      </c>
    </row>
    <row r="1758" spans="2:7" ht="11.25" hidden="1" customHeight="1" outlineLevel="2" x14ac:dyDescent="0.25">
      <c r="B1758" s="704" t="s">
        <v>692</v>
      </c>
      <c r="C1758" s="704" t="s">
        <v>776</v>
      </c>
      <c r="D1758" s="704" t="s">
        <v>728</v>
      </c>
      <c r="E1758" s="704" t="s">
        <v>448</v>
      </c>
      <c r="F1758" s="706">
        <v>0.48735117625956331</v>
      </c>
      <c r="G1758" s="705">
        <v>301.70364357940821</v>
      </c>
    </row>
    <row r="1759" spans="2:7" ht="11.25" hidden="1" customHeight="1" outlineLevel="2" x14ac:dyDescent="0.25">
      <c r="B1759" s="704" t="s">
        <v>693</v>
      </c>
      <c r="C1759" s="704" t="s">
        <v>776</v>
      </c>
      <c r="D1759" s="704" t="s">
        <v>728</v>
      </c>
      <c r="E1759" s="704" t="s">
        <v>448</v>
      </c>
      <c r="F1759" s="705">
        <v>0.99029643563521075</v>
      </c>
      <c r="G1759" s="705">
        <v>616.37459912082682</v>
      </c>
    </row>
    <row r="1760" spans="2:7" ht="11.25" hidden="1" customHeight="1" outlineLevel="2" x14ac:dyDescent="0.25">
      <c r="B1760" s="704" t="s">
        <v>694</v>
      </c>
      <c r="C1760" s="704" t="s">
        <v>776</v>
      </c>
      <c r="D1760" s="704" t="s">
        <v>728</v>
      </c>
      <c r="E1760" s="704" t="s">
        <v>448</v>
      </c>
      <c r="F1760" s="705">
        <v>0.27783007438909291</v>
      </c>
      <c r="G1760" s="705">
        <v>172.92535766511733</v>
      </c>
    </row>
    <row r="1761" spans="2:7" ht="11.25" hidden="1" customHeight="1" outlineLevel="2" x14ac:dyDescent="0.25">
      <c r="B1761" s="704" t="s">
        <v>695</v>
      </c>
      <c r="C1761" s="704" t="s">
        <v>776</v>
      </c>
      <c r="D1761" s="704" t="s">
        <v>728</v>
      </c>
      <c r="E1761" s="704" t="s">
        <v>448</v>
      </c>
      <c r="F1761" s="705">
        <v>0.47185505745968237</v>
      </c>
      <c r="G1761" s="705">
        <v>293.68944454126392</v>
      </c>
    </row>
    <row r="1762" spans="2:7" ht="11.25" hidden="1" customHeight="1" outlineLevel="2" x14ac:dyDescent="0.25">
      <c r="B1762" s="704" t="s">
        <v>696</v>
      </c>
      <c r="C1762" s="704" t="s">
        <v>776</v>
      </c>
      <c r="D1762" s="704" t="s">
        <v>728</v>
      </c>
      <c r="E1762" s="704" t="s">
        <v>448</v>
      </c>
      <c r="F1762" s="705">
        <v>1.5095083632085156</v>
      </c>
      <c r="G1762" s="705">
        <v>933.22945498479169</v>
      </c>
    </row>
    <row r="1763" spans="2:7" ht="11.25" hidden="1" customHeight="1" outlineLevel="2" x14ac:dyDescent="0.25">
      <c r="B1763" s="704" t="s">
        <v>697</v>
      </c>
      <c r="C1763" s="704" t="s">
        <v>776</v>
      </c>
      <c r="D1763" s="704" t="s">
        <v>728</v>
      </c>
      <c r="E1763" s="704" t="s">
        <v>448</v>
      </c>
      <c r="F1763" s="705">
        <v>0.98399626266990137</v>
      </c>
      <c r="G1763" s="705">
        <v>612.4535827099777</v>
      </c>
    </row>
    <row r="1764" spans="2:7" ht="11.25" hidden="1" customHeight="1" outlineLevel="2" x14ac:dyDescent="0.25">
      <c r="B1764" s="704" t="s">
        <v>698</v>
      </c>
      <c r="C1764" s="704" t="s">
        <v>776</v>
      </c>
      <c r="D1764" s="704" t="s">
        <v>728</v>
      </c>
      <c r="E1764" s="704" t="s">
        <v>448</v>
      </c>
      <c r="F1764" s="705">
        <v>1.3303512427459439</v>
      </c>
      <c r="G1764" s="705">
        <v>828.03007425536555</v>
      </c>
    </row>
    <row r="1765" spans="2:7" ht="11.25" hidden="1" customHeight="1" outlineLevel="2" x14ac:dyDescent="0.25">
      <c r="B1765" s="704" t="s">
        <v>699</v>
      </c>
      <c r="C1765" s="704" t="s">
        <v>776</v>
      </c>
      <c r="D1765" s="704" t="s">
        <v>728</v>
      </c>
      <c r="E1765" s="704" t="s">
        <v>448</v>
      </c>
      <c r="F1765" s="705">
        <v>8.2303804139269889</v>
      </c>
      <c r="G1765" s="705">
        <v>5095.1686995312657</v>
      </c>
    </row>
    <row r="1766" spans="2:7" ht="11.25" hidden="1" customHeight="1" outlineLevel="2" x14ac:dyDescent="0.25">
      <c r="B1766" s="704" t="s">
        <v>673</v>
      </c>
      <c r="C1766" s="704" t="s">
        <v>777</v>
      </c>
      <c r="D1766" s="704" t="s">
        <v>728</v>
      </c>
      <c r="E1766" s="704" t="s">
        <v>448</v>
      </c>
      <c r="F1766" s="705">
        <v>7.7982543407905391E-2</v>
      </c>
      <c r="G1766" s="705">
        <v>92.616456155292056</v>
      </c>
    </row>
    <row r="1767" spans="2:7" ht="11.25" hidden="1" customHeight="1" outlineLevel="2" x14ac:dyDescent="0.25">
      <c r="B1767" s="704" t="s">
        <v>677</v>
      </c>
      <c r="C1767" s="704" t="s">
        <v>777</v>
      </c>
      <c r="D1767" s="704" t="s">
        <v>728</v>
      </c>
      <c r="E1767" s="704" t="s">
        <v>448</v>
      </c>
      <c r="F1767" s="705">
        <v>3.7769372079889179</v>
      </c>
      <c r="G1767" s="705">
        <v>4438.1776183954744</v>
      </c>
    </row>
    <row r="1768" spans="2:7" ht="11.25" hidden="1" customHeight="1" outlineLevel="2" x14ac:dyDescent="0.25">
      <c r="B1768" s="704" t="s">
        <v>678</v>
      </c>
      <c r="C1768" s="704" t="s">
        <v>777</v>
      </c>
      <c r="D1768" s="704" t="s">
        <v>728</v>
      </c>
      <c r="E1768" s="704" t="s">
        <v>448</v>
      </c>
      <c r="F1768" s="705">
        <v>4.4857682309318774</v>
      </c>
      <c r="G1768" s="705">
        <v>5334.707499995131</v>
      </c>
    </row>
    <row r="1769" spans="2:7" ht="11.25" hidden="1" customHeight="1" outlineLevel="2" x14ac:dyDescent="0.25">
      <c r="B1769" s="704" t="s">
        <v>679</v>
      </c>
      <c r="C1769" s="704" t="s">
        <v>777</v>
      </c>
      <c r="D1769" s="704" t="s">
        <v>728</v>
      </c>
      <c r="E1769" s="704" t="s">
        <v>448</v>
      </c>
      <c r="F1769" s="705">
        <v>0.26708465373600138</v>
      </c>
      <c r="G1769" s="705">
        <v>318.6006315521177</v>
      </c>
    </row>
    <row r="1770" spans="2:7" ht="11.25" hidden="1" customHeight="1" outlineLevel="2" x14ac:dyDescent="0.25">
      <c r="B1770" s="704" t="s">
        <v>680</v>
      </c>
      <c r="C1770" s="704" t="s">
        <v>777</v>
      </c>
      <c r="D1770" s="704" t="s">
        <v>728</v>
      </c>
      <c r="E1770" s="704" t="s">
        <v>448</v>
      </c>
      <c r="F1770" s="705">
        <v>8.3654045117393994E-2</v>
      </c>
      <c r="G1770" s="705">
        <v>100.02583994553802</v>
      </c>
    </row>
    <row r="1771" spans="2:7" ht="11.25" hidden="1" customHeight="1" outlineLevel="2" x14ac:dyDescent="0.25">
      <c r="B1771" s="704" t="s">
        <v>681</v>
      </c>
      <c r="C1771" s="704" t="s">
        <v>777</v>
      </c>
      <c r="D1771" s="704" t="s">
        <v>728</v>
      </c>
      <c r="E1771" s="704" t="s">
        <v>448</v>
      </c>
      <c r="F1771" s="705">
        <v>1.4142623480176471</v>
      </c>
      <c r="G1771" s="705">
        <v>1681.9143720117956</v>
      </c>
    </row>
    <row r="1772" spans="2:7" ht="11.25" hidden="1" customHeight="1" outlineLevel="2" x14ac:dyDescent="0.25">
      <c r="B1772" s="704" t="s">
        <v>682</v>
      </c>
      <c r="C1772" s="704" t="s">
        <v>777</v>
      </c>
      <c r="D1772" s="704" t="s">
        <v>728</v>
      </c>
      <c r="E1772" s="704" t="s">
        <v>448</v>
      </c>
      <c r="F1772" s="705">
        <v>0.18377139851382257</v>
      </c>
      <c r="G1772" s="705">
        <v>218.5747888909969</v>
      </c>
    </row>
    <row r="1773" spans="2:7" ht="11.25" hidden="1" customHeight="1" outlineLevel="2" x14ac:dyDescent="0.25">
      <c r="B1773" s="704" t="s">
        <v>683</v>
      </c>
      <c r="C1773" s="704" t="s">
        <v>777</v>
      </c>
      <c r="D1773" s="704" t="s">
        <v>728</v>
      </c>
      <c r="E1773" s="704" t="s">
        <v>448</v>
      </c>
      <c r="F1773" s="705">
        <v>0.3850987219207016</v>
      </c>
      <c r="G1773" s="705">
        <v>459.37769890089885</v>
      </c>
    </row>
    <row r="1774" spans="2:7" ht="11.25" hidden="1" customHeight="1" outlineLevel="2" x14ac:dyDescent="0.25">
      <c r="B1774" s="704" t="s">
        <v>684</v>
      </c>
      <c r="C1774" s="704" t="s">
        <v>777</v>
      </c>
      <c r="D1774" s="704" t="s">
        <v>728</v>
      </c>
      <c r="E1774" s="704" t="s">
        <v>448</v>
      </c>
      <c r="F1774" s="705">
        <v>0.49572748868863015</v>
      </c>
      <c r="G1774" s="705">
        <v>592.74535199045658</v>
      </c>
    </row>
    <row r="1775" spans="2:7" ht="11.25" hidden="1" customHeight="1" outlineLevel="2" x14ac:dyDescent="0.25">
      <c r="B1775" s="704" t="s">
        <v>685</v>
      </c>
      <c r="C1775" s="704" t="s">
        <v>777</v>
      </c>
      <c r="D1775" s="704" t="s">
        <v>728</v>
      </c>
      <c r="E1775" s="704" t="s">
        <v>448</v>
      </c>
      <c r="F1775" s="705">
        <v>2.3416497467892468</v>
      </c>
      <c r="G1775" s="705">
        <v>2793.3113830240013</v>
      </c>
    </row>
    <row r="1776" spans="2:7" ht="11.25" hidden="1" customHeight="1" outlineLevel="2" x14ac:dyDescent="0.25">
      <c r="B1776" s="704" t="s">
        <v>686</v>
      </c>
      <c r="C1776" s="704" t="s">
        <v>777</v>
      </c>
      <c r="D1776" s="704" t="s">
        <v>728</v>
      </c>
      <c r="E1776" s="704" t="s">
        <v>448</v>
      </c>
      <c r="F1776" s="705">
        <v>0.50220790528260972</v>
      </c>
      <c r="G1776" s="705">
        <v>596.45022914984884</v>
      </c>
    </row>
    <row r="1777" spans="2:7" ht="11.25" hidden="1" customHeight="1" outlineLevel="2" x14ac:dyDescent="0.25">
      <c r="B1777" s="704" t="s">
        <v>687</v>
      </c>
      <c r="C1777" s="704" t="s">
        <v>777</v>
      </c>
      <c r="D1777" s="704" t="s">
        <v>728</v>
      </c>
      <c r="E1777" s="704" t="s">
        <v>448</v>
      </c>
      <c r="F1777" s="705">
        <v>1.0311035924969092</v>
      </c>
      <c r="G1777" s="705">
        <v>1226.241488383562</v>
      </c>
    </row>
    <row r="1778" spans="2:7" ht="11.25" hidden="1" customHeight="1" outlineLevel="2" x14ac:dyDescent="0.25">
      <c r="B1778" s="704" t="s">
        <v>688</v>
      </c>
      <c r="C1778" s="704" t="s">
        <v>777</v>
      </c>
      <c r="D1778" s="704" t="s">
        <v>728</v>
      </c>
      <c r="E1778" s="704" t="s">
        <v>448</v>
      </c>
      <c r="F1778" s="705">
        <v>3.0341234073538783</v>
      </c>
      <c r="G1778" s="705">
        <v>3608.3370312330862</v>
      </c>
    </row>
    <row r="1779" spans="2:7" ht="11.25" hidden="1" customHeight="1" outlineLevel="2" x14ac:dyDescent="0.25">
      <c r="B1779" s="704" t="s">
        <v>689</v>
      </c>
      <c r="C1779" s="704" t="s">
        <v>777</v>
      </c>
      <c r="D1779" s="704" t="s">
        <v>728</v>
      </c>
      <c r="E1779" s="704" t="s">
        <v>448</v>
      </c>
      <c r="F1779" s="705">
        <v>0.29580195513298496</v>
      </c>
      <c r="G1779" s="705">
        <v>351.2284675593898</v>
      </c>
    </row>
    <row r="1780" spans="2:7" ht="11.25" hidden="1" customHeight="1" outlineLevel="2" x14ac:dyDescent="0.25">
      <c r="B1780" s="704" t="s">
        <v>690</v>
      </c>
      <c r="C1780" s="704" t="s">
        <v>777</v>
      </c>
      <c r="D1780" s="704" t="s">
        <v>728</v>
      </c>
      <c r="E1780" s="704" t="s">
        <v>448</v>
      </c>
      <c r="F1780" s="705">
        <v>9.2485863957064929</v>
      </c>
      <c r="G1780" s="705">
        <v>11032.472451265405</v>
      </c>
    </row>
    <row r="1781" spans="2:7" ht="11.25" hidden="1" customHeight="1" outlineLevel="2" x14ac:dyDescent="0.25">
      <c r="B1781" s="704" t="s">
        <v>691</v>
      </c>
      <c r="C1781" s="704" t="s">
        <v>777</v>
      </c>
      <c r="D1781" s="704" t="s">
        <v>728</v>
      </c>
      <c r="E1781" s="704" t="s">
        <v>448</v>
      </c>
      <c r="F1781" s="705">
        <v>4.5187012086987339</v>
      </c>
      <c r="G1781" s="705">
        <v>5390.2768245761563</v>
      </c>
    </row>
    <row r="1782" spans="2:7" ht="11.25" hidden="1" customHeight="1" outlineLevel="2" x14ac:dyDescent="0.25">
      <c r="B1782" s="704" t="s">
        <v>692</v>
      </c>
      <c r="C1782" s="704" t="s">
        <v>777</v>
      </c>
      <c r="D1782" s="704" t="s">
        <v>728</v>
      </c>
      <c r="E1782" s="704" t="s">
        <v>448</v>
      </c>
      <c r="F1782" s="705">
        <v>0.29593611438135226</v>
      </c>
      <c r="G1782" s="705">
        <v>351.94245727383708</v>
      </c>
    </row>
    <row r="1783" spans="2:7" ht="11.25" hidden="1" customHeight="1" outlineLevel="2" x14ac:dyDescent="0.25">
      <c r="B1783" s="704" t="s">
        <v>693</v>
      </c>
      <c r="C1783" s="704" t="s">
        <v>777</v>
      </c>
      <c r="D1783" s="704" t="s">
        <v>728</v>
      </c>
      <c r="E1783" s="704" t="s">
        <v>448</v>
      </c>
      <c r="F1783" s="705">
        <v>0.22617577345529424</v>
      </c>
      <c r="G1783" s="705">
        <v>270.44000628741702</v>
      </c>
    </row>
    <row r="1784" spans="2:7" ht="11.25" hidden="1" customHeight="1" outlineLevel="2" x14ac:dyDescent="0.25">
      <c r="B1784" s="704" t="s">
        <v>694</v>
      </c>
      <c r="C1784" s="704" t="s">
        <v>777</v>
      </c>
      <c r="D1784" s="704" t="s">
        <v>728</v>
      </c>
      <c r="E1784" s="704" t="s">
        <v>448</v>
      </c>
      <c r="F1784" s="705">
        <v>0.49882593444337542</v>
      </c>
      <c r="G1784" s="705">
        <v>596.45022914984884</v>
      </c>
    </row>
    <row r="1785" spans="2:7" ht="11.25" hidden="1" customHeight="1" outlineLevel="2" x14ac:dyDescent="0.25">
      <c r="B1785" s="704" t="s">
        <v>695</v>
      </c>
      <c r="C1785" s="704" t="s">
        <v>777</v>
      </c>
      <c r="D1785" s="704" t="s">
        <v>728</v>
      </c>
      <c r="E1785" s="704" t="s">
        <v>448</v>
      </c>
      <c r="F1785" s="705">
        <v>0.48953102411727517</v>
      </c>
      <c r="G1785" s="705">
        <v>585.3355481759113</v>
      </c>
    </row>
    <row r="1786" spans="2:7" ht="11.25" hidden="1" customHeight="1" outlineLevel="2" x14ac:dyDescent="0.25">
      <c r="B1786" s="704" t="s">
        <v>696</v>
      </c>
      <c r="C1786" s="704" t="s">
        <v>777</v>
      </c>
      <c r="D1786" s="704" t="s">
        <v>728</v>
      </c>
      <c r="E1786" s="704" t="s">
        <v>448</v>
      </c>
      <c r="F1786" s="705">
        <v>0.70496220797167486</v>
      </c>
      <c r="G1786" s="705">
        <v>837.25251789663832</v>
      </c>
    </row>
    <row r="1787" spans="2:7" ht="11.25" hidden="1" customHeight="1" outlineLevel="2" x14ac:dyDescent="0.25">
      <c r="B1787" s="704" t="s">
        <v>697</v>
      </c>
      <c r="C1787" s="704" t="s">
        <v>777</v>
      </c>
      <c r="D1787" s="704" t="s">
        <v>728</v>
      </c>
      <c r="E1787" s="704" t="s">
        <v>448</v>
      </c>
      <c r="F1787" s="705">
        <v>0.31602646971731285</v>
      </c>
      <c r="G1787" s="705">
        <v>377.87507884516469</v>
      </c>
    </row>
    <row r="1788" spans="2:7" ht="11.25" hidden="1" customHeight="1" outlineLevel="2" x14ac:dyDescent="0.25">
      <c r="B1788" s="704" t="s">
        <v>698</v>
      </c>
      <c r="C1788" s="704" t="s">
        <v>777</v>
      </c>
      <c r="D1788" s="704" t="s">
        <v>728</v>
      </c>
      <c r="E1788" s="704" t="s">
        <v>448</v>
      </c>
      <c r="F1788" s="705">
        <v>0.49882593440176909</v>
      </c>
      <c r="G1788" s="705">
        <v>596.45022910061107</v>
      </c>
    </row>
    <row r="1789" spans="2:7" ht="11.25" hidden="1" customHeight="1" outlineLevel="2" x14ac:dyDescent="0.25">
      <c r="B1789" s="704" t="s">
        <v>699</v>
      </c>
      <c r="C1789" s="704" t="s">
        <v>777</v>
      </c>
      <c r="D1789" s="704" t="s">
        <v>728</v>
      </c>
      <c r="E1789" s="704" t="s">
        <v>448</v>
      </c>
      <c r="F1789" s="705">
        <v>0.56383620125560252</v>
      </c>
      <c r="G1789" s="705">
        <v>670.54318202807542</v>
      </c>
    </row>
    <row r="1790" spans="2:7" ht="11.25" hidden="1" customHeight="1" outlineLevel="2" x14ac:dyDescent="0.25">
      <c r="B1790" s="704" t="s">
        <v>673</v>
      </c>
      <c r="C1790" s="704" t="s">
        <v>778</v>
      </c>
      <c r="D1790" s="704" t="s">
        <v>728</v>
      </c>
      <c r="E1790" s="704" t="s">
        <v>448</v>
      </c>
      <c r="F1790" s="705">
        <v>7.6802950533157041E-2</v>
      </c>
      <c r="G1790" s="705">
        <v>47.098069005728441</v>
      </c>
    </row>
    <row r="1791" spans="2:7" ht="11.25" hidden="1" customHeight="1" outlineLevel="2" x14ac:dyDescent="0.25">
      <c r="B1791" s="704" t="s">
        <v>677</v>
      </c>
      <c r="C1791" s="704" t="s">
        <v>778</v>
      </c>
      <c r="D1791" s="704" t="s">
        <v>728</v>
      </c>
      <c r="E1791" s="704" t="s">
        <v>448</v>
      </c>
      <c r="F1791" s="705">
        <v>0.45737767016965858</v>
      </c>
      <c r="G1791" s="705">
        <v>277.50510824223437</v>
      </c>
    </row>
    <row r="1792" spans="2:7" ht="11.25" hidden="1" customHeight="1" outlineLevel="2" x14ac:dyDescent="0.25">
      <c r="B1792" s="704" t="s">
        <v>678</v>
      </c>
      <c r="C1792" s="704" t="s">
        <v>778</v>
      </c>
      <c r="D1792" s="704" t="s">
        <v>728</v>
      </c>
      <c r="E1792" s="704" t="s">
        <v>448</v>
      </c>
      <c r="F1792" s="705">
        <v>0.74877999096572545</v>
      </c>
      <c r="G1792" s="705">
        <v>459.79596029053789</v>
      </c>
    </row>
    <row r="1793" spans="2:7" ht="11.25" hidden="1" customHeight="1" outlineLevel="2" x14ac:dyDescent="0.25">
      <c r="B1793" s="704" t="s">
        <v>679</v>
      </c>
      <c r="C1793" s="704" t="s">
        <v>778</v>
      </c>
      <c r="D1793" s="704" t="s">
        <v>728</v>
      </c>
      <c r="E1793" s="704" t="s">
        <v>448</v>
      </c>
      <c r="F1793" s="705">
        <v>6.8903252115819671E-2</v>
      </c>
      <c r="G1793" s="705">
        <v>42.43873405099454</v>
      </c>
    </row>
    <row r="1794" spans="2:7" ht="11.25" hidden="1" customHeight="1" outlineLevel="2" x14ac:dyDescent="0.25">
      <c r="B1794" s="704" t="s">
        <v>680</v>
      </c>
      <c r="C1794" s="704" t="s">
        <v>778</v>
      </c>
      <c r="D1794" s="704" t="s">
        <v>728</v>
      </c>
      <c r="E1794" s="704" t="s">
        <v>448</v>
      </c>
      <c r="F1794" s="705">
        <v>2.86508839148506E-2</v>
      </c>
      <c r="G1794" s="705">
        <v>17.688451336527876</v>
      </c>
    </row>
    <row r="1795" spans="2:7" ht="11.25" hidden="1" customHeight="1" outlineLevel="2" x14ac:dyDescent="0.25">
      <c r="B1795" s="704" t="s">
        <v>681</v>
      </c>
      <c r="C1795" s="704" t="s">
        <v>778</v>
      </c>
      <c r="D1795" s="704" t="s">
        <v>728</v>
      </c>
      <c r="E1795" s="704" t="s">
        <v>448</v>
      </c>
      <c r="F1795" s="705">
        <v>0.13351477576033471</v>
      </c>
      <c r="G1795" s="705">
        <v>81.986067373831204</v>
      </c>
    </row>
    <row r="1796" spans="2:7" ht="11.25" hidden="1" customHeight="1" outlineLevel="2" x14ac:dyDescent="0.25">
      <c r="B1796" s="704" t="s">
        <v>682</v>
      </c>
      <c r="C1796" s="704" t="s">
        <v>778</v>
      </c>
      <c r="D1796" s="704" t="s">
        <v>728</v>
      </c>
      <c r="E1796" s="704" t="s">
        <v>448</v>
      </c>
      <c r="F1796" s="705">
        <v>8.4705299187257527E-2</v>
      </c>
      <c r="G1796" s="705">
        <v>52.019863971807141</v>
      </c>
    </row>
    <row r="1797" spans="2:7" ht="11.25" hidden="1" customHeight="1" outlineLevel="2" x14ac:dyDescent="0.25">
      <c r="B1797" s="704" t="s">
        <v>683</v>
      </c>
      <c r="C1797" s="704" t="s">
        <v>778</v>
      </c>
      <c r="D1797" s="704" t="s">
        <v>728</v>
      </c>
      <c r="E1797" s="704" t="s">
        <v>448</v>
      </c>
      <c r="F1797" s="705">
        <v>0.10913448927354881</v>
      </c>
      <c r="G1797" s="705">
        <v>67.217842974182858</v>
      </c>
    </row>
    <row r="1798" spans="2:7" ht="11.25" hidden="1" customHeight="1" outlineLevel="2" x14ac:dyDescent="0.25">
      <c r="B1798" s="704" t="s">
        <v>684</v>
      </c>
      <c r="C1798" s="704" t="s">
        <v>778</v>
      </c>
      <c r="D1798" s="704" t="s">
        <v>728</v>
      </c>
      <c r="E1798" s="704" t="s">
        <v>448</v>
      </c>
      <c r="F1798" s="705">
        <v>3.4429655133726388E-2</v>
      </c>
      <c r="G1798" s="705">
        <v>21.256143205017676</v>
      </c>
    </row>
    <row r="1799" spans="2:7" ht="11.25" hidden="1" customHeight="1" outlineLevel="2" x14ac:dyDescent="0.25">
      <c r="B1799" s="704" t="s">
        <v>685</v>
      </c>
      <c r="C1799" s="704" t="s">
        <v>778</v>
      </c>
      <c r="D1799" s="704" t="s">
        <v>728</v>
      </c>
      <c r="E1799" s="704" t="s">
        <v>448</v>
      </c>
      <c r="F1799" s="706">
        <v>0.18241840558724184</v>
      </c>
      <c r="G1799" s="705">
        <v>112.35472646643153</v>
      </c>
    </row>
    <row r="1800" spans="2:7" ht="11.25" hidden="1" customHeight="1" outlineLevel="2" x14ac:dyDescent="0.25">
      <c r="B1800" s="704" t="s">
        <v>686</v>
      </c>
      <c r="C1800" s="704" t="s">
        <v>778</v>
      </c>
      <c r="D1800" s="704" t="s">
        <v>728</v>
      </c>
      <c r="E1800" s="704" t="s">
        <v>448</v>
      </c>
      <c r="F1800" s="706">
        <v>4.0261590493761511E-2</v>
      </c>
      <c r="G1800" s="705">
        <v>24.689717185154581</v>
      </c>
    </row>
    <row r="1801" spans="2:7" ht="11.25" hidden="1" customHeight="1" outlineLevel="2" x14ac:dyDescent="0.25">
      <c r="B1801" s="704" t="s">
        <v>687</v>
      </c>
      <c r="C1801" s="704" t="s">
        <v>778</v>
      </c>
      <c r="D1801" s="704" t="s">
        <v>728</v>
      </c>
      <c r="E1801" s="704" t="s">
        <v>448</v>
      </c>
      <c r="F1801" s="706">
        <v>0.20360107491506871</v>
      </c>
      <c r="G1801" s="705">
        <v>125.02334947688469</v>
      </c>
    </row>
    <row r="1802" spans="2:7" ht="11.25" hidden="1" customHeight="1" outlineLevel="2" x14ac:dyDescent="0.25">
      <c r="B1802" s="704" t="s">
        <v>688</v>
      </c>
      <c r="C1802" s="704" t="s">
        <v>778</v>
      </c>
      <c r="D1802" s="704" t="s">
        <v>728</v>
      </c>
      <c r="E1802" s="704" t="s">
        <v>448</v>
      </c>
      <c r="F1802" s="706">
        <v>0.22693972441782626</v>
      </c>
      <c r="G1802" s="705">
        <v>139.35462353955057</v>
      </c>
    </row>
    <row r="1803" spans="2:7" ht="11.25" hidden="1" customHeight="1" outlineLevel="2" x14ac:dyDescent="0.25">
      <c r="B1803" s="704" t="s">
        <v>689</v>
      </c>
      <c r="C1803" s="704" t="s">
        <v>778</v>
      </c>
      <c r="D1803" s="704" t="s">
        <v>728</v>
      </c>
      <c r="E1803" s="704" t="s">
        <v>448</v>
      </c>
      <c r="F1803" s="706">
        <v>3.6142320124081403E-2</v>
      </c>
      <c r="G1803" s="705">
        <v>22.163861136109212</v>
      </c>
    </row>
    <row r="1804" spans="2:7" ht="11.25" hidden="1" customHeight="1" outlineLevel="2" x14ac:dyDescent="0.25">
      <c r="B1804" s="704" t="s">
        <v>690</v>
      </c>
      <c r="C1804" s="704" t="s">
        <v>778</v>
      </c>
      <c r="D1804" s="704" t="s">
        <v>728</v>
      </c>
      <c r="E1804" s="704" t="s">
        <v>448</v>
      </c>
      <c r="F1804" s="706">
        <v>0.80800048946855096</v>
      </c>
      <c r="G1804" s="705">
        <v>497.66191666199398</v>
      </c>
    </row>
    <row r="1805" spans="2:7" ht="11.25" hidden="1" customHeight="1" outlineLevel="2" x14ac:dyDescent="0.25">
      <c r="B1805" s="704" t="s">
        <v>691</v>
      </c>
      <c r="C1805" s="704" t="s">
        <v>778</v>
      </c>
      <c r="D1805" s="704" t="s">
        <v>728</v>
      </c>
      <c r="E1805" s="704" t="s">
        <v>448</v>
      </c>
      <c r="F1805" s="706">
        <v>0.72330730688715095</v>
      </c>
      <c r="G1805" s="705">
        <v>445.49774777083979</v>
      </c>
    </row>
    <row r="1806" spans="2:7" ht="11.25" hidden="1" customHeight="1" outlineLevel="2" x14ac:dyDescent="0.25">
      <c r="B1806" s="704" t="s">
        <v>692</v>
      </c>
      <c r="C1806" s="704" t="s">
        <v>778</v>
      </c>
      <c r="D1806" s="704" t="s">
        <v>728</v>
      </c>
      <c r="E1806" s="704" t="s">
        <v>448</v>
      </c>
      <c r="F1806" s="706">
        <v>4.1198362907856022E-2</v>
      </c>
      <c r="G1806" s="705">
        <v>25.298262586869807</v>
      </c>
    </row>
    <row r="1807" spans="2:7" ht="11.25" hidden="1" customHeight="1" outlineLevel="2" x14ac:dyDescent="0.25">
      <c r="B1807" s="704" t="s">
        <v>693</v>
      </c>
      <c r="C1807" s="704" t="s">
        <v>778</v>
      </c>
      <c r="D1807" s="704" t="s">
        <v>728</v>
      </c>
      <c r="E1807" s="704" t="s">
        <v>448</v>
      </c>
      <c r="F1807" s="706">
        <v>8.3714974231263825E-2</v>
      </c>
      <c r="G1807" s="705">
        <v>51.683864747733139</v>
      </c>
    </row>
    <row r="1808" spans="2:7" ht="11.25" hidden="1" customHeight="1" outlineLevel="2" x14ac:dyDescent="0.25">
      <c r="B1808" s="704" t="s">
        <v>694</v>
      </c>
      <c r="C1808" s="704" t="s">
        <v>778</v>
      </c>
      <c r="D1808" s="704" t="s">
        <v>728</v>
      </c>
      <c r="E1808" s="704" t="s">
        <v>448</v>
      </c>
      <c r="F1808" s="706">
        <v>2.3486437377170696E-2</v>
      </c>
      <c r="G1808" s="705">
        <v>14.500029428075043</v>
      </c>
    </row>
    <row r="1809" spans="2:7" ht="11.25" hidden="1" customHeight="1" outlineLevel="2" x14ac:dyDescent="0.25">
      <c r="B1809" s="704" t="s">
        <v>695</v>
      </c>
      <c r="C1809" s="704" t="s">
        <v>778</v>
      </c>
      <c r="D1809" s="704" t="s">
        <v>728</v>
      </c>
      <c r="E1809" s="704" t="s">
        <v>448</v>
      </c>
      <c r="F1809" s="706">
        <v>3.9888399436051276E-2</v>
      </c>
      <c r="G1809" s="705">
        <v>24.626265870206044</v>
      </c>
    </row>
    <row r="1810" spans="2:7" ht="11.25" hidden="1" customHeight="1" outlineLevel="2" x14ac:dyDescent="0.25">
      <c r="B1810" s="704" t="s">
        <v>696</v>
      </c>
      <c r="C1810" s="704" t="s">
        <v>778</v>
      </c>
      <c r="D1810" s="704" t="s">
        <v>728</v>
      </c>
      <c r="E1810" s="704" t="s">
        <v>448</v>
      </c>
      <c r="F1810" s="706">
        <v>0.12760677902467896</v>
      </c>
      <c r="G1810" s="705">
        <v>78.252612168423738</v>
      </c>
    </row>
    <row r="1811" spans="2:7" ht="11.25" hidden="1" customHeight="1" outlineLevel="2" x14ac:dyDescent="0.25">
      <c r="B1811" s="704" t="s">
        <v>697</v>
      </c>
      <c r="C1811" s="704" t="s">
        <v>778</v>
      </c>
      <c r="D1811" s="704" t="s">
        <v>728</v>
      </c>
      <c r="E1811" s="704" t="s">
        <v>448</v>
      </c>
      <c r="F1811" s="706">
        <v>8.3182412470919911E-2</v>
      </c>
      <c r="G1811" s="705">
        <v>51.3550665395382</v>
      </c>
    </row>
    <row r="1812" spans="2:7" ht="11.25" hidden="1" customHeight="1" outlineLevel="2" x14ac:dyDescent="0.25">
      <c r="B1812" s="704" t="s">
        <v>698</v>
      </c>
      <c r="C1812" s="704" t="s">
        <v>778</v>
      </c>
      <c r="D1812" s="704" t="s">
        <v>728</v>
      </c>
      <c r="E1812" s="704" t="s">
        <v>448</v>
      </c>
      <c r="F1812" s="706">
        <v>0.1124616283727933</v>
      </c>
      <c r="G1812" s="705">
        <v>69.431438588500754</v>
      </c>
    </row>
    <row r="1813" spans="2:7" ht="11.25" hidden="1" customHeight="1" outlineLevel="2" x14ac:dyDescent="0.25">
      <c r="B1813" s="704" t="s">
        <v>699</v>
      </c>
      <c r="C1813" s="704" t="s">
        <v>778</v>
      </c>
      <c r="D1813" s="704" t="s">
        <v>728</v>
      </c>
      <c r="E1813" s="704" t="s">
        <v>448</v>
      </c>
      <c r="F1813" s="706">
        <v>0.69575755416122609</v>
      </c>
      <c r="G1813" s="705">
        <v>427.2368203019787</v>
      </c>
    </row>
    <row r="1814" spans="2:7" ht="11.25" hidden="1" customHeight="1" outlineLevel="2" x14ac:dyDescent="0.25">
      <c r="B1814" s="704" t="s">
        <v>673</v>
      </c>
      <c r="C1814" s="704" t="s">
        <v>779</v>
      </c>
      <c r="D1814" s="704" t="s">
        <v>728</v>
      </c>
      <c r="E1814" s="704" t="s">
        <v>448</v>
      </c>
      <c r="F1814" s="706">
        <v>6.3209981428719544E-2</v>
      </c>
      <c r="G1814" s="705">
        <v>47.14261590316498</v>
      </c>
    </row>
    <row r="1815" spans="2:7" ht="11.25" hidden="1" customHeight="1" outlineLevel="2" x14ac:dyDescent="0.25">
      <c r="B1815" s="704" t="s">
        <v>677</v>
      </c>
      <c r="C1815" s="704" t="s">
        <v>779</v>
      </c>
      <c r="D1815" s="704" t="s">
        <v>728</v>
      </c>
      <c r="E1815" s="704" t="s">
        <v>448</v>
      </c>
      <c r="F1815" s="706">
        <v>3.0614546718316933</v>
      </c>
      <c r="G1815" s="705">
        <v>2259.0744484784232</v>
      </c>
    </row>
    <row r="1816" spans="2:7" ht="11.25" hidden="1" customHeight="1" outlineLevel="2" x14ac:dyDescent="0.25">
      <c r="B1816" s="704" t="s">
        <v>678</v>
      </c>
      <c r="C1816" s="704" t="s">
        <v>779</v>
      </c>
      <c r="D1816" s="704" t="s">
        <v>728</v>
      </c>
      <c r="E1816" s="704" t="s">
        <v>448</v>
      </c>
      <c r="F1816" s="706">
        <v>3.6360090759118697</v>
      </c>
      <c r="G1816" s="705">
        <v>2715.4145049435756</v>
      </c>
    </row>
    <row r="1817" spans="2:7" ht="11.25" hidden="1" customHeight="1" outlineLevel="2" x14ac:dyDescent="0.25">
      <c r="B1817" s="704" t="s">
        <v>679</v>
      </c>
      <c r="C1817" s="704" t="s">
        <v>779</v>
      </c>
      <c r="D1817" s="704" t="s">
        <v>728</v>
      </c>
      <c r="E1817" s="704" t="s">
        <v>448</v>
      </c>
      <c r="F1817" s="706">
        <v>0.2164895827002663</v>
      </c>
      <c r="G1817" s="705">
        <v>162.17059251034311</v>
      </c>
    </row>
    <row r="1818" spans="2:7" ht="11.25" hidden="1" customHeight="1" outlineLevel="2" x14ac:dyDescent="0.25">
      <c r="B1818" s="704" t="s">
        <v>680</v>
      </c>
      <c r="C1818" s="704" t="s">
        <v>779</v>
      </c>
      <c r="D1818" s="704" t="s">
        <v>728</v>
      </c>
      <c r="E1818" s="704" t="s">
        <v>448</v>
      </c>
      <c r="F1818" s="706">
        <v>6.7807067962274287E-2</v>
      </c>
      <c r="G1818" s="705">
        <v>50.914029350585515</v>
      </c>
    </row>
    <row r="1819" spans="2:7" ht="11.25" hidden="1" customHeight="1" outlineLevel="2" x14ac:dyDescent="0.25">
      <c r="B1819" s="704" t="s">
        <v>681</v>
      </c>
      <c r="C1819" s="704" t="s">
        <v>779</v>
      </c>
      <c r="D1819" s="704" t="s">
        <v>728</v>
      </c>
      <c r="E1819" s="704" t="s">
        <v>448</v>
      </c>
      <c r="F1819" s="706">
        <v>1.1463526505487931</v>
      </c>
      <c r="G1819" s="705">
        <v>856.10999014208221</v>
      </c>
    </row>
    <row r="1820" spans="2:7" ht="11.25" hidden="1" customHeight="1" outlineLevel="2" x14ac:dyDescent="0.25">
      <c r="B1820" s="704" t="s">
        <v>682</v>
      </c>
      <c r="C1820" s="704" t="s">
        <v>779</v>
      </c>
      <c r="D1820" s="704" t="s">
        <v>728</v>
      </c>
      <c r="E1820" s="704" t="s">
        <v>448</v>
      </c>
      <c r="F1820" s="706">
        <v>0.14895866854300394</v>
      </c>
      <c r="G1820" s="705">
        <v>111.25659498579671</v>
      </c>
    </row>
    <row r="1821" spans="2:7" ht="11.25" hidden="1" customHeight="1" outlineLevel="2" x14ac:dyDescent="0.25">
      <c r="B1821" s="704" t="s">
        <v>683</v>
      </c>
      <c r="C1821" s="704" t="s">
        <v>779</v>
      </c>
      <c r="D1821" s="704" t="s">
        <v>728</v>
      </c>
      <c r="E1821" s="704" t="s">
        <v>448</v>
      </c>
      <c r="F1821" s="706">
        <v>0.3121478945168803</v>
      </c>
      <c r="G1821" s="705">
        <v>233.82733557430015</v>
      </c>
    </row>
    <row r="1822" spans="2:7" ht="11.25" hidden="1" customHeight="1" outlineLevel="2" x14ac:dyDescent="0.25">
      <c r="B1822" s="704" t="s">
        <v>684</v>
      </c>
      <c r="C1822" s="704" t="s">
        <v>779</v>
      </c>
      <c r="D1822" s="704" t="s">
        <v>728</v>
      </c>
      <c r="E1822" s="704" t="s">
        <v>448</v>
      </c>
      <c r="F1822" s="706">
        <v>0.40181975119570262</v>
      </c>
      <c r="G1822" s="705">
        <v>301.71281792980062</v>
      </c>
    </row>
    <row r="1823" spans="2:7" ht="11.25" hidden="1" customHeight="1" outlineLevel="2" x14ac:dyDescent="0.25">
      <c r="B1823" s="704" t="s">
        <v>685</v>
      </c>
      <c r="C1823" s="704" t="s">
        <v>779</v>
      </c>
      <c r="D1823" s="704" t="s">
        <v>728</v>
      </c>
      <c r="E1823" s="704" t="s">
        <v>448</v>
      </c>
      <c r="F1823" s="706">
        <v>1.8980596209081346</v>
      </c>
      <c r="G1823" s="705">
        <v>1421.8207519742837</v>
      </c>
    </row>
    <row r="1824" spans="2:7" ht="11.25" hidden="1" customHeight="1" outlineLevel="2" x14ac:dyDescent="0.25">
      <c r="B1824" s="704" t="s">
        <v>686</v>
      </c>
      <c r="C1824" s="704" t="s">
        <v>779</v>
      </c>
      <c r="D1824" s="704" t="s">
        <v>728</v>
      </c>
      <c r="E1824" s="704" t="s">
        <v>448</v>
      </c>
      <c r="F1824" s="705">
        <v>0.40707215265289987</v>
      </c>
      <c r="G1824" s="705">
        <v>303.59851290387462</v>
      </c>
    </row>
    <row r="1825" spans="2:7" ht="11.25" hidden="1" customHeight="1" outlineLevel="2" x14ac:dyDescent="0.25">
      <c r="B1825" s="704" t="s">
        <v>687</v>
      </c>
      <c r="C1825" s="704" t="s">
        <v>779</v>
      </c>
      <c r="D1825" s="704" t="s">
        <v>728</v>
      </c>
      <c r="E1825" s="704" t="s">
        <v>448</v>
      </c>
      <c r="F1825" s="705">
        <v>0.83577667961559543</v>
      </c>
      <c r="G1825" s="705">
        <v>624.1679443607826</v>
      </c>
    </row>
    <row r="1826" spans="2:7" ht="11.25" hidden="1" customHeight="1" outlineLevel="2" x14ac:dyDescent="0.25">
      <c r="B1826" s="704" t="s">
        <v>688</v>
      </c>
      <c r="C1826" s="704" t="s">
        <v>779</v>
      </c>
      <c r="D1826" s="704" t="s">
        <v>728</v>
      </c>
      <c r="E1826" s="704" t="s">
        <v>448</v>
      </c>
      <c r="F1826" s="705">
        <v>2.4593553373194403</v>
      </c>
      <c r="G1826" s="705">
        <v>1836.6770666359594</v>
      </c>
    </row>
    <row r="1827" spans="2:7" ht="11.25" hidden="1" customHeight="1" outlineLevel="2" x14ac:dyDescent="0.25">
      <c r="B1827" s="704" t="s">
        <v>689</v>
      </c>
      <c r="C1827" s="704" t="s">
        <v>779</v>
      </c>
      <c r="D1827" s="704" t="s">
        <v>728</v>
      </c>
      <c r="E1827" s="704" t="s">
        <v>448</v>
      </c>
      <c r="F1827" s="705">
        <v>0.23976687280929201</v>
      </c>
      <c r="G1827" s="705">
        <v>178.77846147235539</v>
      </c>
    </row>
    <row r="1828" spans="2:7" ht="11.25" hidden="1" customHeight="1" outlineLevel="2" x14ac:dyDescent="0.25">
      <c r="B1828" s="704" t="s">
        <v>690</v>
      </c>
      <c r="C1828" s="704" t="s">
        <v>779</v>
      </c>
      <c r="D1828" s="704" t="s">
        <v>728</v>
      </c>
      <c r="E1828" s="704" t="s">
        <v>448</v>
      </c>
      <c r="F1828" s="705">
        <v>7.4965801255609588</v>
      </c>
      <c r="G1828" s="705">
        <v>5615.6269396657945</v>
      </c>
    </row>
    <row r="1829" spans="2:7" ht="11.25" hidden="1" customHeight="1" outlineLevel="2" x14ac:dyDescent="0.25">
      <c r="B1829" s="704" t="s">
        <v>691</v>
      </c>
      <c r="C1829" s="704" t="s">
        <v>779</v>
      </c>
      <c r="D1829" s="704" t="s">
        <v>728</v>
      </c>
      <c r="E1829" s="704" t="s">
        <v>448</v>
      </c>
      <c r="F1829" s="705">
        <v>3.6627030226113635</v>
      </c>
      <c r="G1829" s="705">
        <v>2743.6994991906613</v>
      </c>
    </row>
    <row r="1830" spans="2:7" ht="11.25" hidden="1" customHeight="1" outlineLevel="2" x14ac:dyDescent="0.25">
      <c r="B1830" s="704" t="s">
        <v>692</v>
      </c>
      <c r="C1830" s="704" t="s">
        <v>779</v>
      </c>
      <c r="D1830" s="704" t="s">
        <v>728</v>
      </c>
      <c r="E1830" s="704" t="s">
        <v>448</v>
      </c>
      <c r="F1830" s="705">
        <v>0.2398754986845324</v>
      </c>
      <c r="G1830" s="705">
        <v>179.14193895399345</v>
      </c>
    </row>
    <row r="1831" spans="2:7" ht="11.25" hidden="1" customHeight="1" outlineLevel="2" x14ac:dyDescent="0.25">
      <c r="B1831" s="704" t="s">
        <v>693</v>
      </c>
      <c r="C1831" s="704" t="s">
        <v>779</v>
      </c>
      <c r="D1831" s="704" t="s">
        <v>728</v>
      </c>
      <c r="E1831" s="704" t="s">
        <v>448</v>
      </c>
      <c r="F1831" s="705">
        <v>0.18333020615908327</v>
      </c>
      <c r="G1831" s="705">
        <v>137.65650855658427</v>
      </c>
    </row>
    <row r="1832" spans="2:7" ht="11.25" hidden="1" customHeight="1" outlineLevel="2" x14ac:dyDescent="0.25">
      <c r="B1832" s="704" t="s">
        <v>694</v>
      </c>
      <c r="C1832" s="704" t="s">
        <v>779</v>
      </c>
      <c r="D1832" s="704" t="s">
        <v>728</v>
      </c>
      <c r="E1832" s="704" t="s">
        <v>448</v>
      </c>
      <c r="F1832" s="705">
        <v>0.40433112353902301</v>
      </c>
      <c r="G1832" s="705">
        <v>303.59851290387462</v>
      </c>
    </row>
    <row r="1833" spans="2:7" ht="11.25" hidden="1" customHeight="1" outlineLevel="2" x14ac:dyDescent="0.25">
      <c r="B1833" s="704" t="s">
        <v>695</v>
      </c>
      <c r="C1833" s="704" t="s">
        <v>779</v>
      </c>
      <c r="D1833" s="704" t="s">
        <v>728</v>
      </c>
      <c r="E1833" s="704" t="s">
        <v>448</v>
      </c>
      <c r="F1833" s="705">
        <v>0.39679704385768477</v>
      </c>
      <c r="G1833" s="705">
        <v>297.94141249690188</v>
      </c>
    </row>
    <row r="1834" spans="2:7" ht="11.25" hidden="1" customHeight="1" outlineLevel="2" x14ac:dyDescent="0.25">
      <c r="B1834" s="704" t="s">
        <v>696</v>
      </c>
      <c r="C1834" s="704" t="s">
        <v>779</v>
      </c>
      <c r="D1834" s="704" t="s">
        <v>728</v>
      </c>
      <c r="E1834" s="704" t="s">
        <v>448</v>
      </c>
      <c r="F1834" s="705">
        <v>0.57141793280067166</v>
      </c>
      <c r="G1834" s="705">
        <v>426.16929808940921</v>
      </c>
    </row>
    <row r="1835" spans="2:7" ht="11.25" hidden="1" customHeight="1" outlineLevel="2" x14ac:dyDescent="0.25">
      <c r="B1835" s="704" t="s">
        <v>697</v>
      </c>
      <c r="C1835" s="704" t="s">
        <v>779</v>
      </c>
      <c r="D1835" s="704" t="s">
        <v>728</v>
      </c>
      <c r="E1835" s="704" t="s">
        <v>448</v>
      </c>
      <c r="F1835" s="705">
        <v>0.25616015185944291</v>
      </c>
      <c r="G1835" s="705">
        <v>192.34185849741365</v>
      </c>
    </row>
    <row r="1836" spans="2:7" ht="11.25" hidden="1" customHeight="1" outlineLevel="2" x14ac:dyDescent="0.25">
      <c r="B1836" s="704" t="s">
        <v>698</v>
      </c>
      <c r="C1836" s="704" t="s">
        <v>779</v>
      </c>
      <c r="D1836" s="704" t="s">
        <v>728</v>
      </c>
      <c r="E1836" s="704" t="s">
        <v>448</v>
      </c>
      <c r="F1836" s="705">
        <v>0.40433112353010198</v>
      </c>
      <c r="G1836" s="705">
        <v>303.59851289968123</v>
      </c>
    </row>
    <row r="1837" spans="2:7" ht="11.25" hidden="1" customHeight="1" outlineLevel="2" x14ac:dyDescent="0.25">
      <c r="B1837" s="704" t="s">
        <v>699</v>
      </c>
      <c r="C1837" s="704" t="s">
        <v>779</v>
      </c>
      <c r="D1837" s="704" t="s">
        <v>728</v>
      </c>
      <c r="E1837" s="704" t="s">
        <v>448</v>
      </c>
      <c r="F1837" s="705">
        <v>0.45702606837572712</v>
      </c>
      <c r="G1837" s="705">
        <v>341.31246034135665</v>
      </c>
    </row>
    <row r="1838" spans="2:7" ht="11.25" hidden="1" customHeight="1" outlineLevel="2" x14ac:dyDescent="0.25">
      <c r="B1838" s="704" t="s">
        <v>673</v>
      </c>
      <c r="C1838" s="704" t="s">
        <v>780</v>
      </c>
      <c r="D1838" s="704" t="s">
        <v>728</v>
      </c>
      <c r="E1838" s="704" t="s">
        <v>448</v>
      </c>
      <c r="F1838" s="705">
        <v>4.1628208638618616E-3</v>
      </c>
      <c r="G1838" s="705">
        <v>3.1268944743017131</v>
      </c>
    </row>
    <row r="1839" spans="2:7" ht="11.25" hidden="1" customHeight="1" outlineLevel="2" x14ac:dyDescent="0.25">
      <c r="B1839" s="704" t="s">
        <v>677</v>
      </c>
      <c r="C1839" s="704" t="s">
        <v>780</v>
      </c>
      <c r="D1839" s="704" t="s">
        <v>728</v>
      </c>
      <c r="E1839" s="704" t="s">
        <v>448</v>
      </c>
      <c r="F1839" s="705">
        <v>2.4790479153226092E-2</v>
      </c>
      <c r="G1839" s="705">
        <v>18.423881008037394</v>
      </c>
    </row>
    <row r="1840" spans="2:7" ht="11.25" hidden="1" customHeight="1" outlineLevel="2" x14ac:dyDescent="0.25">
      <c r="B1840" s="704" t="s">
        <v>678</v>
      </c>
      <c r="C1840" s="704" t="s">
        <v>780</v>
      </c>
      <c r="D1840" s="704" t="s">
        <v>728</v>
      </c>
      <c r="E1840" s="704" t="s">
        <v>448</v>
      </c>
      <c r="F1840" s="705">
        <v>4.0584866856016373E-2</v>
      </c>
      <c r="G1840" s="705">
        <v>30.526368127477141</v>
      </c>
    </row>
    <row r="1841" spans="2:7" ht="11.25" hidden="1" customHeight="1" outlineLevel="2" x14ac:dyDescent="0.25">
      <c r="B1841" s="704" t="s">
        <v>679</v>
      </c>
      <c r="C1841" s="704" t="s">
        <v>780</v>
      </c>
      <c r="D1841" s="704" t="s">
        <v>728</v>
      </c>
      <c r="E1841" s="704" t="s">
        <v>448</v>
      </c>
      <c r="F1841" s="705">
        <v>3.7346476703223729E-3</v>
      </c>
      <c r="G1841" s="705">
        <v>2.8175559082497403</v>
      </c>
    </row>
    <row r="1842" spans="2:7" ht="11.25" hidden="1" customHeight="1" outlineLevel="2" x14ac:dyDescent="0.25">
      <c r="B1842" s="704" t="s">
        <v>680</v>
      </c>
      <c r="C1842" s="704" t="s">
        <v>780</v>
      </c>
      <c r="D1842" s="704" t="s">
        <v>728</v>
      </c>
      <c r="E1842" s="704" t="s">
        <v>448</v>
      </c>
      <c r="F1842" s="705">
        <v>1.5529157576370622E-3</v>
      </c>
      <c r="G1842" s="705">
        <v>1.1743563579336862</v>
      </c>
    </row>
    <row r="1843" spans="2:7" ht="11.25" hidden="1" customHeight="1" outlineLevel="2" x14ac:dyDescent="0.25">
      <c r="B1843" s="704" t="s">
        <v>681</v>
      </c>
      <c r="C1843" s="704" t="s">
        <v>780</v>
      </c>
      <c r="D1843" s="704" t="s">
        <v>728</v>
      </c>
      <c r="E1843" s="704" t="s">
        <v>448</v>
      </c>
      <c r="F1843" s="705">
        <v>7.2366792895445457E-3</v>
      </c>
      <c r="G1843" s="705">
        <v>5.4431500655199629</v>
      </c>
    </row>
    <row r="1844" spans="2:7" ht="11.25" hidden="1" customHeight="1" outlineLevel="2" x14ac:dyDescent="0.25">
      <c r="B1844" s="704" t="s">
        <v>682</v>
      </c>
      <c r="C1844" s="704" t="s">
        <v>780</v>
      </c>
      <c r="D1844" s="704" t="s">
        <v>728</v>
      </c>
      <c r="E1844" s="704" t="s">
        <v>448</v>
      </c>
      <c r="F1844" s="706">
        <v>4.5911402718409461E-3</v>
      </c>
      <c r="G1844" s="705">
        <v>3.4536585158607314</v>
      </c>
    </row>
    <row r="1845" spans="2:7" ht="11.25" hidden="1" customHeight="1" outlineLevel="2" x14ac:dyDescent="0.25">
      <c r="B1845" s="704" t="s">
        <v>683</v>
      </c>
      <c r="C1845" s="704" t="s">
        <v>780</v>
      </c>
      <c r="D1845" s="704" t="s">
        <v>728</v>
      </c>
      <c r="E1845" s="704" t="s">
        <v>448</v>
      </c>
      <c r="F1845" s="706">
        <v>5.9152307862599353E-3</v>
      </c>
      <c r="G1845" s="705">
        <v>4.4626683080922778</v>
      </c>
    </row>
    <row r="1846" spans="2:7" ht="11.25" hidden="1" customHeight="1" outlineLevel="2" x14ac:dyDescent="0.25">
      <c r="B1846" s="704" t="s">
        <v>684</v>
      </c>
      <c r="C1846" s="704" t="s">
        <v>780</v>
      </c>
      <c r="D1846" s="704" t="s">
        <v>728</v>
      </c>
      <c r="E1846" s="704" t="s">
        <v>448</v>
      </c>
      <c r="F1846" s="706">
        <v>1.866132254513324E-3</v>
      </c>
      <c r="G1846" s="705">
        <v>1.4112185830425306</v>
      </c>
    </row>
    <row r="1847" spans="2:7" ht="11.25" hidden="1" customHeight="1" outlineLevel="2" x14ac:dyDescent="0.25">
      <c r="B1847" s="704" t="s">
        <v>685</v>
      </c>
      <c r="C1847" s="704" t="s">
        <v>780</v>
      </c>
      <c r="D1847" s="704" t="s">
        <v>728</v>
      </c>
      <c r="E1847" s="704" t="s">
        <v>448</v>
      </c>
      <c r="F1847" s="706">
        <v>9.8873205812754043E-3</v>
      </c>
      <c r="G1847" s="705">
        <v>7.4593548632208346</v>
      </c>
    </row>
    <row r="1848" spans="2:7" ht="11.25" hidden="1" customHeight="1" outlineLevel="2" x14ac:dyDescent="0.25">
      <c r="B1848" s="704" t="s">
        <v>686</v>
      </c>
      <c r="C1848" s="704" t="s">
        <v>780</v>
      </c>
      <c r="D1848" s="704" t="s">
        <v>728</v>
      </c>
      <c r="E1848" s="704" t="s">
        <v>448</v>
      </c>
      <c r="F1848" s="706">
        <v>2.1822313280790984E-3</v>
      </c>
      <c r="G1848" s="705">
        <v>1.6391783187954665</v>
      </c>
    </row>
    <row r="1849" spans="2:7" ht="11.25" hidden="1" customHeight="1" outlineLevel="2" x14ac:dyDescent="0.25">
      <c r="B1849" s="704" t="s">
        <v>687</v>
      </c>
      <c r="C1849" s="704" t="s">
        <v>780</v>
      </c>
      <c r="D1849" s="704" t="s">
        <v>728</v>
      </c>
      <c r="E1849" s="704" t="s">
        <v>448</v>
      </c>
      <c r="F1849" s="706">
        <v>1.103544757040619E-2</v>
      </c>
      <c r="G1849" s="705">
        <v>8.3004362067055588</v>
      </c>
    </row>
    <row r="1850" spans="2:7" ht="11.25" hidden="1" customHeight="1" outlineLevel="2" x14ac:dyDescent="0.25">
      <c r="B1850" s="704" t="s">
        <v>688</v>
      </c>
      <c r="C1850" s="704" t="s">
        <v>780</v>
      </c>
      <c r="D1850" s="704" t="s">
        <v>728</v>
      </c>
      <c r="E1850" s="704" t="s">
        <v>448</v>
      </c>
      <c r="F1850" s="706">
        <v>1.230043303911062E-2</v>
      </c>
      <c r="G1850" s="705">
        <v>9.2519110909485676</v>
      </c>
    </row>
    <row r="1851" spans="2:7" ht="11.25" hidden="1" customHeight="1" outlineLevel="2" x14ac:dyDescent="0.25">
      <c r="B1851" s="704" t="s">
        <v>689</v>
      </c>
      <c r="C1851" s="704" t="s">
        <v>780</v>
      </c>
      <c r="D1851" s="704" t="s">
        <v>728</v>
      </c>
      <c r="E1851" s="704" t="s">
        <v>448</v>
      </c>
      <c r="F1851" s="705">
        <v>1.9589605267272582E-3</v>
      </c>
      <c r="G1851" s="705">
        <v>1.4714840365951214</v>
      </c>
    </row>
    <row r="1852" spans="2:7" ht="11.25" hidden="1" customHeight="1" outlineLevel="2" x14ac:dyDescent="0.25">
      <c r="B1852" s="704" t="s">
        <v>690</v>
      </c>
      <c r="C1852" s="704" t="s">
        <v>780</v>
      </c>
      <c r="D1852" s="704" t="s">
        <v>728</v>
      </c>
      <c r="E1852" s="704" t="s">
        <v>448</v>
      </c>
      <c r="F1852" s="705">
        <v>4.3794712554457459E-2</v>
      </c>
      <c r="G1852" s="705">
        <v>33.040350895167691</v>
      </c>
    </row>
    <row r="1853" spans="2:7" ht="11.25" hidden="1" customHeight="1" outlineLevel="2" x14ac:dyDescent="0.25">
      <c r="B1853" s="704" t="s">
        <v>691</v>
      </c>
      <c r="C1853" s="704" t="s">
        <v>780</v>
      </c>
      <c r="D1853" s="704" t="s">
        <v>728</v>
      </c>
      <c r="E1853" s="704" t="s">
        <v>448</v>
      </c>
      <c r="F1853" s="705">
        <v>3.920421132097348E-2</v>
      </c>
      <c r="G1853" s="705">
        <v>29.577094794905726</v>
      </c>
    </row>
    <row r="1854" spans="2:7" ht="11.25" hidden="1" customHeight="1" outlineLevel="2" x14ac:dyDescent="0.25">
      <c r="B1854" s="704" t="s">
        <v>692</v>
      </c>
      <c r="C1854" s="704" t="s">
        <v>780</v>
      </c>
      <c r="D1854" s="704" t="s">
        <v>728</v>
      </c>
      <c r="E1854" s="704" t="s">
        <v>448</v>
      </c>
      <c r="F1854" s="705">
        <v>2.2330049679702567E-3</v>
      </c>
      <c r="G1854" s="705">
        <v>1.6795803670081322</v>
      </c>
    </row>
    <row r="1855" spans="2:7" ht="11.25" hidden="1" customHeight="1" outlineLevel="2" x14ac:dyDescent="0.25">
      <c r="B1855" s="704" t="s">
        <v>693</v>
      </c>
      <c r="C1855" s="704" t="s">
        <v>780</v>
      </c>
      <c r="D1855" s="704" t="s">
        <v>728</v>
      </c>
      <c r="E1855" s="704" t="s">
        <v>448</v>
      </c>
      <c r="F1855" s="705">
        <v>4.5374613580186907E-3</v>
      </c>
      <c r="G1855" s="705">
        <v>3.431348942167308</v>
      </c>
    </row>
    <row r="1856" spans="2:7" ht="11.25" hidden="1" customHeight="1" outlineLevel="2" x14ac:dyDescent="0.25">
      <c r="B1856" s="704" t="s">
        <v>694</v>
      </c>
      <c r="C1856" s="704" t="s">
        <v>780</v>
      </c>
      <c r="D1856" s="704" t="s">
        <v>728</v>
      </c>
      <c r="E1856" s="704" t="s">
        <v>448</v>
      </c>
      <c r="F1856" s="705">
        <v>1.2729959281181904E-3</v>
      </c>
      <c r="G1856" s="705">
        <v>0.9626730864176799</v>
      </c>
    </row>
    <row r="1857" spans="2:7" ht="11.25" hidden="1" customHeight="1" outlineLevel="2" x14ac:dyDescent="0.25">
      <c r="B1857" s="704" t="s">
        <v>695</v>
      </c>
      <c r="C1857" s="704" t="s">
        <v>780</v>
      </c>
      <c r="D1857" s="704" t="s">
        <v>728</v>
      </c>
      <c r="E1857" s="704" t="s">
        <v>448</v>
      </c>
      <c r="F1857" s="705">
        <v>2.1620039144902808E-3</v>
      </c>
      <c r="G1857" s="705">
        <v>1.6349655810265</v>
      </c>
    </row>
    <row r="1858" spans="2:7" ht="11.25" hidden="1" customHeight="1" outlineLevel="2" x14ac:dyDescent="0.25">
      <c r="B1858" s="704" t="s">
        <v>696</v>
      </c>
      <c r="C1858" s="704" t="s">
        <v>780</v>
      </c>
      <c r="D1858" s="704" t="s">
        <v>728</v>
      </c>
      <c r="E1858" s="704" t="s">
        <v>448</v>
      </c>
      <c r="F1858" s="705">
        <v>6.9164528859776385E-3</v>
      </c>
      <c r="G1858" s="705">
        <v>5.1952783089270529</v>
      </c>
    </row>
    <row r="1859" spans="2:7" ht="11.25" hidden="1" customHeight="1" outlineLevel="2" x14ac:dyDescent="0.25">
      <c r="B1859" s="704" t="s">
        <v>697</v>
      </c>
      <c r="C1859" s="704" t="s">
        <v>780</v>
      </c>
      <c r="D1859" s="704" t="s">
        <v>728</v>
      </c>
      <c r="E1859" s="704" t="s">
        <v>448</v>
      </c>
      <c r="F1859" s="705">
        <v>4.5085951610475397E-3</v>
      </c>
      <c r="G1859" s="705">
        <v>3.4095201763166845</v>
      </c>
    </row>
    <row r="1860" spans="2:7" ht="11.25" hidden="1" customHeight="1" outlineLevel="2" x14ac:dyDescent="0.25">
      <c r="B1860" s="704" t="s">
        <v>698</v>
      </c>
      <c r="C1860" s="704" t="s">
        <v>780</v>
      </c>
      <c r="D1860" s="704" t="s">
        <v>728</v>
      </c>
      <c r="E1860" s="704" t="s">
        <v>448</v>
      </c>
      <c r="F1860" s="705">
        <v>6.0955697877047898E-3</v>
      </c>
      <c r="G1860" s="705">
        <v>4.6096307573425079</v>
      </c>
    </row>
    <row r="1861" spans="2:7" ht="11.25" hidden="1" customHeight="1" outlineLevel="2" x14ac:dyDescent="0.25">
      <c r="B1861" s="704" t="s">
        <v>699</v>
      </c>
      <c r="C1861" s="704" t="s">
        <v>780</v>
      </c>
      <c r="D1861" s="704" t="s">
        <v>728</v>
      </c>
      <c r="E1861" s="704" t="s">
        <v>448</v>
      </c>
      <c r="F1861" s="705">
        <v>3.7710981157727905E-2</v>
      </c>
      <c r="G1861" s="705">
        <v>28.364736816453856</v>
      </c>
    </row>
    <row r="1862" spans="2:7" ht="11.25" hidden="1" customHeight="1" outlineLevel="2" x14ac:dyDescent="0.25">
      <c r="B1862" s="704" t="s">
        <v>673</v>
      </c>
      <c r="C1862" s="704" t="s">
        <v>781</v>
      </c>
      <c r="D1862" s="704" t="s">
        <v>728</v>
      </c>
      <c r="E1862" s="704" t="s">
        <v>448</v>
      </c>
      <c r="F1862" s="705">
        <v>1.7329488036997383E-3</v>
      </c>
      <c r="G1862" s="705">
        <v>2.1454478635684042</v>
      </c>
    </row>
    <row r="1863" spans="2:7" ht="11.25" hidden="1" customHeight="1" outlineLevel="2" x14ac:dyDescent="0.25">
      <c r="B1863" s="704" t="s">
        <v>677</v>
      </c>
      <c r="C1863" s="704" t="s">
        <v>781</v>
      </c>
      <c r="D1863" s="704" t="s">
        <v>728</v>
      </c>
      <c r="E1863" s="704" t="s">
        <v>448</v>
      </c>
      <c r="F1863" s="705">
        <v>8.3932076843363068E-2</v>
      </c>
      <c r="G1863" s="705">
        <v>102.80984131424373</v>
      </c>
    </row>
    <row r="1864" spans="2:7" ht="11.25" hidden="1" customHeight="1" outlineLevel="2" x14ac:dyDescent="0.25">
      <c r="B1864" s="704" t="s">
        <v>678</v>
      </c>
      <c r="C1864" s="704" t="s">
        <v>781</v>
      </c>
      <c r="D1864" s="704" t="s">
        <v>728</v>
      </c>
      <c r="E1864" s="704" t="s">
        <v>448</v>
      </c>
      <c r="F1864" s="705">
        <v>9.9683879049597676E-2</v>
      </c>
      <c r="G1864" s="705">
        <v>123.5778169920234</v>
      </c>
    </row>
    <row r="1865" spans="2:7" ht="11.25" hidden="1" customHeight="1" outlineLevel="2" x14ac:dyDescent="0.25">
      <c r="B1865" s="704" t="s">
        <v>679</v>
      </c>
      <c r="C1865" s="704" t="s">
        <v>781</v>
      </c>
      <c r="D1865" s="704" t="s">
        <v>728</v>
      </c>
      <c r="E1865" s="704" t="s">
        <v>448</v>
      </c>
      <c r="F1865" s="705">
        <v>5.9352252969964107E-3</v>
      </c>
      <c r="G1865" s="705">
        <v>7.3803416010510112</v>
      </c>
    </row>
    <row r="1866" spans="2:7" ht="11.25" hidden="1" customHeight="1" outlineLevel="2" x14ac:dyDescent="0.25">
      <c r="B1866" s="704" t="s">
        <v>680</v>
      </c>
      <c r="C1866" s="704" t="s">
        <v>781</v>
      </c>
      <c r="D1866" s="704" t="s">
        <v>728</v>
      </c>
      <c r="E1866" s="704" t="s">
        <v>448</v>
      </c>
      <c r="F1866" s="705">
        <v>1.8589823021649562E-3</v>
      </c>
      <c r="G1866" s="705">
        <v>2.3170840918514504</v>
      </c>
    </row>
    <row r="1867" spans="2:7" ht="11.25" hidden="1" customHeight="1" outlineLevel="2" x14ac:dyDescent="0.25">
      <c r="B1867" s="704" t="s">
        <v>681</v>
      </c>
      <c r="C1867" s="704" t="s">
        <v>781</v>
      </c>
      <c r="D1867" s="704" t="s">
        <v>728</v>
      </c>
      <c r="E1867" s="704" t="s">
        <v>448</v>
      </c>
      <c r="F1867" s="705">
        <v>3.142812215069607E-2</v>
      </c>
      <c r="G1867" s="705">
        <v>38.961348434442257</v>
      </c>
    </row>
    <row r="1868" spans="2:7" ht="11.25" hidden="1" customHeight="1" outlineLevel="2" x14ac:dyDescent="0.25">
      <c r="B1868" s="704" t="s">
        <v>682</v>
      </c>
      <c r="C1868" s="704" t="s">
        <v>781</v>
      </c>
      <c r="D1868" s="704" t="s">
        <v>728</v>
      </c>
      <c r="E1868" s="704" t="s">
        <v>448</v>
      </c>
      <c r="F1868" s="705">
        <v>4.083815621789005E-3</v>
      </c>
      <c r="G1868" s="705">
        <v>5.0632577985168288</v>
      </c>
    </row>
    <row r="1869" spans="2:7" ht="11.25" hidden="1" customHeight="1" outlineLevel="2" x14ac:dyDescent="0.25">
      <c r="B1869" s="704" t="s">
        <v>683</v>
      </c>
      <c r="C1869" s="704" t="s">
        <v>781</v>
      </c>
      <c r="D1869" s="704" t="s">
        <v>728</v>
      </c>
      <c r="E1869" s="704" t="s">
        <v>448</v>
      </c>
      <c r="F1869" s="705">
        <v>8.5577683909762274E-3</v>
      </c>
      <c r="G1869" s="705">
        <v>10.641424192095986</v>
      </c>
    </row>
    <row r="1870" spans="2:7" ht="11.25" hidden="1" customHeight="1" outlineLevel="2" x14ac:dyDescent="0.25">
      <c r="B1870" s="704" t="s">
        <v>684</v>
      </c>
      <c r="C1870" s="704" t="s">
        <v>781</v>
      </c>
      <c r="D1870" s="704" t="s">
        <v>728</v>
      </c>
      <c r="E1870" s="704" t="s">
        <v>448</v>
      </c>
      <c r="F1870" s="705">
        <v>1.1016191768539615E-2</v>
      </c>
      <c r="G1870" s="705">
        <v>13.730869005468239</v>
      </c>
    </row>
    <row r="1871" spans="2:7" ht="11.25" hidden="1" customHeight="1" outlineLevel="2" x14ac:dyDescent="0.25">
      <c r="B1871" s="704" t="s">
        <v>685</v>
      </c>
      <c r="C1871" s="704" t="s">
        <v>781</v>
      </c>
      <c r="D1871" s="704" t="s">
        <v>728</v>
      </c>
      <c r="E1871" s="704" t="s">
        <v>448</v>
      </c>
      <c r="F1871" s="705">
        <v>5.2036749005345335E-2</v>
      </c>
      <c r="G1871" s="705">
        <v>64.70670103121563</v>
      </c>
    </row>
    <row r="1872" spans="2:7" ht="11.25" hidden="1" customHeight="1" outlineLevel="2" x14ac:dyDescent="0.25">
      <c r="B1872" s="704" t="s">
        <v>686</v>
      </c>
      <c r="C1872" s="704" t="s">
        <v>781</v>
      </c>
      <c r="D1872" s="704" t="s">
        <v>728</v>
      </c>
      <c r="E1872" s="704" t="s">
        <v>448</v>
      </c>
      <c r="F1872" s="705">
        <v>1.1160194965785405E-2</v>
      </c>
      <c r="G1872" s="705">
        <v>13.816686375781579</v>
      </c>
    </row>
    <row r="1873" spans="2:7" ht="11.25" hidden="1" customHeight="1" outlineLevel="2" x14ac:dyDescent="0.25">
      <c r="B1873" s="704" t="s">
        <v>687</v>
      </c>
      <c r="C1873" s="704" t="s">
        <v>781</v>
      </c>
      <c r="D1873" s="704" t="s">
        <v>728</v>
      </c>
      <c r="E1873" s="704" t="s">
        <v>448</v>
      </c>
      <c r="F1873" s="705">
        <v>2.2913451305979479E-2</v>
      </c>
      <c r="G1873" s="705">
        <v>28.40573250943946</v>
      </c>
    </row>
    <row r="1874" spans="2:7" ht="11.25" hidden="1" customHeight="1" outlineLevel="2" x14ac:dyDescent="0.25">
      <c r="B1874" s="704" t="s">
        <v>688</v>
      </c>
      <c r="C1874" s="704" t="s">
        <v>781</v>
      </c>
      <c r="D1874" s="704" t="s">
        <v>728</v>
      </c>
      <c r="E1874" s="704" t="s">
        <v>448</v>
      </c>
      <c r="F1874" s="705">
        <v>6.7425078372294278E-2</v>
      </c>
      <c r="G1874" s="705">
        <v>83.586660635322644</v>
      </c>
    </row>
    <row r="1875" spans="2:7" ht="11.25" hidden="1" customHeight="1" outlineLevel="2" x14ac:dyDescent="0.25">
      <c r="B1875" s="704" t="s">
        <v>689</v>
      </c>
      <c r="C1875" s="704" t="s">
        <v>781</v>
      </c>
      <c r="D1875" s="704" t="s">
        <v>728</v>
      </c>
      <c r="E1875" s="704" t="s">
        <v>448</v>
      </c>
      <c r="F1875" s="705">
        <v>6.5733882538863194E-3</v>
      </c>
      <c r="G1875" s="705">
        <v>8.1361581816652269</v>
      </c>
    </row>
    <row r="1876" spans="2:7" ht="11.25" hidden="1" customHeight="1" outlineLevel="2" x14ac:dyDescent="0.25">
      <c r="B1876" s="704" t="s">
        <v>690</v>
      </c>
      <c r="C1876" s="704" t="s">
        <v>781</v>
      </c>
      <c r="D1876" s="704" t="s">
        <v>728</v>
      </c>
      <c r="E1876" s="704" t="s">
        <v>448</v>
      </c>
      <c r="F1876" s="705">
        <v>0.20552443354877667</v>
      </c>
      <c r="G1876" s="705">
        <v>255.56581943046629</v>
      </c>
    </row>
    <row r="1877" spans="2:7" ht="11.25" hidden="1" customHeight="1" outlineLevel="2" x14ac:dyDescent="0.25">
      <c r="B1877" s="704" t="s">
        <v>691</v>
      </c>
      <c r="C1877" s="704" t="s">
        <v>781</v>
      </c>
      <c r="D1877" s="704" t="s">
        <v>728</v>
      </c>
      <c r="E1877" s="704" t="s">
        <v>448</v>
      </c>
      <c r="F1877" s="705">
        <v>0.10041574967168394</v>
      </c>
      <c r="G1877" s="705">
        <v>124.86514184879769</v>
      </c>
    </row>
    <row r="1878" spans="2:7" ht="11.25" hidden="1" customHeight="1" outlineLevel="2" x14ac:dyDescent="0.25">
      <c r="B1878" s="704" t="s">
        <v>692</v>
      </c>
      <c r="C1878" s="704" t="s">
        <v>781</v>
      </c>
      <c r="D1878" s="704" t="s">
        <v>728</v>
      </c>
      <c r="E1878" s="704" t="s">
        <v>448</v>
      </c>
      <c r="F1878" s="705">
        <v>6.5763689810474117E-3</v>
      </c>
      <c r="G1878" s="705">
        <v>8.1526997287410623</v>
      </c>
    </row>
    <row r="1879" spans="2:7" ht="11.25" hidden="1" customHeight="1" outlineLevel="2" x14ac:dyDescent="0.25">
      <c r="B1879" s="704" t="s">
        <v>693</v>
      </c>
      <c r="C1879" s="704" t="s">
        <v>781</v>
      </c>
      <c r="D1879" s="704" t="s">
        <v>728</v>
      </c>
      <c r="E1879" s="704" t="s">
        <v>448</v>
      </c>
      <c r="F1879" s="705">
        <v>5.0261366734313719E-3</v>
      </c>
      <c r="G1879" s="705">
        <v>6.2647065065134191</v>
      </c>
    </row>
    <row r="1880" spans="2:7" ht="11.25" hidden="1" customHeight="1" outlineLevel="2" x14ac:dyDescent="0.25">
      <c r="B1880" s="704" t="s">
        <v>694</v>
      </c>
      <c r="C1880" s="704" t="s">
        <v>781</v>
      </c>
      <c r="D1880" s="704" t="s">
        <v>728</v>
      </c>
      <c r="E1880" s="704" t="s">
        <v>448</v>
      </c>
      <c r="F1880" s="705">
        <v>1.1085039339179677E-2</v>
      </c>
      <c r="G1880" s="705">
        <v>13.816686375781579</v>
      </c>
    </row>
    <row r="1881" spans="2:7" ht="11.25" hidden="1" customHeight="1" outlineLevel="2" x14ac:dyDescent="0.25">
      <c r="B1881" s="704" t="s">
        <v>695</v>
      </c>
      <c r="C1881" s="704" t="s">
        <v>781</v>
      </c>
      <c r="D1881" s="704" t="s">
        <v>728</v>
      </c>
      <c r="E1881" s="704" t="s">
        <v>448</v>
      </c>
      <c r="F1881" s="705">
        <v>1.0878488993128443E-2</v>
      </c>
      <c r="G1881" s="705">
        <v>13.559234523397317</v>
      </c>
    </row>
    <row r="1882" spans="2:7" ht="11.25" hidden="1" customHeight="1" outlineLevel="2" x14ac:dyDescent="0.25">
      <c r="B1882" s="704" t="s">
        <v>696</v>
      </c>
      <c r="C1882" s="704" t="s">
        <v>781</v>
      </c>
      <c r="D1882" s="704" t="s">
        <v>728</v>
      </c>
      <c r="E1882" s="704" t="s">
        <v>448</v>
      </c>
      <c r="F1882" s="705">
        <v>1.5665855611360344E-2</v>
      </c>
      <c r="G1882" s="705">
        <v>19.394858267559929</v>
      </c>
    </row>
    <row r="1883" spans="2:7" ht="11.25" hidden="1" customHeight="1" outlineLevel="2" x14ac:dyDescent="0.25">
      <c r="B1883" s="704" t="s">
        <v>697</v>
      </c>
      <c r="C1883" s="704" t="s">
        <v>781</v>
      </c>
      <c r="D1883" s="704" t="s">
        <v>728</v>
      </c>
      <c r="E1883" s="704" t="s">
        <v>448</v>
      </c>
      <c r="F1883" s="706">
        <v>7.022819659721756E-3</v>
      </c>
      <c r="G1883" s="705">
        <v>8.7534270043001463</v>
      </c>
    </row>
    <row r="1884" spans="2:7" ht="11.25" hidden="1" customHeight="1" outlineLevel="2" x14ac:dyDescent="0.25">
      <c r="B1884" s="704" t="s">
        <v>698</v>
      </c>
      <c r="C1884" s="704" t="s">
        <v>781</v>
      </c>
      <c r="D1884" s="704" t="s">
        <v>728</v>
      </c>
      <c r="E1884" s="704" t="s">
        <v>448</v>
      </c>
      <c r="F1884" s="706">
        <v>1.108503933920937E-2</v>
      </c>
      <c r="G1884" s="705">
        <v>13.816686375189573</v>
      </c>
    </row>
    <row r="1885" spans="2:7" ht="11.25" hidden="1" customHeight="1" outlineLevel="2" x14ac:dyDescent="0.25">
      <c r="B1885" s="704" t="s">
        <v>699</v>
      </c>
      <c r="C1885" s="704" t="s">
        <v>781</v>
      </c>
      <c r="D1885" s="704" t="s">
        <v>728</v>
      </c>
      <c r="E1885" s="704" t="s">
        <v>448</v>
      </c>
      <c r="F1885" s="706">
        <v>1.2529718241078172E-2</v>
      </c>
      <c r="G1885" s="705">
        <v>15.533041920129079</v>
      </c>
    </row>
    <row r="1886" spans="2:7" ht="11.25" hidden="1" customHeight="1" outlineLevel="2" x14ac:dyDescent="0.25">
      <c r="B1886" s="704" t="s">
        <v>673</v>
      </c>
      <c r="C1886" s="704" t="s">
        <v>782</v>
      </c>
      <c r="D1886" s="704" t="s">
        <v>728</v>
      </c>
      <c r="E1886" s="704" t="s">
        <v>448</v>
      </c>
      <c r="F1886" s="706">
        <v>7.9229285568175704E-3</v>
      </c>
      <c r="G1886" s="705">
        <v>5.9655548726052565</v>
      </c>
    </row>
    <row r="1887" spans="2:7" ht="11.25" hidden="1" customHeight="1" outlineLevel="2" x14ac:dyDescent="0.25">
      <c r="B1887" s="704" t="s">
        <v>677</v>
      </c>
      <c r="C1887" s="704" t="s">
        <v>782</v>
      </c>
      <c r="D1887" s="704" t="s">
        <v>728</v>
      </c>
      <c r="E1887" s="704" t="s">
        <v>448</v>
      </c>
      <c r="F1887" s="706">
        <v>4.7182712761836311E-2</v>
      </c>
      <c r="G1887" s="705">
        <v>35.149479872858116</v>
      </c>
    </row>
    <row r="1888" spans="2:7" ht="11.25" hidden="1" customHeight="1" outlineLevel="2" x14ac:dyDescent="0.25">
      <c r="B1888" s="704" t="s">
        <v>678</v>
      </c>
      <c r="C1888" s="704" t="s">
        <v>782</v>
      </c>
      <c r="D1888" s="704" t="s">
        <v>728</v>
      </c>
      <c r="E1888" s="704" t="s">
        <v>448</v>
      </c>
      <c r="F1888" s="706">
        <v>7.7243541170195829E-2</v>
      </c>
      <c r="G1888" s="705">
        <v>58.238887082100881</v>
      </c>
    </row>
    <row r="1889" spans="2:7" ht="11.25" hidden="1" customHeight="1" outlineLevel="2" x14ac:dyDescent="0.25">
      <c r="B1889" s="704" t="s">
        <v>679</v>
      </c>
      <c r="C1889" s="704" t="s">
        <v>782</v>
      </c>
      <c r="D1889" s="704" t="s">
        <v>728</v>
      </c>
      <c r="E1889" s="704" t="s">
        <v>448</v>
      </c>
      <c r="F1889" s="706">
        <v>7.1080053173934524E-3</v>
      </c>
      <c r="G1889" s="705">
        <v>5.375392913384176</v>
      </c>
    </row>
    <row r="1890" spans="2:7" ht="11.25" hidden="1" customHeight="1" outlineLevel="2" x14ac:dyDescent="0.25">
      <c r="B1890" s="704" t="s">
        <v>680</v>
      </c>
      <c r="C1890" s="704" t="s">
        <v>782</v>
      </c>
      <c r="D1890" s="704" t="s">
        <v>728</v>
      </c>
      <c r="E1890" s="704" t="s">
        <v>448</v>
      </c>
      <c r="F1890" s="705">
        <v>2.9556018252010043E-3</v>
      </c>
      <c r="G1890" s="705">
        <v>2.2404617575464676</v>
      </c>
    </row>
    <row r="1891" spans="2:7" ht="11.25" hidden="1" customHeight="1" outlineLevel="2" x14ac:dyDescent="0.25">
      <c r="B1891" s="704" t="s">
        <v>681</v>
      </c>
      <c r="C1891" s="704" t="s">
        <v>782</v>
      </c>
      <c r="D1891" s="704" t="s">
        <v>728</v>
      </c>
      <c r="E1891" s="704" t="s">
        <v>448</v>
      </c>
      <c r="F1891" s="705">
        <v>1.3773282491756002E-2</v>
      </c>
      <c r="G1891" s="705">
        <v>10.384557325396745</v>
      </c>
    </row>
    <row r="1892" spans="2:7" ht="11.25" hidden="1" customHeight="1" outlineLevel="2" x14ac:dyDescent="0.25">
      <c r="B1892" s="704" t="s">
        <v>682</v>
      </c>
      <c r="C1892" s="704" t="s">
        <v>782</v>
      </c>
      <c r="D1892" s="704" t="s">
        <v>728</v>
      </c>
      <c r="E1892" s="704" t="s">
        <v>448</v>
      </c>
      <c r="F1892" s="705">
        <v>8.7381310020513015E-3</v>
      </c>
      <c r="G1892" s="705">
        <v>6.5889616972277905</v>
      </c>
    </row>
    <row r="1893" spans="2:7" ht="11.25" hidden="1" customHeight="1" outlineLevel="2" x14ac:dyDescent="0.25">
      <c r="B1893" s="704" t="s">
        <v>683</v>
      </c>
      <c r="C1893" s="704" t="s">
        <v>782</v>
      </c>
      <c r="D1893" s="704" t="s">
        <v>728</v>
      </c>
      <c r="E1893" s="704" t="s">
        <v>448</v>
      </c>
      <c r="F1893" s="706">
        <v>1.1258222819641422E-2</v>
      </c>
      <c r="G1893" s="705">
        <v>8.5139774189503612</v>
      </c>
    </row>
    <row r="1894" spans="2:7" ht="11.25" hidden="1" customHeight="1" outlineLevel="2" x14ac:dyDescent="0.25">
      <c r="B1894" s="704" t="s">
        <v>684</v>
      </c>
      <c r="C1894" s="704" t="s">
        <v>782</v>
      </c>
      <c r="D1894" s="704" t="s">
        <v>728</v>
      </c>
      <c r="E1894" s="704" t="s">
        <v>448</v>
      </c>
      <c r="F1894" s="705">
        <v>3.5517338888386846E-3</v>
      </c>
      <c r="G1894" s="705">
        <v>2.6923538218325271</v>
      </c>
    </row>
    <row r="1895" spans="2:7" ht="11.25" hidden="1" customHeight="1" outlineLevel="2" x14ac:dyDescent="0.25">
      <c r="B1895" s="704" t="s">
        <v>685</v>
      </c>
      <c r="C1895" s="704" t="s">
        <v>782</v>
      </c>
      <c r="D1895" s="704" t="s">
        <v>728</v>
      </c>
      <c r="E1895" s="704" t="s">
        <v>448</v>
      </c>
      <c r="F1895" s="705">
        <v>1.8818128543833797E-2</v>
      </c>
      <c r="G1895" s="705">
        <v>14.231125342373938</v>
      </c>
    </row>
    <row r="1896" spans="2:7" ht="11.25" hidden="1" customHeight="1" outlineLevel="2" x14ac:dyDescent="0.25">
      <c r="B1896" s="704" t="s">
        <v>686</v>
      </c>
      <c r="C1896" s="704" t="s">
        <v>782</v>
      </c>
      <c r="D1896" s="704" t="s">
        <v>728</v>
      </c>
      <c r="E1896" s="704" t="s">
        <v>448</v>
      </c>
      <c r="F1896" s="706">
        <v>4.1533536899511217E-3</v>
      </c>
      <c r="G1896" s="705">
        <v>3.127259386108395</v>
      </c>
    </row>
    <row r="1897" spans="2:7" ht="11.25" hidden="1" customHeight="1" outlineLevel="2" x14ac:dyDescent="0.25">
      <c r="B1897" s="704" t="s">
        <v>687</v>
      </c>
      <c r="C1897" s="704" t="s">
        <v>782</v>
      </c>
      <c r="D1897" s="704" t="s">
        <v>728</v>
      </c>
      <c r="E1897" s="704" t="s">
        <v>448</v>
      </c>
      <c r="F1897" s="705">
        <v>2.100331964854869E-2</v>
      </c>
      <c r="G1897" s="705">
        <v>15.835758656513894</v>
      </c>
    </row>
    <row r="1898" spans="2:7" ht="11.25" hidden="1" customHeight="1" outlineLevel="2" x14ac:dyDescent="0.25">
      <c r="B1898" s="704" t="s">
        <v>688</v>
      </c>
      <c r="C1898" s="704" t="s">
        <v>782</v>
      </c>
      <c r="D1898" s="704" t="s">
        <v>728</v>
      </c>
      <c r="E1898" s="704" t="s">
        <v>448</v>
      </c>
      <c r="F1898" s="705">
        <v>2.3410914392065461E-2</v>
      </c>
      <c r="G1898" s="705">
        <v>17.650988512365451</v>
      </c>
    </row>
    <row r="1899" spans="2:7" ht="11.25" hidden="1" customHeight="1" outlineLevel="2" x14ac:dyDescent="0.25">
      <c r="B1899" s="704" t="s">
        <v>689</v>
      </c>
      <c r="C1899" s="704" t="s">
        <v>782</v>
      </c>
      <c r="D1899" s="704" t="s">
        <v>728</v>
      </c>
      <c r="E1899" s="704" t="s">
        <v>448</v>
      </c>
      <c r="F1899" s="705">
        <v>3.7284121591413246E-3</v>
      </c>
      <c r="G1899" s="705">
        <v>2.8073282250379168</v>
      </c>
    </row>
    <row r="1900" spans="2:7" ht="11.25" hidden="1" customHeight="1" outlineLevel="2" x14ac:dyDescent="0.25">
      <c r="B1900" s="704" t="s">
        <v>690</v>
      </c>
      <c r="C1900" s="704" t="s">
        <v>782</v>
      </c>
      <c r="D1900" s="704" t="s">
        <v>728</v>
      </c>
      <c r="E1900" s="704" t="s">
        <v>448</v>
      </c>
      <c r="F1900" s="706">
        <v>8.3352681215213081E-2</v>
      </c>
      <c r="G1900" s="705">
        <v>63.035076563080395</v>
      </c>
    </row>
    <row r="1901" spans="2:7" ht="11.25" hidden="1" customHeight="1" outlineLevel="2" x14ac:dyDescent="0.25">
      <c r="B1901" s="704" t="s">
        <v>691</v>
      </c>
      <c r="C1901" s="704" t="s">
        <v>782</v>
      </c>
      <c r="D1901" s="704" t="s">
        <v>728</v>
      </c>
      <c r="E1901" s="704" t="s">
        <v>448</v>
      </c>
      <c r="F1901" s="706">
        <v>7.4615803472281333E-2</v>
      </c>
      <c r="G1901" s="705">
        <v>56.427838455203428</v>
      </c>
    </row>
    <row r="1902" spans="2:7" ht="11.25" hidden="1" customHeight="1" outlineLevel="2" x14ac:dyDescent="0.25">
      <c r="B1902" s="704" t="s">
        <v>692</v>
      </c>
      <c r="C1902" s="704" t="s">
        <v>782</v>
      </c>
      <c r="D1902" s="704" t="s">
        <v>728</v>
      </c>
      <c r="E1902" s="704" t="s">
        <v>448</v>
      </c>
      <c r="F1902" s="706">
        <v>4.2499890304874711E-3</v>
      </c>
      <c r="G1902" s="705">
        <v>3.2043402270400527</v>
      </c>
    </row>
    <row r="1903" spans="2:7" ht="11.25" hidden="1" customHeight="1" outlineLevel="2" x14ac:dyDescent="0.25">
      <c r="B1903" s="704" t="s">
        <v>693</v>
      </c>
      <c r="C1903" s="704" t="s">
        <v>782</v>
      </c>
      <c r="D1903" s="704" t="s">
        <v>728</v>
      </c>
      <c r="E1903" s="704" t="s">
        <v>448</v>
      </c>
      <c r="F1903" s="705">
        <v>8.6359647545529491E-3</v>
      </c>
      <c r="G1903" s="705">
        <v>6.5464041557885775</v>
      </c>
    </row>
    <row r="1904" spans="2:7" ht="11.25" hidden="1" customHeight="1" outlineLevel="2" x14ac:dyDescent="0.25">
      <c r="B1904" s="704" t="s">
        <v>694</v>
      </c>
      <c r="C1904" s="704" t="s">
        <v>782</v>
      </c>
      <c r="D1904" s="704" t="s">
        <v>728</v>
      </c>
      <c r="E1904" s="704" t="s">
        <v>448</v>
      </c>
      <c r="F1904" s="705">
        <v>2.4228416618381093E-3</v>
      </c>
      <c r="G1904" s="705">
        <v>1.8366092864556509</v>
      </c>
    </row>
    <row r="1905" spans="2:7" ht="11.25" hidden="1" customHeight="1" outlineLevel="2" x14ac:dyDescent="0.25">
      <c r="B1905" s="704" t="s">
        <v>695</v>
      </c>
      <c r="C1905" s="704" t="s">
        <v>782</v>
      </c>
      <c r="D1905" s="704" t="s">
        <v>728</v>
      </c>
      <c r="E1905" s="704" t="s">
        <v>448</v>
      </c>
      <c r="F1905" s="705">
        <v>4.1148542636542601E-3</v>
      </c>
      <c r="G1905" s="705">
        <v>3.1192223101648229</v>
      </c>
    </row>
    <row r="1906" spans="2:7" ht="11.25" hidden="1" customHeight="1" outlineLevel="2" x14ac:dyDescent="0.25">
      <c r="B1906" s="704" t="s">
        <v>696</v>
      </c>
      <c r="C1906" s="704" t="s">
        <v>782</v>
      </c>
      <c r="D1906" s="704" t="s">
        <v>728</v>
      </c>
      <c r="E1906" s="704" t="s">
        <v>448</v>
      </c>
      <c r="F1906" s="705">
        <v>1.3163806985250947E-2</v>
      </c>
      <c r="G1906" s="705">
        <v>9.911665150409501</v>
      </c>
    </row>
    <row r="1907" spans="2:7" ht="11.25" hidden="1" customHeight="1" outlineLevel="2" x14ac:dyDescent="0.25">
      <c r="B1907" s="704" t="s">
        <v>697</v>
      </c>
      <c r="C1907" s="704" t="s">
        <v>782</v>
      </c>
      <c r="D1907" s="704" t="s">
        <v>728</v>
      </c>
      <c r="E1907" s="704" t="s">
        <v>448</v>
      </c>
      <c r="F1907" s="705">
        <v>8.5810268020994635E-3</v>
      </c>
      <c r="G1907" s="705">
        <v>6.5047611182327083</v>
      </c>
    </row>
    <row r="1908" spans="2:7" ht="11.25" hidden="1" customHeight="1" outlineLevel="2" x14ac:dyDescent="0.25">
      <c r="B1908" s="704" t="s">
        <v>698</v>
      </c>
      <c r="C1908" s="704" t="s">
        <v>782</v>
      </c>
      <c r="D1908" s="704" t="s">
        <v>728</v>
      </c>
      <c r="E1908" s="704" t="s">
        <v>448</v>
      </c>
      <c r="F1908" s="705">
        <v>1.1601445483541386E-2</v>
      </c>
      <c r="G1908" s="705">
        <v>8.7943568215763896</v>
      </c>
    </row>
    <row r="1909" spans="2:7" ht="11.25" hidden="1" customHeight="1" outlineLevel="2" x14ac:dyDescent="0.25">
      <c r="B1909" s="704" t="s">
        <v>699</v>
      </c>
      <c r="C1909" s="704" t="s">
        <v>782</v>
      </c>
      <c r="D1909" s="704" t="s">
        <v>728</v>
      </c>
      <c r="E1909" s="704" t="s">
        <v>448</v>
      </c>
      <c r="F1909" s="705">
        <v>7.1773741121301415E-2</v>
      </c>
      <c r="G1909" s="705">
        <v>54.114864116798621</v>
      </c>
    </row>
    <row r="1910" spans="2:7" ht="11.25" hidden="1" customHeight="1" outlineLevel="2" x14ac:dyDescent="0.25">
      <c r="B1910" s="704" t="s">
        <v>673</v>
      </c>
      <c r="C1910" s="704" t="s">
        <v>783</v>
      </c>
      <c r="D1910" s="704" t="s">
        <v>728</v>
      </c>
      <c r="E1910" s="704" t="s">
        <v>448</v>
      </c>
      <c r="F1910" s="705">
        <v>5.6889140516091008E-2</v>
      </c>
      <c r="G1910" s="705">
        <v>88.510750044489853</v>
      </c>
    </row>
    <row r="1911" spans="2:7" ht="11.25" hidden="1" customHeight="1" outlineLevel="2" x14ac:dyDescent="0.25">
      <c r="B1911" s="704" t="s">
        <v>677</v>
      </c>
      <c r="C1911" s="704" t="s">
        <v>783</v>
      </c>
      <c r="D1911" s="704" t="s">
        <v>728</v>
      </c>
      <c r="E1911" s="704" t="s">
        <v>448</v>
      </c>
      <c r="F1911" s="705">
        <v>2.7547829782272633</v>
      </c>
      <c r="G1911" s="705">
        <v>4241.4337711204171</v>
      </c>
    </row>
    <row r="1912" spans="2:7" ht="11.25" hidden="1" customHeight="1" outlineLevel="2" x14ac:dyDescent="0.25">
      <c r="B1912" s="704" t="s">
        <v>678</v>
      </c>
      <c r="C1912" s="704" t="s">
        <v>783</v>
      </c>
      <c r="D1912" s="704" t="s">
        <v>728</v>
      </c>
      <c r="E1912" s="704" t="s">
        <v>448</v>
      </c>
      <c r="F1912" s="705">
        <v>3.2724966193503988</v>
      </c>
      <c r="G1912" s="705">
        <v>5098.2207070683289</v>
      </c>
    </row>
    <row r="1913" spans="2:7" ht="11.25" hidden="1" customHeight="1" outlineLevel="2" x14ac:dyDescent="0.25">
      <c r="B1913" s="704" t="s">
        <v>679</v>
      </c>
      <c r="C1913" s="704" t="s">
        <v>783</v>
      </c>
      <c r="D1913" s="704" t="s">
        <v>728</v>
      </c>
      <c r="E1913" s="704" t="s">
        <v>448</v>
      </c>
      <c r="F1913" s="705">
        <v>0.19485688924370431</v>
      </c>
      <c r="G1913" s="705">
        <v>304.47701044737863</v>
      </c>
    </row>
    <row r="1914" spans="2:7" ht="11.25" hidden="1" customHeight="1" outlineLevel="2" x14ac:dyDescent="0.25">
      <c r="B1914" s="704" t="s">
        <v>680</v>
      </c>
      <c r="C1914" s="704" t="s">
        <v>783</v>
      </c>
      <c r="D1914" s="704" t="s">
        <v>728</v>
      </c>
      <c r="E1914" s="704" t="s">
        <v>448</v>
      </c>
      <c r="F1914" s="706">
        <v>6.1034081280975115E-2</v>
      </c>
      <c r="G1914" s="705">
        <v>95.591674657777318</v>
      </c>
    </row>
    <row r="1915" spans="2:7" ht="11.25" hidden="1" customHeight="1" outlineLevel="2" x14ac:dyDescent="0.25">
      <c r="B1915" s="704" t="s">
        <v>681</v>
      </c>
      <c r="C1915" s="704" t="s">
        <v>783</v>
      </c>
      <c r="D1915" s="704" t="s">
        <v>728</v>
      </c>
      <c r="E1915" s="704" t="s">
        <v>448</v>
      </c>
      <c r="F1915" s="706">
        <v>1.0317451046963184</v>
      </c>
      <c r="G1915" s="705">
        <v>1607.355122150127</v>
      </c>
    </row>
    <row r="1916" spans="2:7" ht="11.25" hidden="1" customHeight="1" outlineLevel="2" x14ac:dyDescent="0.25">
      <c r="B1916" s="704" t="s">
        <v>682</v>
      </c>
      <c r="C1916" s="704" t="s">
        <v>783</v>
      </c>
      <c r="D1916" s="704" t="s">
        <v>728</v>
      </c>
      <c r="E1916" s="704" t="s">
        <v>448</v>
      </c>
      <c r="F1916" s="705">
        <v>0.13406674422057993</v>
      </c>
      <c r="G1916" s="705">
        <v>208.8854248164123</v>
      </c>
    </row>
    <row r="1917" spans="2:7" ht="11.25" hidden="1" customHeight="1" outlineLevel="2" x14ac:dyDescent="0.25">
      <c r="B1917" s="704" t="s">
        <v>683</v>
      </c>
      <c r="C1917" s="704" t="s">
        <v>783</v>
      </c>
      <c r="D1917" s="704" t="s">
        <v>728</v>
      </c>
      <c r="E1917" s="704" t="s">
        <v>448</v>
      </c>
      <c r="F1917" s="705">
        <v>0.2809564021833541</v>
      </c>
      <c r="G1917" s="705">
        <v>439.01355547551594</v>
      </c>
    </row>
    <row r="1918" spans="2:7" ht="11.25" hidden="1" customHeight="1" outlineLevel="2" x14ac:dyDescent="0.25">
      <c r="B1918" s="704" t="s">
        <v>684</v>
      </c>
      <c r="C1918" s="704" t="s">
        <v>783</v>
      </c>
      <c r="D1918" s="704" t="s">
        <v>728</v>
      </c>
      <c r="E1918" s="704" t="s">
        <v>448</v>
      </c>
      <c r="F1918" s="705">
        <v>0.36168351279990529</v>
      </c>
      <c r="G1918" s="705">
        <v>566.46829167564181</v>
      </c>
    </row>
    <row r="1919" spans="2:7" ht="11.25" hidden="1" customHeight="1" outlineLevel="2" x14ac:dyDescent="0.25">
      <c r="B1919" s="704" t="s">
        <v>685</v>
      </c>
      <c r="C1919" s="704" t="s">
        <v>783</v>
      </c>
      <c r="D1919" s="704" t="s">
        <v>728</v>
      </c>
      <c r="E1919" s="704" t="s">
        <v>448</v>
      </c>
      <c r="F1919" s="705">
        <v>1.7083959673845046</v>
      </c>
      <c r="G1919" s="705">
        <v>2669.4845263913116</v>
      </c>
    </row>
    <row r="1920" spans="2:7" ht="11.25" hidden="1" customHeight="1" outlineLevel="2" x14ac:dyDescent="0.25">
      <c r="B1920" s="704" t="s">
        <v>686</v>
      </c>
      <c r="C1920" s="704" t="s">
        <v>783</v>
      </c>
      <c r="D1920" s="704" t="s">
        <v>728</v>
      </c>
      <c r="E1920" s="704" t="s">
        <v>448</v>
      </c>
      <c r="F1920" s="705">
        <v>0.36636593179894078</v>
      </c>
      <c r="G1920" s="705">
        <v>570.00982972123791</v>
      </c>
    </row>
    <row r="1921" spans="2:7" ht="11.25" hidden="1" customHeight="1" outlineLevel="2" x14ac:dyDescent="0.25">
      <c r="B1921" s="704" t="s">
        <v>687</v>
      </c>
      <c r="C1921" s="704" t="s">
        <v>783</v>
      </c>
      <c r="D1921" s="704" t="s">
        <v>728</v>
      </c>
      <c r="E1921" s="704" t="s">
        <v>448</v>
      </c>
      <c r="F1921" s="705">
        <v>0.75221986867351565</v>
      </c>
      <c r="G1921" s="705">
        <v>1171.8829781388706</v>
      </c>
    </row>
    <row r="1922" spans="2:7" ht="11.25" hidden="1" customHeight="1" outlineLevel="2" x14ac:dyDescent="0.25">
      <c r="B1922" s="704" t="s">
        <v>688</v>
      </c>
      <c r="C1922" s="704" t="s">
        <v>783</v>
      </c>
      <c r="D1922" s="704" t="s">
        <v>728</v>
      </c>
      <c r="E1922" s="704" t="s">
        <v>448</v>
      </c>
      <c r="F1922" s="705">
        <v>2.2134809258710995</v>
      </c>
      <c r="G1922" s="705">
        <v>3448.3789072830286</v>
      </c>
    </row>
    <row r="1923" spans="2:7" ht="11.25" hidden="1" customHeight="1" outlineLevel="2" x14ac:dyDescent="0.25">
      <c r="B1923" s="704" t="s">
        <v>689</v>
      </c>
      <c r="C1923" s="704" t="s">
        <v>783</v>
      </c>
      <c r="D1923" s="704" t="s">
        <v>728</v>
      </c>
      <c r="E1923" s="704" t="s">
        <v>448</v>
      </c>
      <c r="F1923" s="705">
        <v>0.21578993058831603</v>
      </c>
      <c r="G1923" s="705">
        <v>335.65840044533843</v>
      </c>
    </row>
    <row r="1924" spans="2:7" ht="11.25" hidden="1" customHeight="1" outlineLevel="2" x14ac:dyDescent="0.25">
      <c r="B1924" s="704" t="s">
        <v>690</v>
      </c>
      <c r="C1924" s="704" t="s">
        <v>783</v>
      </c>
      <c r="D1924" s="704" t="s">
        <v>728</v>
      </c>
      <c r="E1924" s="704" t="s">
        <v>448</v>
      </c>
      <c r="F1924" s="705">
        <v>6.7474845280753755</v>
      </c>
      <c r="G1924" s="705">
        <v>10543.395074097274</v>
      </c>
    </row>
    <row r="1925" spans="2:7" ht="11.25" hidden="1" customHeight="1" outlineLevel="2" x14ac:dyDescent="0.25">
      <c r="B1925" s="704" t="s">
        <v>691</v>
      </c>
      <c r="C1925" s="704" t="s">
        <v>783</v>
      </c>
      <c r="D1925" s="704" t="s">
        <v>728</v>
      </c>
      <c r="E1925" s="704" t="s">
        <v>448</v>
      </c>
      <c r="F1925" s="705">
        <v>3.296706948415201</v>
      </c>
      <c r="G1925" s="705">
        <v>5151.3258413413114</v>
      </c>
    </row>
    <row r="1926" spans="2:7" ht="11.25" hidden="1" customHeight="1" outlineLevel="2" x14ac:dyDescent="0.25">
      <c r="B1926" s="704" t="s">
        <v>692</v>
      </c>
      <c r="C1926" s="704" t="s">
        <v>783</v>
      </c>
      <c r="D1926" s="704" t="s">
        <v>728</v>
      </c>
      <c r="E1926" s="704" t="s">
        <v>448</v>
      </c>
      <c r="F1926" s="705">
        <v>0.21589390174296622</v>
      </c>
      <c r="G1926" s="705">
        <v>336.34085120632568</v>
      </c>
    </row>
    <row r="1927" spans="2:7" ht="11.25" hidden="1" customHeight="1" outlineLevel="2" x14ac:dyDescent="0.25">
      <c r="B1927" s="704" t="s">
        <v>693</v>
      </c>
      <c r="C1927" s="704" t="s">
        <v>783</v>
      </c>
      <c r="D1927" s="704" t="s">
        <v>728</v>
      </c>
      <c r="E1927" s="704" t="s">
        <v>448</v>
      </c>
      <c r="F1927" s="705">
        <v>0.16501810774488027</v>
      </c>
      <c r="G1927" s="705">
        <v>258.45141461140815</v>
      </c>
    </row>
    <row r="1928" spans="2:7" ht="11.25" hidden="1" customHeight="1" outlineLevel="2" x14ac:dyDescent="0.25">
      <c r="B1928" s="704" t="s">
        <v>694</v>
      </c>
      <c r="C1928" s="704" t="s">
        <v>783</v>
      </c>
      <c r="D1928" s="704" t="s">
        <v>728</v>
      </c>
      <c r="E1928" s="704" t="s">
        <v>448</v>
      </c>
      <c r="F1928" s="705">
        <v>0.36394416272650404</v>
      </c>
      <c r="G1928" s="705">
        <v>570.00982972123791</v>
      </c>
    </row>
    <row r="1929" spans="2:7" ht="11.25" hidden="1" customHeight="1" outlineLevel="2" x14ac:dyDescent="0.25">
      <c r="B1929" s="704" t="s">
        <v>695</v>
      </c>
      <c r="C1929" s="704" t="s">
        <v>783</v>
      </c>
      <c r="D1929" s="704" t="s">
        <v>728</v>
      </c>
      <c r="E1929" s="704" t="s">
        <v>448</v>
      </c>
      <c r="F1929" s="705">
        <v>0.35716252729878289</v>
      </c>
      <c r="G1929" s="705">
        <v>559.38769134598488</v>
      </c>
    </row>
    <row r="1930" spans="2:7" ht="11.25" hidden="1" customHeight="1" outlineLevel="2" x14ac:dyDescent="0.25">
      <c r="B1930" s="704" t="s">
        <v>696</v>
      </c>
      <c r="C1930" s="704" t="s">
        <v>783</v>
      </c>
      <c r="D1930" s="704" t="s">
        <v>728</v>
      </c>
      <c r="E1930" s="704" t="s">
        <v>448</v>
      </c>
      <c r="F1930" s="705">
        <v>0.51427785867372144</v>
      </c>
      <c r="G1930" s="705">
        <v>800.13703796315428</v>
      </c>
    </row>
    <row r="1931" spans="2:7" ht="11.25" hidden="1" customHeight="1" outlineLevel="2" x14ac:dyDescent="0.25">
      <c r="B1931" s="704" t="s">
        <v>697</v>
      </c>
      <c r="C1931" s="704" t="s">
        <v>783</v>
      </c>
      <c r="D1931" s="704" t="s">
        <v>728</v>
      </c>
      <c r="E1931" s="704" t="s">
        <v>448</v>
      </c>
      <c r="F1931" s="706">
        <v>0.23057324666061338</v>
      </c>
      <c r="G1931" s="705">
        <v>361.12386969012368</v>
      </c>
    </row>
    <row r="1932" spans="2:7" ht="11.25" hidden="1" customHeight="1" outlineLevel="2" x14ac:dyDescent="0.25">
      <c r="B1932" s="704" t="s">
        <v>698</v>
      </c>
      <c r="C1932" s="704" t="s">
        <v>783</v>
      </c>
      <c r="D1932" s="704" t="s">
        <v>728</v>
      </c>
      <c r="E1932" s="704" t="s">
        <v>448</v>
      </c>
      <c r="F1932" s="706">
        <v>0.36394416270588015</v>
      </c>
      <c r="G1932" s="705">
        <v>570.00982970278562</v>
      </c>
    </row>
    <row r="1933" spans="2:7" ht="11.25" hidden="1" customHeight="1" outlineLevel="2" x14ac:dyDescent="0.25">
      <c r="B1933" s="704" t="s">
        <v>699</v>
      </c>
      <c r="C1933" s="704" t="s">
        <v>783</v>
      </c>
      <c r="D1933" s="704" t="s">
        <v>728</v>
      </c>
      <c r="E1933" s="704" t="s">
        <v>448</v>
      </c>
      <c r="F1933" s="706">
        <v>0.41133488746687435</v>
      </c>
      <c r="G1933" s="705">
        <v>640.81786967908135</v>
      </c>
    </row>
    <row r="1934" spans="2:7" ht="11.25" hidden="1" customHeight="1" outlineLevel="2" x14ac:dyDescent="0.25">
      <c r="B1934" s="704" t="s">
        <v>673</v>
      </c>
      <c r="C1934" s="704" t="s">
        <v>784</v>
      </c>
      <c r="D1934" s="704" t="s">
        <v>728</v>
      </c>
      <c r="E1934" s="704" t="s">
        <v>448</v>
      </c>
      <c r="F1934" s="706">
        <v>0.11537054485283946</v>
      </c>
      <c r="G1934" s="705">
        <v>62.005873852062422</v>
      </c>
    </row>
    <row r="1935" spans="2:7" ht="11.25" hidden="1" customHeight="1" outlineLevel="2" x14ac:dyDescent="0.25">
      <c r="B1935" s="704" t="s">
        <v>677</v>
      </c>
      <c r="C1935" s="704" t="s">
        <v>784</v>
      </c>
      <c r="D1935" s="704" t="s">
        <v>728</v>
      </c>
      <c r="E1935" s="704" t="s">
        <v>448</v>
      </c>
      <c r="F1935" s="706">
        <v>0.68608543389834287</v>
      </c>
      <c r="G1935" s="705">
        <v>365.34283663543698</v>
      </c>
    </row>
    <row r="1936" spans="2:7" ht="11.25" hidden="1" customHeight="1" outlineLevel="2" x14ac:dyDescent="0.25">
      <c r="B1936" s="704" t="s">
        <v>678</v>
      </c>
      <c r="C1936" s="704" t="s">
        <v>784</v>
      </c>
      <c r="D1936" s="704" t="s">
        <v>728</v>
      </c>
      <c r="E1936" s="704" t="s">
        <v>448</v>
      </c>
      <c r="F1936" s="706">
        <v>1.1104102870692962</v>
      </c>
      <c r="G1936" s="705">
        <v>605.33389073765272</v>
      </c>
    </row>
    <row r="1937" spans="2:7" ht="11.25" hidden="1" customHeight="1" outlineLevel="2" x14ac:dyDescent="0.25">
      <c r="B1937" s="704" t="s">
        <v>679</v>
      </c>
      <c r="C1937" s="704" t="s">
        <v>784</v>
      </c>
      <c r="D1937" s="704" t="s">
        <v>728</v>
      </c>
      <c r="E1937" s="704" t="s">
        <v>448</v>
      </c>
      <c r="F1937" s="706">
        <v>0.10167822909418223</v>
      </c>
      <c r="G1937" s="705">
        <v>55.87171953239497</v>
      </c>
    </row>
    <row r="1938" spans="2:7" ht="11.25" hidden="1" customHeight="1" outlineLevel="2" x14ac:dyDescent="0.25">
      <c r="B1938" s="704" t="s">
        <v>680</v>
      </c>
      <c r="C1938" s="704" t="s">
        <v>784</v>
      </c>
      <c r="D1938" s="704" t="s">
        <v>728</v>
      </c>
      <c r="E1938" s="704" t="s">
        <v>448</v>
      </c>
      <c r="F1938" s="706">
        <v>3.3393031620181911E-36</v>
      </c>
      <c r="G1938" s="705">
        <v>1.8280546195799491E-33</v>
      </c>
    </row>
    <row r="1939" spans="2:7" ht="11.25" hidden="1" customHeight="1" outlineLevel="2" x14ac:dyDescent="0.25">
      <c r="B1939" s="704" t="s">
        <v>681</v>
      </c>
      <c r="C1939" s="704" t="s">
        <v>784</v>
      </c>
      <c r="D1939" s="704" t="s">
        <v>728</v>
      </c>
      <c r="E1939" s="704" t="s">
        <v>448</v>
      </c>
      <c r="F1939" s="706">
        <v>0.19799731732531417</v>
      </c>
      <c r="G1939" s="705">
        <v>107.93695448120063</v>
      </c>
    </row>
    <row r="1940" spans="2:7" ht="11.25" hidden="1" customHeight="1" outlineLevel="2" x14ac:dyDescent="0.25">
      <c r="B1940" s="704" t="s">
        <v>682</v>
      </c>
      <c r="C1940" s="704" t="s">
        <v>784</v>
      </c>
      <c r="D1940" s="704" t="s">
        <v>728</v>
      </c>
      <c r="E1940" s="704" t="s">
        <v>448</v>
      </c>
      <c r="F1940" s="706">
        <v>0.12568791349838898</v>
      </c>
      <c r="G1940" s="705">
        <v>68.485562519634001</v>
      </c>
    </row>
    <row r="1941" spans="2:7" ht="11.25" hidden="1" customHeight="1" outlineLevel="2" x14ac:dyDescent="0.25">
      <c r="B1941" s="704" t="s">
        <v>683</v>
      </c>
      <c r="C1941" s="704" t="s">
        <v>784</v>
      </c>
      <c r="D1941" s="704" t="s">
        <v>728</v>
      </c>
      <c r="E1941" s="704" t="s">
        <v>448</v>
      </c>
      <c r="F1941" s="705">
        <v>0.16104618287691144</v>
      </c>
      <c r="G1941" s="705">
        <v>88.494067723472384</v>
      </c>
    </row>
    <row r="1942" spans="2:7" ht="11.25" hidden="1" customHeight="1" outlineLevel="2" x14ac:dyDescent="0.25">
      <c r="B1942" s="704" t="s">
        <v>684</v>
      </c>
      <c r="C1942" s="704" t="s">
        <v>784</v>
      </c>
      <c r="D1942" s="704" t="s">
        <v>728</v>
      </c>
      <c r="E1942" s="704" t="s">
        <v>448</v>
      </c>
      <c r="F1942" s="705">
        <v>4.926109764354625E-35</v>
      </c>
      <c r="G1942" s="705">
        <v>2.6967279111944965E-32</v>
      </c>
    </row>
    <row r="1943" spans="2:7" ht="11.25" hidden="1" customHeight="1" outlineLevel="2" x14ac:dyDescent="0.25">
      <c r="B1943" s="704" t="s">
        <v>685</v>
      </c>
      <c r="C1943" s="704" t="s">
        <v>784</v>
      </c>
      <c r="D1943" s="704" t="s">
        <v>728</v>
      </c>
      <c r="E1943" s="704" t="s">
        <v>448</v>
      </c>
      <c r="F1943" s="706">
        <v>0.26918847484459324</v>
      </c>
      <c r="G1943" s="705">
        <v>147.91797758700082</v>
      </c>
    </row>
    <row r="1944" spans="2:7" ht="11.25" hidden="1" customHeight="1" outlineLevel="2" x14ac:dyDescent="0.25">
      <c r="B1944" s="704" t="s">
        <v>686</v>
      </c>
      <c r="C1944" s="704" t="s">
        <v>784</v>
      </c>
      <c r="D1944" s="704" t="s">
        <v>728</v>
      </c>
      <c r="E1944" s="704" t="s">
        <v>448</v>
      </c>
      <c r="F1944" s="705">
        <v>6.0479441619014168E-2</v>
      </c>
      <c r="G1944" s="705">
        <v>32.504665878505016</v>
      </c>
    </row>
    <row r="1945" spans="2:7" ht="11.25" hidden="1" customHeight="1" outlineLevel="2" x14ac:dyDescent="0.25">
      <c r="B1945" s="704" t="s">
        <v>687</v>
      </c>
      <c r="C1945" s="704" t="s">
        <v>784</v>
      </c>
      <c r="D1945" s="704" t="s">
        <v>728</v>
      </c>
      <c r="E1945" s="704" t="s">
        <v>448</v>
      </c>
      <c r="F1945" s="705">
        <v>0.30193257215287922</v>
      </c>
      <c r="G1945" s="705">
        <v>164.59647704621688</v>
      </c>
    </row>
    <row r="1946" spans="2:7" ht="11.25" hidden="1" customHeight="1" outlineLevel="2" x14ac:dyDescent="0.25">
      <c r="B1946" s="704" t="s">
        <v>688</v>
      </c>
      <c r="C1946" s="704" t="s">
        <v>784</v>
      </c>
      <c r="D1946" s="704" t="s">
        <v>728</v>
      </c>
      <c r="E1946" s="704" t="s">
        <v>448</v>
      </c>
      <c r="F1946" s="705">
        <v>0.33654243101702325</v>
      </c>
      <c r="G1946" s="705">
        <v>183.46401155362759</v>
      </c>
    </row>
    <row r="1947" spans="2:7" ht="11.25" hidden="1" customHeight="1" outlineLevel="2" x14ac:dyDescent="0.25">
      <c r="B1947" s="704" t="s">
        <v>689</v>
      </c>
      <c r="C1947" s="704" t="s">
        <v>784</v>
      </c>
      <c r="D1947" s="704" t="s">
        <v>728</v>
      </c>
      <c r="E1947" s="704" t="s">
        <v>448</v>
      </c>
      <c r="F1947" s="705">
        <v>6.0537878097586012E-2</v>
      </c>
      <c r="G1947" s="705">
        <v>32.976863760951225</v>
      </c>
    </row>
    <row r="1948" spans="2:7" ht="11.25" hidden="1" customHeight="1" outlineLevel="2" x14ac:dyDescent="0.25">
      <c r="B1948" s="704" t="s">
        <v>690</v>
      </c>
      <c r="C1948" s="704" t="s">
        <v>784</v>
      </c>
      <c r="D1948" s="704" t="s">
        <v>728</v>
      </c>
      <c r="E1948" s="704" t="s">
        <v>448</v>
      </c>
      <c r="F1948" s="705">
        <v>1.1923395344509016</v>
      </c>
      <c r="G1948" s="705">
        <v>655.18506109760767</v>
      </c>
    </row>
    <row r="1949" spans="2:7" ht="11.25" hidden="1" customHeight="1" outlineLevel="2" x14ac:dyDescent="0.25">
      <c r="B1949" s="704" t="s">
        <v>691</v>
      </c>
      <c r="C1949" s="704" t="s">
        <v>784</v>
      </c>
      <c r="D1949" s="704" t="s">
        <v>728</v>
      </c>
      <c r="E1949" s="704" t="s">
        <v>448</v>
      </c>
      <c r="F1949" s="705">
        <v>1.0673596003268115</v>
      </c>
      <c r="G1949" s="705">
        <v>586.50965129724523</v>
      </c>
    </row>
    <row r="1950" spans="2:7" ht="11.25" hidden="1" customHeight="1" outlineLevel="2" x14ac:dyDescent="0.25">
      <c r="B1950" s="704" t="s">
        <v>692</v>
      </c>
      <c r="C1950" s="704" t="s">
        <v>784</v>
      </c>
      <c r="D1950" s="704" t="s">
        <v>728</v>
      </c>
      <c r="E1950" s="704" t="s">
        <v>448</v>
      </c>
      <c r="F1950" s="705">
        <v>8.3108095202818622E-34</v>
      </c>
      <c r="G1950" s="705">
        <v>4.5305901526367279E-31</v>
      </c>
    </row>
    <row r="1951" spans="2:7" ht="11.25" hidden="1" customHeight="1" outlineLevel="2" x14ac:dyDescent="0.25">
      <c r="B1951" s="704" t="s">
        <v>693</v>
      </c>
      <c r="C1951" s="704" t="s">
        <v>784</v>
      </c>
      <c r="D1951" s="704" t="s">
        <v>728</v>
      </c>
      <c r="E1951" s="704" t="s">
        <v>448</v>
      </c>
      <c r="F1951" s="705">
        <v>0.12429447884932329</v>
      </c>
      <c r="G1951" s="705">
        <v>68.043151022259863</v>
      </c>
    </row>
    <row r="1952" spans="2:7" ht="11.25" hidden="1" customHeight="1" outlineLevel="2" x14ac:dyDescent="0.25">
      <c r="B1952" s="704" t="s">
        <v>694</v>
      </c>
      <c r="C1952" s="704" t="s">
        <v>784</v>
      </c>
      <c r="D1952" s="704" t="s">
        <v>728</v>
      </c>
      <c r="E1952" s="704" t="s">
        <v>448</v>
      </c>
      <c r="F1952" s="705">
        <v>8.1651856097961584E-37</v>
      </c>
      <c r="G1952" s="705">
        <v>4.4699090569433649E-34</v>
      </c>
    </row>
    <row r="1953" spans="2:7" ht="11.25" hidden="1" customHeight="1" outlineLevel="2" x14ac:dyDescent="0.25">
      <c r="B1953" s="704" t="s">
        <v>695</v>
      </c>
      <c r="C1953" s="704" t="s">
        <v>784</v>
      </c>
      <c r="D1953" s="704" t="s">
        <v>728</v>
      </c>
      <c r="E1953" s="704" t="s">
        <v>448</v>
      </c>
      <c r="F1953" s="705">
        <v>2.0510680705289451E-31</v>
      </c>
      <c r="G1953" s="705">
        <v>1.1228300050502855E-28</v>
      </c>
    </row>
    <row r="1954" spans="2:7" ht="11.25" hidden="1" customHeight="1" outlineLevel="2" x14ac:dyDescent="0.25">
      <c r="B1954" s="704" t="s">
        <v>696</v>
      </c>
      <c r="C1954" s="704" t="s">
        <v>784</v>
      </c>
      <c r="D1954" s="704" t="s">
        <v>728</v>
      </c>
      <c r="E1954" s="704" t="s">
        <v>448</v>
      </c>
      <c r="F1954" s="705">
        <v>0.19168623490243339</v>
      </c>
      <c r="G1954" s="705">
        <v>103.02151092300956</v>
      </c>
    </row>
    <row r="1955" spans="2:7" ht="11.25" hidden="1" customHeight="1" outlineLevel="2" x14ac:dyDescent="0.25">
      <c r="B1955" s="704" t="s">
        <v>697</v>
      </c>
      <c r="C1955" s="704" t="s">
        <v>784</v>
      </c>
      <c r="D1955" s="704" t="s">
        <v>728</v>
      </c>
      <c r="E1955" s="704" t="s">
        <v>448</v>
      </c>
      <c r="F1955" s="705">
        <v>1.37655811414E-32</v>
      </c>
      <c r="G1955" s="705">
        <v>7.5309819200000002E-30</v>
      </c>
    </row>
    <row r="1956" spans="2:7" ht="11.25" hidden="1" customHeight="1" outlineLevel="2" x14ac:dyDescent="0.25">
      <c r="B1956" s="704" t="s">
        <v>698</v>
      </c>
      <c r="C1956" s="704" t="s">
        <v>784</v>
      </c>
      <c r="D1956" s="704" t="s">
        <v>728</v>
      </c>
      <c r="E1956" s="704" t="s">
        <v>448</v>
      </c>
      <c r="F1956" s="705">
        <v>8.1607757153999983E-37</v>
      </c>
      <c r="G1956" s="705">
        <v>4.4696465880000001E-34</v>
      </c>
    </row>
    <row r="1957" spans="2:7" ht="11.25" hidden="1" customHeight="1" outlineLevel="2" x14ac:dyDescent="0.25">
      <c r="B1957" s="704" t="s">
        <v>699</v>
      </c>
      <c r="C1957" s="704" t="s">
        <v>784</v>
      </c>
      <c r="D1957" s="704" t="s">
        <v>728</v>
      </c>
      <c r="E1957" s="704" t="s">
        <v>448</v>
      </c>
      <c r="F1957" s="705">
        <v>1.0317800098780574</v>
      </c>
      <c r="G1957" s="705">
        <v>562.46872865603495</v>
      </c>
    </row>
    <row r="1958" spans="2:7" ht="11.25" hidden="1" customHeight="1" outlineLevel="2" x14ac:dyDescent="0.25">
      <c r="B1958" s="704" t="s">
        <v>673</v>
      </c>
      <c r="C1958" s="704" t="s">
        <v>785</v>
      </c>
      <c r="D1958" s="704" t="s">
        <v>728</v>
      </c>
      <c r="E1958" s="704" t="s">
        <v>448</v>
      </c>
      <c r="F1958" s="705">
        <v>5.69852747144367E-2</v>
      </c>
      <c r="G1958" s="705">
        <v>30.629543562713476</v>
      </c>
    </row>
    <row r="1959" spans="2:7" ht="11.25" hidden="1" customHeight="1" outlineLevel="2" x14ac:dyDescent="0.25">
      <c r="B1959" s="704" t="s">
        <v>677</v>
      </c>
      <c r="C1959" s="704" t="s">
        <v>785</v>
      </c>
      <c r="D1959" s="704" t="s">
        <v>728</v>
      </c>
      <c r="E1959" s="704" t="s">
        <v>448</v>
      </c>
      <c r="F1959" s="705">
        <v>2.7561703273802154</v>
      </c>
      <c r="G1959" s="705">
        <v>1467.76969866736</v>
      </c>
    </row>
    <row r="1960" spans="2:7" ht="11.25" hidden="1" customHeight="1" outlineLevel="2" x14ac:dyDescent="0.25">
      <c r="B1960" s="704" t="s">
        <v>678</v>
      </c>
      <c r="C1960" s="704" t="s">
        <v>785</v>
      </c>
      <c r="D1960" s="704" t="s">
        <v>728</v>
      </c>
      <c r="E1960" s="704" t="s">
        <v>448</v>
      </c>
      <c r="F1960" s="705">
        <v>3.2367750719120587</v>
      </c>
      <c r="G1960" s="705">
        <v>1764.26212877904</v>
      </c>
    </row>
    <row r="1961" spans="2:7" ht="11.25" hidden="1" customHeight="1" outlineLevel="2" x14ac:dyDescent="0.25">
      <c r="B1961" s="704" t="s">
        <v>679</v>
      </c>
      <c r="C1961" s="704" t="s">
        <v>785</v>
      </c>
      <c r="D1961" s="704" t="s">
        <v>728</v>
      </c>
      <c r="E1961" s="704" t="s">
        <v>448</v>
      </c>
      <c r="F1961" s="705">
        <v>0.19177843132987421</v>
      </c>
      <c r="G1961" s="705">
        <v>105.36567143090613</v>
      </c>
    </row>
    <row r="1962" spans="2:7" ht="11.25" hidden="1" customHeight="1" outlineLevel="2" x14ac:dyDescent="0.25">
      <c r="B1962" s="704" t="s">
        <v>680</v>
      </c>
      <c r="C1962" s="704" t="s">
        <v>785</v>
      </c>
      <c r="D1962" s="704" t="s">
        <v>728</v>
      </c>
      <c r="E1962" s="704" t="s">
        <v>448</v>
      </c>
      <c r="F1962" s="705">
        <v>1.9387143840960953E-34</v>
      </c>
      <c r="G1962" s="705">
        <v>1.0613883623866215E-31</v>
      </c>
    </row>
    <row r="1963" spans="2:7" ht="11.25" hidden="1" customHeight="1" outlineLevel="2" x14ac:dyDescent="0.25">
      <c r="B1963" s="704" t="s">
        <v>681</v>
      </c>
      <c r="C1963" s="704" t="s">
        <v>785</v>
      </c>
      <c r="D1963" s="704" t="s">
        <v>728</v>
      </c>
      <c r="E1963" s="704" t="s">
        <v>448</v>
      </c>
      <c r="F1963" s="705">
        <v>1.0204839371501615</v>
      </c>
      <c r="G1963" s="705">
        <v>556.23243276425001</v>
      </c>
    </row>
    <row r="1964" spans="2:7" ht="11.25" hidden="1" customHeight="1" outlineLevel="2" x14ac:dyDescent="0.25">
      <c r="B1964" s="704" t="s">
        <v>682</v>
      </c>
      <c r="C1964" s="704" t="s">
        <v>785</v>
      </c>
      <c r="D1964" s="704" t="s">
        <v>728</v>
      </c>
      <c r="E1964" s="704" t="s">
        <v>448</v>
      </c>
      <c r="F1964" s="706">
        <v>0.13267653081254621</v>
      </c>
      <c r="G1964" s="705">
        <v>72.285757447234374</v>
      </c>
    </row>
    <row r="1965" spans="2:7" ht="11.25" hidden="1" customHeight="1" outlineLevel="2" x14ac:dyDescent="0.25">
      <c r="B1965" s="704" t="s">
        <v>683</v>
      </c>
      <c r="C1965" s="704" t="s">
        <v>785</v>
      </c>
      <c r="D1965" s="704" t="s">
        <v>728</v>
      </c>
      <c r="E1965" s="704" t="s">
        <v>448</v>
      </c>
      <c r="F1965" s="706">
        <v>0.27651770406334297</v>
      </c>
      <c r="G1965" s="705">
        <v>151.9228297789748</v>
      </c>
    </row>
    <row r="1966" spans="2:7" ht="11.25" hidden="1" customHeight="1" outlineLevel="2" x14ac:dyDescent="0.25">
      <c r="B1966" s="704" t="s">
        <v>684</v>
      </c>
      <c r="C1966" s="704" t="s">
        <v>785</v>
      </c>
      <c r="D1966" s="704" t="s">
        <v>728</v>
      </c>
      <c r="E1966" s="704" t="s">
        <v>448</v>
      </c>
      <c r="F1966" s="706">
        <v>4.2542909981863441E-32</v>
      </c>
      <c r="G1966" s="705">
        <v>2.3290931510745778E-29</v>
      </c>
    </row>
    <row r="1967" spans="2:7" ht="11.25" hidden="1" customHeight="1" outlineLevel="2" x14ac:dyDescent="0.25">
      <c r="B1967" s="704" t="s">
        <v>685</v>
      </c>
      <c r="C1967" s="704" t="s">
        <v>785</v>
      </c>
      <c r="D1967" s="704" t="s">
        <v>728</v>
      </c>
      <c r="E1967" s="704" t="s">
        <v>448</v>
      </c>
      <c r="F1967" s="706">
        <v>1.6814036878707881</v>
      </c>
      <c r="G1967" s="705">
        <v>923.78734075693308</v>
      </c>
    </row>
    <row r="1968" spans="2:7" ht="11.25" hidden="1" customHeight="1" outlineLevel="2" x14ac:dyDescent="0.25">
      <c r="B1968" s="704" t="s">
        <v>686</v>
      </c>
      <c r="C1968" s="704" t="s">
        <v>785</v>
      </c>
      <c r="D1968" s="704" t="s">
        <v>728</v>
      </c>
      <c r="E1968" s="704" t="s">
        <v>448</v>
      </c>
      <c r="F1968" s="706">
        <v>0.27808848736790559</v>
      </c>
      <c r="G1968" s="705">
        <v>149.47205772964566</v>
      </c>
    </row>
    <row r="1969" spans="2:7" ht="11.25" hidden="1" customHeight="1" outlineLevel="2" x14ac:dyDescent="0.25">
      <c r="B1969" s="704" t="s">
        <v>687</v>
      </c>
      <c r="C1969" s="704" t="s">
        <v>785</v>
      </c>
      <c r="D1969" s="704" t="s">
        <v>728</v>
      </c>
      <c r="E1969" s="704" t="s">
        <v>448</v>
      </c>
      <c r="F1969" s="706">
        <v>0.7440087796508823</v>
      </c>
      <c r="G1969" s="705">
        <v>405.5352792533298</v>
      </c>
    </row>
    <row r="1970" spans="2:7" ht="11.25" hidden="1" customHeight="1" outlineLevel="2" x14ac:dyDescent="0.25">
      <c r="B1970" s="704" t="s">
        <v>688</v>
      </c>
      <c r="C1970" s="704" t="s">
        <v>785</v>
      </c>
      <c r="D1970" s="704" t="s">
        <v>728</v>
      </c>
      <c r="E1970" s="704" t="s">
        <v>448</v>
      </c>
      <c r="F1970" s="705">
        <v>2.1893172602242026</v>
      </c>
      <c r="G1970" s="705">
        <v>1193.3272516836</v>
      </c>
    </row>
    <row r="1971" spans="2:7" ht="11.25" hidden="1" customHeight="1" outlineLevel="2" x14ac:dyDescent="0.25">
      <c r="B1971" s="704" t="s">
        <v>689</v>
      </c>
      <c r="C1971" s="704" t="s">
        <v>785</v>
      </c>
      <c r="D1971" s="704" t="s">
        <v>728</v>
      </c>
      <c r="E1971" s="704" t="s">
        <v>448</v>
      </c>
      <c r="F1971" s="705">
        <v>0.23511595442515848</v>
      </c>
      <c r="G1971" s="705">
        <v>128.08168428513736</v>
      </c>
    </row>
    <row r="1972" spans="2:7" ht="11.25" hidden="1" customHeight="1" outlineLevel="2" x14ac:dyDescent="0.25">
      <c r="B1972" s="704" t="s">
        <v>690</v>
      </c>
      <c r="C1972" s="704" t="s">
        <v>785</v>
      </c>
      <c r="D1972" s="704" t="s">
        <v>728</v>
      </c>
      <c r="E1972" s="704" t="s">
        <v>448</v>
      </c>
      <c r="F1972" s="705">
        <v>6.64087649387365</v>
      </c>
      <c r="G1972" s="705">
        <v>3648.5907794703398</v>
      </c>
    </row>
    <row r="1973" spans="2:7" ht="11.25" hidden="1" customHeight="1" outlineLevel="2" x14ac:dyDescent="0.25">
      <c r="B1973" s="704" t="s">
        <v>691</v>
      </c>
      <c r="C1973" s="704" t="s">
        <v>785</v>
      </c>
      <c r="D1973" s="704" t="s">
        <v>728</v>
      </c>
      <c r="E1973" s="704" t="s">
        <v>448</v>
      </c>
      <c r="F1973" s="705">
        <v>3.2446194431459134</v>
      </c>
      <c r="G1973" s="705">
        <v>1782.64103600308</v>
      </c>
    </row>
    <row r="1974" spans="2:7" ht="11.25" hidden="1" customHeight="1" outlineLevel="2" x14ac:dyDescent="0.25">
      <c r="B1974" s="704" t="s">
        <v>692</v>
      </c>
      <c r="C1974" s="704" t="s">
        <v>785</v>
      </c>
      <c r="D1974" s="704" t="s">
        <v>728</v>
      </c>
      <c r="E1974" s="704" t="s">
        <v>448</v>
      </c>
      <c r="F1974" s="705">
        <v>1.4166399937974588E-33</v>
      </c>
      <c r="G1974" s="705">
        <v>7.7216496175236661E-31</v>
      </c>
    </row>
    <row r="1975" spans="2:7" ht="11.25" hidden="1" customHeight="1" outlineLevel="2" x14ac:dyDescent="0.25">
      <c r="B1975" s="704" t="s">
        <v>693</v>
      </c>
      <c r="C1975" s="704" t="s">
        <v>785</v>
      </c>
      <c r="D1975" s="704" t="s">
        <v>728</v>
      </c>
      <c r="E1975" s="704" t="s">
        <v>448</v>
      </c>
      <c r="F1975" s="705">
        <v>0.16336654200826356</v>
      </c>
      <c r="G1975" s="705">
        <v>89.43825773316091</v>
      </c>
    </row>
    <row r="1976" spans="2:7" ht="11.25" hidden="1" customHeight="1" outlineLevel="2" x14ac:dyDescent="0.25">
      <c r="B1976" s="704" t="s">
        <v>694</v>
      </c>
      <c r="C1976" s="704" t="s">
        <v>785</v>
      </c>
      <c r="D1976" s="704" t="s">
        <v>728</v>
      </c>
      <c r="E1976" s="704" t="s">
        <v>448</v>
      </c>
      <c r="F1976" s="705">
        <v>1.0468794339311338E-32</v>
      </c>
      <c r="G1976" s="705">
        <v>5.731359529755185E-30</v>
      </c>
    </row>
    <row r="1977" spans="2:7" ht="11.25" hidden="1" customHeight="1" outlineLevel="2" x14ac:dyDescent="0.25">
      <c r="B1977" s="704" t="s">
        <v>695</v>
      </c>
      <c r="C1977" s="704" t="s">
        <v>785</v>
      </c>
      <c r="D1977" s="704" t="s">
        <v>728</v>
      </c>
      <c r="E1977" s="704" t="s">
        <v>448</v>
      </c>
      <c r="F1977" s="705">
        <v>6.83532789803876E-31</v>
      </c>
      <c r="G1977" s="705">
        <v>3.7421352554373352E-28</v>
      </c>
    </row>
    <row r="1978" spans="2:7" ht="11.25" hidden="1" customHeight="1" outlineLevel="2" x14ac:dyDescent="0.25">
      <c r="B1978" s="704" t="s">
        <v>696</v>
      </c>
      <c r="C1978" s="704" t="s">
        <v>785</v>
      </c>
      <c r="D1978" s="704" t="s">
        <v>728</v>
      </c>
      <c r="E1978" s="704" t="s">
        <v>448</v>
      </c>
      <c r="F1978" s="705">
        <v>0.51514701888428027</v>
      </c>
      <c r="G1978" s="705">
        <v>276.8908339959446</v>
      </c>
    </row>
    <row r="1979" spans="2:7" ht="11.25" hidden="1" customHeight="1" outlineLevel="2" x14ac:dyDescent="0.25">
      <c r="B1979" s="704" t="s">
        <v>697</v>
      </c>
      <c r="C1979" s="704" t="s">
        <v>785</v>
      </c>
      <c r="D1979" s="704" t="s">
        <v>728</v>
      </c>
      <c r="E1979" s="704" t="s">
        <v>448</v>
      </c>
      <c r="F1979" s="705">
        <v>1.17714141666E-32</v>
      </c>
      <c r="G1979" s="705">
        <v>6.4383722479999999E-30</v>
      </c>
    </row>
    <row r="1980" spans="2:7" ht="11.25" hidden="1" customHeight="1" outlineLevel="2" x14ac:dyDescent="0.25">
      <c r="B1980" s="704" t="s">
        <v>698</v>
      </c>
      <c r="C1980" s="704" t="s">
        <v>785</v>
      </c>
      <c r="D1980" s="704" t="s">
        <v>728</v>
      </c>
      <c r="E1980" s="704" t="s">
        <v>448</v>
      </c>
      <c r="F1980" s="705">
        <v>1.04877300792E-32</v>
      </c>
      <c r="G1980" s="705">
        <v>5.7291459939999999E-30</v>
      </c>
    </row>
    <row r="1981" spans="2:7" ht="11.25" hidden="1" customHeight="1" outlineLevel="2" x14ac:dyDescent="0.25">
      <c r="B1981" s="704" t="s">
        <v>699</v>
      </c>
      <c r="C1981" s="704" t="s">
        <v>785</v>
      </c>
      <c r="D1981" s="704" t="s">
        <v>728</v>
      </c>
      <c r="E1981" s="704" t="s">
        <v>448</v>
      </c>
      <c r="F1981" s="705">
        <v>0.40684459846971199</v>
      </c>
      <c r="G1981" s="705">
        <v>221.75802689360029</v>
      </c>
    </row>
    <row r="1982" spans="2:7" ht="11.25" hidden="1" customHeight="1" outlineLevel="2" x14ac:dyDescent="0.25">
      <c r="B1982" s="704" t="s">
        <v>673</v>
      </c>
      <c r="C1982" s="704" t="s">
        <v>786</v>
      </c>
      <c r="D1982" s="704" t="s">
        <v>728</v>
      </c>
      <c r="E1982" s="704" t="s">
        <v>448</v>
      </c>
      <c r="F1982" s="705">
        <v>8.9366902994803918E-2</v>
      </c>
      <c r="G1982" s="705">
        <v>112.70001138933979</v>
      </c>
    </row>
    <row r="1983" spans="2:7" ht="11.25" hidden="1" customHeight="1" outlineLevel="2" x14ac:dyDescent="0.25">
      <c r="B1983" s="704" t="s">
        <v>677</v>
      </c>
      <c r="C1983" s="704" t="s">
        <v>786</v>
      </c>
      <c r="D1983" s="704" t="s">
        <v>728</v>
      </c>
      <c r="E1983" s="704" t="s">
        <v>448</v>
      </c>
      <c r="F1983" s="705">
        <v>0.53219751372268875</v>
      </c>
      <c r="G1983" s="705">
        <v>664.03640313747076</v>
      </c>
    </row>
    <row r="1984" spans="2:7" ht="11.25" hidden="1" customHeight="1" outlineLevel="2" x14ac:dyDescent="0.25">
      <c r="B1984" s="704" t="s">
        <v>678</v>
      </c>
      <c r="C1984" s="704" t="s">
        <v>786</v>
      </c>
      <c r="D1984" s="704" t="s">
        <v>728</v>
      </c>
      <c r="E1984" s="704" t="s">
        <v>448</v>
      </c>
      <c r="F1984" s="705">
        <v>0.87127052083559386</v>
      </c>
      <c r="G1984" s="705">
        <v>1100.2367006424929</v>
      </c>
    </row>
    <row r="1985" spans="2:7" ht="11.25" hidden="1" customHeight="1" outlineLevel="2" x14ac:dyDescent="0.25">
      <c r="B1985" s="704" t="s">
        <v>679</v>
      </c>
      <c r="C1985" s="704" t="s">
        <v>786</v>
      </c>
      <c r="D1985" s="704" t="s">
        <v>728</v>
      </c>
      <c r="E1985" s="704" t="s">
        <v>448</v>
      </c>
      <c r="F1985" s="705">
        <v>8.0174934272124687E-2</v>
      </c>
      <c r="G1985" s="705">
        <v>101.55079946089609</v>
      </c>
    </row>
    <row r="1986" spans="2:7" ht="11.25" hidden="1" customHeight="1" outlineLevel="2" x14ac:dyDescent="0.25">
      <c r="B1986" s="704" t="s">
        <v>680</v>
      </c>
      <c r="C1986" s="704" t="s">
        <v>786</v>
      </c>
      <c r="D1986" s="704" t="s">
        <v>728</v>
      </c>
      <c r="E1986" s="704" t="s">
        <v>448</v>
      </c>
      <c r="F1986" s="705">
        <v>3.3337824951605012E-2</v>
      </c>
      <c r="G1986" s="705">
        <v>42.326356548748251</v>
      </c>
    </row>
    <row r="1987" spans="2:7" ht="11.25" hidden="1" customHeight="1" outlineLevel="2" x14ac:dyDescent="0.25">
      <c r="B1987" s="704" t="s">
        <v>681</v>
      </c>
      <c r="C1987" s="704" t="s">
        <v>786</v>
      </c>
      <c r="D1987" s="704" t="s">
        <v>728</v>
      </c>
      <c r="E1987" s="704" t="s">
        <v>448</v>
      </c>
      <c r="F1987" s="705">
        <v>0.15535598180266397</v>
      </c>
      <c r="G1987" s="705">
        <v>196.182905903061</v>
      </c>
    </row>
    <row r="1988" spans="2:7" ht="11.25" hidden="1" customHeight="1" outlineLevel="2" x14ac:dyDescent="0.25">
      <c r="B1988" s="704" t="s">
        <v>682</v>
      </c>
      <c r="C1988" s="704" t="s">
        <v>786</v>
      </c>
      <c r="D1988" s="704" t="s">
        <v>728</v>
      </c>
      <c r="E1988" s="704" t="s">
        <v>448</v>
      </c>
      <c r="F1988" s="705">
        <v>9.856198544708232E-2</v>
      </c>
      <c r="G1988" s="705">
        <v>124.47733764400783</v>
      </c>
    </row>
    <row r="1989" spans="2:7" ht="11.25" hidden="1" customHeight="1" outlineLevel="2" x14ac:dyDescent="0.25">
      <c r="B1989" s="704" t="s">
        <v>683</v>
      </c>
      <c r="C1989" s="704" t="s">
        <v>786</v>
      </c>
      <c r="D1989" s="704" t="s">
        <v>728</v>
      </c>
      <c r="E1989" s="704" t="s">
        <v>448</v>
      </c>
      <c r="F1989" s="705">
        <v>0.12698746632131813</v>
      </c>
      <c r="G1989" s="705">
        <v>160.84433535969191</v>
      </c>
    </row>
    <row r="1990" spans="2:7" ht="11.25" hidden="1" customHeight="1" outlineLevel="2" x14ac:dyDescent="0.25">
      <c r="B1990" s="704" t="s">
        <v>684</v>
      </c>
      <c r="C1990" s="704" t="s">
        <v>786</v>
      </c>
      <c r="D1990" s="704" t="s">
        <v>728</v>
      </c>
      <c r="E1990" s="704" t="s">
        <v>448</v>
      </c>
      <c r="F1990" s="705">
        <v>4.006191567012915E-2</v>
      </c>
      <c r="G1990" s="705">
        <v>50.863388300478491</v>
      </c>
    </row>
    <row r="1991" spans="2:7" ht="11.25" hidden="1" customHeight="1" outlineLevel="2" x14ac:dyDescent="0.25">
      <c r="B1991" s="704" t="s">
        <v>685</v>
      </c>
      <c r="C1991" s="704" t="s">
        <v>786</v>
      </c>
      <c r="D1991" s="704" t="s">
        <v>728</v>
      </c>
      <c r="E1991" s="704" t="s">
        <v>448</v>
      </c>
      <c r="F1991" s="705">
        <v>0.21225980786290205</v>
      </c>
      <c r="G1991" s="705">
        <v>268.85142034310883</v>
      </c>
    </row>
    <row r="1992" spans="2:7" ht="11.25" hidden="1" customHeight="1" outlineLevel="2" x14ac:dyDescent="0.25">
      <c r="B1992" s="704" t="s">
        <v>686</v>
      </c>
      <c r="C1992" s="704" t="s">
        <v>786</v>
      </c>
      <c r="D1992" s="704" t="s">
        <v>728</v>
      </c>
      <c r="E1992" s="704" t="s">
        <v>448</v>
      </c>
      <c r="F1992" s="705">
        <v>4.6847838437631295E-2</v>
      </c>
      <c r="G1992" s="705">
        <v>59.079533733075046</v>
      </c>
    </row>
    <row r="1993" spans="2:7" ht="11.25" hidden="1" customHeight="1" outlineLevel="2" x14ac:dyDescent="0.25">
      <c r="B1993" s="704" t="s">
        <v>687</v>
      </c>
      <c r="C1993" s="704" t="s">
        <v>786</v>
      </c>
      <c r="D1993" s="704" t="s">
        <v>728</v>
      </c>
      <c r="E1993" s="704" t="s">
        <v>448</v>
      </c>
      <c r="F1993" s="705">
        <v>0.23690754717201495</v>
      </c>
      <c r="G1993" s="705">
        <v>299.16579975151268</v>
      </c>
    </row>
    <row r="1994" spans="2:7" ht="11.25" hidden="1" customHeight="1" outlineLevel="2" x14ac:dyDescent="0.25">
      <c r="B1994" s="704" t="s">
        <v>688</v>
      </c>
      <c r="C1994" s="704" t="s">
        <v>786</v>
      </c>
      <c r="D1994" s="704" t="s">
        <v>728</v>
      </c>
      <c r="E1994" s="704" t="s">
        <v>448</v>
      </c>
      <c r="F1994" s="705">
        <v>0.26406404199581851</v>
      </c>
      <c r="G1994" s="705">
        <v>333.45892716844122</v>
      </c>
    </row>
    <row r="1995" spans="2:7" ht="11.25" hidden="1" customHeight="1" outlineLevel="2" x14ac:dyDescent="0.25">
      <c r="B1995" s="704" t="s">
        <v>689</v>
      </c>
      <c r="C1995" s="704" t="s">
        <v>786</v>
      </c>
      <c r="D1995" s="704" t="s">
        <v>728</v>
      </c>
      <c r="E1995" s="704" t="s">
        <v>448</v>
      </c>
      <c r="F1995" s="705">
        <v>4.2054708213339613E-2</v>
      </c>
      <c r="G1995" s="705">
        <v>53.035479412779203</v>
      </c>
    </row>
    <row r="1996" spans="2:7" ht="11.25" hidden="1" customHeight="1" outlineLevel="2" x14ac:dyDescent="0.25">
      <c r="B1996" s="704" t="s">
        <v>690</v>
      </c>
      <c r="C1996" s="704" t="s">
        <v>786</v>
      </c>
      <c r="D1996" s="704" t="s">
        <v>728</v>
      </c>
      <c r="E1996" s="704" t="s">
        <v>448</v>
      </c>
      <c r="F1996" s="705">
        <v>0.94017933742189774</v>
      </c>
      <c r="G1996" s="705">
        <v>1190.8451641301654</v>
      </c>
    </row>
    <row r="1997" spans="2:7" ht="11.25" hidden="1" customHeight="1" outlineLevel="2" x14ac:dyDescent="0.25">
      <c r="B1997" s="704" t="s">
        <v>691</v>
      </c>
      <c r="C1997" s="704" t="s">
        <v>786</v>
      </c>
      <c r="D1997" s="704" t="s">
        <v>728</v>
      </c>
      <c r="E1997" s="704" t="s">
        <v>448</v>
      </c>
      <c r="F1997" s="705">
        <v>0.84163135812168632</v>
      </c>
      <c r="G1997" s="705">
        <v>1066.0232742313394</v>
      </c>
    </row>
    <row r="1998" spans="2:7" ht="11.25" hidden="1" customHeight="1" outlineLevel="2" x14ac:dyDescent="0.25">
      <c r="B1998" s="704" t="s">
        <v>692</v>
      </c>
      <c r="C1998" s="704" t="s">
        <v>786</v>
      </c>
      <c r="D1998" s="704" t="s">
        <v>728</v>
      </c>
      <c r="E1998" s="704" t="s">
        <v>448</v>
      </c>
      <c r="F1998" s="705">
        <v>4.7937858050997498E-2</v>
      </c>
      <c r="G1998" s="705">
        <v>60.53571396103542</v>
      </c>
    </row>
    <row r="1999" spans="2:7" ht="11.25" hidden="1" customHeight="1" outlineLevel="2" x14ac:dyDescent="0.25">
      <c r="B1999" s="704" t="s">
        <v>693</v>
      </c>
      <c r="C1999" s="704" t="s">
        <v>786</v>
      </c>
      <c r="D1999" s="704" t="s">
        <v>728</v>
      </c>
      <c r="E1999" s="704" t="s">
        <v>448</v>
      </c>
      <c r="F1999" s="705">
        <v>9.7409732009237068E-2</v>
      </c>
      <c r="G1999" s="705">
        <v>123.67324183576041</v>
      </c>
    </row>
    <row r="2000" spans="2:7" ht="11.25" hidden="1" customHeight="1" outlineLevel="2" x14ac:dyDescent="0.25">
      <c r="B2000" s="704" t="s">
        <v>694</v>
      </c>
      <c r="C2000" s="704" t="s">
        <v>786</v>
      </c>
      <c r="D2000" s="704" t="s">
        <v>728</v>
      </c>
      <c r="E2000" s="704" t="s">
        <v>448</v>
      </c>
      <c r="F2000" s="705">
        <v>2.732853017637182E-2</v>
      </c>
      <c r="G2000" s="705">
        <v>34.69683652761907</v>
      </c>
    </row>
    <row r="2001" spans="2:7" ht="11.25" hidden="1" customHeight="1" outlineLevel="2" x14ac:dyDescent="0.25">
      <c r="B2001" s="704" t="s">
        <v>695</v>
      </c>
      <c r="C2001" s="704" t="s">
        <v>786</v>
      </c>
      <c r="D2001" s="704" t="s">
        <v>728</v>
      </c>
      <c r="E2001" s="704" t="s">
        <v>448</v>
      </c>
      <c r="F2001" s="705">
        <v>4.6413657475332819E-2</v>
      </c>
      <c r="G2001" s="705">
        <v>58.927713612354559</v>
      </c>
    </row>
    <row r="2002" spans="2:7" ht="11.25" hidden="1" customHeight="1" outlineLevel="2" x14ac:dyDescent="0.25">
      <c r="B2002" s="704" t="s">
        <v>696</v>
      </c>
      <c r="C2002" s="704" t="s">
        <v>786</v>
      </c>
      <c r="D2002" s="704" t="s">
        <v>728</v>
      </c>
      <c r="E2002" s="704" t="s">
        <v>448</v>
      </c>
      <c r="F2002" s="705">
        <v>0.14848144090433579</v>
      </c>
      <c r="G2002" s="705">
        <v>187.24908861449197</v>
      </c>
    </row>
    <row r="2003" spans="2:7" ht="11.25" hidden="1" customHeight="1" outlineLevel="2" x14ac:dyDescent="0.25">
      <c r="B2003" s="704" t="s">
        <v>697</v>
      </c>
      <c r="C2003" s="704" t="s">
        <v>786</v>
      </c>
      <c r="D2003" s="704" t="s">
        <v>728</v>
      </c>
      <c r="E2003" s="704" t="s">
        <v>448</v>
      </c>
      <c r="F2003" s="705">
        <v>9.6790038927871386E-2</v>
      </c>
      <c r="G2003" s="705">
        <v>122.88653608905017</v>
      </c>
    </row>
    <row r="2004" spans="2:7" ht="11.25" hidden="1" customHeight="1" outlineLevel="2" x14ac:dyDescent="0.25">
      <c r="B2004" s="704" t="s">
        <v>698</v>
      </c>
      <c r="C2004" s="704" t="s">
        <v>786</v>
      </c>
      <c r="D2004" s="704" t="s">
        <v>728</v>
      </c>
      <c r="E2004" s="704" t="s">
        <v>448</v>
      </c>
      <c r="F2004" s="705">
        <v>0.13085901082179421</v>
      </c>
      <c r="G2004" s="705">
        <v>166.14108081985549</v>
      </c>
    </row>
    <row r="2005" spans="2:7" ht="11.25" hidden="1" customHeight="1" outlineLevel="2" x14ac:dyDescent="0.25">
      <c r="B2005" s="704" t="s">
        <v>699</v>
      </c>
      <c r="C2005" s="704" t="s">
        <v>786</v>
      </c>
      <c r="D2005" s="704" t="s">
        <v>728</v>
      </c>
      <c r="E2005" s="704" t="s">
        <v>448</v>
      </c>
      <c r="F2005" s="705">
        <v>0.8095743227241492</v>
      </c>
      <c r="G2005" s="705">
        <v>1022.3264008261222</v>
      </c>
    </row>
    <row r="2006" spans="2:7" ht="11.25" hidden="1" customHeight="1" outlineLevel="2" x14ac:dyDescent="0.25">
      <c r="B2006" s="704" t="s">
        <v>673</v>
      </c>
      <c r="C2006" s="704" t="s">
        <v>787</v>
      </c>
      <c r="D2006" s="704" t="s">
        <v>728</v>
      </c>
      <c r="E2006" s="704" t="s">
        <v>448</v>
      </c>
      <c r="F2006" s="705">
        <v>7.2663141006427548E-3</v>
      </c>
      <c r="G2006" s="705">
        <v>10.225895357995777</v>
      </c>
    </row>
    <row r="2007" spans="2:7" ht="11.25" hidden="1" customHeight="1" outlineLevel="2" x14ac:dyDescent="0.25">
      <c r="B2007" s="704" t="s">
        <v>677</v>
      </c>
      <c r="C2007" s="704" t="s">
        <v>787</v>
      </c>
      <c r="D2007" s="704" t="s">
        <v>728</v>
      </c>
      <c r="E2007" s="704" t="s">
        <v>448</v>
      </c>
      <c r="F2007" s="705">
        <v>0.35193007134621079</v>
      </c>
      <c r="G2007" s="705">
        <v>490.02546778289849</v>
      </c>
    </row>
    <row r="2008" spans="2:7" ht="11.25" hidden="1" customHeight="1" outlineLevel="2" x14ac:dyDescent="0.25">
      <c r="B2008" s="704" t="s">
        <v>678</v>
      </c>
      <c r="C2008" s="704" t="s">
        <v>787</v>
      </c>
      <c r="D2008" s="704" t="s">
        <v>728</v>
      </c>
      <c r="E2008" s="704" t="s">
        <v>448</v>
      </c>
      <c r="F2008" s="705">
        <v>0.41797817614791316</v>
      </c>
      <c r="G2008" s="705">
        <v>589.01222461937959</v>
      </c>
    </row>
    <row r="2009" spans="2:7" ht="11.25" hidden="1" customHeight="1" outlineLevel="2" x14ac:dyDescent="0.25">
      <c r="B2009" s="704" t="s">
        <v>679</v>
      </c>
      <c r="C2009" s="704" t="s">
        <v>787</v>
      </c>
      <c r="D2009" s="704" t="s">
        <v>728</v>
      </c>
      <c r="E2009" s="704" t="s">
        <v>448</v>
      </c>
      <c r="F2009" s="705">
        <v>2.4886597389646922E-2</v>
      </c>
      <c r="G2009" s="705">
        <v>35.177119872465511</v>
      </c>
    </row>
    <row r="2010" spans="2:7" ht="11.25" hidden="1" customHeight="1" outlineLevel="2" x14ac:dyDescent="0.25">
      <c r="B2010" s="704" t="s">
        <v>680</v>
      </c>
      <c r="C2010" s="704" t="s">
        <v>787</v>
      </c>
      <c r="D2010" s="704" t="s">
        <v>728</v>
      </c>
      <c r="E2010" s="704" t="s">
        <v>448</v>
      </c>
      <c r="F2010" s="706">
        <v>7.7947746836251729E-3</v>
      </c>
      <c r="G2010" s="705">
        <v>11.043976939005109</v>
      </c>
    </row>
    <row r="2011" spans="2:7" ht="11.25" hidden="1" customHeight="1" outlineLevel="2" x14ac:dyDescent="0.25">
      <c r="B2011" s="704" t="s">
        <v>681</v>
      </c>
      <c r="C2011" s="704" t="s">
        <v>787</v>
      </c>
      <c r="D2011" s="704" t="s">
        <v>728</v>
      </c>
      <c r="E2011" s="704" t="s">
        <v>448</v>
      </c>
      <c r="F2011" s="706">
        <v>0.13177913778080647</v>
      </c>
      <c r="G2011" s="705">
        <v>185.7024035735225</v>
      </c>
    </row>
    <row r="2012" spans="2:7" ht="11.25" hidden="1" customHeight="1" outlineLevel="2" x14ac:dyDescent="0.25">
      <c r="B2012" s="704" t="s">
        <v>682</v>
      </c>
      <c r="C2012" s="704" t="s">
        <v>787</v>
      </c>
      <c r="D2012" s="704" t="s">
        <v>728</v>
      </c>
      <c r="E2012" s="704" t="s">
        <v>448</v>
      </c>
      <c r="F2012" s="706">
        <v>1.7123567851558781E-2</v>
      </c>
      <c r="G2012" s="705">
        <v>24.133145613258186</v>
      </c>
    </row>
    <row r="2013" spans="2:7" ht="11.25" hidden="1" customHeight="1" outlineLevel="2" x14ac:dyDescent="0.25">
      <c r="B2013" s="704" t="s">
        <v>683</v>
      </c>
      <c r="C2013" s="704" t="s">
        <v>787</v>
      </c>
      <c r="D2013" s="704" t="s">
        <v>728</v>
      </c>
      <c r="E2013" s="704" t="s">
        <v>448</v>
      </c>
      <c r="F2013" s="706">
        <v>3.588300416262722E-2</v>
      </c>
      <c r="G2013" s="705">
        <v>50.72049882410824</v>
      </c>
    </row>
    <row r="2014" spans="2:7" ht="11.25" hidden="1" customHeight="1" outlineLevel="2" x14ac:dyDescent="0.25">
      <c r="B2014" s="704" t="s">
        <v>684</v>
      </c>
      <c r="C2014" s="704" t="s">
        <v>787</v>
      </c>
      <c r="D2014" s="704" t="s">
        <v>728</v>
      </c>
      <c r="E2014" s="704" t="s">
        <v>448</v>
      </c>
      <c r="F2014" s="706">
        <v>4.6191246574305116E-2</v>
      </c>
      <c r="G2014" s="705">
        <v>65.445767438112313</v>
      </c>
    </row>
    <row r="2015" spans="2:7" ht="11.25" hidden="1" customHeight="1" outlineLevel="2" x14ac:dyDescent="0.25">
      <c r="B2015" s="704" t="s">
        <v>685</v>
      </c>
      <c r="C2015" s="704" t="s">
        <v>787</v>
      </c>
      <c r="D2015" s="704" t="s">
        <v>728</v>
      </c>
      <c r="E2015" s="704" t="s">
        <v>448</v>
      </c>
      <c r="F2015" s="706">
        <v>0.2181918792529248</v>
      </c>
      <c r="G2015" s="705">
        <v>308.41335729708044</v>
      </c>
    </row>
    <row r="2016" spans="2:7" ht="11.25" hidden="1" customHeight="1" outlineLevel="2" x14ac:dyDescent="0.25">
      <c r="B2016" s="704" t="s">
        <v>686</v>
      </c>
      <c r="C2016" s="704" t="s">
        <v>787</v>
      </c>
      <c r="D2016" s="704" t="s">
        <v>728</v>
      </c>
      <c r="E2016" s="704" t="s">
        <v>448</v>
      </c>
      <c r="F2016" s="706">
        <v>4.6795073879666998E-2</v>
      </c>
      <c r="G2016" s="705">
        <v>65.854844090840189</v>
      </c>
    </row>
    <row r="2017" spans="2:7" ht="11.25" hidden="1" customHeight="1" outlineLevel="2" x14ac:dyDescent="0.25">
      <c r="B2017" s="704" t="s">
        <v>687</v>
      </c>
      <c r="C2017" s="704" t="s">
        <v>787</v>
      </c>
      <c r="D2017" s="704" t="s">
        <v>728</v>
      </c>
      <c r="E2017" s="704" t="s">
        <v>448</v>
      </c>
      <c r="F2017" s="706">
        <v>9.6076896025881403E-2</v>
      </c>
      <c r="G2017" s="705">
        <v>135.39105714105921</v>
      </c>
    </row>
    <row r="2018" spans="2:7" ht="11.25" hidden="1" customHeight="1" outlineLevel="2" x14ac:dyDescent="0.25">
      <c r="B2018" s="704" t="s">
        <v>688</v>
      </c>
      <c r="C2018" s="704" t="s">
        <v>787</v>
      </c>
      <c r="D2018" s="704" t="s">
        <v>728</v>
      </c>
      <c r="E2018" s="704" t="s">
        <v>448</v>
      </c>
      <c r="F2018" s="706">
        <v>0.28271563879219197</v>
      </c>
      <c r="G2018" s="705">
        <v>398.40132594071628</v>
      </c>
    </row>
    <row r="2019" spans="2:7" ht="11.25" hidden="1" customHeight="1" outlineLevel="2" x14ac:dyDescent="0.25">
      <c r="B2019" s="704" t="s">
        <v>689</v>
      </c>
      <c r="C2019" s="704" t="s">
        <v>787</v>
      </c>
      <c r="D2019" s="704" t="s">
        <v>728</v>
      </c>
      <c r="E2019" s="704" t="s">
        <v>448</v>
      </c>
      <c r="F2019" s="706">
        <v>2.7562440839536153E-2</v>
      </c>
      <c r="G2019" s="705">
        <v>38.779601672481157</v>
      </c>
    </row>
    <row r="2020" spans="2:7" ht="11.25" hidden="1" customHeight="1" outlineLevel="2" x14ac:dyDescent="0.25">
      <c r="B2020" s="704" t="s">
        <v>690</v>
      </c>
      <c r="C2020" s="704" t="s">
        <v>787</v>
      </c>
      <c r="D2020" s="704" t="s">
        <v>728</v>
      </c>
      <c r="E2020" s="704" t="s">
        <v>448</v>
      </c>
      <c r="F2020" s="706">
        <v>0.86177083214165207</v>
      </c>
      <c r="G2020" s="705">
        <v>1218.1101139123061</v>
      </c>
    </row>
    <row r="2021" spans="2:7" ht="11.25" hidden="1" customHeight="1" outlineLevel="2" x14ac:dyDescent="0.25">
      <c r="B2021" s="704" t="s">
        <v>691</v>
      </c>
      <c r="C2021" s="704" t="s">
        <v>787</v>
      </c>
      <c r="D2021" s="704" t="s">
        <v>728</v>
      </c>
      <c r="E2021" s="704" t="s">
        <v>448</v>
      </c>
      <c r="F2021" s="706">
        <v>0.42104648856707638</v>
      </c>
      <c r="G2021" s="705">
        <v>595.14775520075432</v>
      </c>
    </row>
    <row r="2022" spans="2:7" ht="11.25" hidden="1" customHeight="1" outlineLevel="2" x14ac:dyDescent="0.25">
      <c r="B2022" s="704" t="s">
        <v>692</v>
      </c>
      <c r="C2022" s="704" t="s">
        <v>787</v>
      </c>
      <c r="D2022" s="704" t="s">
        <v>728</v>
      </c>
      <c r="E2022" s="704" t="s">
        <v>448</v>
      </c>
      <c r="F2022" s="706">
        <v>2.7574941243579079E-2</v>
      </c>
      <c r="G2022" s="705">
        <v>38.858443660890018</v>
      </c>
    </row>
    <row r="2023" spans="2:7" ht="11.25" hidden="1" customHeight="1" outlineLevel="2" x14ac:dyDescent="0.25">
      <c r="B2023" s="704" t="s">
        <v>693</v>
      </c>
      <c r="C2023" s="704" t="s">
        <v>787</v>
      </c>
      <c r="D2023" s="704" t="s">
        <v>728</v>
      </c>
      <c r="E2023" s="704" t="s">
        <v>448</v>
      </c>
      <c r="F2023" s="706">
        <v>2.1074758593260023E-2</v>
      </c>
      <c r="G2023" s="705">
        <v>29.859646392866267</v>
      </c>
    </row>
    <row r="2024" spans="2:7" ht="11.25" hidden="1" customHeight="1" outlineLevel="2" x14ac:dyDescent="0.25">
      <c r="B2024" s="704" t="s">
        <v>694</v>
      </c>
      <c r="C2024" s="704" t="s">
        <v>787</v>
      </c>
      <c r="D2024" s="704" t="s">
        <v>728</v>
      </c>
      <c r="E2024" s="704" t="s">
        <v>448</v>
      </c>
      <c r="F2024" s="706">
        <v>4.6479952528606441E-2</v>
      </c>
      <c r="G2024" s="705">
        <v>65.854844090840189</v>
      </c>
    </row>
    <row r="2025" spans="2:7" ht="11.25" hidden="1" customHeight="1" outlineLevel="2" x14ac:dyDescent="0.25">
      <c r="B2025" s="704" t="s">
        <v>695</v>
      </c>
      <c r="C2025" s="704" t="s">
        <v>787</v>
      </c>
      <c r="D2025" s="704" t="s">
        <v>728</v>
      </c>
      <c r="E2025" s="704" t="s">
        <v>448</v>
      </c>
      <c r="F2025" s="706">
        <v>4.5613880665873949E-2</v>
      </c>
      <c r="G2025" s="705">
        <v>64.627737669444059</v>
      </c>
    </row>
    <row r="2026" spans="2:7" ht="11.25" hidden="1" customHeight="1" outlineLevel="2" x14ac:dyDescent="0.25">
      <c r="B2026" s="704" t="s">
        <v>696</v>
      </c>
      <c r="C2026" s="704" t="s">
        <v>787</v>
      </c>
      <c r="D2026" s="704" t="s">
        <v>728</v>
      </c>
      <c r="E2026" s="704" t="s">
        <v>448</v>
      </c>
      <c r="F2026" s="706">
        <v>6.5687482087436064E-2</v>
      </c>
      <c r="G2026" s="705">
        <v>92.442158167683814</v>
      </c>
    </row>
    <row r="2027" spans="2:7" ht="11.25" hidden="1" customHeight="1" outlineLevel="2" x14ac:dyDescent="0.25">
      <c r="B2027" s="704" t="s">
        <v>697</v>
      </c>
      <c r="C2027" s="704" t="s">
        <v>787</v>
      </c>
      <c r="D2027" s="704" t="s">
        <v>728</v>
      </c>
      <c r="E2027" s="704" t="s">
        <v>448</v>
      </c>
      <c r="F2027" s="706">
        <v>2.9446929408748202E-2</v>
      </c>
      <c r="G2027" s="705">
        <v>41.721690420725636</v>
      </c>
    </row>
    <row r="2028" spans="2:7" ht="11.25" hidden="1" customHeight="1" outlineLevel="2" x14ac:dyDescent="0.25">
      <c r="B2028" s="704" t="s">
        <v>698</v>
      </c>
      <c r="C2028" s="704" t="s">
        <v>787</v>
      </c>
      <c r="D2028" s="704" t="s">
        <v>728</v>
      </c>
      <c r="E2028" s="704" t="s">
        <v>448</v>
      </c>
      <c r="F2028" s="706">
        <v>4.6479952528141237E-2</v>
      </c>
      <c r="G2028" s="705">
        <v>65.854844091248836</v>
      </c>
    </row>
    <row r="2029" spans="2:7" ht="11.25" hidden="1" customHeight="1" outlineLevel="2" x14ac:dyDescent="0.25">
      <c r="B2029" s="704" t="s">
        <v>699</v>
      </c>
      <c r="C2029" s="704" t="s">
        <v>787</v>
      </c>
      <c r="D2029" s="704" t="s">
        <v>728</v>
      </c>
      <c r="E2029" s="704" t="s">
        <v>448</v>
      </c>
      <c r="F2029" s="706">
        <v>5.2537513155171835E-2</v>
      </c>
      <c r="G2029" s="705">
        <v>74.035576611266166</v>
      </c>
    </row>
    <row r="2030" spans="2:7" ht="11.25" hidden="1" customHeight="1" outlineLevel="2" x14ac:dyDescent="0.25">
      <c r="B2030" s="704" t="s">
        <v>673</v>
      </c>
      <c r="C2030" s="704" t="s">
        <v>788</v>
      </c>
      <c r="D2030" s="704" t="s">
        <v>728</v>
      </c>
      <c r="E2030" s="704" t="s">
        <v>448</v>
      </c>
      <c r="F2030" s="706">
        <v>1.0241550323163826E-2</v>
      </c>
      <c r="G2030" s="705">
        <v>11.639181088941882</v>
      </c>
    </row>
    <row r="2031" spans="2:7" ht="11.25" hidden="1" customHeight="1" outlineLevel="2" x14ac:dyDescent="0.25">
      <c r="B2031" s="704" t="s">
        <v>677</v>
      </c>
      <c r="C2031" s="704" t="s">
        <v>788</v>
      </c>
      <c r="D2031" s="704" t="s">
        <v>728</v>
      </c>
      <c r="E2031" s="704" t="s">
        <v>448</v>
      </c>
      <c r="F2031" s="706">
        <v>0.49600760853637943</v>
      </c>
      <c r="G2031" s="705">
        <v>557.74977159147943</v>
      </c>
    </row>
    <row r="2032" spans="2:7" ht="11.25" hidden="1" customHeight="1" outlineLevel="2" x14ac:dyDescent="0.25">
      <c r="B2032" s="704" t="s">
        <v>678</v>
      </c>
      <c r="C2032" s="704" t="s">
        <v>788</v>
      </c>
      <c r="D2032" s="704" t="s">
        <v>728</v>
      </c>
      <c r="E2032" s="704" t="s">
        <v>448</v>
      </c>
      <c r="F2032" s="706">
        <v>0.58912510252117078</v>
      </c>
      <c r="G2032" s="705">
        <v>670.41695459837513</v>
      </c>
    </row>
    <row r="2033" spans="2:7" ht="11.25" hidden="1" customHeight="1" outlineLevel="2" x14ac:dyDescent="0.25">
      <c r="B2033" s="704" t="s">
        <v>679</v>
      </c>
      <c r="C2033" s="704" t="s">
        <v>788</v>
      </c>
      <c r="D2033" s="704" t="s">
        <v>728</v>
      </c>
      <c r="E2033" s="704" t="s">
        <v>448</v>
      </c>
      <c r="F2033" s="706">
        <v>3.5077236063405133E-2</v>
      </c>
      <c r="G2033" s="705">
        <v>40.038808475626283</v>
      </c>
    </row>
    <row r="2034" spans="2:7" ht="11.25" hidden="1" customHeight="1" outlineLevel="2" x14ac:dyDescent="0.25">
      <c r="B2034" s="704" t="s">
        <v>680</v>
      </c>
      <c r="C2034" s="704" t="s">
        <v>788</v>
      </c>
      <c r="D2034" s="704" t="s">
        <v>728</v>
      </c>
      <c r="E2034" s="704" t="s">
        <v>448</v>
      </c>
      <c r="F2034" s="706">
        <v>1.0986711397004382E-2</v>
      </c>
      <c r="G2034" s="705">
        <v>12.570324915851014</v>
      </c>
    </row>
    <row r="2035" spans="2:7" ht="11.25" hidden="1" customHeight="1" outlineLevel="2" x14ac:dyDescent="0.25">
      <c r="B2035" s="704" t="s">
        <v>681</v>
      </c>
      <c r="C2035" s="704" t="s">
        <v>788</v>
      </c>
      <c r="D2035" s="704" t="s">
        <v>728</v>
      </c>
      <c r="E2035" s="704" t="s">
        <v>448</v>
      </c>
      <c r="F2035" s="705">
        <v>0.18573804622913404</v>
      </c>
      <c r="G2035" s="705">
        <v>211.36761257080076</v>
      </c>
    </row>
    <row r="2036" spans="2:7" ht="11.25" hidden="1" customHeight="1" outlineLevel="2" x14ac:dyDescent="0.25">
      <c r="B2036" s="704" t="s">
        <v>682</v>
      </c>
      <c r="C2036" s="704" t="s">
        <v>788</v>
      </c>
      <c r="D2036" s="704" t="s">
        <v>728</v>
      </c>
      <c r="E2036" s="704" t="s">
        <v>448</v>
      </c>
      <c r="F2036" s="705">
        <v>2.4135081813704617E-2</v>
      </c>
      <c r="G2036" s="705">
        <v>27.468490089060108</v>
      </c>
    </row>
    <row r="2037" spans="2:7" ht="11.25" hidden="1" customHeight="1" outlineLevel="2" x14ac:dyDescent="0.25">
      <c r="B2037" s="704" t="s">
        <v>683</v>
      </c>
      <c r="C2037" s="704" t="s">
        <v>788</v>
      </c>
      <c r="D2037" s="704" t="s">
        <v>728</v>
      </c>
      <c r="E2037" s="704" t="s">
        <v>448</v>
      </c>
      <c r="F2037" s="705">
        <v>5.0576480465292825E-2</v>
      </c>
      <c r="G2037" s="705">
        <v>57.73036129345271</v>
      </c>
    </row>
    <row r="2038" spans="2:7" ht="11.25" hidden="1" customHeight="1" outlineLevel="2" x14ac:dyDescent="0.25">
      <c r="B2038" s="704" t="s">
        <v>684</v>
      </c>
      <c r="C2038" s="704" t="s">
        <v>788</v>
      </c>
      <c r="D2038" s="704" t="s">
        <v>728</v>
      </c>
      <c r="E2038" s="704" t="s">
        <v>448</v>
      </c>
      <c r="F2038" s="705">
        <v>6.5106435671112461E-2</v>
      </c>
      <c r="G2038" s="705">
        <v>74.490775807123867</v>
      </c>
    </row>
    <row r="2039" spans="2:7" ht="11.25" hidden="1" customHeight="1" outlineLevel="2" x14ac:dyDescent="0.25">
      <c r="B2039" s="704" t="s">
        <v>685</v>
      </c>
      <c r="C2039" s="704" t="s">
        <v>788</v>
      </c>
      <c r="D2039" s="704" t="s">
        <v>728</v>
      </c>
      <c r="E2039" s="704" t="s">
        <v>448</v>
      </c>
      <c r="F2039" s="705">
        <v>0.30753758794839586</v>
      </c>
      <c r="G2039" s="705">
        <v>351.03778338959728</v>
      </c>
    </row>
    <row r="2040" spans="2:7" ht="11.25" hidden="1" customHeight="1" outlineLevel="2" x14ac:dyDescent="0.25">
      <c r="B2040" s="704" t="s">
        <v>686</v>
      </c>
      <c r="C2040" s="704" t="s">
        <v>788</v>
      </c>
      <c r="D2040" s="704" t="s">
        <v>728</v>
      </c>
      <c r="E2040" s="704" t="s">
        <v>448</v>
      </c>
      <c r="F2040" s="705">
        <v>6.5955597108701317E-2</v>
      </c>
      <c r="G2040" s="705">
        <v>74.956371908910569</v>
      </c>
    </row>
    <row r="2041" spans="2:7" ht="11.25" hidden="1" customHeight="1" outlineLevel="2" x14ac:dyDescent="0.25">
      <c r="B2041" s="704" t="s">
        <v>687</v>
      </c>
      <c r="C2041" s="704" t="s">
        <v>788</v>
      </c>
      <c r="D2041" s="704" t="s">
        <v>728</v>
      </c>
      <c r="E2041" s="704" t="s">
        <v>448</v>
      </c>
      <c r="F2041" s="705">
        <v>0.13541697316793816</v>
      </c>
      <c r="G2041" s="705">
        <v>154.10280049238017</v>
      </c>
    </row>
    <row r="2042" spans="2:7" ht="11.25" hidden="1" customHeight="1" outlineLevel="2" x14ac:dyDescent="0.25">
      <c r="B2042" s="704" t="s">
        <v>688</v>
      </c>
      <c r="C2042" s="704" t="s">
        <v>788</v>
      </c>
      <c r="D2042" s="704" t="s">
        <v>728</v>
      </c>
      <c r="E2042" s="704" t="s">
        <v>448</v>
      </c>
      <c r="F2042" s="705">
        <v>0.39847768386321464</v>
      </c>
      <c r="G2042" s="705">
        <v>453.46279325130172</v>
      </c>
    </row>
    <row r="2043" spans="2:7" ht="11.25" hidden="1" customHeight="1" outlineLevel="2" x14ac:dyDescent="0.25">
      <c r="B2043" s="704" t="s">
        <v>689</v>
      </c>
      <c r="C2043" s="704" t="s">
        <v>788</v>
      </c>
      <c r="D2043" s="704" t="s">
        <v>728</v>
      </c>
      <c r="E2043" s="704" t="s">
        <v>448</v>
      </c>
      <c r="F2043" s="705">
        <v>3.8848027799850263E-2</v>
      </c>
      <c r="G2043" s="705">
        <v>44.139170094018503</v>
      </c>
    </row>
    <row r="2044" spans="2:7" ht="11.25" hidden="1" customHeight="1" outlineLevel="2" x14ac:dyDescent="0.25">
      <c r="B2044" s="704" t="s">
        <v>690</v>
      </c>
      <c r="C2044" s="704" t="s">
        <v>788</v>
      </c>
      <c r="D2044" s="704" t="s">
        <v>728</v>
      </c>
      <c r="E2044" s="704" t="s">
        <v>448</v>
      </c>
      <c r="F2044" s="705">
        <v>1.2146515518764025</v>
      </c>
      <c r="G2044" s="705">
        <v>1386.4592699974771</v>
      </c>
    </row>
    <row r="2045" spans="2:7" ht="11.25" hidden="1" customHeight="1" outlineLevel="2" x14ac:dyDescent="0.25">
      <c r="B2045" s="704" t="s">
        <v>691</v>
      </c>
      <c r="C2045" s="704" t="s">
        <v>788</v>
      </c>
      <c r="D2045" s="704" t="s">
        <v>728</v>
      </c>
      <c r="E2045" s="704" t="s">
        <v>448</v>
      </c>
      <c r="F2045" s="705">
        <v>0.59345782994561258</v>
      </c>
      <c r="G2045" s="705">
        <v>677.40075170310331</v>
      </c>
    </row>
    <row r="2046" spans="2:7" ht="11.25" hidden="1" customHeight="1" outlineLevel="2" x14ac:dyDescent="0.25">
      <c r="B2046" s="704" t="s">
        <v>692</v>
      </c>
      <c r="C2046" s="704" t="s">
        <v>788</v>
      </c>
      <c r="D2046" s="704" t="s">
        <v>728</v>
      </c>
      <c r="E2046" s="704" t="s">
        <v>448</v>
      </c>
      <c r="F2046" s="705">
        <v>3.886589186089489E-2</v>
      </c>
      <c r="G2046" s="705">
        <v>44.228913452733536</v>
      </c>
    </row>
    <row r="2047" spans="2:7" ht="11.25" hidden="1" customHeight="1" outlineLevel="2" x14ac:dyDescent="0.25">
      <c r="B2047" s="704" t="s">
        <v>693</v>
      </c>
      <c r="C2047" s="704" t="s">
        <v>788</v>
      </c>
      <c r="D2047" s="704" t="s">
        <v>728</v>
      </c>
      <c r="E2047" s="704" t="s">
        <v>448</v>
      </c>
      <c r="F2047" s="705">
        <v>2.970481958217908E-2</v>
      </c>
      <c r="G2047" s="705">
        <v>33.986426437634897</v>
      </c>
    </row>
    <row r="2048" spans="2:7" ht="11.25" hidden="1" customHeight="1" outlineLevel="2" x14ac:dyDescent="0.25">
      <c r="B2048" s="704" t="s">
        <v>694</v>
      </c>
      <c r="C2048" s="704" t="s">
        <v>788</v>
      </c>
      <c r="D2048" s="704" t="s">
        <v>728</v>
      </c>
      <c r="E2048" s="704" t="s">
        <v>448</v>
      </c>
      <c r="F2048" s="705">
        <v>6.5513370316746214E-2</v>
      </c>
      <c r="G2048" s="705">
        <v>74.956371908910569</v>
      </c>
    </row>
    <row r="2049" spans="2:7" ht="11.25" hidden="1" customHeight="1" outlineLevel="2" x14ac:dyDescent="0.25">
      <c r="B2049" s="704" t="s">
        <v>695</v>
      </c>
      <c r="C2049" s="704" t="s">
        <v>788</v>
      </c>
      <c r="D2049" s="704" t="s">
        <v>728</v>
      </c>
      <c r="E2049" s="704" t="s">
        <v>448</v>
      </c>
      <c r="F2049" s="705">
        <v>6.4292609449705621E-2</v>
      </c>
      <c r="G2049" s="705">
        <v>73.559655215475701</v>
      </c>
    </row>
    <row r="2050" spans="2:7" ht="11.25" hidden="1" customHeight="1" outlineLevel="2" x14ac:dyDescent="0.25">
      <c r="B2050" s="704" t="s">
        <v>696</v>
      </c>
      <c r="C2050" s="704" t="s">
        <v>788</v>
      </c>
      <c r="D2050" s="704" t="s">
        <v>728</v>
      </c>
      <c r="E2050" s="704" t="s">
        <v>448</v>
      </c>
      <c r="F2050" s="705">
        <v>9.258361298386629E-2</v>
      </c>
      <c r="G2050" s="705">
        <v>105.21827326427098</v>
      </c>
    </row>
    <row r="2051" spans="2:7" ht="11.25" hidden="1" customHeight="1" outlineLevel="2" x14ac:dyDescent="0.25">
      <c r="B2051" s="704" t="s">
        <v>697</v>
      </c>
      <c r="C2051" s="704" t="s">
        <v>788</v>
      </c>
      <c r="D2051" s="704" t="s">
        <v>728</v>
      </c>
      <c r="E2051" s="704" t="s">
        <v>448</v>
      </c>
      <c r="F2051" s="705">
        <v>4.150534620988889E-2</v>
      </c>
      <c r="G2051" s="705">
        <v>47.487878947667582</v>
      </c>
    </row>
    <row r="2052" spans="2:7" ht="11.25" hidden="1" customHeight="1" outlineLevel="2" x14ac:dyDescent="0.25">
      <c r="B2052" s="704" t="s">
        <v>698</v>
      </c>
      <c r="C2052" s="704" t="s">
        <v>788</v>
      </c>
      <c r="D2052" s="704" t="s">
        <v>728</v>
      </c>
      <c r="E2052" s="704" t="s">
        <v>448</v>
      </c>
      <c r="F2052" s="705">
        <v>6.5513370320643111E-2</v>
      </c>
      <c r="G2052" s="705">
        <v>74.956371908397784</v>
      </c>
    </row>
    <row r="2053" spans="2:7" ht="11.25" hidden="1" customHeight="1" outlineLevel="2" x14ac:dyDescent="0.25">
      <c r="B2053" s="704" t="s">
        <v>699</v>
      </c>
      <c r="C2053" s="704" t="s">
        <v>788</v>
      </c>
      <c r="D2053" s="704" t="s">
        <v>728</v>
      </c>
      <c r="E2053" s="704" t="s">
        <v>448</v>
      </c>
      <c r="F2053" s="705">
        <v>7.4049786390533556E-2</v>
      </c>
      <c r="G2053" s="705">
        <v>84.267680280752941</v>
      </c>
    </row>
    <row r="2054" spans="2:7" ht="11.25" hidden="1" customHeight="1" outlineLevel="2" x14ac:dyDescent="0.25">
      <c r="B2054" s="704" t="s">
        <v>673</v>
      </c>
      <c r="C2054" s="704" t="s">
        <v>789</v>
      </c>
      <c r="D2054" s="704" t="s">
        <v>728</v>
      </c>
      <c r="E2054" s="704" t="s">
        <v>448</v>
      </c>
      <c r="F2054" s="705">
        <v>7.8928660814043747E-3</v>
      </c>
      <c r="G2054" s="705">
        <v>5.4199677442692993</v>
      </c>
    </row>
    <row r="2055" spans="2:7" ht="11.25" hidden="1" customHeight="1" outlineLevel="2" x14ac:dyDescent="0.25">
      <c r="B2055" s="704" t="s">
        <v>677</v>
      </c>
      <c r="C2055" s="704" t="s">
        <v>789</v>
      </c>
      <c r="D2055" s="704" t="s">
        <v>728</v>
      </c>
      <c r="E2055" s="704" t="s">
        <v>448</v>
      </c>
      <c r="F2055" s="706">
        <v>0.38227593610605715</v>
      </c>
      <c r="G2055" s="705">
        <v>259.72488130298979</v>
      </c>
    </row>
    <row r="2056" spans="2:7" ht="11.25" hidden="1" customHeight="1" outlineLevel="2" x14ac:dyDescent="0.25">
      <c r="B2056" s="704" t="s">
        <v>678</v>
      </c>
      <c r="C2056" s="704" t="s">
        <v>789</v>
      </c>
      <c r="D2056" s="704" t="s">
        <v>728</v>
      </c>
      <c r="E2056" s="704" t="s">
        <v>448</v>
      </c>
      <c r="F2056" s="706">
        <v>0.45401902928756116</v>
      </c>
      <c r="G2056" s="705">
        <v>312.19012467063055</v>
      </c>
    </row>
    <row r="2057" spans="2:7" ht="11.25" hidden="1" customHeight="1" outlineLevel="2" x14ac:dyDescent="0.25">
      <c r="B2057" s="704" t="s">
        <v>679</v>
      </c>
      <c r="C2057" s="704" t="s">
        <v>789</v>
      </c>
      <c r="D2057" s="704" t="s">
        <v>728</v>
      </c>
      <c r="E2057" s="704" t="s">
        <v>448</v>
      </c>
      <c r="F2057" s="706">
        <v>2.7032506416204905E-2</v>
      </c>
      <c r="G2057" s="705">
        <v>18.644694718609138</v>
      </c>
    </row>
    <row r="2058" spans="2:7" ht="11.25" hidden="1" customHeight="1" outlineLevel="2" x14ac:dyDescent="0.25">
      <c r="B2058" s="704" t="s">
        <v>680</v>
      </c>
      <c r="C2058" s="704" t="s">
        <v>789</v>
      </c>
      <c r="D2058" s="704" t="s">
        <v>728</v>
      </c>
      <c r="E2058" s="704" t="s">
        <v>448</v>
      </c>
      <c r="F2058" s="706">
        <v>8.4668921873851249E-3</v>
      </c>
      <c r="G2058" s="705">
        <v>5.8535659276671765</v>
      </c>
    </row>
    <row r="2059" spans="2:7" ht="11.25" hidden="1" customHeight="1" outlineLevel="2" x14ac:dyDescent="0.25">
      <c r="B2059" s="704" t="s">
        <v>681</v>
      </c>
      <c r="C2059" s="704" t="s">
        <v>789</v>
      </c>
      <c r="D2059" s="704" t="s">
        <v>728</v>
      </c>
      <c r="E2059" s="704" t="s">
        <v>448</v>
      </c>
      <c r="F2059" s="706">
        <v>0.14314209881539638</v>
      </c>
      <c r="G2059" s="705">
        <v>98.426584322437421</v>
      </c>
    </row>
    <row r="2060" spans="2:7" ht="11.25" hidden="1" customHeight="1" outlineLevel="2" x14ac:dyDescent="0.25">
      <c r="B2060" s="704" t="s">
        <v>682</v>
      </c>
      <c r="C2060" s="704" t="s">
        <v>789</v>
      </c>
      <c r="D2060" s="704" t="s">
        <v>728</v>
      </c>
      <c r="E2060" s="704" t="s">
        <v>448</v>
      </c>
      <c r="F2060" s="706">
        <v>1.8600090557698519E-2</v>
      </c>
      <c r="G2060" s="705">
        <v>12.791118413965359</v>
      </c>
    </row>
    <row r="2061" spans="2:7" ht="11.25" hidden="1" customHeight="1" outlineLevel="2" x14ac:dyDescent="0.25">
      <c r="B2061" s="704" t="s">
        <v>683</v>
      </c>
      <c r="C2061" s="704" t="s">
        <v>789</v>
      </c>
      <c r="D2061" s="704" t="s">
        <v>728</v>
      </c>
      <c r="E2061" s="704" t="s">
        <v>448</v>
      </c>
      <c r="F2061" s="706">
        <v>3.8977085233674158E-2</v>
      </c>
      <c r="G2061" s="705">
        <v>26.883034436553753</v>
      </c>
    </row>
    <row r="2062" spans="2:7" ht="11.25" hidden="1" customHeight="1" outlineLevel="2" x14ac:dyDescent="0.25">
      <c r="B2062" s="704" t="s">
        <v>684</v>
      </c>
      <c r="C2062" s="704" t="s">
        <v>789</v>
      </c>
      <c r="D2062" s="704" t="s">
        <v>728</v>
      </c>
      <c r="E2062" s="704" t="s">
        <v>448</v>
      </c>
      <c r="F2062" s="705">
        <v>5.0174180879656687E-2</v>
      </c>
      <c r="G2062" s="705">
        <v>34.68778783790745</v>
      </c>
    </row>
    <row r="2063" spans="2:7" ht="11.25" hidden="1" customHeight="1" outlineLevel="2" x14ac:dyDescent="0.25">
      <c r="B2063" s="704" t="s">
        <v>685</v>
      </c>
      <c r="C2063" s="704" t="s">
        <v>789</v>
      </c>
      <c r="D2063" s="704" t="s">
        <v>728</v>
      </c>
      <c r="E2063" s="704" t="s">
        <v>448</v>
      </c>
      <c r="F2063" s="705">
        <v>0.23700582270768891</v>
      </c>
      <c r="G2063" s="705">
        <v>163.46629571107277</v>
      </c>
    </row>
    <row r="2064" spans="2:7" ht="11.25" hidden="1" customHeight="1" outlineLevel="2" x14ac:dyDescent="0.25">
      <c r="B2064" s="704" t="s">
        <v>686</v>
      </c>
      <c r="C2064" s="704" t="s">
        <v>789</v>
      </c>
      <c r="D2064" s="704" t="s">
        <v>728</v>
      </c>
      <c r="E2064" s="704" t="s">
        <v>448</v>
      </c>
      <c r="F2064" s="705">
        <v>5.0830057737976247E-2</v>
      </c>
      <c r="G2064" s="705">
        <v>34.904591492195131</v>
      </c>
    </row>
    <row r="2065" spans="2:7" ht="11.25" hidden="1" customHeight="1" outlineLevel="2" x14ac:dyDescent="0.25">
      <c r="B2065" s="704" t="s">
        <v>687</v>
      </c>
      <c r="C2065" s="704" t="s">
        <v>789</v>
      </c>
      <c r="D2065" s="704" t="s">
        <v>728</v>
      </c>
      <c r="E2065" s="704" t="s">
        <v>448</v>
      </c>
      <c r="F2065" s="705">
        <v>0.10436131972655602</v>
      </c>
      <c r="G2065" s="705">
        <v>71.760375104417676</v>
      </c>
    </row>
    <row r="2066" spans="2:7" ht="11.25" hidden="1" customHeight="1" outlineLevel="2" x14ac:dyDescent="0.25">
      <c r="B2066" s="704" t="s">
        <v>688</v>
      </c>
      <c r="C2066" s="704" t="s">
        <v>789</v>
      </c>
      <c r="D2066" s="704" t="s">
        <v>728</v>
      </c>
      <c r="E2066" s="704" t="s">
        <v>448</v>
      </c>
      <c r="F2066" s="705">
        <v>0.30709334450282311</v>
      </c>
      <c r="G2066" s="705">
        <v>211.16191218311207</v>
      </c>
    </row>
    <row r="2067" spans="2:7" ht="11.25" hidden="1" customHeight="1" outlineLevel="2" x14ac:dyDescent="0.25">
      <c r="B2067" s="704" t="s">
        <v>689</v>
      </c>
      <c r="C2067" s="704" t="s">
        <v>789</v>
      </c>
      <c r="D2067" s="704" t="s">
        <v>728</v>
      </c>
      <c r="E2067" s="704" t="s">
        <v>448</v>
      </c>
      <c r="F2067" s="705">
        <v>2.993907007343851E-2</v>
      </c>
      <c r="G2067" s="705">
        <v>20.55407944725631</v>
      </c>
    </row>
    <row r="2068" spans="2:7" ht="11.25" hidden="1" customHeight="1" outlineLevel="2" x14ac:dyDescent="0.25">
      <c r="B2068" s="704" t="s">
        <v>690</v>
      </c>
      <c r="C2068" s="704" t="s">
        <v>789</v>
      </c>
      <c r="D2068" s="704" t="s">
        <v>728</v>
      </c>
      <c r="E2068" s="704" t="s">
        <v>448</v>
      </c>
      <c r="F2068" s="705">
        <v>0.93607878744153783</v>
      </c>
      <c r="G2068" s="705">
        <v>645.62651435798011</v>
      </c>
    </row>
    <row r="2069" spans="2:7" ht="11.25" hidden="1" customHeight="1" outlineLevel="2" x14ac:dyDescent="0.25">
      <c r="B2069" s="704" t="s">
        <v>691</v>
      </c>
      <c r="C2069" s="704" t="s">
        <v>789</v>
      </c>
      <c r="D2069" s="704" t="s">
        <v>728</v>
      </c>
      <c r="E2069" s="704" t="s">
        <v>448</v>
      </c>
      <c r="F2069" s="705">
        <v>0.45735214180069833</v>
      </c>
      <c r="G2069" s="705">
        <v>315.44206036977732</v>
      </c>
    </row>
    <row r="2070" spans="2:7" ht="11.25" hidden="1" customHeight="1" outlineLevel="2" x14ac:dyDescent="0.25">
      <c r="B2070" s="704" t="s">
        <v>692</v>
      </c>
      <c r="C2070" s="704" t="s">
        <v>789</v>
      </c>
      <c r="D2070" s="704" t="s">
        <v>728</v>
      </c>
      <c r="E2070" s="704" t="s">
        <v>448</v>
      </c>
      <c r="F2070" s="705">
        <v>2.9952639208379993E-2</v>
      </c>
      <c r="G2070" s="705">
        <v>20.595875227278903</v>
      </c>
    </row>
    <row r="2071" spans="2:7" ht="11.25" hidden="1" customHeight="1" outlineLevel="2" x14ac:dyDescent="0.25">
      <c r="B2071" s="704" t="s">
        <v>693</v>
      </c>
      <c r="C2071" s="704" t="s">
        <v>789</v>
      </c>
      <c r="D2071" s="704" t="s">
        <v>728</v>
      </c>
      <c r="E2071" s="704" t="s">
        <v>448</v>
      </c>
      <c r="F2071" s="705">
        <v>2.2891973666352324E-2</v>
      </c>
      <c r="G2071" s="705">
        <v>15.826310512441923</v>
      </c>
    </row>
    <row r="2072" spans="2:7" ht="11.25" hidden="1" customHeight="1" outlineLevel="2" x14ac:dyDescent="0.25">
      <c r="B2072" s="704" t="s">
        <v>694</v>
      </c>
      <c r="C2072" s="704" t="s">
        <v>789</v>
      </c>
      <c r="D2072" s="704" t="s">
        <v>728</v>
      </c>
      <c r="E2072" s="704" t="s">
        <v>448</v>
      </c>
      <c r="F2072" s="705">
        <v>5.048777552852711E-2</v>
      </c>
      <c r="G2072" s="705">
        <v>34.904591492195131</v>
      </c>
    </row>
    <row r="2073" spans="2:7" ht="11.25" hidden="1" customHeight="1" outlineLevel="2" x14ac:dyDescent="0.25">
      <c r="B2073" s="704" t="s">
        <v>695</v>
      </c>
      <c r="C2073" s="704" t="s">
        <v>789</v>
      </c>
      <c r="D2073" s="704" t="s">
        <v>728</v>
      </c>
      <c r="E2073" s="704" t="s">
        <v>448</v>
      </c>
      <c r="F2073" s="705">
        <v>4.9547011095867996E-2</v>
      </c>
      <c r="G2073" s="705">
        <v>34.254195095921581</v>
      </c>
    </row>
    <row r="2074" spans="2:7" ht="11.25" hidden="1" customHeight="1" outlineLevel="2" x14ac:dyDescent="0.25">
      <c r="B2074" s="704" t="s">
        <v>696</v>
      </c>
      <c r="C2074" s="704" t="s">
        <v>789</v>
      </c>
      <c r="D2074" s="704" t="s">
        <v>728</v>
      </c>
      <c r="E2074" s="704" t="s">
        <v>448</v>
      </c>
      <c r="F2074" s="705">
        <v>7.1351491600673764E-2</v>
      </c>
      <c r="G2074" s="705">
        <v>48.996508013403641</v>
      </c>
    </row>
    <row r="2075" spans="2:7" ht="11.25" hidden="1" customHeight="1" outlineLevel="2" x14ac:dyDescent="0.25">
      <c r="B2075" s="704" t="s">
        <v>697</v>
      </c>
      <c r="C2075" s="704" t="s">
        <v>789</v>
      </c>
      <c r="D2075" s="704" t="s">
        <v>728</v>
      </c>
      <c r="E2075" s="704" t="s">
        <v>448</v>
      </c>
      <c r="F2075" s="705">
        <v>3.1986044539158813E-2</v>
      </c>
      <c r="G2075" s="705">
        <v>22.113474074826183</v>
      </c>
    </row>
    <row r="2076" spans="2:7" ht="11.25" hidden="1" customHeight="1" outlineLevel="2" x14ac:dyDescent="0.25">
      <c r="B2076" s="704" t="s">
        <v>698</v>
      </c>
      <c r="C2076" s="704" t="s">
        <v>789</v>
      </c>
      <c r="D2076" s="704" t="s">
        <v>728</v>
      </c>
      <c r="E2076" s="704" t="s">
        <v>448</v>
      </c>
      <c r="F2076" s="705">
        <v>5.0487775528002182E-2</v>
      </c>
      <c r="G2076" s="705">
        <v>34.904591494681355</v>
      </c>
    </row>
    <row r="2077" spans="2:7" ht="11.25" hidden="1" customHeight="1" outlineLevel="2" x14ac:dyDescent="0.25">
      <c r="B2077" s="704" t="s">
        <v>699</v>
      </c>
      <c r="C2077" s="704" t="s">
        <v>789</v>
      </c>
      <c r="D2077" s="704" t="s">
        <v>728</v>
      </c>
      <c r="E2077" s="704" t="s">
        <v>448</v>
      </c>
      <c r="F2077" s="705">
        <v>5.7067665192340918E-2</v>
      </c>
      <c r="G2077" s="705">
        <v>39.24055564395362</v>
      </c>
    </row>
    <row r="2078" spans="2:7" ht="11.25" hidden="1" customHeight="1" outlineLevel="2" x14ac:dyDescent="0.25">
      <c r="B2078" s="704" t="s">
        <v>673</v>
      </c>
      <c r="C2078" s="704" t="s">
        <v>790</v>
      </c>
      <c r="D2078" s="704" t="s">
        <v>728</v>
      </c>
      <c r="E2078" s="704" t="s">
        <v>448</v>
      </c>
      <c r="F2078" s="705">
        <v>1.195011996534691</v>
      </c>
      <c r="G2078" s="705">
        <v>1510.6664512089719</v>
      </c>
    </row>
    <row r="2079" spans="2:7" ht="11.25" hidden="1" customHeight="1" outlineLevel="2" x14ac:dyDescent="0.25">
      <c r="B2079" s="704" t="s">
        <v>677</v>
      </c>
      <c r="C2079" s="704" t="s">
        <v>790</v>
      </c>
      <c r="D2079" s="704" t="s">
        <v>728</v>
      </c>
      <c r="E2079" s="704" t="s">
        <v>448</v>
      </c>
      <c r="F2079" s="705">
        <v>7.1165482978162604</v>
      </c>
      <c r="G2079" s="705">
        <v>8900.9507003110939</v>
      </c>
    </row>
    <row r="2080" spans="2:7" ht="11.25" hidden="1" customHeight="1" outlineLevel="2" x14ac:dyDescent="0.25">
      <c r="B2080" s="704" t="s">
        <v>678</v>
      </c>
      <c r="C2080" s="704" t="s">
        <v>790</v>
      </c>
      <c r="D2080" s="704" t="s">
        <v>728</v>
      </c>
      <c r="E2080" s="704" t="s">
        <v>448</v>
      </c>
      <c r="F2080" s="705">
        <v>11.650608660010258</v>
      </c>
      <c r="G2080" s="705">
        <v>14747.916079618695</v>
      </c>
    </row>
    <row r="2081" spans="2:7" ht="11.25" hidden="1" customHeight="1" outlineLevel="2" x14ac:dyDescent="0.25">
      <c r="B2081" s="704" t="s">
        <v>679</v>
      </c>
      <c r="C2081" s="704" t="s">
        <v>790</v>
      </c>
      <c r="D2081" s="704" t="s">
        <v>728</v>
      </c>
      <c r="E2081" s="704" t="s">
        <v>448</v>
      </c>
      <c r="F2081" s="705">
        <v>1.0720969585110609</v>
      </c>
      <c r="G2081" s="705">
        <v>1361.2175513152122</v>
      </c>
    </row>
    <row r="2082" spans="2:7" ht="11.25" hidden="1" customHeight="1" outlineLevel="2" x14ac:dyDescent="0.25">
      <c r="B2082" s="704" t="s">
        <v>680</v>
      </c>
      <c r="C2082" s="704" t="s">
        <v>790</v>
      </c>
      <c r="D2082" s="704" t="s">
        <v>728</v>
      </c>
      <c r="E2082" s="704" t="s">
        <v>448</v>
      </c>
      <c r="F2082" s="705">
        <v>0.44579207947581401</v>
      </c>
      <c r="G2082" s="705">
        <v>567.35531194804105</v>
      </c>
    </row>
    <row r="2083" spans="2:7" ht="11.25" hidden="1" customHeight="1" outlineLevel="2" x14ac:dyDescent="0.25">
      <c r="B2083" s="704" t="s">
        <v>681</v>
      </c>
      <c r="C2083" s="704" t="s">
        <v>790</v>
      </c>
      <c r="D2083" s="704" t="s">
        <v>728</v>
      </c>
      <c r="E2083" s="704" t="s">
        <v>448</v>
      </c>
      <c r="F2083" s="705">
        <v>2.0774176949441649</v>
      </c>
      <c r="G2083" s="705">
        <v>2629.6971067638769</v>
      </c>
    </row>
    <row r="2084" spans="2:7" ht="11.25" hidden="1" customHeight="1" outlineLevel="2" x14ac:dyDescent="0.25">
      <c r="B2084" s="704" t="s">
        <v>682</v>
      </c>
      <c r="C2084" s="704" t="s">
        <v>790</v>
      </c>
      <c r="D2084" s="704" t="s">
        <v>728</v>
      </c>
      <c r="E2084" s="704" t="s">
        <v>448</v>
      </c>
      <c r="F2084" s="705">
        <v>1.3179682021477612</v>
      </c>
      <c r="G2084" s="705">
        <v>1668.5312795365742</v>
      </c>
    </row>
    <row r="2085" spans="2:7" ht="11.25" hidden="1" customHeight="1" outlineLevel="2" x14ac:dyDescent="0.25">
      <c r="B2085" s="704" t="s">
        <v>683</v>
      </c>
      <c r="C2085" s="704" t="s">
        <v>790</v>
      </c>
      <c r="D2085" s="704" t="s">
        <v>728</v>
      </c>
      <c r="E2085" s="704" t="s">
        <v>448</v>
      </c>
      <c r="F2085" s="705">
        <v>1.6980726188548483</v>
      </c>
      <c r="G2085" s="705">
        <v>2156.0060527707142</v>
      </c>
    </row>
    <row r="2086" spans="2:7" ht="11.25" hidden="1" customHeight="1" outlineLevel="2" x14ac:dyDescent="0.25">
      <c r="B2086" s="704" t="s">
        <v>684</v>
      </c>
      <c r="C2086" s="704" t="s">
        <v>790</v>
      </c>
      <c r="D2086" s="704" t="s">
        <v>728</v>
      </c>
      <c r="E2086" s="704" t="s">
        <v>448</v>
      </c>
      <c r="F2086" s="705">
        <v>0.53570644194286676</v>
      </c>
      <c r="G2086" s="705">
        <v>681.7885846632546</v>
      </c>
    </row>
    <row r="2087" spans="2:7" ht="11.25" hidden="1" customHeight="1" outlineLevel="2" x14ac:dyDescent="0.25">
      <c r="B2087" s="704" t="s">
        <v>685</v>
      </c>
      <c r="C2087" s="704" t="s">
        <v>790</v>
      </c>
      <c r="D2087" s="704" t="s">
        <v>728</v>
      </c>
      <c r="E2087" s="704" t="s">
        <v>448</v>
      </c>
      <c r="F2087" s="705">
        <v>2.8383300247772962</v>
      </c>
      <c r="G2087" s="705">
        <v>3603.7668443362363</v>
      </c>
    </row>
    <row r="2088" spans="2:7" ht="11.25" hidden="1" customHeight="1" outlineLevel="2" x14ac:dyDescent="0.25">
      <c r="B2088" s="704" t="s">
        <v>686</v>
      </c>
      <c r="C2088" s="704" t="s">
        <v>790</v>
      </c>
      <c r="D2088" s="704" t="s">
        <v>728</v>
      </c>
      <c r="E2088" s="704" t="s">
        <v>448</v>
      </c>
      <c r="F2088" s="705">
        <v>0.62644835476493144</v>
      </c>
      <c r="G2088" s="705">
        <v>791.92024624533917</v>
      </c>
    </row>
    <row r="2089" spans="2:7" ht="11.25" hidden="1" customHeight="1" outlineLevel="2" x14ac:dyDescent="0.25">
      <c r="B2089" s="704" t="s">
        <v>687</v>
      </c>
      <c r="C2089" s="704" t="s">
        <v>790</v>
      </c>
      <c r="D2089" s="704" t="s">
        <v>728</v>
      </c>
      <c r="E2089" s="704" t="s">
        <v>448</v>
      </c>
      <c r="F2089" s="705">
        <v>3.1679213214483326</v>
      </c>
      <c r="G2089" s="705">
        <v>4010.1103225238126</v>
      </c>
    </row>
    <row r="2090" spans="2:7" ht="11.25" hidden="1" customHeight="1" outlineLevel="2" x14ac:dyDescent="0.25">
      <c r="B2090" s="704" t="s">
        <v>688</v>
      </c>
      <c r="C2090" s="704" t="s">
        <v>790</v>
      </c>
      <c r="D2090" s="704" t="s">
        <v>728</v>
      </c>
      <c r="E2090" s="704" t="s">
        <v>448</v>
      </c>
      <c r="F2090" s="705">
        <v>3.5310578554213126</v>
      </c>
      <c r="G2090" s="705">
        <v>4469.7861974756388</v>
      </c>
    </row>
    <row r="2091" spans="2:7" ht="11.25" hidden="1" customHeight="1" outlineLevel="2" x14ac:dyDescent="0.25">
      <c r="B2091" s="704" t="s">
        <v>689</v>
      </c>
      <c r="C2091" s="704" t="s">
        <v>790</v>
      </c>
      <c r="D2091" s="704" t="s">
        <v>728</v>
      </c>
      <c r="E2091" s="704" t="s">
        <v>448</v>
      </c>
      <c r="F2091" s="705">
        <v>0.56235470343002703</v>
      </c>
      <c r="G2091" s="705">
        <v>710.90330222529269</v>
      </c>
    </row>
    <row r="2092" spans="2:7" ht="11.25" hidden="1" customHeight="1" outlineLevel="2" x14ac:dyDescent="0.25">
      <c r="B2092" s="704" t="s">
        <v>690</v>
      </c>
      <c r="C2092" s="704" t="s">
        <v>790</v>
      </c>
      <c r="D2092" s="704" t="s">
        <v>728</v>
      </c>
      <c r="E2092" s="704" t="s">
        <v>448</v>
      </c>
      <c r="F2092" s="705">
        <v>12.572048433629616</v>
      </c>
      <c r="G2092" s="705">
        <v>15962.454425927719</v>
      </c>
    </row>
    <row r="2093" spans="2:7" ht="11.25" hidden="1" customHeight="1" outlineLevel="2" x14ac:dyDescent="0.25">
      <c r="B2093" s="704" t="s">
        <v>691</v>
      </c>
      <c r="C2093" s="704" t="s">
        <v>790</v>
      </c>
      <c r="D2093" s="704" t="s">
        <v>728</v>
      </c>
      <c r="E2093" s="704" t="s">
        <v>448</v>
      </c>
      <c r="F2093" s="705">
        <v>11.25426698434277</v>
      </c>
      <c r="G2093" s="705">
        <v>14289.30448952854</v>
      </c>
    </row>
    <row r="2094" spans="2:7" ht="11.25" hidden="1" customHeight="1" outlineLevel="2" x14ac:dyDescent="0.25">
      <c r="B2094" s="704" t="s">
        <v>692</v>
      </c>
      <c r="C2094" s="704" t="s">
        <v>790</v>
      </c>
      <c r="D2094" s="704" t="s">
        <v>728</v>
      </c>
      <c r="E2094" s="704" t="s">
        <v>448</v>
      </c>
      <c r="F2094" s="706">
        <v>0.64102394752360337</v>
      </c>
      <c r="G2094" s="705">
        <v>811.4392655361936</v>
      </c>
    </row>
    <row r="2095" spans="2:7" ht="11.25" hidden="1" customHeight="1" outlineLevel="2" x14ac:dyDescent="0.25">
      <c r="B2095" s="704" t="s">
        <v>693</v>
      </c>
      <c r="C2095" s="704" t="s">
        <v>790</v>
      </c>
      <c r="D2095" s="704" t="s">
        <v>728</v>
      </c>
      <c r="E2095" s="704" t="s">
        <v>448</v>
      </c>
      <c r="F2095" s="706">
        <v>1.3025591158974654</v>
      </c>
      <c r="G2095" s="705">
        <v>1657.7539391282301</v>
      </c>
    </row>
    <row r="2096" spans="2:7" ht="11.25" hidden="1" customHeight="1" outlineLevel="2" x14ac:dyDescent="0.25">
      <c r="B2096" s="704" t="s">
        <v>694</v>
      </c>
      <c r="C2096" s="704" t="s">
        <v>790</v>
      </c>
      <c r="D2096" s="704" t="s">
        <v>728</v>
      </c>
      <c r="E2096" s="704" t="s">
        <v>448</v>
      </c>
      <c r="F2096" s="706">
        <v>0.36543610316616648</v>
      </c>
      <c r="G2096" s="705">
        <v>465.08712440586658</v>
      </c>
    </row>
    <row r="2097" spans="2:7" ht="11.25" hidden="1" customHeight="1" outlineLevel="2" x14ac:dyDescent="0.25">
      <c r="B2097" s="704" t="s">
        <v>695</v>
      </c>
      <c r="C2097" s="704" t="s">
        <v>790</v>
      </c>
      <c r="D2097" s="704" t="s">
        <v>728</v>
      </c>
      <c r="E2097" s="704" t="s">
        <v>448</v>
      </c>
      <c r="F2097" s="706">
        <v>0.62064177112519137</v>
      </c>
      <c r="G2097" s="705">
        <v>789.88464638789674</v>
      </c>
    </row>
    <row r="2098" spans="2:7" ht="11.25" hidden="1" customHeight="1" outlineLevel="2" x14ac:dyDescent="0.25">
      <c r="B2098" s="704" t="s">
        <v>696</v>
      </c>
      <c r="C2098" s="704" t="s">
        <v>790</v>
      </c>
      <c r="D2098" s="704" t="s">
        <v>728</v>
      </c>
      <c r="E2098" s="704" t="s">
        <v>448</v>
      </c>
      <c r="F2098" s="706">
        <v>1.9854911789044694</v>
      </c>
      <c r="G2098" s="705">
        <v>2509.9437120859293</v>
      </c>
    </row>
    <row r="2099" spans="2:7" ht="11.25" hidden="1" customHeight="1" outlineLevel="2" x14ac:dyDescent="0.25">
      <c r="B2099" s="704" t="s">
        <v>697</v>
      </c>
      <c r="C2099" s="704" t="s">
        <v>790</v>
      </c>
      <c r="D2099" s="704" t="s">
        <v>728</v>
      </c>
      <c r="E2099" s="704" t="s">
        <v>448</v>
      </c>
      <c r="F2099" s="706">
        <v>1.2942724285890759</v>
      </c>
      <c r="G2099" s="705">
        <v>1647.208429746001</v>
      </c>
    </row>
    <row r="2100" spans="2:7" ht="11.25" hidden="1" customHeight="1" outlineLevel="2" x14ac:dyDescent="0.25">
      <c r="B2100" s="704" t="s">
        <v>698</v>
      </c>
      <c r="C2100" s="704" t="s">
        <v>790</v>
      </c>
      <c r="D2100" s="704" t="s">
        <v>728</v>
      </c>
      <c r="E2100" s="704" t="s">
        <v>448</v>
      </c>
      <c r="F2100" s="706">
        <v>1.7498407621255379</v>
      </c>
      <c r="G2100" s="705">
        <v>2227.0066210709383</v>
      </c>
    </row>
    <row r="2101" spans="2:7" ht="11.25" hidden="1" customHeight="1" outlineLevel="2" x14ac:dyDescent="0.25">
      <c r="B2101" s="704" t="s">
        <v>699</v>
      </c>
      <c r="C2101" s="704" t="s">
        <v>790</v>
      </c>
      <c r="D2101" s="704" t="s">
        <v>728</v>
      </c>
      <c r="E2101" s="704" t="s">
        <v>448</v>
      </c>
      <c r="F2101" s="705">
        <v>10.825603944712267</v>
      </c>
      <c r="G2101" s="705">
        <v>13703.578493284267</v>
      </c>
    </row>
    <row r="2102" spans="2:7" ht="11.25" hidden="1" customHeight="1" outlineLevel="2" x14ac:dyDescent="0.25">
      <c r="B2102" s="704" t="s">
        <v>673</v>
      </c>
      <c r="C2102" s="704" t="s">
        <v>791</v>
      </c>
      <c r="D2102" s="704" t="s">
        <v>728</v>
      </c>
      <c r="E2102" s="704" t="s">
        <v>448</v>
      </c>
      <c r="F2102" s="705">
        <v>9.8731820371513124E-2</v>
      </c>
      <c r="G2102" s="705">
        <v>138.97454405505468</v>
      </c>
    </row>
    <row r="2103" spans="2:7" ht="11.25" hidden="1" customHeight="1" outlineLevel="2" x14ac:dyDescent="0.25">
      <c r="B2103" s="704" t="s">
        <v>677</v>
      </c>
      <c r="C2103" s="704" t="s">
        <v>791</v>
      </c>
      <c r="D2103" s="704" t="s">
        <v>728</v>
      </c>
      <c r="E2103" s="704" t="s">
        <v>448</v>
      </c>
      <c r="F2103" s="705">
        <v>4.7818887861999624</v>
      </c>
      <c r="G2103" s="705">
        <v>6659.6603572267222</v>
      </c>
    </row>
    <row r="2104" spans="2:7" ht="11.25" hidden="1" customHeight="1" outlineLevel="2" x14ac:dyDescent="0.25">
      <c r="B2104" s="704" t="s">
        <v>678</v>
      </c>
      <c r="C2104" s="704" t="s">
        <v>791</v>
      </c>
      <c r="D2104" s="704" t="s">
        <v>728</v>
      </c>
      <c r="E2104" s="704" t="s">
        <v>448</v>
      </c>
      <c r="F2104" s="706">
        <v>5.6793234798267376</v>
      </c>
      <c r="G2104" s="705">
        <v>8004.9319206476112</v>
      </c>
    </row>
    <row r="2105" spans="2:7" ht="11.25" hidden="1" customHeight="1" outlineLevel="2" x14ac:dyDescent="0.25">
      <c r="B2105" s="704" t="s">
        <v>679</v>
      </c>
      <c r="C2105" s="704" t="s">
        <v>791</v>
      </c>
      <c r="D2105" s="704" t="s">
        <v>728</v>
      </c>
      <c r="E2105" s="704" t="s">
        <v>448</v>
      </c>
      <c r="F2105" s="705">
        <v>0.3381494511895532</v>
      </c>
      <c r="G2105" s="705">
        <v>478.0724568013826</v>
      </c>
    </row>
    <row r="2106" spans="2:7" ht="11.25" hidden="1" customHeight="1" outlineLevel="2" x14ac:dyDescent="0.25">
      <c r="B2106" s="704" t="s">
        <v>680</v>
      </c>
      <c r="C2106" s="704" t="s">
        <v>791</v>
      </c>
      <c r="D2106" s="704" t="s">
        <v>728</v>
      </c>
      <c r="E2106" s="704" t="s">
        <v>448</v>
      </c>
      <c r="F2106" s="705">
        <v>0.10591237308504443</v>
      </c>
      <c r="G2106" s="705">
        <v>150.09252137617935</v>
      </c>
    </row>
    <row r="2107" spans="2:7" ht="11.25" hidden="1" customHeight="1" outlineLevel="2" x14ac:dyDescent="0.25">
      <c r="B2107" s="704" t="s">
        <v>681</v>
      </c>
      <c r="C2107" s="704" t="s">
        <v>791</v>
      </c>
      <c r="D2107" s="704" t="s">
        <v>728</v>
      </c>
      <c r="E2107" s="704" t="s">
        <v>448</v>
      </c>
      <c r="F2107" s="706">
        <v>1.7905649039918408</v>
      </c>
      <c r="G2107" s="705">
        <v>2523.7771811154616</v>
      </c>
    </row>
    <row r="2108" spans="2:7" ht="11.25" hidden="1" customHeight="1" outlineLevel="2" x14ac:dyDescent="0.25">
      <c r="B2108" s="704" t="s">
        <v>682</v>
      </c>
      <c r="C2108" s="704" t="s">
        <v>791</v>
      </c>
      <c r="D2108" s="704" t="s">
        <v>728</v>
      </c>
      <c r="E2108" s="704" t="s">
        <v>448</v>
      </c>
      <c r="F2108" s="705">
        <v>0.23266843635139792</v>
      </c>
      <c r="G2108" s="705">
        <v>327.97978264446658</v>
      </c>
    </row>
    <row r="2109" spans="2:7" ht="11.25" hidden="1" customHeight="1" outlineLevel="2" x14ac:dyDescent="0.25">
      <c r="B2109" s="704" t="s">
        <v>683</v>
      </c>
      <c r="C2109" s="704" t="s">
        <v>791</v>
      </c>
      <c r="D2109" s="704" t="s">
        <v>728</v>
      </c>
      <c r="E2109" s="704" t="s">
        <v>448</v>
      </c>
      <c r="F2109" s="705">
        <v>0.48756441859875083</v>
      </c>
      <c r="G2109" s="705">
        <v>689.31295254540021</v>
      </c>
    </row>
    <row r="2110" spans="2:7" ht="11.25" hidden="1" customHeight="1" outlineLevel="2" x14ac:dyDescent="0.25">
      <c r="B2110" s="704" t="s">
        <v>684</v>
      </c>
      <c r="C2110" s="704" t="s">
        <v>791</v>
      </c>
      <c r="D2110" s="704" t="s">
        <v>728</v>
      </c>
      <c r="E2110" s="704" t="s">
        <v>448</v>
      </c>
      <c r="F2110" s="705">
        <v>0.62762888049849674</v>
      </c>
      <c r="G2110" s="705">
        <v>889.43679942306335</v>
      </c>
    </row>
    <row r="2111" spans="2:7" ht="11.25" hidden="1" customHeight="1" outlineLevel="2" x14ac:dyDescent="0.25">
      <c r="B2111" s="704" t="s">
        <v>685</v>
      </c>
      <c r="C2111" s="704" t="s">
        <v>791</v>
      </c>
      <c r="D2111" s="704" t="s">
        <v>728</v>
      </c>
      <c r="E2111" s="704" t="s">
        <v>448</v>
      </c>
      <c r="F2111" s="706">
        <v>2.9647062438839535</v>
      </c>
      <c r="G2111" s="705">
        <v>4191.4732417448495</v>
      </c>
    </row>
    <row r="2112" spans="2:7" ht="11.25" hidden="1" customHeight="1" outlineLevel="2" x14ac:dyDescent="0.25">
      <c r="B2112" s="704" t="s">
        <v>686</v>
      </c>
      <c r="C2112" s="704" t="s">
        <v>791</v>
      </c>
      <c r="D2112" s="704" t="s">
        <v>728</v>
      </c>
      <c r="E2112" s="704" t="s">
        <v>448</v>
      </c>
      <c r="F2112" s="706">
        <v>0.63583311339246396</v>
      </c>
      <c r="G2112" s="705">
        <v>894.99592647328836</v>
      </c>
    </row>
    <row r="2113" spans="2:7" ht="11.25" hidden="1" customHeight="1" outlineLevel="2" x14ac:dyDescent="0.25">
      <c r="B2113" s="704" t="s">
        <v>687</v>
      </c>
      <c r="C2113" s="704" t="s">
        <v>791</v>
      </c>
      <c r="D2113" s="704" t="s">
        <v>728</v>
      </c>
      <c r="E2113" s="704" t="s">
        <v>448</v>
      </c>
      <c r="F2113" s="706">
        <v>1.3054550236245357</v>
      </c>
      <c r="G2113" s="705">
        <v>1840.0212644375199</v>
      </c>
    </row>
    <row r="2114" spans="2:7" ht="11.25" hidden="1" customHeight="1" outlineLevel="2" x14ac:dyDescent="0.25">
      <c r="B2114" s="704" t="s">
        <v>688</v>
      </c>
      <c r="C2114" s="704" t="s">
        <v>791</v>
      </c>
      <c r="D2114" s="704" t="s">
        <v>728</v>
      </c>
      <c r="E2114" s="704" t="s">
        <v>448</v>
      </c>
      <c r="F2114" s="705">
        <v>3.8414314512493908</v>
      </c>
      <c r="G2114" s="705">
        <v>5414.442191126418</v>
      </c>
    </row>
    <row r="2115" spans="2:7" ht="11.25" hidden="1" customHeight="1" outlineLevel="2" x14ac:dyDescent="0.25">
      <c r="B2115" s="704" t="s">
        <v>689</v>
      </c>
      <c r="C2115" s="704" t="s">
        <v>791</v>
      </c>
      <c r="D2115" s="704" t="s">
        <v>728</v>
      </c>
      <c r="E2115" s="704" t="s">
        <v>448</v>
      </c>
      <c r="F2115" s="705">
        <v>0.37450784594457687</v>
      </c>
      <c r="G2115" s="705">
        <v>527.03121638476853</v>
      </c>
    </row>
    <row r="2116" spans="2:7" ht="11.25" hidden="1" customHeight="1" outlineLevel="2" x14ac:dyDescent="0.25">
      <c r="B2116" s="704" t="s">
        <v>690</v>
      </c>
      <c r="C2116" s="704" t="s">
        <v>791</v>
      </c>
      <c r="D2116" s="704" t="s">
        <v>728</v>
      </c>
      <c r="E2116" s="704" t="s">
        <v>448</v>
      </c>
      <c r="F2116" s="705">
        <v>11.709415169861535</v>
      </c>
      <c r="G2116" s="705">
        <v>16554.635813954741</v>
      </c>
    </row>
    <row r="2117" spans="2:7" ht="11.25" hidden="1" customHeight="1" outlineLevel="2" x14ac:dyDescent="0.25">
      <c r="B2117" s="704" t="s">
        <v>691</v>
      </c>
      <c r="C2117" s="704" t="s">
        <v>791</v>
      </c>
      <c r="D2117" s="704" t="s">
        <v>728</v>
      </c>
      <c r="E2117" s="704" t="s">
        <v>448</v>
      </c>
      <c r="F2117" s="705">
        <v>5.7210165253943561</v>
      </c>
      <c r="G2117" s="705">
        <v>8088.3208295379363</v>
      </c>
    </row>
    <row r="2118" spans="2:7" ht="11.25" hidden="1" customHeight="1" outlineLevel="2" x14ac:dyDescent="0.25">
      <c r="B2118" s="704" t="s">
        <v>692</v>
      </c>
      <c r="C2118" s="704" t="s">
        <v>791</v>
      </c>
      <c r="D2118" s="704" t="s">
        <v>728</v>
      </c>
      <c r="E2118" s="704" t="s">
        <v>448</v>
      </c>
      <c r="F2118" s="705">
        <v>0.37467760248391674</v>
      </c>
      <c r="G2118" s="705">
        <v>528.10327636359659</v>
      </c>
    </row>
    <row r="2119" spans="2:7" ht="11.25" hidden="1" customHeight="1" outlineLevel="2" x14ac:dyDescent="0.25">
      <c r="B2119" s="704" t="s">
        <v>693</v>
      </c>
      <c r="C2119" s="704" t="s">
        <v>791</v>
      </c>
      <c r="D2119" s="704" t="s">
        <v>728</v>
      </c>
      <c r="E2119" s="704" t="s">
        <v>448</v>
      </c>
      <c r="F2119" s="705">
        <v>0.28635563477625053</v>
      </c>
      <c r="G2119" s="705">
        <v>405.80544999664579</v>
      </c>
    </row>
    <row r="2120" spans="2:7" ht="11.25" hidden="1" customHeight="1" outlineLevel="2" x14ac:dyDescent="0.25">
      <c r="B2120" s="704" t="s">
        <v>694</v>
      </c>
      <c r="C2120" s="704" t="s">
        <v>791</v>
      </c>
      <c r="D2120" s="704" t="s">
        <v>728</v>
      </c>
      <c r="E2120" s="704" t="s">
        <v>448</v>
      </c>
      <c r="F2120" s="705">
        <v>0.63155137017914453</v>
      </c>
      <c r="G2120" s="705">
        <v>894.99592647328836</v>
      </c>
    </row>
    <row r="2121" spans="2:7" ht="11.25" hidden="1" customHeight="1" outlineLevel="2" x14ac:dyDescent="0.25">
      <c r="B2121" s="704" t="s">
        <v>695</v>
      </c>
      <c r="C2121" s="704" t="s">
        <v>791</v>
      </c>
      <c r="D2121" s="704" t="s">
        <v>728</v>
      </c>
      <c r="E2121" s="704" t="s">
        <v>448</v>
      </c>
      <c r="F2121" s="705">
        <v>0.61978330191632403</v>
      </c>
      <c r="G2121" s="705">
        <v>878.31897624463556</v>
      </c>
    </row>
    <row r="2122" spans="2:7" ht="11.25" hidden="1" customHeight="1" outlineLevel="2" x14ac:dyDescent="0.25">
      <c r="B2122" s="704" t="s">
        <v>696</v>
      </c>
      <c r="C2122" s="704" t="s">
        <v>791</v>
      </c>
      <c r="D2122" s="704" t="s">
        <v>728</v>
      </c>
      <c r="E2122" s="704" t="s">
        <v>448</v>
      </c>
      <c r="F2122" s="705">
        <v>0.89253630052877686</v>
      </c>
      <c r="G2122" s="705">
        <v>1256.3293519711069</v>
      </c>
    </row>
    <row r="2123" spans="2:7" ht="11.25" hidden="1" customHeight="1" outlineLevel="2" x14ac:dyDescent="0.25">
      <c r="B2123" s="704" t="s">
        <v>697</v>
      </c>
      <c r="C2123" s="704" t="s">
        <v>791</v>
      </c>
      <c r="D2123" s="704" t="s">
        <v>728</v>
      </c>
      <c r="E2123" s="704" t="s">
        <v>448</v>
      </c>
      <c r="F2123" s="705">
        <v>0.40011343927687959</v>
      </c>
      <c r="G2123" s="705">
        <v>567.01566853723773</v>
      </c>
    </row>
    <row r="2124" spans="2:7" ht="11.25" hidden="1" customHeight="1" outlineLevel="2" x14ac:dyDescent="0.25">
      <c r="B2124" s="704" t="s">
        <v>698</v>
      </c>
      <c r="C2124" s="704" t="s">
        <v>791</v>
      </c>
      <c r="D2124" s="704" t="s">
        <v>728</v>
      </c>
      <c r="E2124" s="704" t="s">
        <v>448</v>
      </c>
      <c r="F2124" s="705">
        <v>0.63155137013676532</v>
      </c>
      <c r="G2124" s="705">
        <v>894.99592640877063</v>
      </c>
    </row>
    <row r="2125" spans="2:7" ht="11.25" hidden="1" customHeight="1" outlineLevel="2" x14ac:dyDescent="0.25">
      <c r="B2125" s="704" t="s">
        <v>699</v>
      </c>
      <c r="C2125" s="704" t="s">
        <v>791</v>
      </c>
      <c r="D2125" s="704" t="s">
        <v>728</v>
      </c>
      <c r="E2125" s="704" t="s">
        <v>448</v>
      </c>
      <c r="F2125" s="706">
        <v>0.71385943869658741</v>
      </c>
      <c r="G2125" s="705">
        <v>1006.1756249925194</v>
      </c>
    </row>
    <row r="2126" spans="2:7" ht="11.25" hidden="1" customHeight="1" outlineLevel="2" x14ac:dyDescent="0.25">
      <c r="B2126" s="704" t="s">
        <v>673</v>
      </c>
      <c r="C2126" s="704" t="s">
        <v>792</v>
      </c>
      <c r="D2126" s="704" t="s">
        <v>728</v>
      </c>
      <c r="E2126" s="704" t="s">
        <v>448</v>
      </c>
      <c r="F2126" s="706">
        <v>1.111495915818419E-2</v>
      </c>
      <c r="G2126" s="705">
        <v>23.267234694447765</v>
      </c>
    </row>
    <row r="2127" spans="2:7" ht="11.25" hidden="1" customHeight="1" outlineLevel="2" x14ac:dyDescent="0.25">
      <c r="B2127" s="704" t="s">
        <v>677</v>
      </c>
      <c r="C2127" s="704" t="s">
        <v>792</v>
      </c>
      <c r="D2127" s="704" t="s">
        <v>728</v>
      </c>
      <c r="E2127" s="704" t="s">
        <v>448</v>
      </c>
      <c r="F2127" s="705">
        <v>0.53825425033547436</v>
      </c>
      <c r="G2127" s="705">
        <v>1114.9658312192089</v>
      </c>
    </row>
    <row r="2128" spans="2:7" ht="11.25" hidden="1" customHeight="1" outlineLevel="2" x14ac:dyDescent="0.25">
      <c r="B2128" s="704" t="s">
        <v>678</v>
      </c>
      <c r="C2128" s="704" t="s">
        <v>792</v>
      </c>
      <c r="D2128" s="704" t="s">
        <v>728</v>
      </c>
      <c r="E2128" s="704" t="s">
        <v>448</v>
      </c>
      <c r="F2128" s="705">
        <v>0.63937430061916989</v>
      </c>
      <c r="G2128" s="705">
        <v>1340.1929573946832</v>
      </c>
    </row>
    <row r="2129" spans="2:7" ht="11.25" hidden="1" customHeight="1" outlineLevel="2" x14ac:dyDescent="0.25">
      <c r="B2129" s="704" t="s">
        <v>679</v>
      </c>
      <c r="C2129" s="704" t="s">
        <v>792</v>
      </c>
      <c r="D2129" s="704" t="s">
        <v>728</v>
      </c>
      <c r="E2129" s="704" t="s">
        <v>448</v>
      </c>
      <c r="F2129" s="705">
        <v>3.80702306582461E-2</v>
      </c>
      <c r="G2129" s="705">
        <v>80.039269146183671</v>
      </c>
    </row>
    <row r="2130" spans="2:7" ht="11.25" hidden="1" customHeight="1" outlineLevel="2" x14ac:dyDescent="0.25">
      <c r="B2130" s="704" t="s">
        <v>680</v>
      </c>
      <c r="C2130" s="704" t="s">
        <v>792</v>
      </c>
      <c r="D2130" s="704" t="s">
        <v>728</v>
      </c>
      <c r="E2130" s="704" t="s">
        <v>448</v>
      </c>
      <c r="F2130" s="705">
        <v>1.192442424000179E-2</v>
      </c>
      <c r="G2130" s="705">
        <v>25.128615121888387</v>
      </c>
    </row>
    <row r="2131" spans="2:7" ht="11.25" hidden="1" customHeight="1" outlineLevel="2" x14ac:dyDescent="0.25">
      <c r="B2131" s="704" t="s">
        <v>681</v>
      </c>
      <c r="C2131" s="704" t="s">
        <v>792</v>
      </c>
      <c r="D2131" s="704" t="s">
        <v>728</v>
      </c>
      <c r="E2131" s="704" t="s">
        <v>448</v>
      </c>
      <c r="F2131" s="705">
        <v>0.20158049864185737</v>
      </c>
      <c r="G2131" s="705">
        <v>422.53287225050303</v>
      </c>
    </row>
    <row r="2132" spans="2:7" ht="11.25" hidden="1" customHeight="1" outlineLevel="2" x14ac:dyDescent="0.25">
      <c r="B2132" s="704" t="s">
        <v>682</v>
      </c>
      <c r="C2132" s="704" t="s">
        <v>792</v>
      </c>
      <c r="D2132" s="704" t="s">
        <v>728</v>
      </c>
      <c r="E2132" s="704" t="s">
        <v>448</v>
      </c>
      <c r="F2132" s="705">
        <v>2.6193693668600432E-2</v>
      </c>
      <c r="G2132" s="705">
        <v>54.910670559544528</v>
      </c>
    </row>
    <row r="2133" spans="2:7" ht="11.25" hidden="1" customHeight="1" outlineLevel="2" x14ac:dyDescent="0.25">
      <c r="B2133" s="704" t="s">
        <v>683</v>
      </c>
      <c r="C2133" s="704" t="s">
        <v>792</v>
      </c>
      <c r="D2133" s="704" t="s">
        <v>728</v>
      </c>
      <c r="E2133" s="704" t="s">
        <v>448</v>
      </c>
      <c r="F2133" s="705">
        <v>5.4891951156968939E-2</v>
      </c>
      <c r="G2133" s="705">
        <v>115.40551068013789</v>
      </c>
    </row>
    <row r="2134" spans="2:7" ht="11.25" hidden="1" customHeight="1" outlineLevel="2" x14ac:dyDescent="0.25">
      <c r="B2134" s="704" t="s">
        <v>684</v>
      </c>
      <c r="C2134" s="704" t="s">
        <v>792</v>
      </c>
      <c r="D2134" s="704" t="s">
        <v>728</v>
      </c>
      <c r="E2134" s="704" t="s">
        <v>448</v>
      </c>
      <c r="F2134" s="705">
        <v>7.0663275943811707E-2</v>
      </c>
      <c r="G2134" s="705">
        <v>148.91035375745594</v>
      </c>
    </row>
    <row r="2135" spans="2:7" ht="11.25" hidden="1" customHeight="1" outlineLevel="2" x14ac:dyDescent="0.25">
      <c r="B2135" s="704" t="s">
        <v>685</v>
      </c>
      <c r="C2135" s="704" t="s">
        <v>792</v>
      </c>
      <c r="D2135" s="704" t="s">
        <v>728</v>
      </c>
      <c r="E2135" s="704" t="s">
        <v>448</v>
      </c>
      <c r="F2135" s="705">
        <v>0.33377839603271947</v>
      </c>
      <c r="G2135" s="705">
        <v>701.73982459826391</v>
      </c>
    </row>
    <row r="2136" spans="2:7" ht="11.25" hidden="1" customHeight="1" outlineLevel="2" x14ac:dyDescent="0.25">
      <c r="B2136" s="704" t="s">
        <v>686</v>
      </c>
      <c r="C2136" s="704" t="s">
        <v>792</v>
      </c>
      <c r="D2136" s="704" t="s">
        <v>728</v>
      </c>
      <c r="E2136" s="704" t="s">
        <v>448</v>
      </c>
      <c r="F2136" s="705">
        <v>7.1580345296223938E-2</v>
      </c>
      <c r="G2136" s="705">
        <v>149.84093283548589</v>
      </c>
    </row>
    <row r="2137" spans="2:7" ht="11.25" hidden="1" customHeight="1" outlineLevel="2" x14ac:dyDescent="0.25">
      <c r="B2137" s="704" t="s">
        <v>687</v>
      </c>
      <c r="C2137" s="704" t="s">
        <v>792</v>
      </c>
      <c r="D2137" s="704" t="s">
        <v>728</v>
      </c>
      <c r="E2137" s="704" t="s">
        <v>448</v>
      </c>
      <c r="F2137" s="705">
        <v>0.14696726950226877</v>
      </c>
      <c r="G2137" s="705">
        <v>308.0581255130312</v>
      </c>
    </row>
    <row r="2138" spans="2:7" ht="11.25" hidden="1" customHeight="1" outlineLevel="2" x14ac:dyDescent="0.25">
      <c r="B2138" s="704" t="s">
        <v>688</v>
      </c>
      <c r="C2138" s="704" t="s">
        <v>792</v>
      </c>
      <c r="D2138" s="704" t="s">
        <v>728</v>
      </c>
      <c r="E2138" s="704" t="s">
        <v>448</v>
      </c>
      <c r="F2138" s="705">
        <v>0.43246570465736656</v>
      </c>
      <c r="G2138" s="705">
        <v>906.49145017311707</v>
      </c>
    </row>
    <row r="2139" spans="2:7" ht="11.25" hidden="1" customHeight="1" outlineLevel="2" x14ac:dyDescent="0.25">
      <c r="B2139" s="704" t="s">
        <v>689</v>
      </c>
      <c r="C2139" s="704" t="s">
        <v>792</v>
      </c>
      <c r="D2139" s="704" t="s">
        <v>728</v>
      </c>
      <c r="E2139" s="704" t="s">
        <v>448</v>
      </c>
      <c r="F2139" s="705">
        <v>4.2160929082751916E-2</v>
      </c>
      <c r="G2139" s="705">
        <v>88.236110226455764</v>
      </c>
    </row>
    <row r="2140" spans="2:7" ht="11.25" hidden="1" customHeight="1" outlineLevel="2" x14ac:dyDescent="0.25">
      <c r="B2140" s="704" t="s">
        <v>690</v>
      </c>
      <c r="C2140" s="704" t="s">
        <v>792</v>
      </c>
      <c r="D2140" s="704" t="s">
        <v>728</v>
      </c>
      <c r="E2140" s="704" t="s">
        <v>448</v>
      </c>
      <c r="F2140" s="705">
        <v>1.3182924372319673</v>
      </c>
      <c r="G2140" s="705">
        <v>2771.5935124536718</v>
      </c>
    </row>
    <row r="2141" spans="2:7" ht="11.25" hidden="1" customHeight="1" outlineLevel="2" x14ac:dyDescent="0.25">
      <c r="B2141" s="704" t="s">
        <v>691</v>
      </c>
      <c r="C2141" s="704" t="s">
        <v>792</v>
      </c>
      <c r="D2141" s="704" t="s">
        <v>728</v>
      </c>
      <c r="E2141" s="704" t="s">
        <v>448</v>
      </c>
      <c r="F2141" s="705">
        <v>0.64409537570168574</v>
      </c>
      <c r="G2141" s="705">
        <v>1354.1535765046028</v>
      </c>
    </row>
    <row r="2142" spans="2:7" ht="11.25" hidden="1" customHeight="1" outlineLevel="2" x14ac:dyDescent="0.25">
      <c r="B2142" s="704" t="s">
        <v>692</v>
      </c>
      <c r="C2142" s="704" t="s">
        <v>792</v>
      </c>
      <c r="D2142" s="704" t="s">
        <v>728</v>
      </c>
      <c r="E2142" s="704" t="s">
        <v>448</v>
      </c>
      <c r="F2142" s="706">
        <v>4.2180962039840342E-2</v>
      </c>
      <c r="G2142" s="705">
        <v>88.41547822238465</v>
      </c>
    </row>
    <row r="2143" spans="2:7" ht="11.25" hidden="1" customHeight="1" outlineLevel="2" x14ac:dyDescent="0.25">
      <c r="B2143" s="704" t="s">
        <v>693</v>
      </c>
      <c r="C2143" s="704" t="s">
        <v>792</v>
      </c>
      <c r="D2143" s="704" t="s">
        <v>728</v>
      </c>
      <c r="E2143" s="704" t="s">
        <v>448</v>
      </c>
      <c r="F2143" s="706">
        <v>3.2240112843075611E-2</v>
      </c>
      <c r="G2143" s="705">
        <v>67.940305769943521</v>
      </c>
    </row>
    <row r="2144" spans="2:7" ht="11.25" hidden="1" customHeight="1" outlineLevel="2" x14ac:dyDescent="0.25">
      <c r="B2144" s="704" t="s">
        <v>694</v>
      </c>
      <c r="C2144" s="704" t="s">
        <v>792</v>
      </c>
      <c r="D2144" s="704" t="s">
        <v>728</v>
      </c>
      <c r="E2144" s="704" t="s">
        <v>448</v>
      </c>
      <c r="F2144" s="706">
        <v>7.1104884639453053E-2</v>
      </c>
      <c r="G2144" s="705">
        <v>149.84093283548589</v>
      </c>
    </row>
    <row r="2145" spans="2:7" ht="11.25" hidden="1" customHeight="1" outlineLevel="2" x14ac:dyDescent="0.25">
      <c r="B2145" s="704" t="s">
        <v>695</v>
      </c>
      <c r="C2145" s="704" t="s">
        <v>792</v>
      </c>
      <c r="D2145" s="704" t="s">
        <v>728</v>
      </c>
      <c r="E2145" s="704" t="s">
        <v>448</v>
      </c>
      <c r="F2145" s="706">
        <v>6.9779990908282477E-2</v>
      </c>
      <c r="G2145" s="705">
        <v>147.04889192223163</v>
      </c>
    </row>
    <row r="2146" spans="2:7" ht="11.25" hidden="1" customHeight="1" outlineLevel="2" x14ac:dyDescent="0.25">
      <c r="B2146" s="704" t="s">
        <v>696</v>
      </c>
      <c r="C2146" s="704" t="s">
        <v>792</v>
      </c>
      <c r="D2146" s="704" t="s">
        <v>728</v>
      </c>
      <c r="E2146" s="704" t="s">
        <v>448</v>
      </c>
      <c r="F2146" s="706">
        <v>0.10047925675920505</v>
      </c>
      <c r="G2146" s="705">
        <v>210.33576996412668</v>
      </c>
    </row>
    <row r="2147" spans="2:7" ht="11.25" hidden="1" customHeight="1" outlineLevel="2" x14ac:dyDescent="0.25">
      <c r="B2147" s="704" t="s">
        <v>697</v>
      </c>
      <c r="C2147" s="704" t="s">
        <v>792</v>
      </c>
      <c r="D2147" s="704" t="s">
        <v>728</v>
      </c>
      <c r="E2147" s="704" t="s">
        <v>448</v>
      </c>
      <c r="F2147" s="706">
        <v>4.5047840762684574E-2</v>
      </c>
      <c r="G2147" s="705">
        <v>94.930315318806251</v>
      </c>
    </row>
    <row r="2148" spans="2:7" ht="11.25" hidden="1" customHeight="1" outlineLevel="2" x14ac:dyDescent="0.25">
      <c r="B2148" s="704" t="s">
        <v>698</v>
      </c>
      <c r="C2148" s="704" t="s">
        <v>792</v>
      </c>
      <c r="D2148" s="704" t="s">
        <v>728</v>
      </c>
      <c r="E2148" s="704" t="s">
        <v>448</v>
      </c>
      <c r="F2148" s="706">
        <v>7.1104884639037413E-2</v>
      </c>
      <c r="G2148" s="705">
        <v>149.84093284011928</v>
      </c>
    </row>
    <row r="2149" spans="2:7" ht="11.25" hidden="1" customHeight="1" outlineLevel="2" x14ac:dyDescent="0.25">
      <c r="B2149" s="704" t="s">
        <v>699</v>
      </c>
      <c r="C2149" s="704" t="s">
        <v>792</v>
      </c>
      <c r="D2149" s="704" t="s">
        <v>728</v>
      </c>
      <c r="E2149" s="704" t="s">
        <v>448</v>
      </c>
      <c r="F2149" s="706">
        <v>8.0365826016787531E-2</v>
      </c>
      <c r="G2149" s="705">
        <v>168.45476863086748</v>
      </c>
    </row>
    <row r="2150" spans="2:7" ht="11.25" hidden="1" customHeight="1" outlineLevel="2" x14ac:dyDescent="0.25">
      <c r="B2150" s="704" t="s">
        <v>673</v>
      </c>
      <c r="C2150" s="704" t="s">
        <v>793</v>
      </c>
      <c r="D2150" s="704" t="s">
        <v>728</v>
      </c>
      <c r="E2150" s="704" t="s">
        <v>448</v>
      </c>
      <c r="F2150" s="706">
        <v>0.30920262396960679</v>
      </c>
      <c r="G2150" s="705">
        <v>448.34078988604381</v>
      </c>
    </row>
    <row r="2151" spans="2:7" ht="11.25" hidden="1" customHeight="1" outlineLevel="2" x14ac:dyDescent="0.25">
      <c r="B2151" s="704" t="s">
        <v>677</v>
      </c>
      <c r="C2151" s="704" t="s">
        <v>793</v>
      </c>
      <c r="D2151" s="704" t="s">
        <v>728</v>
      </c>
      <c r="E2151" s="704" t="s">
        <v>448</v>
      </c>
      <c r="F2151" s="706">
        <v>14.975636663005217</v>
      </c>
      <c r="G2151" s="705">
        <v>21484.486960780298</v>
      </c>
    </row>
    <row r="2152" spans="2:7" ht="11.25" hidden="1" customHeight="1" outlineLevel="2" x14ac:dyDescent="0.25">
      <c r="B2152" s="704" t="s">
        <v>678</v>
      </c>
      <c r="C2152" s="704" t="s">
        <v>793</v>
      </c>
      <c r="D2152" s="704" t="s">
        <v>728</v>
      </c>
      <c r="E2152" s="704" t="s">
        <v>448</v>
      </c>
      <c r="F2152" s="705">
        <v>17.786171173856982</v>
      </c>
      <c r="G2152" s="705">
        <v>25824.417351631822</v>
      </c>
    </row>
    <row r="2153" spans="2:7" ht="11.25" hidden="1" customHeight="1" outlineLevel="2" x14ac:dyDescent="0.25">
      <c r="B2153" s="704" t="s">
        <v>679</v>
      </c>
      <c r="C2153" s="704" t="s">
        <v>793</v>
      </c>
      <c r="D2153" s="704" t="s">
        <v>728</v>
      </c>
      <c r="E2153" s="704" t="s">
        <v>448</v>
      </c>
      <c r="F2153" s="705">
        <v>1.0589968067637747</v>
      </c>
      <c r="G2153" s="705">
        <v>1542.2927073022538</v>
      </c>
    </row>
    <row r="2154" spans="2:7" ht="11.25" hidden="1" customHeight="1" outlineLevel="2" x14ac:dyDescent="0.25">
      <c r="B2154" s="704" t="s">
        <v>680</v>
      </c>
      <c r="C2154" s="704" t="s">
        <v>793</v>
      </c>
      <c r="D2154" s="704" t="s">
        <v>728</v>
      </c>
      <c r="E2154" s="704" t="s">
        <v>448</v>
      </c>
      <c r="F2154" s="706">
        <v>0.331690181808383</v>
      </c>
      <c r="G2154" s="705">
        <v>484.20787475579505</v>
      </c>
    </row>
    <row r="2155" spans="2:7" ht="11.25" hidden="1" customHeight="1" outlineLevel="2" x14ac:dyDescent="0.25">
      <c r="B2155" s="704" t="s">
        <v>681</v>
      </c>
      <c r="C2155" s="704" t="s">
        <v>793</v>
      </c>
      <c r="D2155" s="704" t="s">
        <v>728</v>
      </c>
      <c r="E2155" s="704" t="s">
        <v>448</v>
      </c>
      <c r="F2155" s="705">
        <v>5.6075855770558851</v>
      </c>
      <c r="G2155" s="705">
        <v>8141.8683241916942</v>
      </c>
    </row>
    <row r="2156" spans="2:7" ht="11.25" hidden="1" customHeight="1" outlineLevel="2" x14ac:dyDescent="0.25">
      <c r="B2156" s="704" t="s">
        <v>682</v>
      </c>
      <c r="C2156" s="704" t="s">
        <v>793</v>
      </c>
      <c r="D2156" s="704" t="s">
        <v>728</v>
      </c>
      <c r="E2156" s="704" t="s">
        <v>448</v>
      </c>
      <c r="F2156" s="705">
        <v>0.72865778340282439</v>
      </c>
      <c r="G2156" s="705">
        <v>1058.084438920474</v>
      </c>
    </row>
    <row r="2157" spans="2:7" ht="11.25" hidden="1" customHeight="1" outlineLevel="2" x14ac:dyDescent="0.25">
      <c r="B2157" s="704" t="s">
        <v>683</v>
      </c>
      <c r="C2157" s="704" t="s">
        <v>793</v>
      </c>
      <c r="D2157" s="704" t="s">
        <v>728</v>
      </c>
      <c r="E2157" s="704" t="s">
        <v>448</v>
      </c>
      <c r="F2157" s="705">
        <v>1.526925745334281</v>
      </c>
      <c r="G2157" s="705">
        <v>2223.7698673974814</v>
      </c>
    </row>
    <row r="2158" spans="2:7" ht="11.25" hidden="1" customHeight="1" outlineLevel="2" x14ac:dyDescent="0.25">
      <c r="B2158" s="704" t="s">
        <v>684</v>
      </c>
      <c r="C2158" s="704" t="s">
        <v>793</v>
      </c>
      <c r="D2158" s="704" t="s">
        <v>728</v>
      </c>
      <c r="E2158" s="704" t="s">
        <v>448</v>
      </c>
      <c r="F2158" s="705">
        <v>1.9655724865476574</v>
      </c>
      <c r="G2158" s="705">
        <v>2869.3802728110709</v>
      </c>
    </row>
    <row r="2159" spans="2:7" ht="11.25" hidden="1" customHeight="1" outlineLevel="2" x14ac:dyDescent="0.25">
      <c r="B2159" s="704" t="s">
        <v>685</v>
      </c>
      <c r="C2159" s="704" t="s">
        <v>793</v>
      </c>
      <c r="D2159" s="704" t="s">
        <v>728</v>
      </c>
      <c r="E2159" s="704" t="s">
        <v>448</v>
      </c>
      <c r="F2159" s="705">
        <v>9.2846954933479999</v>
      </c>
      <c r="G2159" s="705">
        <v>13521.951504251236</v>
      </c>
    </row>
    <row r="2160" spans="2:7" ht="11.25" hidden="1" customHeight="1" outlineLevel="2" x14ac:dyDescent="0.25">
      <c r="B2160" s="704" t="s">
        <v>686</v>
      </c>
      <c r="C2160" s="704" t="s">
        <v>793</v>
      </c>
      <c r="D2160" s="704" t="s">
        <v>728</v>
      </c>
      <c r="E2160" s="704" t="s">
        <v>448</v>
      </c>
      <c r="F2160" s="705">
        <v>1.9912658343330922</v>
      </c>
      <c r="G2160" s="705">
        <v>2887.3139194418413</v>
      </c>
    </row>
    <row r="2161" spans="2:7" ht="11.25" hidden="1" customHeight="1" outlineLevel="2" x14ac:dyDescent="0.25">
      <c r="B2161" s="704" t="s">
        <v>687</v>
      </c>
      <c r="C2161" s="704" t="s">
        <v>793</v>
      </c>
      <c r="D2161" s="704" t="s">
        <v>728</v>
      </c>
      <c r="E2161" s="704" t="s">
        <v>448</v>
      </c>
      <c r="F2161" s="705">
        <v>4.0883491321572016</v>
      </c>
      <c r="G2161" s="705">
        <v>5936.0305185143961</v>
      </c>
    </row>
    <row r="2162" spans="2:7" ht="11.25" hidden="1" customHeight="1" outlineLevel="2" x14ac:dyDescent="0.25">
      <c r="B2162" s="704" t="s">
        <v>688</v>
      </c>
      <c r="C2162" s="704" t="s">
        <v>793</v>
      </c>
      <c r="D2162" s="704" t="s">
        <v>728</v>
      </c>
      <c r="E2162" s="704" t="s">
        <v>448</v>
      </c>
      <c r="F2162" s="705">
        <v>12.030372964353038</v>
      </c>
      <c r="G2162" s="705">
        <v>17467.351723492488</v>
      </c>
    </row>
    <row r="2163" spans="2:7" ht="11.25" hidden="1" customHeight="1" outlineLevel="2" x14ac:dyDescent="0.25">
      <c r="B2163" s="704" t="s">
        <v>689</v>
      </c>
      <c r="C2163" s="704" t="s">
        <v>793</v>
      </c>
      <c r="D2163" s="704" t="s">
        <v>728</v>
      </c>
      <c r="E2163" s="704" t="s">
        <v>448</v>
      </c>
      <c r="F2163" s="705">
        <v>1.1728622427297686</v>
      </c>
      <c r="G2163" s="705">
        <v>1700.2374982243437</v>
      </c>
    </row>
    <row r="2164" spans="2:7" ht="11.25" hidden="1" customHeight="1" outlineLevel="2" x14ac:dyDescent="0.25">
      <c r="B2164" s="704" t="s">
        <v>690</v>
      </c>
      <c r="C2164" s="704" t="s">
        <v>793</v>
      </c>
      <c r="D2164" s="704" t="s">
        <v>728</v>
      </c>
      <c r="E2164" s="704" t="s">
        <v>448</v>
      </c>
      <c r="F2164" s="705">
        <v>36.670852629048511</v>
      </c>
      <c r="G2164" s="705">
        <v>53406.353060423637</v>
      </c>
    </row>
    <row r="2165" spans="2:7" ht="11.25" hidden="1" customHeight="1" outlineLevel="2" x14ac:dyDescent="0.25">
      <c r="B2165" s="704" t="s">
        <v>691</v>
      </c>
      <c r="C2165" s="704" t="s">
        <v>793</v>
      </c>
      <c r="D2165" s="704" t="s">
        <v>728</v>
      </c>
      <c r="E2165" s="704" t="s">
        <v>448</v>
      </c>
      <c r="F2165" s="705">
        <v>17.916751636228618</v>
      </c>
      <c r="G2165" s="705">
        <v>26093.420432488885</v>
      </c>
    </row>
    <row r="2166" spans="2:7" ht="11.25" hidden="1" customHeight="1" outlineLevel="2" x14ac:dyDescent="0.25">
      <c r="B2166" s="704" t="s">
        <v>692</v>
      </c>
      <c r="C2166" s="704" t="s">
        <v>793</v>
      </c>
      <c r="D2166" s="704" t="s">
        <v>728</v>
      </c>
      <c r="E2166" s="704" t="s">
        <v>448</v>
      </c>
      <c r="F2166" s="705">
        <v>1.1733934741531256</v>
      </c>
      <c r="G2166" s="705">
        <v>1703.694372615621</v>
      </c>
    </row>
    <row r="2167" spans="2:7" ht="11.25" hidden="1" customHeight="1" outlineLevel="2" x14ac:dyDescent="0.25">
      <c r="B2167" s="704" t="s">
        <v>693</v>
      </c>
      <c r="C2167" s="704" t="s">
        <v>793</v>
      </c>
      <c r="D2167" s="704" t="s">
        <v>728</v>
      </c>
      <c r="E2167" s="704" t="s">
        <v>448</v>
      </c>
      <c r="F2167" s="705">
        <v>0.89679238519223126</v>
      </c>
      <c r="G2167" s="705">
        <v>1309.1541839779509</v>
      </c>
    </row>
    <row r="2168" spans="2:7" ht="11.25" hidden="1" customHeight="1" outlineLevel="2" x14ac:dyDescent="0.25">
      <c r="B2168" s="704" t="s">
        <v>694</v>
      </c>
      <c r="C2168" s="704" t="s">
        <v>793</v>
      </c>
      <c r="D2168" s="704" t="s">
        <v>728</v>
      </c>
      <c r="E2168" s="704" t="s">
        <v>448</v>
      </c>
      <c r="F2168" s="705">
        <v>1.9778568648749124</v>
      </c>
      <c r="G2168" s="705">
        <v>2887.3139194418413</v>
      </c>
    </row>
    <row r="2169" spans="2:7" ht="11.25" hidden="1" customHeight="1" outlineLevel="2" x14ac:dyDescent="0.25">
      <c r="B2169" s="704" t="s">
        <v>695</v>
      </c>
      <c r="C2169" s="704" t="s">
        <v>793</v>
      </c>
      <c r="D2169" s="704" t="s">
        <v>728</v>
      </c>
      <c r="E2169" s="704" t="s">
        <v>448</v>
      </c>
      <c r="F2169" s="705">
        <v>1.9410021448928103</v>
      </c>
      <c r="G2169" s="705">
        <v>2833.513502546462</v>
      </c>
    </row>
    <row r="2170" spans="2:7" ht="11.25" hidden="1" customHeight="1" outlineLevel="2" x14ac:dyDescent="0.25">
      <c r="B2170" s="704" t="s">
        <v>696</v>
      </c>
      <c r="C2170" s="704" t="s">
        <v>793</v>
      </c>
      <c r="D2170" s="704" t="s">
        <v>728</v>
      </c>
      <c r="E2170" s="704" t="s">
        <v>448</v>
      </c>
      <c r="F2170" s="705">
        <v>2.7951918343631981</v>
      </c>
      <c r="G2170" s="705">
        <v>4053.0020365206396</v>
      </c>
    </row>
    <row r="2171" spans="2:7" ht="11.25" hidden="1" customHeight="1" outlineLevel="2" x14ac:dyDescent="0.25">
      <c r="B2171" s="704" t="s">
        <v>697</v>
      </c>
      <c r="C2171" s="704" t="s">
        <v>793</v>
      </c>
      <c r="D2171" s="704" t="s">
        <v>728</v>
      </c>
      <c r="E2171" s="704" t="s">
        <v>448</v>
      </c>
      <c r="F2171" s="705">
        <v>1.2530520612754668</v>
      </c>
      <c r="G2171" s="705">
        <v>1829.2295106599977</v>
      </c>
    </row>
    <row r="2172" spans="2:7" ht="11.25" hidden="1" customHeight="1" outlineLevel="2" x14ac:dyDescent="0.25">
      <c r="B2172" s="704" t="s">
        <v>698</v>
      </c>
      <c r="C2172" s="704" t="s">
        <v>793</v>
      </c>
      <c r="D2172" s="704" t="s">
        <v>728</v>
      </c>
      <c r="E2172" s="704" t="s">
        <v>448</v>
      </c>
      <c r="F2172" s="705">
        <v>1.9778568648833503</v>
      </c>
      <c r="G2172" s="705">
        <v>2887.3139192750727</v>
      </c>
    </row>
    <row r="2173" spans="2:7" ht="11.25" hidden="1" customHeight="1" outlineLevel="2" x14ac:dyDescent="0.25">
      <c r="B2173" s="704" t="s">
        <v>699</v>
      </c>
      <c r="C2173" s="704" t="s">
        <v>793</v>
      </c>
      <c r="D2173" s="704" t="s">
        <v>728</v>
      </c>
      <c r="E2173" s="704" t="s">
        <v>448</v>
      </c>
      <c r="F2173" s="705">
        <v>2.2356230708927924</v>
      </c>
      <c r="G2173" s="705">
        <v>3245.9874816045703</v>
      </c>
    </row>
    <row r="2174" spans="2:7" ht="11.25" hidden="1" customHeight="1" outlineLevel="2" x14ac:dyDescent="0.25">
      <c r="B2174" s="704" t="s">
        <v>673</v>
      </c>
      <c r="C2174" s="704" t="s">
        <v>794</v>
      </c>
      <c r="D2174" s="704" t="s">
        <v>728</v>
      </c>
      <c r="E2174" s="704" t="s">
        <v>448</v>
      </c>
      <c r="F2174" s="705">
        <v>6.8726367289984144E-2</v>
      </c>
      <c r="G2174" s="705">
        <v>53.509703080186192</v>
      </c>
    </row>
    <row r="2175" spans="2:7" ht="11.25" hidden="1" customHeight="1" outlineLevel="2" x14ac:dyDescent="0.25">
      <c r="B2175" s="704" t="s">
        <v>677</v>
      </c>
      <c r="C2175" s="704" t="s">
        <v>794</v>
      </c>
      <c r="D2175" s="704" t="s">
        <v>728</v>
      </c>
      <c r="E2175" s="704" t="s">
        <v>448</v>
      </c>
      <c r="F2175" s="706">
        <v>0.40927422503684496</v>
      </c>
      <c r="G2175" s="705">
        <v>315.28292510666802</v>
      </c>
    </row>
    <row r="2176" spans="2:7" ht="11.25" hidden="1" customHeight="1" outlineLevel="2" x14ac:dyDescent="0.25">
      <c r="B2176" s="704" t="s">
        <v>678</v>
      </c>
      <c r="C2176" s="704" t="s">
        <v>794</v>
      </c>
      <c r="D2176" s="704" t="s">
        <v>728</v>
      </c>
      <c r="E2176" s="704" t="s">
        <v>448</v>
      </c>
      <c r="F2176" s="706">
        <v>0.67003945368074913</v>
      </c>
      <c r="G2176" s="705">
        <v>522.38982669108407</v>
      </c>
    </row>
    <row r="2177" spans="2:7" ht="11.25" hidden="1" customHeight="1" outlineLevel="2" x14ac:dyDescent="0.25">
      <c r="B2177" s="704" t="s">
        <v>679</v>
      </c>
      <c r="C2177" s="704" t="s">
        <v>794</v>
      </c>
      <c r="D2177" s="704" t="s">
        <v>728</v>
      </c>
      <c r="E2177" s="704" t="s">
        <v>448</v>
      </c>
      <c r="F2177" s="706">
        <v>6.1657740164469857E-2</v>
      </c>
      <c r="G2177" s="705">
        <v>48.216078114368003</v>
      </c>
    </row>
    <row r="2178" spans="2:7" ht="11.25" hidden="1" customHeight="1" outlineLevel="2" x14ac:dyDescent="0.25">
      <c r="B2178" s="704" t="s">
        <v>680</v>
      </c>
      <c r="C2178" s="704" t="s">
        <v>794</v>
      </c>
      <c r="D2178" s="704" t="s">
        <v>728</v>
      </c>
      <c r="E2178" s="704" t="s">
        <v>448</v>
      </c>
      <c r="F2178" s="706">
        <v>2.5638186013993522E-2</v>
      </c>
      <c r="G2178" s="705">
        <v>20.096449541203462</v>
      </c>
    </row>
    <row r="2179" spans="2:7" ht="11.25" hidden="1" customHeight="1" outlineLevel="2" x14ac:dyDescent="0.25">
      <c r="B2179" s="704" t="s">
        <v>681</v>
      </c>
      <c r="C2179" s="704" t="s">
        <v>794</v>
      </c>
      <c r="D2179" s="704" t="s">
        <v>728</v>
      </c>
      <c r="E2179" s="704" t="s">
        <v>448</v>
      </c>
      <c r="F2179" s="706">
        <v>0.11947457234266137</v>
      </c>
      <c r="G2179" s="705">
        <v>93.147185913611963</v>
      </c>
    </row>
    <row r="2180" spans="2:7" ht="11.25" hidden="1" customHeight="1" outlineLevel="2" x14ac:dyDescent="0.25">
      <c r="B2180" s="704" t="s">
        <v>682</v>
      </c>
      <c r="C2180" s="704" t="s">
        <v>794</v>
      </c>
      <c r="D2180" s="704" t="s">
        <v>728</v>
      </c>
      <c r="E2180" s="704" t="s">
        <v>448</v>
      </c>
      <c r="F2180" s="706">
        <v>7.5797849030905862E-2</v>
      </c>
      <c r="G2180" s="705">
        <v>59.101526911879311</v>
      </c>
    </row>
    <row r="2181" spans="2:7" ht="11.25" hidden="1" customHeight="1" outlineLevel="2" x14ac:dyDescent="0.25">
      <c r="B2181" s="704" t="s">
        <v>683</v>
      </c>
      <c r="C2181" s="704" t="s">
        <v>794</v>
      </c>
      <c r="D2181" s="704" t="s">
        <v>728</v>
      </c>
      <c r="E2181" s="704" t="s">
        <v>448</v>
      </c>
      <c r="F2181" s="705">
        <v>9.7658435921202283E-2</v>
      </c>
      <c r="G2181" s="705">
        <v>76.368464145855214</v>
      </c>
    </row>
    <row r="2182" spans="2:7" ht="11.25" hidden="1" customHeight="1" outlineLevel="2" x14ac:dyDescent="0.25">
      <c r="B2182" s="704" t="s">
        <v>684</v>
      </c>
      <c r="C2182" s="704" t="s">
        <v>794</v>
      </c>
      <c r="D2182" s="704" t="s">
        <v>728</v>
      </c>
      <c r="E2182" s="704" t="s">
        <v>448</v>
      </c>
      <c r="F2182" s="705">
        <v>3.0809297293550322E-2</v>
      </c>
      <c r="G2182" s="705">
        <v>24.149826207886115</v>
      </c>
    </row>
    <row r="2183" spans="2:7" ht="11.25" hidden="1" customHeight="1" outlineLevel="2" x14ac:dyDescent="0.25">
      <c r="B2183" s="704" t="s">
        <v>685</v>
      </c>
      <c r="C2183" s="704" t="s">
        <v>794</v>
      </c>
      <c r="D2183" s="704" t="s">
        <v>728</v>
      </c>
      <c r="E2183" s="704" t="s">
        <v>448</v>
      </c>
      <c r="F2183" s="705">
        <v>0.16323620283234916</v>
      </c>
      <c r="G2183" s="705">
        <v>127.64991021435769</v>
      </c>
    </row>
    <row r="2184" spans="2:7" ht="11.25" hidden="1" customHeight="1" outlineLevel="2" x14ac:dyDescent="0.25">
      <c r="B2184" s="704" t="s">
        <v>686</v>
      </c>
      <c r="C2184" s="704" t="s">
        <v>794</v>
      </c>
      <c r="D2184" s="704" t="s">
        <v>728</v>
      </c>
      <c r="E2184" s="704" t="s">
        <v>448</v>
      </c>
      <c r="F2184" s="705">
        <v>3.6027682897020401E-2</v>
      </c>
      <c r="G2184" s="705">
        <v>28.050810472310857</v>
      </c>
    </row>
    <row r="2185" spans="2:7" ht="11.25" hidden="1" customHeight="1" outlineLevel="2" x14ac:dyDescent="0.25">
      <c r="B2185" s="704" t="s">
        <v>687</v>
      </c>
      <c r="C2185" s="704" t="s">
        <v>794</v>
      </c>
      <c r="D2185" s="704" t="s">
        <v>728</v>
      </c>
      <c r="E2185" s="704" t="s">
        <v>448</v>
      </c>
      <c r="F2185" s="705">
        <v>0.18219070078210148</v>
      </c>
      <c r="G2185" s="705">
        <v>142.04320846524183</v>
      </c>
    </row>
    <row r="2186" spans="2:7" ht="11.25" hidden="1" customHeight="1" outlineLevel="2" x14ac:dyDescent="0.25">
      <c r="B2186" s="704" t="s">
        <v>688</v>
      </c>
      <c r="C2186" s="704" t="s">
        <v>794</v>
      </c>
      <c r="D2186" s="704" t="s">
        <v>728</v>
      </c>
      <c r="E2186" s="704" t="s">
        <v>448</v>
      </c>
      <c r="F2186" s="705">
        <v>0.20307506337871153</v>
      </c>
      <c r="G2186" s="705">
        <v>158.32549718093739</v>
      </c>
    </row>
    <row r="2187" spans="2:7" ht="11.25" hidden="1" customHeight="1" outlineLevel="2" x14ac:dyDescent="0.25">
      <c r="B2187" s="704" t="s">
        <v>689</v>
      </c>
      <c r="C2187" s="704" t="s">
        <v>794</v>
      </c>
      <c r="D2187" s="704" t="s">
        <v>728</v>
      </c>
      <c r="E2187" s="704" t="s">
        <v>448</v>
      </c>
      <c r="F2187" s="705">
        <v>3.2341587406442822E-2</v>
      </c>
      <c r="G2187" s="705">
        <v>25.181111575125147</v>
      </c>
    </row>
    <row r="2188" spans="2:7" ht="11.25" hidden="1" customHeight="1" outlineLevel="2" x14ac:dyDescent="0.25">
      <c r="B2188" s="704" t="s">
        <v>690</v>
      </c>
      <c r="C2188" s="704" t="s">
        <v>794</v>
      </c>
      <c r="D2188" s="704" t="s">
        <v>728</v>
      </c>
      <c r="E2188" s="704" t="s">
        <v>448</v>
      </c>
      <c r="F2188" s="705">
        <v>0.72303531398203813</v>
      </c>
      <c r="G2188" s="705">
        <v>565.41043309778502</v>
      </c>
    </row>
    <row r="2189" spans="2:7" ht="11.25" hidden="1" customHeight="1" outlineLevel="2" x14ac:dyDescent="0.25">
      <c r="B2189" s="704" t="s">
        <v>691</v>
      </c>
      <c r="C2189" s="704" t="s">
        <v>794</v>
      </c>
      <c r="D2189" s="704" t="s">
        <v>728</v>
      </c>
      <c r="E2189" s="704" t="s">
        <v>448</v>
      </c>
      <c r="F2189" s="705">
        <v>0.64724806274674718</v>
      </c>
      <c r="G2189" s="705">
        <v>506.1451253619644</v>
      </c>
    </row>
    <row r="2190" spans="2:7" ht="11.25" hidden="1" customHeight="1" outlineLevel="2" x14ac:dyDescent="0.25">
      <c r="B2190" s="704" t="s">
        <v>692</v>
      </c>
      <c r="C2190" s="704" t="s">
        <v>794</v>
      </c>
      <c r="D2190" s="704" t="s">
        <v>728</v>
      </c>
      <c r="E2190" s="704" t="s">
        <v>448</v>
      </c>
      <c r="F2190" s="705">
        <v>3.6865999516488356E-2</v>
      </c>
      <c r="G2190" s="705">
        <v>28.742216603192382</v>
      </c>
    </row>
    <row r="2191" spans="2:7" ht="11.25" hidden="1" customHeight="1" outlineLevel="2" x14ac:dyDescent="0.25">
      <c r="B2191" s="704" t="s">
        <v>693</v>
      </c>
      <c r="C2191" s="704" t="s">
        <v>794</v>
      </c>
      <c r="D2191" s="704" t="s">
        <v>728</v>
      </c>
      <c r="E2191" s="704" t="s">
        <v>448</v>
      </c>
      <c r="F2191" s="705">
        <v>7.4912145577684802E-2</v>
      </c>
      <c r="G2191" s="705">
        <v>58.719765669655892</v>
      </c>
    </row>
    <row r="2192" spans="2:7" ht="11.25" hidden="1" customHeight="1" outlineLevel="2" x14ac:dyDescent="0.25">
      <c r="B2192" s="704" t="s">
        <v>694</v>
      </c>
      <c r="C2192" s="704" t="s">
        <v>794</v>
      </c>
      <c r="D2192" s="704" t="s">
        <v>728</v>
      </c>
      <c r="E2192" s="704" t="s">
        <v>448</v>
      </c>
      <c r="F2192" s="705">
        <v>2.101678535888642E-2</v>
      </c>
      <c r="G2192" s="705">
        <v>16.473977918572302</v>
      </c>
    </row>
    <row r="2193" spans="2:7" ht="11.25" hidden="1" customHeight="1" outlineLevel="2" x14ac:dyDescent="0.25">
      <c r="B2193" s="704" t="s">
        <v>695</v>
      </c>
      <c r="C2193" s="704" t="s">
        <v>794</v>
      </c>
      <c r="D2193" s="704" t="s">
        <v>728</v>
      </c>
      <c r="E2193" s="704" t="s">
        <v>448</v>
      </c>
      <c r="F2193" s="705">
        <v>3.5694050067831766E-2</v>
      </c>
      <c r="G2193" s="705">
        <v>27.97872876918802</v>
      </c>
    </row>
    <row r="2194" spans="2:7" ht="11.25" hidden="1" customHeight="1" outlineLevel="2" x14ac:dyDescent="0.25">
      <c r="B2194" s="704" t="s">
        <v>696</v>
      </c>
      <c r="C2194" s="704" t="s">
        <v>794</v>
      </c>
      <c r="D2194" s="704" t="s">
        <v>728</v>
      </c>
      <c r="E2194" s="704" t="s">
        <v>448</v>
      </c>
      <c r="F2194" s="705">
        <v>0.11418760942865759</v>
      </c>
      <c r="G2194" s="705">
        <v>88.905371127196673</v>
      </c>
    </row>
    <row r="2195" spans="2:7" ht="11.25" hidden="1" customHeight="1" outlineLevel="2" x14ac:dyDescent="0.25">
      <c r="B2195" s="704" t="s">
        <v>697</v>
      </c>
      <c r="C2195" s="704" t="s">
        <v>794</v>
      </c>
      <c r="D2195" s="704" t="s">
        <v>728</v>
      </c>
      <c r="E2195" s="704" t="s">
        <v>448</v>
      </c>
      <c r="F2195" s="705">
        <v>7.4435594770321675E-2</v>
      </c>
      <c r="G2195" s="705">
        <v>58.346234703400228</v>
      </c>
    </row>
    <row r="2196" spans="2:7" ht="11.25" hidden="1" customHeight="1" outlineLevel="2" x14ac:dyDescent="0.25">
      <c r="B2196" s="704" t="s">
        <v>698</v>
      </c>
      <c r="C2196" s="704" t="s">
        <v>794</v>
      </c>
      <c r="D2196" s="704" t="s">
        <v>728</v>
      </c>
      <c r="E2196" s="704" t="s">
        <v>448</v>
      </c>
      <c r="F2196" s="705">
        <v>0.1006360263666731</v>
      </c>
      <c r="G2196" s="705">
        <v>78.883410923042575</v>
      </c>
    </row>
    <row r="2197" spans="2:7" ht="11.25" hidden="1" customHeight="1" outlineLevel="2" x14ac:dyDescent="0.25">
      <c r="B2197" s="704" t="s">
        <v>699</v>
      </c>
      <c r="C2197" s="704" t="s">
        <v>794</v>
      </c>
      <c r="D2197" s="704" t="s">
        <v>728</v>
      </c>
      <c r="E2197" s="704" t="s">
        <v>448</v>
      </c>
      <c r="F2197" s="705">
        <v>0.62259253158101036</v>
      </c>
      <c r="G2197" s="705">
        <v>485.3982662338783</v>
      </c>
    </row>
    <row r="2198" spans="2:7" ht="11.25" hidden="1" customHeight="1" outlineLevel="2" x14ac:dyDescent="0.25">
      <c r="B2198" s="704" t="s">
        <v>673</v>
      </c>
      <c r="C2198" s="704" t="s">
        <v>795</v>
      </c>
      <c r="D2198" s="704" t="s">
        <v>728</v>
      </c>
      <c r="E2198" s="704" t="s">
        <v>448</v>
      </c>
      <c r="F2198" s="705">
        <v>1.7608283042233976E-2</v>
      </c>
      <c r="G2198" s="705">
        <v>13.736981342543363</v>
      </c>
    </row>
    <row r="2199" spans="2:7" ht="11.25" hidden="1" customHeight="1" outlineLevel="2" x14ac:dyDescent="0.25">
      <c r="B2199" s="704" t="s">
        <v>677</v>
      </c>
      <c r="C2199" s="704" t="s">
        <v>795</v>
      </c>
      <c r="D2199" s="704" t="s">
        <v>728</v>
      </c>
      <c r="E2199" s="704" t="s">
        <v>448</v>
      </c>
      <c r="F2199" s="705">
        <v>0.85280623707817682</v>
      </c>
      <c r="G2199" s="705">
        <v>658.27617020195044</v>
      </c>
    </row>
    <row r="2200" spans="2:7" ht="11.25" hidden="1" customHeight="1" outlineLevel="2" x14ac:dyDescent="0.25">
      <c r="B2200" s="704" t="s">
        <v>678</v>
      </c>
      <c r="C2200" s="704" t="s">
        <v>795</v>
      </c>
      <c r="D2200" s="704" t="s">
        <v>728</v>
      </c>
      <c r="E2200" s="704" t="s">
        <v>448</v>
      </c>
      <c r="F2200" s="705">
        <v>1.0128787465639524</v>
      </c>
      <c r="G2200" s="705">
        <v>791.25005252487585</v>
      </c>
    </row>
    <row r="2201" spans="2:7" ht="11.25" hidden="1" customHeight="1" outlineLevel="2" x14ac:dyDescent="0.25">
      <c r="B2201" s="704" t="s">
        <v>679</v>
      </c>
      <c r="C2201" s="704" t="s">
        <v>795</v>
      </c>
      <c r="D2201" s="704" t="s">
        <v>728</v>
      </c>
      <c r="E2201" s="704" t="s">
        <v>448</v>
      </c>
      <c r="F2201" s="705">
        <v>6.0307625773725143E-2</v>
      </c>
      <c r="G2201" s="705">
        <v>47.255200490427917</v>
      </c>
    </row>
    <row r="2202" spans="2:7" ht="11.25" hidden="1" customHeight="1" outlineLevel="2" x14ac:dyDescent="0.25">
      <c r="B2202" s="704" t="s">
        <v>680</v>
      </c>
      <c r="C2202" s="704" t="s">
        <v>795</v>
      </c>
      <c r="D2202" s="704" t="s">
        <v>728</v>
      </c>
      <c r="E2202" s="704" t="s">
        <v>448</v>
      </c>
      <c r="F2202" s="705">
        <v>1.8889142262268396E-2</v>
      </c>
      <c r="G2202" s="705">
        <v>14.835935436598495</v>
      </c>
    </row>
    <row r="2203" spans="2:7" ht="11.25" hidden="1" customHeight="1" outlineLevel="2" x14ac:dyDescent="0.25">
      <c r="B2203" s="704" t="s">
        <v>681</v>
      </c>
      <c r="C2203" s="704" t="s">
        <v>795</v>
      </c>
      <c r="D2203" s="704" t="s">
        <v>728</v>
      </c>
      <c r="E2203" s="704" t="s">
        <v>448</v>
      </c>
      <c r="F2203" s="705">
        <v>0.31933814047043846</v>
      </c>
      <c r="G2203" s="705">
        <v>249.46357296227399</v>
      </c>
    </row>
    <row r="2204" spans="2:7" ht="11.25" hidden="1" customHeight="1" outlineLevel="2" x14ac:dyDescent="0.25">
      <c r="B2204" s="704" t="s">
        <v>682</v>
      </c>
      <c r="C2204" s="704" t="s">
        <v>795</v>
      </c>
      <c r="D2204" s="704" t="s">
        <v>728</v>
      </c>
      <c r="E2204" s="704" t="s">
        <v>448</v>
      </c>
      <c r="F2204" s="705">
        <v>4.1495258994724761E-2</v>
      </c>
      <c r="G2204" s="705">
        <v>32.419269805368188</v>
      </c>
    </row>
    <row r="2205" spans="2:7" ht="11.25" hidden="1" customHeight="1" outlineLevel="2" x14ac:dyDescent="0.25">
      <c r="B2205" s="704" t="s">
        <v>683</v>
      </c>
      <c r="C2205" s="704" t="s">
        <v>795</v>
      </c>
      <c r="D2205" s="704" t="s">
        <v>728</v>
      </c>
      <c r="E2205" s="704" t="s">
        <v>448</v>
      </c>
      <c r="F2205" s="705">
        <v>8.695519286900566E-2</v>
      </c>
      <c r="G2205" s="705">
        <v>68.135432184299148</v>
      </c>
    </row>
    <row r="2206" spans="2:7" ht="11.25" hidden="1" customHeight="1" outlineLevel="2" x14ac:dyDescent="0.25">
      <c r="B2206" s="704" t="s">
        <v>684</v>
      </c>
      <c r="C2206" s="704" t="s">
        <v>795</v>
      </c>
      <c r="D2206" s="704" t="s">
        <v>728</v>
      </c>
      <c r="E2206" s="704" t="s">
        <v>448</v>
      </c>
      <c r="F2206" s="705">
        <v>0.1119356299376375</v>
      </c>
      <c r="G2206" s="705">
        <v>87.916678724866927</v>
      </c>
    </row>
    <row r="2207" spans="2:7" ht="11.25" hidden="1" customHeight="1" outlineLevel="2" x14ac:dyDescent="0.25">
      <c r="B2207" s="704" t="s">
        <v>685</v>
      </c>
      <c r="C2207" s="704" t="s">
        <v>795</v>
      </c>
      <c r="D2207" s="704" t="s">
        <v>728</v>
      </c>
      <c r="E2207" s="704" t="s">
        <v>448</v>
      </c>
      <c r="F2207" s="705">
        <v>0.52874358683701306</v>
      </c>
      <c r="G2207" s="705">
        <v>414.30732598064066</v>
      </c>
    </row>
    <row r="2208" spans="2:7" ht="11.25" hidden="1" customHeight="1" outlineLevel="2" x14ac:dyDescent="0.25">
      <c r="B2208" s="704" t="s">
        <v>686</v>
      </c>
      <c r="C2208" s="704" t="s">
        <v>795</v>
      </c>
      <c r="D2208" s="704" t="s">
        <v>728</v>
      </c>
      <c r="E2208" s="704" t="s">
        <v>448</v>
      </c>
      <c r="F2208" s="705">
        <v>0.11339734447697494</v>
      </c>
      <c r="G2208" s="705">
        <v>88.466132832786045</v>
      </c>
    </row>
    <row r="2209" spans="2:7" ht="11.25" hidden="1" customHeight="1" outlineLevel="2" x14ac:dyDescent="0.25">
      <c r="B2209" s="704" t="s">
        <v>687</v>
      </c>
      <c r="C2209" s="704" t="s">
        <v>795</v>
      </c>
      <c r="D2209" s="704" t="s">
        <v>728</v>
      </c>
      <c r="E2209" s="704" t="s">
        <v>448</v>
      </c>
      <c r="F2209" s="705">
        <v>0.23282140248356795</v>
      </c>
      <c r="G2209" s="705">
        <v>181.87756906277161</v>
      </c>
    </row>
    <row r="2210" spans="2:7" ht="11.25" hidden="1" customHeight="1" outlineLevel="2" x14ac:dyDescent="0.25">
      <c r="B2210" s="704" t="s">
        <v>688</v>
      </c>
      <c r="C2210" s="704" t="s">
        <v>795</v>
      </c>
      <c r="D2210" s="704" t="s">
        <v>728</v>
      </c>
      <c r="E2210" s="704" t="s">
        <v>448</v>
      </c>
      <c r="F2210" s="705">
        <v>0.68509993718676898</v>
      </c>
      <c r="G2210" s="705">
        <v>535.19271554667137</v>
      </c>
    </row>
    <row r="2211" spans="2:7" ht="11.25" hidden="1" customHeight="1" outlineLevel="2" x14ac:dyDescent="0.25">
      <c r="B2211" s="704" t="s">
        <v>689</v>
      </c>
      <c r="C2211" s="704" t="s">
        <v>795</v>
      </c>
      <c r="D2211" s="704" t="s">
        <v>728</v>
      </c>
      <c r="E2211" s="704" t="s">
        <v>448</v>
      </c>
      <c r="F2211" s="705">
        <v>6.6791379319733876E-2</v>
      </c>
      <c r="G2211" s="705">
        <v>52.094603800775246</v>
      </c>
    </row>
    <row r="2212" spans="2:7" ht="11.25" hidden="1" customHeight="1" outlineLevel="2" x14ac:dyDescent="0.25">
      <c r="B2212" s="704" t="s">
        <v>690</v>
      </c>
      <c r="C2212" s="704" t="s">
        <v>795</v>
      </c>
      <c r="D2212" s="704" t="s">
        <v>728</v>
      </c>
      <c r="E2212" s="704" t="s">
        <v>448</v>
      </c>
      <c r="F2212" s="705">
        <v>2.0883268067926104</v>
      </c>
      <c r="G2212" s="705">
        <v>1636.3486047262375</v>
      </c>
    </row>
    <row r="2213" spans="2:7" ht="11.25" hidden="1" customHeight="1" outlineLevel="2" x14ac:dyDescent="0.25">
      <c r="B2213" s="704" t="s">
        <v>691</v>
      </c>
      <c r="C2213" s="704" t="s">
        <v>795</v>
      </c>
      <c r="D2213" s="704" t="s">
        <v>728</v>
      </c>
      <c r="E2213" s="704" t="s">
        <v>448</v>
      </c>
      <c r="F2213" s="705">
        <v>1.0203209726209621</v>
      </c>
      <c r="G2213" s="705">
        <v>799.49231157691975</v>
      </c>
    </row>
    <row r="2214" spans="2:7" ht="11.25" hidden="1" customHeight="1" outlineLevel="2" x14ac:dyDescent="0.25">
      <c r="B2214" s="704" t="s">
        <v>692</v>
      </c>
      <c r="C2214" s="704" t="s">
        <v>795</v>
      </c>
      <c r="D2214" s="704" t="s">
        <v>728</v>
      </c>
      <c r="E2214" s="704" t="s">
        <v>448</v>
      </c>
      <c r="F2214" s="705">
        <v>6.6821869605947298E-2</v>
      </c>
      <c r="G2214" s="705">
        <v>52.200511820278557</v>
      </c>
    </row>
    <row r="2215" spans="2:7" ht="11.25" hidden="1" customHeight="1" outlineLevel="2" x14ac:dyDescent="0.25">
      <c r="B2215" s="704" t="s">
        <v>693</v>
      </c>
      <c r="C2215" s="704" t="s">
        <v>795</v>
      </c>
      <c r="D2215" s="704" t="s">
        <v>728</v>
      </c>
      <c r="E2215" s="704" t="s">
        <v>448</v>
      </c>
      <c r="F2215" s="705">
        <v>5.1070636124202276E-2</v>
      </c>
      <c r="G2215" s="705">
        <v>40.111993416865026</v>
      </c>
    </row>
    <row r="2216" spans="2:7" ht="11.25" hidden="1" customHeight="1" outlineLevel="2" x14ac:dyDescent="0.25">
      <c r="B2216" s="704" t="s">
        <v>694</v>
      </c>
      <c r="C2216" s="704" t="s">
        <v>795</v>
      </c>
      <c r="D2216" s="704" t="s">
        <v>728</v>
      </c>
      <c r="E2216" s="704" t="s">
        <v>448</v>
      </c>
      <c r="F2216" s="705">
        <v>0.11263522195926629</v>
      </c>
      <c r="G2216" s="705">
        <v>88.466132832786045</v>
      </c>
    </row>
    <row r="2217" spans="2:7" ht="11.25" hidden="1" customHeight="1" outlineLevel="2" x14ac:dyDescent="0.25">
      <c r="B2217" s="704" t="s">
        <v>695</v>
      </c>
      <c r="C2217" s="704" t="s">
        <v>795</v>
      </c>
      <c r="D2217" s="704" t="s">
        <v>728</v>
      </c>
      <c r="E2217" s="704" t="s">
        <v>448</v>
      </c>
      <c r="F2217" s="705">
        <v>0.11053646429152569</v>
      </c>
      <c r="G2217" s="705">
        <v>86.817712064334856</v>
      </c>
    </row>
    <row r="2218" spans="2:7" ht="11.25" hidden="1" customHeight="1" outlineLevel="2" x14ac:dyDescent="0.25">
      <c r="B2218" s="704" t="s">
        <v>696</v>
      </c>
      <c r="C2218" s="704" t="s">
        <v>795</v>
      </c>
      <c r="D2218" s="704" t="s">
        <v>728</v>
      </c>
      <c r="E2218" s="704" t="s">
        <v>448</v>
      </c>
      <c r="F2218" s="705">
        <v>0.15917885665927953</v>
      </c>
      <c r="G2218" s="705">
        <v>124.1822842736166</v>
      </c>
    </row>
    <row r="2219" spans="2:7" ht="11.25" hidden="1" customHeight="1" outlineLevel="2" x14ac:dyDescent="0.25">
      <c r="B2219" s="704" t="s">
        <v>697</v>
      </c>
      <c r="C2219" s="704" t="s">
        <v>795</v>
      </c>
      <c r="D2219" s="704" t="s">
        <v>728</v>
      </c>
      <c r="E2219" s="704" t="s">
        <v>448</v>
      </c>
      <c r="F2219" s="705">
        <v>7.135896842742355E-2</v>
      </c>
      <c r="G2219" s="705">
        <v>56.04687553950221</v>
      </c>
    </row>
    <row r="2220" spans="2:7" ht="11.25" hidden="1" customHeight="1" outlineLevel="2" x14ac:dyDescent="0.25">
      <c r="B2220" s="704" t="s">
        <v>698</v>
      </c>
      <c r="C2220" s="704" t="s">
        <v>795</v>
      </c>
      <c r="D2220" s="704" t="s">
        <v>728</v>
      </c>
      <c r="E2220" s="704" t="s">
        <v>448</v>
      </c>
      <c r="F2220" s="705">
        <v>0.11263522195858032</v>
      </c>
      <c r="G2220" s="705">
        <v>88.466132829560266</v>
      </c>
    </row>
    <row r="2221" spans="2:7" ht="11.25" hidden="1" customHeight="1" outlineLevel="2" x14ac:dyDescent="0.25">
      <c r="B2221" s="704" t="s">
        <v>699</v>
      </c>
      <c r="C2221" s="704" t="s">
        <v>795</v>
      </c>
      <c r="D2221" s="704" t="s">
        <v>728</v>
      </c>
      <c r="E2221" s="704" t="s">
        <v>448</v>
      </c>
      <c r="F2221" s="706">
        <v>0.12731322867892916</v>
      </c>
      <c r="G2221" s="705">
        <v>99.455725420276153</v>
      </c>
    </row>
    <row r="2222" spans="2:7" ht="11.25" hidden="1" customHeight="1" outlineLevel="2" x14ac:dyDescent="0.25">
      <c r="B2222" s="704" t="s">
        <v>673</v>
      </c>
      <c r="C2222" s="704" t="s">
        <v>796</v>
      </c>
      <c r="D2222" s="704" t="s">
        <v>44</v>
      </c>
      <c r="E2222" s="704" t="s">
        <v>448</v>
      </c>
      <c r="F2222" s="706">
        <v>3.307231916091914E-4</v>
      </c>
      <c r="G2222" s="705">
        <v>0.46402565820661557</v>
      </c>
    </row>
    <row r="2223" spans="2:7" ht="11.25" hidden="1" customHeight="1" outlineLevel="2" x14ac:dyDescent="0.25">
      <c r="B2223" s="704" t="s">
        <v>677</v>
      </c>
      <c r="C2223" s="704" t="s">
        <v>796</v>
      </c>
      <c r="D2223" s="704" t="s">
        <v>44</v>
      </c>
      <c r="E2223" s="704" t="s">
        <v>448</v>
      </c>
      <c r="F2223" s="706">
        <v>6.21342149410344E-4</v>
      </c>
      <c r="G2223" s="705">
        <v>0.86254777236149827</v>
      </c>
    </row>
    <row r="2224" spans="2:7" ht="11.25" hidden="1" customHeight="1" outlineLevel="2" x14ac:dyDescent="0.25">
      <c r="B2224" s="704" t="s">
        <v>678</v>
      </c>
      <c r="C2224" s="704" t="s">
        <v>796</v>
      </c>
      <c r="D2224" s="704" t="s">
        <v>44</v>
      </c>
      <c r="E2224" s="704" t="s">
        <v>448</v>
      </c>
      <c r="F2224" s="706">
        <v>1.2559628782545362E-3</v>
      </c>
      <c r="G2224" s="705">
        <v>1.7645618417897038</v>
      </c>
    </row>
    <row r="2225" spans="2:7" ht="11.25" hidden="1" customHeight="1" outlineLevel="2" x14ac:dyDescent="0.25">
      <c r="B2225" s="704" t="s">
        <v>679</v>
      </c>
      <c r="C2225" s="704" t="s">
        <v>796</v>
      </c>
      <c r="D2225" s="704" t="s">
        <v>44</v>
      </c>
      <c r="E2225" s="704" t="s">
        <v>448</v>
      </c>
      <c r="F2225" s="706">
        <v>4.4061387803540417E-4</v>
      </c>
      <c r="G2225" s="705">
        <v>0.62093132087088487</v>
      </c>
    </row>
    <row r="2226" spans="2:7" ht="11.25" hidden="1" customHeight="1" outlineLevel="2" x14ac:dyDescent="0.25">
      <c r="B2226" s="704" t="s">
        <v>680</v>
      </c>
      <c r="C2226" s="704" t="s">
        <v>796</v>
      </c>
      <c r="D2226" s="704" t="s">
        <v>44</v>
      </c>
      <c r="E2226" s="704" t="s">
        <v>448</v>
      </c>
      <c r="F2226" s="706">
        <v>2.8612811836397738E-3</v>
      </c>
      <c r="G2226" s="705">
        <v>4.0417838497035676</v>
      </c>
    </row>
    <row r="2227" spans="2:7" ht="11.25" hidden="1" customHeight="1" outlineLevel="2" x14ac:dyDescent="0.25">
      <c r="B2227" s="704" t="s">
        <v>681</v>
      </c>
      <c r="C2227" s="704" t="s">
        <v>796</v>
      </c>
      <c r="D2227" s="704" t="s">
        <v>44</v>
      </c>
      <c r="E2227" s="704" t="s">
        <v>448</v>
      </c>
      <c r="F2227" s="706">
        <v>3.2558132127021113E-3</v>
      </c>
      <c r="G2227" s="705">
        <v>4.5742440157680857</v>
      </c>
    </row>
    <row r="2228" spans="2:7" ht="11.25" hidden="1" customHeight="1" outlineLevel="2" x14ac:dyDescent="0.25">
      <c r="B2228" s="704" t="s">
        <v>682</v>
      </c>
      <c r="C2228" s="704" t="s">
        <v>796</v>
      </c>
      <c r="D2228" s="704" t="s">
        <v>44</v>
      </c>
      <c r="E2228" s="704" t="s">
        <v>448</v>
      </c>
      <c r="F2228" s="706">
        <v>1.5830305359563134E-3</v>
      </c>
      <c r="G2228" s="705">
        <v>2.2243248515943104</v>
      </c>
    </row>
    <row r="2229" spans="2:7" ht="11.25" hidden="1" customHeight="1" outlineLevel="2" x14ac:dyDescent="0.25">
      <c r="B2229" s="704" t="s">
        <v>683</v>
      </c>
      <c r="C2229" s="704" t="s">
        <v>796</v>
      </c>
      <c r="D2229" s="704" t="s">
        <v>44</v>
      </c>
      <c r="E2229" s="704" t="s">
        <v>448</v>
      </c>
      <c r="F2229" s="706">
        <v>7.419459042913273E-4</v>
      </c>
      <c r="G2229" s="705">
        <v>1.045581517904945</v>
      </c>
    </row>
    <row r="2230" spans="2:7" ht="11.25" hidden="1" customHeight="1" outlineLevel="2" x14ac:dyDescent="0.25">
      <c r="B2230" s="704" t="s">
        <v>684</v>
      </c>
      <c r="C2230" s="704" t="s">
        <v>796</v>
      </c>
      <c r="D2230" s="704" t="s">
        <v>44</v>
      </c>
      <c r="E2230" s="704" t="s">
        <v>448</v>
      </c>
      <c r="F2230" s="706">
        <v>2.5821108789347768E-3</v>
      </c>
      <c r="G2230" s="705">
        <v>3.6474341623808386</v>
      </c>
    </row>
    <row r="2231" spans="2:7" ht="11.25" hidden="1" customHeight="1" outlineLevel="2" x14ac:dyDescent="0.25">
      <c r="B2231" s="704" t="s">
        <v>685</v>
      </c>
      <c r="C2231" s="704" t="s">
        <v>796</v>
      </c>
      <c r="D2231" s="704" t="s">
        <v>44</v>
      </c>
      <c r="E2231" s="704" t="s">
        <v>448</v>
      </c>
      <c r="F2231" s="706">
        <v>3.9491636078358879E-3</v>
      </c>
      <c r="G2231" s="705">
        <v>5.5653279925763899</v>
      </c>
    </row>
    <row r="2232" spans="2:7" ht="11.25" hidden="1" customHeight="1" outlineLevel="2" x14ac:dyDescent="0.25">
      <c r="B2232" s="704" t="s">
        <v>686</v>
      </c>
      <c r="C2232" s="704" t="s">
        <v>796</v>
      </c>
      <c r="D2232" s="704" t="s">
        <v>44</v>
      </c>
      <c r="E2232" s="704" t="s">
        <v>448</v>
      </c>
      <c r="F2232" s="706">
        <v>1.213250737124487E-3</v>
      </c>
      <c r="G2232" s="705">
        <v>1.7022669932022918</v>
      </c>
    </row>
    <row r="2233" spans="2:7" ht="11.25" hidden="1" customHeight="1" outlineLevel="2" x14ac:dyDescent="0.25">
      <c r="B2233" s="704" t="s">
        <v>687</v>
      </c>
      <c r="C2233" s="704" t="s">
        <v>796</v>
      </c>
      <c r="D2233" s="704" t="s">
        <v>44</v>
      </c>
      <c r="E2233" s="704" t="s">
        <v>448</v>
      </c>
      <c r="F2233" s="706">
        <v>1.4831093445569496E-3</v>
      </c>
      <c r="G2233" s="705">
        <v>2.0836912360586655</v>
      </c>
    </row>
    <row r="2234" spans="2:7" ht="11.25" hidden="1" customHeight="1" outlineLevel="2" x14ac:dyDescent="0.25">
      <c r="B2234" s="704" t="s">
        <v>688</v>
      </c>
      <c r="C2234" s="704" t="s">
        <v>796</v>
      </c>
      <c r="D2234" s="704" t="s">
        <v>44</v>
      </c>
      <c r="E2234" s="704" t="s">
        <v>448</v>
      </c>
      <c r="F2234" s="706">
        <v>6.7279425870099042E-4</v>
      </c>
      <c r="G2234" s="705">
        <v>0.94524102416381095</v>
      </c>
    </row>
    <row r="2235" spans="2:7" ht="11.25" hidden="1" customHeight="1" outlineLevel="2" x14ac:dyDescent="0.25">
      <c r="B2235" s="704" t="s">
        <v>689</v>
      </c>
      <c r="C2235" s="704" t="s">
        <v>796</v>
      </c>
      <c r="D2235" s="704" t="s">
        <v>44</v>
      </c>
      <c r="E2235" s="704" t="s">
        <v>448</v>
      </c>
      <c r="F2235" s="706">
        <v>3.2916884525917029E-3</v>
      </c>
      <c r="G2235" s="705">
        <v>4.6172080796564359</v>
      </c>
    </row>
    <row r="2236" spans="2:7" ht="11.25" hidden="1" customHeight="1" outlineLevel="2" x14ac:dyDescent="0.25">
      <c r="B2236" s="704" t="s">
        <v>690</v>
      </c>
      <c r="C2236" s="704" t="s">
        <v>796</v>
      </c>
      <c r="D2236" s="704" t="s">
        <v>44</v>
      </c>
      <c r="E2236" s="704" t="s">
        <v>448</v>
      </c>
      <c r="F2236" s="706">
        <v>1.4364349756927194E-3</v>
      </c>
      <c r="G2236" s="705">
        <v>2.0242843753182562</v>
      </c>
    </row>
    <row r="2237" spans="2:7" ht="11.25" hidden="1" customHeight="1" outlineLevel="2" x14ac:dyDescent="0.25">
      <c r="B2237" s="704" t="s">
        <v>691</v>
      </c>
      <c r="C2237" s="704" t="s">
        <v>796</v>
      </c>
      <c r="D2237" s="704" t="s">
        <v>44</v>
      </c>
      <c r="E2237" s="704" t="s">
        <v>448</v>
      </c>
      <c r="F2237" s="706">
        <v>5.6161512201095311E-4</v>
      </c>
      <c r="G2237" s="705">
        <v>0.79145158689685846</v>
      </c>
    </row>
    <row r="2238" spans="2:7" ht="11.25" hidden="1" customHeight="1" outlineLevel="2" x14ac:dyDescent="0.25">
      <c r="B2238" s="704" t="s">
        <v>692</v>
      </c>
      <c r="C2238" s="704" t="s">
        <v>796</v>
      </c>
      <c r="D2238" s="704" t="s">
        <v>44</v>
      </c>
      <c r="E2238" s="704" t="s">
        <v>448</v>
      </c>
      <c r="F2238" s="706">
        <v>4.0608758011232045E-3</v>
      </c>
      <c r="G2238" s="705">
        <v>5.7053192347224719</v>
      </c>
    </row>
    <row r="2239" spans="2:7" ht="11.25" hidden="1" customHeight="1" outlineLevel="2" x14ac:dyDescent="0.25">
      <c r="B2239" s="704" t="s">
        <v>693</v>
      </c>
      <c r="C2239" s="704" t="s">
        <v>796</v>
      </c>
      <c r="D2239" s="704" t="s">
        <v>44</v>
      </c>
      <c r="E2239" s="704" t="s">
        <v>448</v>
      </c>
      <c r="F2239" s="706">
        <v>1.1076615543168151E-3</v>
      </c>
      <c r="G2239" s="705">
        <v>1.5646595563857857</v>
      </c>
    </row>
    <row r="2240" spans="2:7" ht="11.25" hidden="1" customHeight="1" outlineLevel="2" x14ac:dyDescent="0.25">
      <c r="B2240" s="704" t="s">
        <v>694</v>
      </c>
      <c r="C2240" s="704" t="s">
        <v>796</v>
      </c>
      <c r="D2240" s="704" t="s">
        <v>44</v>
      </c>
      <c r="E2240" s="704" t="s">
        <v>448</v>
      </c>
      <c r="F2240" s="706">
        <v>1.1290134810229228E-3</v>
      </c>
      <c r="G2240" s="705">
        <v>1.7793647067525642</v>
      </c>
    </row>
    <row r="2241" spans="2:7" ht="11.25" hidden="1" customHeight="1" outlineLevel="2" x14ac:dyDescent="0.25">
      <c r="B2241" s="704" t="s">
        <v>695</v>
      </c>
      <c r="C2241" s="704" t="s">
        <v>796</v>
      </c>
      <c r="D2241" s="704" t="s">
        <v>44</v>
      </c>
      <c r="E2241" s="704" t="s">
        <v>448</v>
      </c>
      <c r="F2241" s="706">
        <v>2.6031381909864008E-3</v>
      </c>
      <c r="G2241" s="705">
        <v>3.6771369343396452</v>
      </c>
    </row>
    <row r="2242" spans="2:7" ht="11.25" hidden="1" customHeight="1" outlineLevel="2" x14ac:dyDescent="0.25">
      <c r="B2242" s="704" t="s">
        <v>696</v>
      </c>
      <c r="C2242" s="704" t="s">
        <v>796</v>
      </c>
      <c r="D2242" s="704" t="s">
        <v>44</v>
      </c>
      <c r="E2242" s="704" t="s">
        <v>448</v>
      </c>
      <c r="F2242" s="706">
        <v>2.395071938047819E-3</v>
      </c>
      <c r="G2242" s="705">
        <v>3.3604376077039673</v>
      </c>
    </row>
    <row r="2243" spans="2:7" ht="11.25" hidden="1" customHeight="1" outlineLevel="2" x14ac:dyDescent="0.25">
      <c r="B2243" s="704" t="s">
        <v>697</v>
      </c>
      <c r="C2243" s="704" t="s">
        <v>796</v>
      </c>
      <c r="D2243" s="704" t="s">
        <v>44</v>
      </c>
      <c r="E2243" s="704" t="s">
        <v>448</v>
      </c>
      <c r="F2243" s="706">
        <v>1.8273140724471722E-3</v>
      </c>
      <c r="G2243" s="705">
        <v>2.5812258728068342</v>
      </c>
    </row>
    <row r="2244" spans="2:7" ht="11.25" hidden="1" customHeight="1" outlineLevel="2" x14ac:dyDescent="0.25">
      <c r="B2244" s="704" t="s">
        <v>698</v>
      </c>
      <c r="C2244" s="704" t="s">
        <v>796</v>
      </c>
      <c r="D2244" s="704" t="s">
        <v>44</v>
      </c>
      <c r="E2244" s="704" t="s">
        <v>448</v>
      </c>
      <c r="F2244" s="706">
        <v>2.7780460947831372E-3</v>
      </c>
      <c r="G2244" s="705">
        <v>3.924208145406566</v>
      </c>
    </row>
    <row r="2245" spans="2:7" ht="11.25" hidden="1" customHeight="1" outlineLevel="2" x14ac:dyDescent="0.25">
      <c r="B2245" s="704" t="s">
        <v>699</v>
      </c>
      <c r="C2245" s="704" t="s">
        <v>796</v>
      </c>
      <c r="D2245" s="704" t="s">
        <v>44</v>
      </c>
      <c r="E2245" s="704" t="s">
        <v>448</v>
      </c>
      <c r="F2245" s="706">
        <v>3.2053891469483028E-35</v>
      </c>
      <c r="G2245" s="705">
        <v>4.5034053800298448E-32</v>
      </c>
    </row>
    <row r="2246" spans="2:7" ht="11.25" hidden="1" customHeight="1" outlineLevel="2" x14ac:dyDescent="0.25">
      <c r="B2246" s="704" t="s">
        <v>673</v>
      </c>
      <c r="C2246" s="704" t="s">
        <v>797</v>
      </c>
      <c r="D2246" s="704" t="s">
        <v>44</v>
      </c>
      <c r="E2246" s="704" t="s">
        <v>448</v>
      </c>
      <c r="F2246" s="705">
        <v>5.2828861422462463E-4</v>
      </c>
      <c r="G2246" s="705">
        <v>1.8054964728112008</v>
      </c>
    </row>
    <row r="2247" spans="2:7" ht="11.25" hidden="1" customHeight="1" outlineLevel="2" x14ac:dyDescent="0.25">
      <c r="B2247" s="704" t="s">
        <v>677</v>
      </c>
      <c r="C2247" s="704" t="s">
        <v>797</v>
      </c>
      <c r="D2247" s="704" t="s">
        <v>44</v>
      </c>
      <c r="E2247" s="704" t="s">
        <v>448</v>
      </c>
      <c r="F2247" s="705">
        <v>9.91776051435735E-4</v>
      </c>
      <c r="G2247" s="705">
        <v>3.3561245917512377</v>
      </c>
    </row>
    <row r="2248" spans="2:7" ht="11.25" hidden="1" customHeight="1" outlineLevel="2" x14ac:dyDescent="0.25">
      <c r="B2248" s="704" t="s">
        <v>678</v>
      </c>
      <c r="C2248" s="704" t="s">
        <v>797</v>
      </c>
      <c r="D2248" s="704" t="s">
        <v>44</v>
      </c>
      <c r="E2248" s="704" t="s">
        <v>448</v>
      </c>
      <c r="F2248" s="705">
        <v>2.0064326319665167E-3</v>
      </c>
      <c r="G2248" s="705">
        <v>6.8658097540113587</v>
      </c>
    </row>
    <row r="2249" spans="2:7" ht="11.25" hidden="1" customHeight="1" outlineLevel="2" x14ac:dyDescent="0.25">
      <c r="B2249" s="704" t="s">
        <v>679</v>
      </c>
      <c r="C2249" s="704" t="s">
        <v>797</v>
      </c>
      <c r="D2249" s="704" t="s">
        <v>44</v>
      </c>
      <c r="E2249" s="704" t="s">
        <v>448</v>
      </c>
      <c r="F2249" s="705">
        <v>7.0404290585165887E-4</v>
      </c>
      <c r="G2249" s="705">
        <v>2.4160095702774931</v>
      </c>
    </row>
    <row r="2250" spans="2:7" ht="11.25" hidden="1" customHeight="1" outlineLevel="2" x14ac:dyDescent="0.25">
      <c r="B2250" s="704" t="s">
        <v>680</v>
      </c>
      <c r="C2250" s="704" t="s">
        <v>797</v>
      </c>
      <c r="D2250" s="704" t="s">
        <v>44</v>
      </c>
      <c r="E2250" s="704" t="s">
        <v>448</v>
      </c>
      <c r="F2250" s="705">
        <v>4.5727184562497645E-3</v>
      </c>
      <c r="G2250" s="705">
        <v>15.726351441532586</v>
      </c>
    </row>
    <row r="2251" spans="2:7" ht="11.25" hidden="1" customHeight="1" outlineLevel="2" x14ac:dyDescent="0.25">
      <c r="B2251" s="704" t="s">
        <v>681</v>
      </c>
      <c r="C2251" s="704" t="s">
        <v>797</v>
      </c>
      <c r="D2251" s="704" t="s">
        <v>44</v>
      </c>
      <c r="E2251" s="704" t="s">
        <v>448</v>
      </c>
      <c r="F2251" s="705">
        <v>5.2721986214487194E-3</v>
      </c>
      <c r="G2251" s="705">
        <v>18.040516502077104</v>
      </c>
    </row>
    <row r="2252" spans="2:7" ht="11.25" hidden="1" customHeight="1" outlineLevel="2" x14ac:dyDescent="0.25">
      <c r="B2252" s="704" t="s">
        <v>682</v>
      </c>
      <c r="C2252" s="704" t="s">
        <v>797</v>
      </c>
      <c r="D2252" s="704" t="s">
        <v>44</v>
      </c>
      <c r="E2252" s="704" t="s">
        <v>448</v>
      </c>
      <c r="F2252" s="705">
        <v>2.5289518742556724E-3</v>
      </c>
      <c r="G2252" s="705">
        <v>8.6547230257102932</v>
      </c>
    </row>
    <row r="2253" spans="2:7" ht="11.25" hidden="1" customHeight="1" outlineLevel="2" x14ac:dyDescent="0.25">
      <c r="B2253" s="704" t="s">
        <v>683</v>
      </c>
      <c r="C2253" s="704" t="s">
        <v>797</v>
      </c>
      <c r="D2253" s="704" t="s">
        <v>44</v>
      </c>
      <c r="E2253" s="704" t="s">
        <v>448</v>
      </c>
      <c r="F2253" s="705">
        <v>1.1855330136133651E-3</v>
      </c>
      <c r="G2253" s="705">
        <v>4.0683002402015331</v>
      </c>
    </row>
    <row r="2254" spans="2:7" ht="11.25" hidden="1" customHeight="1" outlineLevel="2" x14ac:dyDescent="0.25">
      <c r="B2254" s="704" t="s">
        <v>684</v>
      </c>
      <c r="C2254" s="704" t="s">
        <v>797</v>
      </c>
      <c r="D2254" s="704" t="s">
        <v>44</v>
      </c>
      <c r="E2254" s="704" t="s">
        <v>448</v>
      </c>
      <c r="F2254" s="705">
        <v>4.1265657616612137E-3</v>
      </c>
      <c r="G2254" s="705">
        <v>14.191960329025109</v>
      </c>
    </row>
    <row r="2255" spans="2:7" ht="11.25" hidden="1" customHeight="1" outlineLevel="2" x14ac:dyDescent="0.25">
      <c r="B2255" s="704" t="s">
        <v>685</v>
      </c>
      <c r="C2255" s="704" t="s">
        <v>797</v>
      </c>
      <c r="D2255" s="704" t="s">
        <v>44</v>
      </c>
      <c r="E2255" s="704" t="s">
        <v>448</v>
      </c>
      <c r="F2255" s="705">
        <v>6.3102457595637538E-3</v>
      </c>
      <c r="G2255" s="705">
        <v>21.654365801222575</v>
      </c>
    </row>
    <row r="2256" spans="2:7" ht="11.25" hidden="1" customHeight="1" outlineLevel="2" x14ac:dyDescent="0.25">
      <c r="B2256" s="704" t="s">
        <v>686</v>
      </c>
      <c r="C2256" s="704" t="s">
        <v>797</v>
      </c>
      <c r="D2256" s="704" t="s">
        <v>44</v>
      </c>
      <c r="E2256" s="704" t="s">
        <v>448</v>
      </c>
      <c r="F2256" s="705">
        <v>1.9380152422837592E-3</v>
      </c>
      <c r="G2256" s="705">
        <v>6.6234241203993509</v>
      </c>
    </row>
    <row r="2257" spans="2:7" ht="11.25" hidden="1" customHeight="1" outlineLevel="2" x14ac:dyDescent="0.25">
      <c r="B2257" s="704" t="s">
        <v>687</v>
      </c>
      <c r="C2257" s="704" t="s">
        <v>797</v>
      </c>
      <c r="D2257" s="704" t="s">
        <v>44</v>
      </c>
      <c r="E2257" s="704" t="s">
        <v>448</v>
      </c>
      <c r="F2257" s="705">
        <v>2.3693045376474648E-3</v>
      </c>
      <c r="G2257" s="705">
        <v>8.1075292361021845</v>
      </c>
    </row>
    <row r="2258" spans="2:7" ht="11.25" hidden="1" customHeight="1" outlineLevel="2" x14ac:dyDescent="0.25">
      <c r="B2258" s="704" t="s">
        <v>688</v>
      </c>
      <c r="C2258" s="704" t="s">
        <v>797</v>
      </c>
      <c r="D2258" s="704" t="s">
        <v>44</v>
      </c>
      <c r="E2258" s="704" t="s">
        <v>448</v>
      </c>
      <c r="F2258" s="705">
        <v>1.0748056115748523E-3</v>
      </c>
      <c r="G2258" s="705">
        <v>3.6778772791046763</v>
      </c>
    </row>
    <row r="2259" spans="2:7" ht="11.25" hidden="1" customHeight="1" outlineLevel="2" x14ac:dyDescent="0.25">
      <c r="B2259" s="704" t="s">
        <v>689</v>
      </c>
      <c r="C2259" s="704" t="s">
        <v>797</v>
      </c>
      <c r="D2259" s="704" t="s">
        <v>44</v>
      </c>
      <c r="E2259" s="704" t="s">
        <v>448</v>
      </c>
      <c r="F2259" s="705">
        <v>5.2579593204454518E-3</v>
      </c>
      <c r="G2259" s="705">
        <v>17.965296003351767</v>
      </c>
    </row>
    <row r="2260" spans="2:7" ht="11.25" hidden="1" customHeight="1" outlineLevel="2" x14ac:dyDescent="0.25">
      <c r="B2260" s="704" t="s">
        <v>690</v>
      </c>
      <c r="C2260" s="704" t="s">
        <v>797</v>
      </c>
      <c r="D2260" s="704" t="s">
        <v>44</v>
      </c>
      <c r="E2260" s="704" t="s">
        <v>448</v>
      </c>
      <c r="F2260" s="705">
        <v>2.2952354431595434E-3</v>
      </c>
      <c r="G2260" s="705">
        <v>7.8763691714869859</v>
      </c>
    </row>
    <row r="2261" spans="2:7" ht="11.25" hidden="1" customHeight="1" outlineLevel="2" x14ac:dyDescent="0.25">
      <c r="B2261" s="704" t="s">
        <v>691</v>
      </c>
      <c r="C2261" s="704" t="s">
        <v>797</v>
      </c>
      <c r="D2261" s="704" t="s">
        <v>44</v>
      </c>
      <c r="E2261" s="704" t="s">
        <v>448</v>
      </c>
      <c r="F2261" s="705">
        <v>8.9738750846535481E-4</v>
      </c>
      <c r="G2261" s="705">
        <v>3.0794944862783331</v>
      </c>
    </row>
    <row r="2262" spans="2:7" ht="11.25" hidden="1" customHeight="1" outlineLevel="2" x14ac:dyDescent="0.25">
      <c r="B2262" s="704" t="s">
        <v>692</v>
      </c>
      <c r="C2262" s="704" t="s">
        <v>797</v>
      </c>
      <c r="D2262" s="704" t="s">
        <v>44</v>
      </c>
      <c r="E2262" s="704" t="s">
        <v>448</v>
      </c>
      <c r="F2262" s="705">
        <v>6.4873532194281444E-3</v>
      </c>
      <c r="G2262" s="705">
        <v>22.199075422477559</v>
      </c>
    </row>
    <row r="2263" spans="2:7" ht="11.25" hidden="1" customHeight="1" outlineLevel="2" x14ac:dyDescent="0.25">
      <c r="B2263" s="704" t="s">
        <v>693</v>
      </c>
      <c r="C2263" s="704" t="s">
        <v>797</v>
      </c>
      <c r="D2263" s="704" t="s">
        <v>44</v>
      </c>
      <c r="E2263" s="704" t="s">
        <v>448</v>
      </c>
      <c r="F2263" s="705">
        <v>1.7701946246596288E-3</v>
      </c>
      <c r="G2263" s="705">
        <v>6.0880053664410454</v>
      </c>
    </row>
    <row r="2264" spans="2:7" ht="11.25" hidden="1" customHeight="1" outlineLevel="2" x14ac:dyDescent="0.25">
      <c r="B2264" s="704" t="s">
        <v>694</v>
      </c>
      <c r="C2264" s="704" t="s">
        <v>797</v>
      </c>
      <c r="D2264" s="704" t="s">
        <v>44</v>
      </c>
      <c r="E2264" s="704" t="s">
        <v>448</v>
      </c>
      <c r="F2264" s="705">
        <v>2.0101872126722432E-3</v>
      </c>
      <c r="G2264" s="705">
        <v>6.9233946740333785</v>
      </c>
    </row>
    <row r="2265" spans="2:7" ht="11.25" hidden="1" customHeight="1" outlineLevel="2" x14ac:dyDescent="0.25">
      <c r="B2265" s="704" t="s">
        <v>695</v>
      </c>
      <c r="C2265" s="704" t="s">
        <v>797</v>
      </c>
      <c r="D2265" s="704" t="s">
        <v>44</v>
      </c>
      <c r="E2265" s="704" t="s">
        <v>448</v>
      </c>
      <c r="F2265" s="705">
        <v>4.1601694866194236E-3</v>
      </c>
      <c r="G2265" s="705">
        <v>14.307536574203839</v>
      </c>
    </row>
    <row r="2266" spans="2:7" ht="11.25" hidden="1" customHeight="1" outlineLevel="2" x14ac:dyDescent="0.25">
      <c r="B2266" s="704" t="s">
        <v>696</v>
      </c>
      <c r="C2266" s="704" t="s">
        <v>797</v>
      </c>
      <c r="D2266" s="704" t="s">
        <v>44</v>
      </c>
      <c r="E2266" s="704" t="s">
        <v>448</v>
      </c>
      <c r="F2266" s="706">
        <v>3.8258257755548809E-3</v>
      </c>
      <c r="G2266" s="705">
        <v>13.075269687632064</v>
      </c>
    </row>
    <row r="2267" spans="2:7" ht="11.25" hidden="1" customHeight="1" outlineLevel="2" x14ac:dyDescent="0.25">
      <c r="B2267" s="704" t="s">
        <v>697</v>
      </c>
      <c r="C2267" s="704" t="s">
        <v>797</v>
      </c>
      <c r="D2267" s="704" t="s">
        <v>44</v>
      </c>
      <c r="E2267" s="704" t="s">
        <v>448</v>
      </c>
      <c r="F2267" s="706">
        <v>2.920296600984348E-3</v>
      </c>
      <c r="G2267" s="705">
        <v>10.043399929485441</v>
      </c>
    </row>
    <row r="2268" spans="2:7" ht="11.25" hidden="1" customHeight="1" outlineLevel="2" x14ac:dyDescent="0.25">
      <c r="B2268" s="704" t="s">
        <v>698</v>
      </c>
      <c r="C2268" s="704" t="s">
        <v>797</v>
      </c>
      <c r="D2268" s="704" t="s">
        <v>44</v>
      </c>
      <c r="E2268" s="704" t="s">
        <v>448</v>
      </c>
      <c r="F2268" s="706">
        <v>4.439694420993236E-3</v>
      </c>
      <c r="G2268" s="705">
        <v>15.268868643745213</v>
      </c>
    </row>
    <row r="2269" spans="2:7" ht="11.25" hidden="1" customHeight="1" outlineLevel="2" x14ac:dyDescent="0.25">
      <c r="B2269" s="704" t="s">
        <v>699</v>
      </c>
      <c r="C2269" s="704" t="s">
        <v>797</v>
      </c>
      <c r="D2269" s="704" t="s">
        <v>44</v>
      </c>
      <c r="E2269" s="704" t="s">
        <v>448</v>
      </c>
      <c r="F2269" s="706">
        <v>3.6466111776779181E-34</v>
      </c>
      <c r="G2269" s="705">
        <v>2.0506426766045641E-30</v>
      </c>
    </row>
    <row r="2270" spans="2:7" ht="11.25" hidden="1" customHeight="1" outlineLevel="2" x14ac:dyDescent="0.25">
      <c r="B2270" s="704" t="s">
        <v>673</v>
      </c>
      <c r="C2270" s="704" t="s">
        <v>798</v>
      </c>
      <c r="D2270" s="704" t="s">
        <v>44</v>
      </c>
      <c r="E2270" s="704" t="s">
        <v>448</v>
      </c>
      <c r="F2270" s="706">
        <v>8.6766147210659216E-6</v>
      </c>
      <c r="G2270" s="705">
        <v>1.1372059441536986E-2</v>
      </c>
    </row>
    <row r="2271" spans="2:7" ht="11.25" hidden="1" customHeight="1" outlineLevel="2" x14ac:dyDescent="0.25">
      <c r="B2271" s="704" t="s">
        <v>677</v>
      </c>
      <c r="C2271" s="704" t="s">
        <v>798</v>
      </c>
      <c r="D2271" s="704" t="s">
        <v>44</v>
      </c>
      <c r="E2271" s="704" t="s">
        <v>448</v>
      </c>
      <c r="F2271" s="706">
        <v>1.6255472777299019E-5</v>
      </c>
      <c r="G2271" s="705">
        <v>2.1138786807130064E-2</v>
      </c>
    </row>
    <row r="2272" spans="2:7" ht="11.25" hidden="1" customHeight="1" outlineLevel="2" x14ac:dyDescent="0.25">
      <c r="B2272" s="704" t="s">
        <v>678</v>
      </c>
      <c r="C2272" s="704" t="s">
        <v>798</v>
      </c>
      <c r="D2272" s="704" t="s">
        <v>44</v>
      </c>
      <c r="E2272" s="704" t="s">
        <v>448</v>
      </c>
      <c r="F2272" s="706">
        <v>3.2962229421609667E-5</v>
      </c>
      <c r="G2272" s="705">
        <v>4.3244840383316503E-2</v>
      </c>
    </row>
    <row r="2273" spans="2:7" ht="11.25" hidden="1" customHeight="1" outlineLevel="2" x14ac:dyDescent="0.25">
      <c r="B2273" s="704" t="s">
        <v>679</v>
      </c>
      <c r="C2273" s="704" t="s">
        <v>798</v>
      </c>
      <c r="D2273" s="704" t="s">
        <v>44</v>
      </c>
      <c r="E2273" s="704" t="s">
        <v>448</v>
      </c>
      <c r="F2273" s="705">
        <v>1.1573073168326589E-5</v>
      </c>
      <c r="G2273" s="705">
        <v>1.5217406963080615E-2</v>
      </c>
    </row>
    <row r="2274" spans="2:7" ht="11.25" hidden="1" customHeight="1" outlineLevel="2" x14ac:dyDescent="0.25">
      <c r="B2274" s="704" t="s">
        <v>680</v>
      </c>
      <c r="C2274" s="704" t="s">
        <v>798</v>
      </c>
      <c r="D2274" s="704" t="s">
        <v>44</v>
      </c>
      <c r="E2274" s="704" t="s">
        <v>448</v>
      </c>
      <c r="F2274" s="705">
        <v>7.5201010928826732E-5</v>
      </c>
      <c r="G2274" s="705">
        <v>9.9053599707410525E-2</v>
      </c>
    </row>
    <row r="2275" spans="2:7" ht="11.25" hidden="1" customHeight="1" outlineLevel="2" x14ac:dyDescent="0.25">
      <c r="B2275" s="704" t="s">
        <v>681</v>
      </c>
      <c r="C2275" s="704" t="s">
        <v>798</v>
      </c>
      <c r="D2275" s="704" t="s">
        <v>44</v>
      </c>
      <c r="E2275" s="704" t="s">
        <v>448</v>
      </c>
      <c r="F2275" s="705">
        <v>8.5447524196979955E-5</v>
      </c>
      <c r="G2275" s="705">
        <v>0.11210283411049547</v>
      </c>
    </row>
    <row r="2276" spans="2:7" ht="11.25" hidden="1" customHeight="1" outlineLevel="2" x14ac:dyDescent="0.25">
      <c r="B2276" s="704" t="s">
        <v>682</v>
      </c>
      <c r="C2276" s="704" t="s">
        <v>798</v>
      </c>
      <c r="D2276" s="704" t="s">
        <v>44</v>
      </c>
      <c r="E2276" s="704" t="s">
        <v>448</v>
      </c>
      <c r="F2276" s="705">
        <v>4.1547234773168233E-5</v>
      </c>
      <c r="G2276" s="705">
        <v>5.4512400616013243E-2</v>
      </c>
    </row>
    <row r="2277" spans="2:7" ht="11.25" hidden="1" customHeight="1" outlineLevel="2" x14ac:dyDescent="0.25">
      <c r="B2277" s="704" t="s">
        <v>683</v>
      </c>
      <c r="C2277" s="704" t="s">
        <v>798</v>
      </c>
      <c r="D2277" s="704" t="s">
        <v>44</v>
      </c>
      <c r="E2277" s="704" t="s">
        <v>448</v>
      </c>
      <c r="F2277" s="705">
        <v>1.9487807655414429E-5</v>
      </c>
      <c r="G2277" s="705">
        <v>2.5624474645200474E-2</v>
      </c>
    </row>
    <row r="2278" spans="2:7" ht="11.25" hidden="1" customHeight="1" outlineLevel="2" x14ac:dyDescent="0.25">
      <c r="B2278" s="704" t="s">
        <v>684</v>
      </c>
      <c r="C2278" s="704" t="s">
        <v>798</v>
      </c>
      <c r="D2278" s="704" t="s">
        <v>44</v>
      </c>
      <c r="E2278" s="704" t="s">
        <v>448</v>
      </c>
      <c r="F2278" s="705">
        <v>6.7863777662427344E-5</v>
      </c>
      <c r="G2278" s="705">
        <v>8.9389025898029245E-2</v>
      </c>
    </row>
    <row r="2279" spans="2:7" ht="11.25" hidden="1" customHeight="1" outlineLevel="2" x14ac:dyDescent="0.25">
      <c r="B2279" s="704" t="s">
        <v>685</v>
      </c>
      <c r="C2279" s="704" t="s">
        <v>798</v>
      </c>
      <c r="D2279" s="704" t="s">
        <v>44</v>
      </c>
      <c r="E2279" s="704" t="s">
        <v>448</v>
      </c>
      <c r="F2279" s="705">
        <v>1.0372797624424983E-4</v>
      </c>
      <c r="G2279" s="705">
        <v>0.13639168997419962</v>
      </c>
    </row>
    <row r="2280" spans="2:7" ht="11.25" hidden="1" customHeight="1" outlineLevel="2" x14ac:dyDescent="0.25">
      <c r="B2280" s="704" t="s">
        <v>686</v>
      </c>
      <c r="C2280" s="704" t="s">
        <v>798</v>
      </c>
      <c r="D2280" s="704" t="s">
        <v>44</v>
      </c>
      <c r="E2280" s="704" t="s">
        <v>448</v>
      </c>
      <c r="F2280" s="705">
        <v>3.182996479893862E-5</v>
      </c>
      <c r="G2280" s="705">
        <v>4.1718125737179965E-2</v>
      </c>
    </row>
    <row r="2281" spans="2:7" ht="11.25" hidden="1" customHeight="1" outlineLevel="2" x14ac:dyDescent="0.25">
      <c r="B2281" s="704" t="s">
        <v>687</v>
      </c>
      <c r="C2281" s="704" t="s">
        <v>798</v>
      </c>
      <c r="D2281" s="704" t="s">
        <v>44</v>
      </c>
      <c r="E2281" s="704" t="s">
        <v>448</v>
      </c>
      <c r="F2281" s="705">
        <v>3.8923610385818956E-5</v>
      </c>
      <c r="G2281" s="705">
        <v>5.1065834882100439E-2</v>
      </c>
    </row>
    <row r="2282" spans="2:7" ht="11.25" hidden="1" customHeight="1" outlineLevel="2" x14ac:dyDescent="0.25">
      <c r="B2282" s="704" t="s">
        <v>688</v>
      </c>
      <c r="C2282" s="704" t="s">
        <v>798</v>
      </c>
      <c r="D2282" s="704" t="s">
        <v>44</v>
      </c>
      <c r="E2282" s="704" t="s">
        <v>448</v>
      </c>
      <c r="F2282" s="705">
        <v>1.7657206550038633E-5</v>
      </c>
      <c r="G2282" s="705">
        <v>2.3165368847043403E-2</v>
      </c>
    </row>
    <row r="2283" spans="2:7" ht="11.25" hidden="1" customHeight="1" outlineLevel="2" x14ac:dyDescent="0.25">
      <c r="B2283" s="704" t="s">
        <v>689</v>
      </c>
      <c r="C2283" s="704" t="s">
        <v>798</v>
      </c>
      <c r="D2283" s="704" t="s">
        <v>44</v>
      </c>
      <c r="E2283" s="704" t="s">
        <v>448</v>
      </c>
      <c r="F2283" s="705">
        <v>8.635227615885936E-5</v>
      </c>
      <c r="G2283" s="705">
        <v>0.11315564886130366</v>
      </c>
    </row>
    <row r="2284" spans="2:7" ht="11.25" hidden="1" customHeight="1" outlineLevel="2" x14ac:dyDescent="0.25">
      <c r="B2284" s="704" t="s">
        <v>690</v>
      </c>
      <c r="C2284" s="704" t="s">
        <v>798</v>
      </c>
      <c r="D2284" s="704" t="s">
        <v>44</v>
      </c>
      <c r="E2284" s="704" t="s">
        <v>448</v>
      </c>
      <c r="F2284" s="705">
        <v>3.7729147502074639E-5</v>
      </c>
      <c r="G2284" s="705">
        <v>4.9609884143550664E-2</v>
      </c>
    </row>
    <row r="2285" spans="2:7" ht="11.25" hidden="1" customHeight="1" outlineLevel="2" x14ac:dyDescent="0.25">
      <c r="B2285" s="704" t="s">
        <v>691</v>
      </c>
      <c r="C2285" s="704" t="s">
        <v>798</v>
      </c>
      <c r="D2285" s="704" t="s">
        <v>44</v>
      </c>
      <c r="E2285" s="704" t="s">
        <v>448</v>
      </c>
      <c r="F2285" s="705">
        <v>1.4751278886446963E-5</v>
      </c>
      <c r="G2285" s="705">
        <v>1.9396420221807636E-2</v>
      </c>
    </row>
    <row r="2286" spans="2:7" ht="11.25" hidden="1" customHeight="1" outlineLevel="2" x14ac:dyDescent="0.25">
      <c r="B2286" s="704" t="s">
        <v>692</v>
      </c>
      <c r="C2286" s="704" t="s">
        <v>798</v>
      </c>
      <c r="D2286" s="704" t="s">
        <v>44</v>
      </c>
      <c r="E2286" s="704" t="s">
        <v>448</v>
      </c>
      <c r="F2286" s="705">
        <v>1.0657599152028385E-4</v>
      </c>
      <c r="G2286" s="705">
        <v>0.13982249711693656</v>
      </c>
    </row>
    <row r="2287" spans="2:7" ht="11.25" hidden="1" customHeight="1" outlineLevel="2" x14ac:dyDescent="0.25">
      <c r="B2287" s="704" t="s">
        <v>693</v>
      </c>
      <c r="C2287" s="704" t="s">
        <v>798</v>
      </c>
      <c r="D2287" s="704" t="s">
        <v>44</v>
      </c>
      <c r="E2287" s="704" t="s">
        <v>448</v>
      </c>
      <c r="F2287" s="705">
        <v>2.9111875327015196E-5</v>
      </c>
      <c r="G2287" s="705">
        <v>3.8345698941539143E-2</v>
      </c>
    </row>
    <row r="2288" spans="2:7" ht="11.25" hidden="1" customHeight="1" outlineLevel="2" x14ac:dyDescent="0.25">
      <c r="B2288" s="704" t="s">
        <v>694</v>
      </c>
      <c r="C2288" s="704" t="s">
        <v>798</v>
      </c>
      <c r="D2288" s="704" t="s">
        <v>44</v>
      </c>
      <c r="E2288" s="704" t="s">
        <v>448</v>
      </c>
      <c r="F2288" s="705">
        <v>3.3068755568634801E-5</v>
      </c>
      <c r="G2288" s="705">
        <v>4.3607578479223495E-2</v>
      </c>
    </row>
    <row r="2289" spans="2:7" ht="11.25" hidden="1" customHeight="1" outlineLevel="2" x14ac:dyDescent="0.25">
      <c r="B2289" s="704" t="s">
        <v>695</v>
      </c>
      <c r="C2289" s="704" t="s">
        <v>798</v>
      </c>
      <c r="D2289" s="704" t="s">
        <v>44</v>
      </c>
      <c r="E2289" s="704" t="s">
        <v>448</v>
      </c>
      <c r="F2289" s="705">
        <v>6.841640743662543E-5</v>
      </c>
      <c r="G2289" s="705">
        <v>9.0117014950568411E-2</v>
      </c>
    </row>
    <row r="2290" spans="2:7" ht="11.25" hidden="1" customHeight="1" outlineLevel="2" x14ac:dyDescent="0.25">
      <c r="B2290" s="704" t="s">
        <v>696</v>
      </c>
      <c r="C2290" s="704" t="s">
        <v>798</v>
      </c>
      <c r="D2290" s="704" t="s">
        <v>44</v>
      </c>
      <c r="E2290" s="704" t="s">
        <v>448</v>
      </c>
      <c r="F2290" s="705">
        <v>6.283539442394502E-5</v>
      </c>
      <c r="G2290" s="705">
        <v>8.2355532646229801E-2</v>
      </c>
    </row>
    <row r="2291" spans="2:7" ht="11.25" hidden="1" customHeight="1" outlineLevel="2" x14ac:dyDescent="0.25">
      <c r="B2291" s="704" t="s">
        <v>697</v>
      </c>
      <c r="C2291" s="704" t="s">
        <v>798</v>
      </c>
      <c r="D2291" s="704" t="s">
        <v>44</v>
      </c>
      <c r="E2291" s="704" t="s">
        <v>448</v>
      </c>
      <c r="F2291" s="705">
        <v>4.8025984871774048E-5</v>
      </c>
      <c r="G2291" s="705">
        <v>6.32590858247562E-2</v>
      </c>
    </row>
    <row r="2292" spans="2:7" ht="11.25" hidden="1" customHeight="1" outlineLevel="2" x14ac:dyDescent="0.25">
      <c r="B2292" s="704" t="s">
        <v>698</v>
      </c>
      <c r="C2292" s="704" t="s">
        <v>798</v>
      </c>
      <c r="D2292" s="704" t="s">
        <v>44</v>
      </c>
      <c r="E2292" s="704" t="s">
        <v>448</v>
      </c>
      <c r="F2292" s="705">
        <v>7.3013400838222681E-5</v>
      </c>
      <c r="G2292" s="705">
        <v>9.6172118095266768E-2</v>
      </c>
    </row>
    <row r="2293" spans="2:7" ht="11.25" hidden="1" customHeight="1" outlineLevel="2" x14ac:dyDescent="0.25">
      <c r="B2293" s="704" t="s">
        <v>699</v>
      </c>
      <c r="C2293" s="704" t="s">
        <v>798</v>
      </c>
      <c r="D2293" s="704" t="s">
        <v>44</v>
      </c>
      <c r="E2293" s="704" t="s">
        <v>448</v>
      </c>
      <c r="F2293" s="705">
        <v>1.25115406112099E-40</v>
      </c>
      <c r="G2293" s="705">
        <v>1.6424750101005877E-37</v>
      </c>
    </row>
    <row r="2294" spans="2:7" ht="11.25" hidden="1" customHeight="1" outlineLevel="2" x14ac:dyDescent="0.25">
      <c r="B2294" s="704" t="s">
        <v>673</v>
      </c>
      <c r="C2294" s="704" t="s">
        <v>799</v>
      </c>
      <c r="D2294" s="704" t="s">
        <v>44</v>
      </c>
      <c r="E2294" s="704" t="s">
        <v>448</v>
      </c>
      <c r="F2294" s="705">
        <v>9.373399868776816E-4</v>
      </c>
      <c r="G2294" s="705">
        <v>1.2275932206977453</v>
      </c>
    </row>
    <row r="2295" spans="2:7" ht="11.25" hidden="1" customHeight="1" outlineLevel="2" x14ac:dyDescent="0.25">
      <c r="B2295" s="704" t="s">
        <v>677</v>
      </c>
      <c r="C2295" s="704" t="s">
        <v>799</v>
      </c>
      <c r="D2295" s="704" t="s">
        <v>44</v>
      </c>
      <c r="E2295" s="704" t="s">
        <v>448</v>
      </c>
      <c r="F2295" s="705">
        <v>1.7560881175287216E-3</v>
      </c>
      <c r="G2295" s="705">
        <v>2.2818968435970044</v>
      </c>
    </row>
    <row r="2296" spans="2:7" ht="11.25" hidden="1" customHeight="1" outlineLevel="2" x14ac:dyDescent="0.25">
      <c r="B2296" s="704" t="s">
        <v>678</v>
      </c>
      <c r="C2296" s="704" t="s">
        <v>799</v>
      </c>
      <c r="D2296" s="704" t="s">
        <v>44</v>
      </c>
      <c r="E2296" s="704" t="s">
        <v>448</v>
      </c>
      <c r="F2296" s="705">
        <v>3.5609314318175117E-3</v>
      </c>
      <c r="G2296" s="705">
        <v>4.668202728453168</v>
      </c>
    </row>
    <row r="2297" spans="2:7" ht="11.25" hidden="1" customHeight="1" outlineLevel="2" x14ac:dyDescent="0.25">
      <c r="B2297" s="704" t="s">
        <v>679</v>
      </c>
      <c r="C2297" s="704" t="s">
        <v>799</v>
      </c>
      <c r="D2297" s="704" t="s">
        <v>44</v>
      </c>
      <c r="E2297" s="704" t="s">
        <v>448</v>
      </c>
      <c r="F2297" s="705">
        <v>1.2502471976435069E-3</v>
      </c>
      <c r="G2297" s="705">
        <v>1.642693811146843</v>
      </c>
    </row>
    <row r="2298" spans="2:7" ht="11.25" hidden="1" customHeight="1" outlineLevel="2" x14ac:dyDescent="0.25">
      <c r="B2298" s="704" t="s">
        <v>680</v>
      </c>
      <c r="C2298" s="704" t="s">
        <v>799</v>
      </c>
      <c r="D2298" s="704" t="s">
        <v>44</v>
      </c>
      <c r="E2298" s="704" t="s">
        <v>448</v>
      </c>
      <c r="F2298" s="705">
        <v>8.1240110935279029E-3</v>
      </c>
      <c r="G2298" s="705">
        <v>10.692673619835196</v>
      </c>
    </row>
    <row r="2299" spans="2:7" ht="11.25" hidden="1" customHeight="1" outlineLevel="2" x14ac:dyDescent="0.25">
      <c r="B2299" s="704" t="s">
        <v>681</v>
      </c>
      <c r="C2299" s="704" t="s">
        <v>799</v>
      </c>
      <c r="D2299" s="704" t="s">
        <v>44</v>
      </c>
      <c r="E2299" s="704" t="s">
        <v>448</v>
      </c>
      <c r="F2299" s="705">
        <v>9.2309489215447495E-3</v>
      </c>
      <c r="G2299" s="705">
        <v>12.10130374271878</v>
      </c>
    </row>
    <row r="2300" spans="2:7" ht="11.25" hidden="1" customHeight="1" outlineLevel="2" x14ac:dyDescent="0.25">
      <c r="B2300" s="704" t="s">
        <v>682</v>
      </c>
      <c r="C2300" s="704" t="s">
        <v>799</v>
      </c>
      <c r="D2300" s="704" t="s">
        <v>44</v>
      </c>
      <c r="E2300" s="704" t="s">
        <v>448</v>
      </c>
      <c r="F2300" s="705">
        <v>4.4883742965749623E-3</v>
      </c>
      <c r="G2300" s="705">
        <v>5.8845196237673356</v>
      </c>
    </row>
    <row r="2301" spans="2:7" ht="11.25" hidden="1" customHeight="1" outlineLevel="2" x14ac:dyDescent="0.25">
      <c r="B2301" s="704" t="s">
        <v>683</v>
      </c>
      <c r="C2301" s="704" t="s">
        <v>799</v>
      </c>
      <c r="D2301" s="704" t="s">
        <v>44</v>
      </c>
      <c r="E2301" s="704" t="s">
        <v>448</v>
      </c>
      <c r="F2301" s="705">
        <v>2.105281549772204E-3</v>
      </c>
      <c r="G2301" s="705">
        <v>2.7661162586444537</v>
      </c>
    </row>
    <row r="2302" spans="2:7" ht="11.25" hidden="1" customHeight="1" outlineLevel="2" x14ac:dyDescent="0.25">
      <c r="B2302" s="704" t="s">
        <v>684</v>
      </c>
      <c r="C2302" s="704" t="s">
        <v>799</v>
      </c>
      <c r="D2302" s="704" t="s">
        <v>44</v>
      </c>
      <c r="E2302" s="704" t="s">
        <v>448</v>
      </c>
      <c r="F2302" s="705">
        <v>7.33137011268195E-3</v>
      </c>
      <c r="G2302" s="705">
        <v>9.6493984808816453</v>
      </c>
    </row>
    <row r="2303" spans="2:7" ht="11.25" hidden="1" customHeight="1" outlineLevel="2" x14ac:dyDescent="0.25">
      <c r="B2303" s="704" t="s">
        <v>685</v>
      </c>
      <c r="C2303" s="704" t="s">
        <v>799</v>
      </c>
      <c r="D2303" s="704" t="s">
        <v>44</v>
      </c>
      <c r="E2303" s="704" t="s">
        <v>448</v>
      </c>
      <c r="F2303" s="705">
        <v>1.1205801430358134E-2</v>
      </c>
      <c r="G2303" s="705">
        <v>14.723232600856754</v>
      </c>
    </row>
    <row r="2304" spans="2:7" ht="11.25" hidden="1" customHeight="1" outlineLevel="2" x14ac:dyDescent="0.25">
      <c r="B2304" s="704" t="s">
        <v>686</v>
      </c>
      <c r="C2304" s="704" t="s">
        <v>799</v>
      </c>
      <c r="D2304" s="704" t="s">
        <v>44</v>
      </c>
      <c r="E2304" s="704" t="s">
        <v>448</v>
      </c>
      <c r="F2304" s="705">
        <v>3.4386115687616583E-3</v>
      </c>
      <c r="G2304" s="705">
        <v>4.5033994958714061</v>
      </c>
    </row>
    <row r="2305" spans="2:7" ht="11.25" hidden="1" customHeight="1" outlineLevel="2" x14ac:dyDescent="0.25">
      <c r="B2305" s="704" t="s">
        <v>687</v>
      </c>
      <c r="C2305" s="704" t="s">
        <v>799</v>
      </c>
      <c r="D2305" s="704" t="s">
        <v>44</v>
      </c>
      <c r="E2305" s="704" t="s">
        <v>448</v>
      </c>
      <c r="F2305" s="706">
        <v>4.2049426131352593E-3</v>
      </c>
      <c r="G2305" s="705">
        <v>5.5124692555893899</v>
      </c>
    </row>
    <row r="2306" spans="2:7" ht="11.25" hidden="1" customHeight="1" outlineLevel="2" x14ac:dyDescent="0.25">
      <c r="B2306" s="704" t="s">
        <v>688</v>
      </c>
      <c r="C2306" s="704" t="s">
        <v>799</v>
      </c>
      <c r="D2306" s="704" t="s">
        <v>44</v>
      </c>
      <c r="E2306" s="704" t="s">
        <v>448</v>
      </c>
      <c r="F2306" s="706">
        <v>1.907519745497433E-3</v>
      </c>
      <c r="G2306" s="705">
        <v>2.5006632126576469</v>
      </c>
    </row>
    <row r="2307" spans="2:7" ht="11.25" hidden="1" customHeight="1" outlineLevel="2" x14ac:dyDescent="0.25">
      <c r="B2307" s="704" t="s">
        <v>689</v>
      </c>
      <c r="C2307" s="704" t="s">
        <v>799</v>
      </c>
      <c r="D2307" s="704" t="s">
        <v>44</v>
      </c>
      <c r="E2307" s="704" t="s">
        <v>448</v>
      </c>
      <c r="F2307" s="706">
        <v>9.3286939425509495E-3</v>
      </c>
      <c r="G2307" s="705">
        <v>12.214960410761217</v>
      </c>
    </row>
    <row r="2308" spans="2:7" ht="11.25" hidden="1" customHeight="1" outlineLevel="2" x14ac:dyDescent="0.25">
      <c r="B2308" s="704" t="s">
        <v>690</v>
      </c>
      <c r="C2308" s="704" t="s">
        <v>799</v>
      </c>
      <c r="D2308" s="704" t="s">
        <v>44</v>
      </c>
      <c r="E2308" s="704" t="s">
        <v>448</v>
      </c>
      <c r="F2308" s="706">
        <v>4.0759013273109117E-3</v>
      </c>
      <c r="G2308" s="705">
        <v>5.3553061366746482</v>
      </c>
    </row>
    <row r="2309" spans="2:7" ht="11.25" hidden="1" customHeight="1" outlineLevel="2" x14ac:dyDescent="0.25">
      <c r="B2309" s="704" t="s">
        <v>691</v>
      </c>
      <c r="C2309" s="704" t="s">
        <v>799</v>
      </c>
      <c r="D2309" s="704" t="s">
        <v>44</v>
      </c>
      <c r="E2309" s="704" t="s">
        <v>448</v>
      </c>
      <c r="F2309" s="706">
        <v>1.5935900939354603E-3</v>
      </c>
      <c r="G2309" s="705">
        <v>2.0938095890717583</v>
      </c>
    </row>
    <row r="2310" spans="2:7" ht="11.25" hidden="1" customHeight="1" outlineLevel="2" x14ac:dyDescent="0.25">
      <c r="B2310" s="704" t="s">
        <v>692</v>
      </c>
      <c r="C2310" s="704" t="s">
        <v>799</v>
      </c>
      <c r="D2310" s="704" t="s">
        <v>44</v>
      </c>
      <c r="E2310" s="704" t="s">
        <v>448</v>
      </c>
      <c r="F2310" s="706">
        <v>1.1513479615290086E-2</v>
      </c>
      <c r="G2310" s="705">
        <v>15.093593859471019</v>
      </c>
    </row>
    <row r="2311" spans="2:7" ht="11.25" hidden="1" customHeight="1" outlineLevel="2" x14ac:dyDescent="0.25">
      <c r="B2311" s="704" t="s">
        <v>693</v>
      </c>
      <c r="C2311" s="704" t="s">
        <v>799</v>
      </c>
      <c r="D2311" s="704" t="s">
        <v>44</v>
      </c>
      <c r="E2311" s="704" t="s">
        <v>448</v>
      </c>
      <c r="F2311" s="706">
        <v>3.1449747615885201E-3</v>
      </c>
      <c r="G2311" s="705">
        <v>4.1393555625878005</v>
      </c>
    </row>
    <row r="2312" spans="2:7" ht="11.25" hidden="1" customHeight="1" outlineLevel="2" x14ac:dyDescent="0.25">
      <c r="B2312" s="704" t="s">
        <v>694</v>
      </c>
      <c r="C2312" s="704" t="s">
        <v>799</v>
      </c>
      <c r="D2312" s="704" t="s">
        <v>44</v>
      </c>
      <c r="E2312" s="704" t="s">
        <v>448</v>
      </c>
      <c r="F2312" s="705">
        <v>3.5724403725154903E-3</v>
      </c>
      <c r="G2312" s="705">
        <v>4.707361583349627</v>
      </c>
    </row>
    <row r="2313" spans="2:7" ht="11.25" hidden="1" customHeight="1" outlineLevel="2" x14ac:dyDescent="0.25">
      <c r="B2313" s="704" t="s">
        <v>695</v>
      </c>
      <c r="C2313" s="704" t="s">
        <v>799</v>
      </c>
      <c r="D2313" s="704" t="s">
        <v>44</v>
      </c>
      <c r="E2313" s="704" t="s">
        <v>448</v>
      </c>
      <c r="F2313" s="705">
        <v>7.39107051508391E-3</v>
      </c>
      <c r="G2313" s="705">
        <v>9.7279760086367464</v>
      </c>
    </row>
    <row r="2314" spans="2:7" ht="11.25" hidden="1" customHeight="1" outlineLevel="2" x14ac:dyDescent="0.25">
      <c r="B2314" s="704" t="s">
        <v>696</v>
      </c>
      <c r="C2314" s="704" t="s">
        <v>799</v>
      </c>
      <c r="D2314" s="704" t="s">
        <v>44</v>
      </c>
      <c r="E2314" s="704" t="s">
        <v>448</v>
      </c>
      <c r="F2314" s="705">
        <v>6.7881454002035628E-3</v>
      </c>
      <c r="G2314" s="705">
        <v>8.8901390289644162</v>
      </c>
    </row>
    <row r="2315" spans="2:7" ht="11.25" hidden="1" customHeight="1" outlineLevel="2" x14ac:dyDescent="0.25">
      <c r="B2315" s="704" t="s">
        <v>697</v>
      </c>
      <c r="C2315" s="704" t="s">
        <v>799</v>
      </c>
      <c r="D2315" s="704" t="s">
        <v>44</v>
      </c>
      <c r="E2315" s="704" t="s">
        <v>448</v>
      </c>
      <c r="F2315" s="706">
        <v>5.1882796426460003E-3</v>
      </c>
      <c r="G2315" s="705">
        <v>6.8287101244723001</v>
      </c>
    </row>
    <row r="2316" spans="2:7" ht="11.25" hidden="1" customHeight="1" outlineLevel="2" x14ac:dyDescent="0.25">
      <c r="B2316" s="704" t="s">
        <v>698</v>
      </c>
      <c r="C2316" s="704" t="s">
        <v>799</v>
      </c>
      <c r="D2316" s="704" t="s">
        <v>44</v>
      </c>
      <c r="E2316" s="704" t="s">
        <v>448</v>
      </c>
      <c r="F2316" s="705">
        <v>7.887685661363171E-3</v>
      </c>
      <c r="G2316" s="705">
        <v>10.38161656148235</v>
      </c>
    </row>
    <row r="2317" spans="2:7" ht="11.25" hidden="1" customHeight="1" outlineLevel="2" x14ac:dyDescent="0.25">
      <c r="B2317" s="704" t="s">
        <v>699</v>
      </c>
      <c r="C2317" s="704" t="s">
        <v>799</v>
      </c>
      <c r="D2317" s="704" t="s">
        <v>44</v>
      </c>
      <c r="E2317" s="704" t="s">
        <v>448</v>
      </c>
      <c r="F2317" s="705">
        <v>1.0678882109993598E-36</v>
      </c>
      <c r="G2317" s="705">
        <v>1.3999479659600153E-33</v>
      </c>
    </row>
    <row r="2318" spans="2:7" ht="11.25" hidden="1" customHeight="1" outlineLevel="2" x14ac:dyDescent="0.25">
      <c r="B2318" s="704" t="s">
        <v>673</v>
      </c>
      <c r="C2318" s="704" t="s">
        <v>800</v>
      </c>
      <c r="D2318" s="704" t="s">
        <v>44</v>
      </c>
      <c r="E2318" s="704" t="s">
        <v>448</v>
      </c>
      <c r="F2318" s="706">
        <v>3.0885749659337384E-4</v>
      </c>
      <c r="G2318" s="705">
        <v>0.38453548307281227</v>
      </c>
    </row>
    <row r="2319" spans="2:7" ht="11.25" hidden="1" customHeight="1" outlineLevel="2" x14ac:dyDescent="0.25">
      <c r="B2319" s="704" t="s">
        <v>677</v>
      </c>
      <c r="C2319" s="704" t="s">
        <v>800</v>
      </c>
      <c r="D2319" s="704" t="s">
        <v>44</v>
      </c>
      <c r="E2319" s="704" t="s">
        <v>448</v>
      </c>
      <c r="F2319" s="705">
        <v>5.8026215994798032E-4</v>
      </c>
      <c r="G2319" s="705">
        <v>0.71478876563541771</v>
      </c>
    </row>
    <row r="2320" spans="2:7" ht="11.25" hidden="1" customHeight="1" outlineLevel="2" x14ac:dyDescent="0.25">
      <c r="B2320" s="704" t="s">
        <v>678</v>
      </c>
      <c r="C2320" s="704" t="s">
        <v>800</v>
      </c>
      <c r="D2320" s="704" t="s">
        <v>44</v>
      </c>
      <c r="E2320" s="704" t="s">
        <v>448</v>
      </c>
      <c r="F2320" s="705">
        <v>1.1729250395252765E-3</v>
      </c>
      <c r="G2320" s="705">
        <v>1.4622828598574302</v>
      </c>
    </row>
    <row r="2321" spans="2:7" ht="11.25" hidden="1" customHeight="1" outlineLevel="2" x14ac:dyDescent="0.25">
      <c r="B2321" s="704" t="s">
        <v>679</v>
      </c>
      <c r="C2321" s="704" t="s">
        <v>800</v>
      </c>
      <c r="D2321" s="704" t="s">
        <v>44</v>
      </c>
      <c r="E2321" s="704" t="s">
        <v>448</v>
      </c>
      <c r="F2321" s="705">
        <v>4.1148292787524188E-4</v>
      </c>
      <c r="G2321" s="705">
        <v>0.51456270495308432</v>
      </c>
    </row>
    <row r="2322" spans="2:7" ht="11.25" hidden="1" customHeight="1" outlineLevel="2" x14ac:dyDescent="0.25">
      <c r="B2322" s="704" t="s">
        <v>680</v>
      </c>
      <c r="C2322" s="704" t="s">
        <v>800</v>
      </c>
      <c r="D2322" s="704" t="s">
        <v>44</v>
      </c>
      <c r="E2322" s="704" t="s">
        <v>448</v>
      </c>
      <c r="F2322" s="706">
        <v>2.6721082589601401E-3</v>
      </c>
      <c r="G2322" s="705">
        <v>3.3494065019859502</v>
      </c>
    </row>
    <row r="2323" spans="2:7" ht="11.25" hidden="1" customHeight="1" outlineLevel="2" x14ac:dyDescent="0.25">
      <c r="B2323" s="704" t="s">
        <v>681</v>
      </c>
      <c r="C2323" s="704" t="s">
        <v>800</v>
      </c>
      <c r="D2323" s="704" t="s">
        <v>44</v>
      </c>
      <c r="E2323" s="704" t="s">
        <v>448</v>
      </c>
      <c r="F2323" s="706">
        <v>3.0405563600721889E-3</v>
      </c>
      <c r="G2323" s="705">
        <v>3.7906547676807612</v>
      </c>
    </row>
    <row r="2324" spans="2:7" ht="11.25" hidden="1" customHeight="1" outlineLevel="2" x14ac:dyDescent="0.25">
      <c r="B2324" s="704" t="s">
        <v>682</v>
      </c>
      <c r="C2324" s="704" t="s">
        <v>800</v>
      </c>
      <c r="D2324" s="704" t="s">
        <v>44</v>
      </c>
      <c r="E2324" s="704" t="s">
        <v>448</v>
      </c>
      <c r="F2324" s="706">
        <v>1.4783692129691705E-3</v>
      </c>
      <c r="G2324" s="705">
        <v>1.8432858044636347</v>
      </c>
    </row>
    <row r="2325" spans="2:7" ht="11.25" hidden="1" customHeight="1" outlineLevel="2" x14ac:dyDescent="0.25">
      <c r="B2325" s="704" t="s">
        <v>683</v>
      </c>
      <c r="C2325" s="704" t="s">
        <v>800</v>
      </c>
      <c r="D2325" s="704" t="s">
        <v>44</v>
      </c>
      <c r="E2325" s="704" t="s">
        <v>448</v>
      </c>
      <c r="F2325" s="705">
        <v>6.9289266586131256E-4</v>
      </c>
      <c r="G2325" s="705">
        <v>0.86646796599019815</v>
      </c>
    </row>
    <row r="2326" spans="2:7" ht="11.25" hidden="1" customHeight="1" outlineLevel="2" x14ac:dyDescent="0.25">
      <c r="B2326" s="704" t="s">
        <v>684</v>
      </c>
      <c r="C2326" s="704" t="s">
        <v>800</v>
      </c>
      <c r="D2326" s="704" t="s">
        <v>44</v>
      </c>
      <c r="E2326" s="704" t="s">
        <v>448</v>
      </c>
      <c r="F2326" s="705">
        <v>2.411395378397858E-3</v>
      </c>
      <c r="G2326" s="705">
        <v>3.0226103097630568</v>
      </c>
    </row>
    <row r="2327" spans="2:7" ht="11.25" hidden="1" customHeight="1" outlineLevel="2" x14ac:dyDescent="0.25">
      <c r="B2327" s="704" t="s">
        <v>685</v>
      </c>
      <c r="C2327" s="704" t="s">
        <v>800</v>
      </c>
      <c r="D2327" s="704" t="s">
        <v>44</v>
      </c>
      <c r="E2327" s="704" t="s">
        <v>448</v>
      </c>
      <c r="F2327" s="705">
        <v>3.6880659413534686E-3</v>
      </c>
      <c r="G2327" s="705">
        <v>4.6119565112335579</v>
      </c>
    </row>
    <row r="2328" spans="2:7" ht="11.25" hidden="1" customHeight="1" outlineLevel="2" x14ac:dyDescent="0.25">
      <c r="B2328" s="704" t="s">
        <v>686</v>
      </c>
      <c r="C2328" s="704" t="s">
        <v>800</v>
      </c>
      <c r="D2328" s="704" t="s">
        <v>44</v>
      </c>
      <c r="E2328" s="704" t="s">
        <v>448</v>
      </c>
      <c r="F2328" s="705">
        <v>1.1330365830021247E-3</v>
      </c>
      <c r="G2328" s="705">
        <v>1.4106599890349791</v>
      </c>
    </row>
    <row r="2329" spans="2:7" ht="11.25" hidden="1" customHeight="1" outlineLevel="2" x14ac:dyDescent="0.25">
      <c r="B2329" s="704" t="s">
        <v>687</v>
      </c>
      <c r="C2329" s="704" t="s">
        <v>800</v>
      </c>
      <c r="D2329" s="704" t="s">
        <v>44</v>
      </c>
      <c r="E2329" s="704" t="s">
        <v>448</v>
      </c>
      <c r="F2329" s="705">
        <v>1.3850541045637521E-3</v>
      </c>
      <c r="G2329" s="705">
        <v>1.7267445394132335</v>
      </c>
    </row>
    <row r="2330" spans="2:7" ht="11.25" hidden="1" customHeight="1" outlineLevel="2" x14ac:dyDescent="0.25">
      <c r="B2330" s="704" t="s">
        <v>688</v>
      </c>
      <c r="C2330" s="704" t="s">
        <v>800</v>
      </c>
      <c r="D2330" s="704" t="s">
        <v>44</v>
      </c>
      <c r="E2330" s="704" t="s">
        <v>448</v>
      </c>
      <c r="F2330" s="705">
        <v>6.2831250648130287E-4</v>
      </c>
      <c r="G2330" s="705">
        <v>0.7833156219153764</v>
      </c>
    </row>
    <row r="2331" spans="2:7" ht="11.25" hidden="1" customHeight="1" outlineLevel="2" x14ac:dyDescent="0.25">
      <c r="B2331" s="704" t="s">
        <v>689</v>
      </c>
      <c r="C2331" s="704" t="s">
        <v>800</v>
      </c>
      <c r="D2331" s="704" t="s">
        <v>44</v>
      </c>
      <c r="E2331" s="704" t="s">
        <v>448</v>
      </c>
      <c r="F2331" s="705">
        <v>3.0740599678214793E-3</v>
      </c>
      <c r="G2331" s="705">
        <v>3.8262565709909659</v>
      </c>
    </row>
    <row r="2332" spans="2:7" ht="11.25" hidden="1" customHeight="1" outlineLevel="2" x14ac:dyDescent="0.25">
      <c r="B2332" s="704" t="s">
        <v>690</v>
      </c>
      <c r="C2332" s="704" t="s">
        <v>800</v>
      </c>
      <c r="D2332" s="704" t="s">
        <v>44</v>
      </c>
      <c r="E2332" s="704" t="s">
        <v>448</v>
      </c>
      <c r="F2332" s="705">
        <v>1.3414657340488974E-3</v>
      </c>
      <c r="G2332" s="705">
        <v>1.6775142610368468</v>
      </c>
    </row>
    <row r="2333" spans="2:7" ht="11.25" hidden="1" customHeight="1" outlineLevel="2" x14ac:dyDescent="0.25">
      <c r="B2333" s="704" t="s">
        <v>691</v>
      </c>
      <c r="C2333" s="704" t="s">
        <v>800</v>
      </c>
      <c r="D2333" s="704" t="s">
        <v>44</v>
      </c>
      <c r="E2333" s="704" t="s">
        <v>448</v>
      </c>
      <c r="F2333" s="705">
        <v>5.2448425894817906E-4</v>
      </c>
      <c r="G2333" s="705">
        <v>0.6558717520718037</v>
      </c>
    </row>
    <row r="2334" spans="2:7" ht="11.25" hidden="1" customHeight="1" outlineLevel="2" x14ac:dyDescent="0.25">
      <c r="B2334" s="704" t="s">
        <v>692</v>
      </c>
      <c r="C2334" s="704" t="s">
        <v>800</v>
      </c>
      <c r="D2334" s="704" t="s">
        <v>44</v>
      </c>
      <c r="E2334" s="704" t="s">
        <v>448</v>
      </c>
      <c r="F2334" s="705">
        <v>3.7923923913146793E-3</v>
      </c>
      <c r="G2334" s="705">
        <v>4.7279663763727804</v>
      </c>
    </row>
    <row r="2335" spans="2:7" ht="11.25" hidden="1" customHeight="1" outlineLevel="2" x14ac:dyDescent="0.25">
      <c r="B2335" s="704" t="s">
        <v>693</v>
      </c>
      <c r="C2335" s="704" t="s">
        <v>800</v>
      </c>
      <c r="D2335" s="704" t="s">
        <v>44</v>
      </c>
      <c r="E2335" s="704" t="s">
        <v>448</v>
      </c>
      <c r="F2335" s="705">
        <v>1.0344291626603003E-3</v>
      </c>
      <c r="G2335" s="705">
        <v>1.2966248314806292</v>
      </c>
    </row>
    <row r="2336" spans="2:7" ht="11.25" hidden="1" customHeight="1" outlineLevel="2" x14ac:dyDescent="0.25">
      <c r="B2336" s="704" t="s">
        <v>694</v>
      </c>
      <c r="C2336" s="704" t="s">
        <v>800</v>
      </c>
      <c r="D2336" s="704" t="s">
        <v>44</v>
      </c>
      <c r="E2336" s="704" t="s">
        <v>448</v>
      </c>
      <c r="F2336" s="706">
        <v>1.174541507956911E-3</v>
      </c>
      <c r="G2336" s="705">
        <v>1.4745485833354928</v>
      </c>
    </row>
    <row r="2337" spans="2:7" ht="11.25" hidden="1" customHeight="1" outlineLevel="2" x14ac:dyDescent="0.25">
      <c r="B2337" s="704" t="s">
        <v>695</v>
      </c>
      <c r="C2337" s="704" t="s">
        <v>800</v>
      </c>
      <c r="D2337" s="704" t="s">
        <v>44</v>
      </c>
      <c r="E2337" s="704" t="s">
        <v>448</v>
      </c>
      <c r="F2337" s="706">
        <v>2.4310326030294979E-3</v>
      </c>
      <c r="G2337" s="705">
        <v>3.0472241031264842</v>
      </c>
    </row>
    <row r="2338" spans="2:7" ht="11.25" hidden="1" customHeight="1" outlineLevel="2" x14ac:dyDescent="0.25">
      <c r="B2338" s="704" t="s">
        <v>696</v>
      </c>
      <c r="C2338" s="704" t="s">
        <v>800</v>
      </c>
      <c r="D2338" s="704" t="s">
        <v>44</v>
      </c>
      <c r="E2338" s="704" t="s">
        <v>448</v>
      </c>
      <c r="F2338" s="705">
        <v>2.2367222338953454E-3</v>
      </c>
      <c r="G2338" s="705">
        <v>2.7847758491560843</v>
      </c>
    </row>
    <row r="2339" spans="2:7" ht="11.25" hidden="1" customHeight="1" outlineLevel="2" x14ac:dyDescent="0.25">
      <c r="B2339" s="704" t="s">
        <v>697</v>
      </c>
      <c r="C2339" s="704" t="s">
        <v>800</v>
      </c>
      <c r="D2339" s="704" t="s">
        <v>44</v>
      </c>
      <c r="E2339" s="704" t="s">
        <v>448</v>
      </c>
      <c r="F2339" s="705">
        <v>1.7065020640447885E-3</v>
      </c>
      <c r="G2339" s="705">
        <v>2.1390476854942326</v>
      </c>
    </row>
    <row r="2340" spans="2:7" ht="11.25" hidden="1" customHeight="1" outlineLevel="2" x14ac:dyDescent="0.25">
      <c r="B2340" s="704" t="s">
        <v>698</v>
      </c>
      <c r="C2340" s="704" t="s">
        <v>800</v>
      </c>
      <c r="D2340" s="704" t="s">
        <v>44</v>
      </c>
      <c r="E2340" s="704" t="s">
        <v>448</v>
      </c>
      <c r="F2340" s="705">
        <v>2.5943765226834415E-3</v>
      </c>
      <c r="G2340" s="705">
        <v>3.2519704604813668</v>
      </c>
    </row>
    <row r="2341" spans="2:7" ht="11.25" hidden="1" customHeight="1" outlineLevel="2" x14ac:dyDescent="0.25">
      <c r="B2341" s="704" t="s">
        <v>699</v>
      </c>
      <c r="C2341" s="704" t="s">
        <v>800</v>
      </c>
      <c r="D2341" s="704" t="s">
        <v>44</v>
      </c>
      <c r="E2341" s="704" t="s">
        <v>448</v>
      </c>
      <c r="F2341" s="705">
        <v>1.2721410398433914E-35</v>
      </c>
      <c r="G2341" s="705">
        <v>1.4837036410084692E-32</v>
      </c>
    </row>
    <row r="2342" spans="2:7" ht="11.25" hidden="1" customHeight="1" outlineLevel="2" x14ac:dyDescent="0.25">
      <c r="B2342" s="704" t="s">
        <v>673</v>
      </c>
      <c r="C2342" s="704" t="s">
        <v>801</v>
      </c>
      <c r="D2342" s="704" t="s">
        <v>44</v>
      </c>
      <c r="E2342" s="704" t="s">
        <v>448</v>
      </c>
      <c r="F2342" s="705">
        <v>4.0285334961292479E-3</v>
      </c>
      <c r="G2342" s="705">
        <v>4.1772842770633227</v>
      </c>
    </row>
    <row r="2343" spans="2:7" ht="11.25" hidden="1" customHeight="1" outlineLevel="2" x14ac:dyDescent="0.25">
      <c r="B2343" s="704" t="s">
        <v>677</v>
      </c>
      <c r="C2343" s="704" t="s">
        <v>801</v>
      </c>
      <c r="D2343" s="704" t="s">
        <v>44</v>
      </c>
      <c r="E2343" s="704" t="s">
        <v>448</v>
      </c>
      <c r="F2343" s="705">
        <v>7.5630146551103157E-3</v>
      </c>
      <c r="G2343" s="705">
        <v>7.7648853358242462</v>
      </c>
    </row>
    <row r="2344" spans="2:7" ht="11.25" hidden="1" customHeight="1" outlineLevel="2" x14ac:dyDescent="0.25">
      <c r="B2344" s="704" t="s">
        <v>678</v>
      </c>
      <c r="C2344" s="704" t="s">
        <v>801</v>
      </c>
      <c r="D2344" s="704" t="s">
        <v>44</v>
      </c>
      <c r="E2344" s="704" t="s">
        <v>448</v>
      </c>
      <c r="F2344" s="705">
        <v>1.5300286158764779E-2</v>
      </c>
      <c r="G2344" s="705">
        <v>15.885064052815455</v>
      </c>
    </row>
    <row r="2345" spans="2:7" ht="11.25" hidden="1" customHeight="1" outlineLevel="2" x14ac:dyDescent="0.25">
      <c r="B2345" s="704" t="s">
        <v>679</v>
      </c>
      <c r="C2345" s="704" t="s">
        <v>801</v>
      </c>
      <c r="D2345" s="704" t="s">
        <v>44</v>
      </c>
      <c r="E2345" s="704" t="s">
        <v>448</v>
      </c>
      <c r="F2345" s="705">
        <v>5.3687451205203561E-3</v>
      </c>
      <c r="G2345" s="705">
        <v>5.5897922709828611</v>
      </c>
    </row>
    <row r="2346" spans="2:7" ht="11.25" hidden="1" customHeight="1" outlineLevel="2" x14ac:dyDescent="0.25">
      <c r="B2346" s="704" t="s">
        <v>680</v>
      </c>
      <c r="C2346" s="704" t="s">
        <v>801</v>
      </c>
      <c r="D2346" s="704" t="s">
        <v>44</v>
      </c>
      <c r="E2346" s="704" t="s">
        <v>448</v>
      </c>
      <c r="F2346" s="705">
        <v>3.4869559580518981E-2</v>
      </c>
      <c r="G2346" s="705">
        <v>36.385234552153698</v>
      </c>
    </row>
    <row r="2347" spans="2:7" ht="11.25" hidden="1" customHeight="1" outlineLevel="2" x14ac:dyDescent="0.25">
      <c r="B2347" s="704" t="s">
        <v>681</v>
      </c>
      <c r="C2347" s="704" t="s">
        <v>801</v>
      </c>
      <c r="D2347" s="704" t="s">
        <v>44</v>
      </c>
      <c r="E2347" s="704" t="s">
        <v>448</v>
      </c>
      <c r="F2347" s="705">
        <v>3.9662689190984916E-2</v>
      </c>
      <c r="G2347" s="705">
        <v>41.178602899261925</v>
      </c>
    </row>
    <row r="2348" spans="2:7" ht="11.25" hidden="1" customHeight="1" outlineLevel="2" x14ac:dyDescent="0.25">
      <c r="B2348" s="704" t="s">
        <v>682</v>
      </c>
      <c r="C2348" s="704" t="s">
        <v>801</v>
      </c>
      <c r="D2348" s="704" t="s">
        <v>44</v>
      </c>
      <c r="E2348" s="704" t="s">
        <v>448</v>
      </c>
      <c r="F2348" s="705">
        <v>1.9284813428773723E-2</v>
      </c>
      <c r="G2348" s="705">
        <v>20.023969960715004</v>
      </c>
    </row>
    <row r="2349" spans="2:7" ht="11.25" hidden="1" customHeight="1" outlineLevel="2" x14ac:dyDescent="0.25">
      <c r="B2349" s="704" t="s">
        <v>683</v>
      </c>
      <c r="C2349" s="704" t="s">
        <v>801</v>
      </c>
      <c r="D2349" s="704" t="s">
        <v>44</v>
      </c>
      <c r="E2349" s="704" t="s">
        <v>448</v>
      </c>
      <c r="F2349" s="705">
        <v>9.0403869085305451E-3</v>
      </c>
      <c r="G2349" s="705">
        <v>9.4126082279582217</v>
      </c>
    </row>
    <row r="2350" spans="2:7" ht="11.25" hidden="1" customHeight="1" outlineLevel="2" x14ac:dyDescent="0.25">
      <c r="B2350" s="704" t="s">
        <v>684</v>
      </c>
      <c r="C2350" s="704" t="s">
        <v>801</v>
      </c>
      <c r="D2350" s="704" t="s">
        <v>44</v>
      </c>
      <c r="E2350" s="704" t="s">
        <v>448</v>
      </c>
      <c r="F2350" s="705">
        <v>3.1467382306889238E-2</v>
      </c>
      <c r="G2350" s="705">
        <v>32.835192119010671</v>
      </c>
    </row>
    <row r="2351" spans="2:7" ht="11.25" hidden="1" customHeight="1" outlineLevel="2" x14ac:dyDescent="0.25">
      <c r="B2351" s="704" t="s">
        <v>685</v>
      </c>
      <c r="C2351" s="704" t="s">
        <v>801</v>
      </c>
      <c r="D2351" s="704" t="s">
        <v>44</v>
      </c>
      <c r="E2351" s="704" t="s">
        <v>448</v>
      </c>
      <c r="F2351" s="705">
        <v>4.8119341281874339E-2</v>
      </c>
      <c r="G2351" s="705">
        <v>50.100572749177601</v>
      </c>
    </row>
    <row r="2352" spans="2:7" ht="11.25" hidden="1" customHeight="1" outlineLevel="2" x14ac:dyDescent="0.25">
      <c r="B2352" s="704" t="s">
        <v>686</v>
      </c>
      <c r="C2352" s="704" t="s">
        <v>801</v>
      </c>
      <c r="D2352" s="704" t="s">
        <v>44</v>
      </c>
      <c r="E2352" s="704" t="s">
        <v>448</v>
      </c>
      <c r="F2352" s="705">
        <v>1.4778583799093805E-2</v>
      </c>
      <c r="G2352" s="705">
        <v>15.324270609494237</v>
      </c>
    </row>
    <row r="2353" spans="2:7" ht="11.25" hidden="1" customHeight="1" outlineLevel="2" x14ac:dyDescent="0.25">
      <c r="B2353" s="704" t="s">
        <v>687</v>
      </c>
      <c r="C2353" s="704" t="s">
        <v>801</v>
      </c>
      <c r="D2353" s="704" t="s">
        <v>44</v>
      </c>
      <c r="E2353" s="704" t="s">
        <v>448</v>
      </c>
      <c r="F2353" s="706">
        <v>1.8067410270553891E-2</v>
      </c>
      <c r="G2353" s="705">
        <v>18.757949143869368</v>
      </c>
    </row>
    <row r="2354" spans="2:7" ht="11.25" hidden="1" customHeight="1" outlineLevel="2" x14ac:dyDescent="0.25">
      <c r="B2354" s="704" t="s">
        <v>688</v>
      </c>
      <c r="C2354" s="704" t="s">
        <v>801</v>
      </c>
      <c r="D2354" s="704" t="s">
        <v>44</v>
      </c>
      <c r="E2354" s="704" t="s">
        <v>448</v>
      </c>
      <c r="F2354" s="706">
        <v>8.1960559538365729E-3</v>
      </c>
      <c r="G2354" s="705">
        <v>8.5093134761534923</v>
      </c>
    </row>
    <row r="2355" spans="2:7" ht="11.25" hidden="1" customHeight="1" outlineLevel="2" x14ac:dyDescent="0.25">
      <c r="B2355" s="704" t="s">
        <v>689</v>
      </c>
      <c r="C2355" s="704" t="s">
        <v>801</v>
      </c>
      <c r="D2355" s="704" t="s">
        <v>44</v>
      </c>
      <c r="E2355" s="704" t="s">
        <v>448</v>
      </c>
      <c r="F2355" s="706">
        <v>4.0095269884675926E-2</v>
      </c>
      <c r="G2355" s="705">
        <v>41.565346769197689</v>
      </c>
    </row>
    <row r="2356" spans="2:7" ht="11.25" hidden="1" customHeight="1" outlineLevel="2" x14ac:dyDescent="0.25">
      <c r="B2356" s="704" t="s">
        <v>690</v>
      </c>
      <c r="C2356" s="704" t="s">
        <v>801</v>
      </c>
      <c r="D2356" s="704" t="s">
        <v>44</v>
      </c>
      <c r="E2356" s="704" t="s">
        <v>448</v>
      </c>
      <c r="F2356" s="706">
        <v>1.7502518150407449E-2</v>
      </c>
      <c r="G2356" s="705">
        <v>18.223151866174312</v>
      </c>
    </row>
    <row r="2357" spans="2:7" ht="11.25" hidden="1" customHeight="1" outlineLevel="2" x14ac:dyDescent="0.25">
      <c r="B2357" s="704" t="s">
        <v>691</v>
      </c>
      <c r="C2357" s="704" t="s">
        <v>801</v>
      </c>
      <c r="D2357" s="704" t="s">
        <v>44</v>
      </c>
      <c r="E2357" s="704" t="s">
        <v>448</v>
      </c>
      <c r="F2357" s="706">
        <v>6.8431073461608519E-3</v>
      </c>
      <c r="G2357" s="705">
        <v>7.1248593543095451</v>
      </c>
    </row>
    <row r="2358" spans="2:7" ht="11.25" hidden="1" customHeight="1" outlineLevel="2" x14ac:dyDescent="0.25">
      <c r="B2358" s="704" t="s">
        <v>692</v>
      </c>
      <c r="C2358" s="704" t="s">
        <v>801</v>
      </c>
      <c r="D2358" s="704" t="s">
        <v>44</v>
      </c>
      <c r="E2358" s="704" t="s">
        <v>448</v>
      </c>
      <c r="F2358" s="706">
        <v>4.9470071073057571E-2</v>
      </c>
      <c r="G2358" s="705">
        <v>51.360815695897756</v>
      </c>
    </row>
    <row r="2359" spans="2:7" ht="11.25" hidden="1" customHeight="1" outlineLevel="2" x14ac:dyDescent="0.25">
      <c r="B2359" s="704" t="s">
        <v>693</v>
      </c>
      <c r="C2359" s="704" t="s">
        <v>801</v>
      </c>
      <c r="D2359" s="704" t="s">
        <v>44</v>
      </c>
      <c r="E2359" s="704" t="s">
        <v>448</v>
      </c>
      <c r="F2359" s="706">
        <v>1.3498737490036128E-2</v>
      </c>
      <c r="G2359" s="705">
        <v>14.085486023776323</v>
      </c>
    </row>
    <row r="2360" spans="2:7" ht="11.25" hidden="1" customHeight="1" outlineLevel="2" x14ac:dyDescent="0.25">
      <c r="B2360" s="704" t="s">
        <v>694</v>
      </c>
      <c r="C2360" s="704" t="s">
        <v>801</v>
      </c>
      <c r="D2360" s="704" t="s">
        <v>44</v>
      </c>
      <c r="E2360" s="704" t="s">
        <v>448</v>
      </c>
      <c r="F2360" s="706">
        <v>1.5328790279751548E-2</v>
      </c>
      <c r="G2360" s="705">
        <v>16.01831032055232</v>
      </c>
    </row>
    <row r="2361" spans="2:7" ht="11.25" hidden="1" customHeight="1" outlineLevel="2" x14ac:dyDescent="0.25">
      <c r="B2361" s="704" t="s">
        <v>695</v>
      </c>
      <c r="C2361" s="704" t="s">
        <v>801</v>
      </c>
      <c r="D2361" s="704" t="s">
        <v>44</v>
      </c>
      <c r="E2361" s="704" t="s">
        <v>448</v>
      </c>
      <c r="F2361" s="706">
        <v>3.17236458417035E-2</v>
      </c>
      <c r="G2361" s="705">
        <v>33.102579577477066</v>
      </c>
    </row>
    <row r="2362" spans="2:7" ht="11.25" hidden="1" customHeight="1" outlineLevel="2" x14ac:dyDescent="0.25">
      <c r="B2362" s="704" t="s">
        <v>696</v>
      </c>
      <c r="C2362" s="704" t="s">
        <v>801</v>
      </c>
      <c r="D2362" s="704" t="s">
        <v>44</v>
      </c>
      <c r="E2362" s="704" t="s">
        <v>448</v>
      </c>
      <c r="F2362" s="706">
        <v>2.917433019709776E-2</v>
      </c>
      <c r="G2362" s="705">
        <v>30.251556081785765</v>
      </c>
    </row>
    <row r="2363" spans="2:7" ht="11.25" hidden="1" customHeight="1" outlineLevel="2" x14ac:dyDescent="0.25">
      <c r="B2363" s="704" t="s">
        <v>697</v>
      </c>
      <c r="C2363" s="704" t="s">
        <v>801</v>
      </c>
      <c r="D2363" s="704" t="s">
        <v>44</v>
      </c>
      <c r="E2363" s="704" t="s">
        <v>448</v>
      </c>
      <c r="F2363" s="705">
        <v>2.2268920797414347E-2</v>
      </c>
      <c r="G2363" s="705">
        <v>23.236881716136118</v>
      </c>
    </row>
    <row r="2364" spans="2:7" ht="11.25" hidden="1" customHeight="1" outlineLevel="2" x14ac:dyDescent="0.25">
      <c r="B2364" s="704" t="s">
        <v>698</v>
      </c>
      <c r="C2364" s="704" t="s">
        <v>801</v>
      </c>
      <c r="D2364" s="704" t="s">
        <v>44</v>
      </c>
      <c r="E2364" s="704" t="s">
        <v>448</v>
      </c>
      <c r="F2364" s="705">
        <v>3.3855200425178665E-2</v>
      </c>
      <c r="G2364" s="705">
        <v>35.32679399798608</v>
      </c>
    </row>
    <row r="2365" spans="2:7" ht="11.25" hidden="1" customHeight="1" outlineLevel="2" x14ac:dyDescent="0.25">
      <c r="B2365" s="704" t="s">
        <v>699</v>
      </c>
      <c r="C2365" s="704" t="s">
        <v>801</v>
      </c>
      <c r="D2365" s="704" t="s">
        <v>44</v>
      </c>
      <c r="E2365" s="704" t="s">
        <v>448</v>
      </c>
      <c r="F2365" s="706">
        <v>1.6597304970493812E-33</v>
      </c>
      <c r="G2365" s="705">
        <v>2.1675830777834775E-30</v>
      </c>
    </row>
    <row r="2366" spans="2:7" ht="11.25" hidden="1" customHeight="1" outlineLevel="2" x14ac:dyDescent="0.25">
      <c r="B2366" s="704" t="s">
        <v>673</v>
      </c>
      <c r="C2366" s="704" t="s">
        <v>802</v>
      </c>
      <c r="D2366" s="704" t="s">
        <v>44</v>
      </c>
      <c r="E2366" s="704" t="s">
        <v>448</v>
      </c>
      <c r="F2366" s="705">
        <v>1.3241117115386706E-2</v>
      </c>
      <c r="G2366" s="705">
        <v>8.9540046803672304</v>
      </c>
    </row>
    <row r="2367" spans="2:7" ht="11.25" hidden="1" customHeight="1" outlineLevel="2" x14ac:dyDescent="0.25">
      <c r="B2367" s="704" t="s">
        <v>677</v>
      </c>
      <c r="C2367" s="704" t="s">
        <v>802</v>
      </c>
      <c r="D2367" s="704" t="s">
        <v>44</v>
      </c>
      <c r="E2367" s="704" t="s">
        <v>448</v>
      </c>
      <c r="F2367" s="705">
        <v>2.4834482234941391E-2</v>
      </c>
      <c r="G2367" s="705">
        <v>16.644039048352433</v>
      </c>
    </row>
    <row r="2368" spans="2:7" ht="11.25" hidden="1" customHeight="1" outlineLevel="2" x14ac:dyDescent="0.25">
      <c r="B2368" s="704" t="s">
        <v>678</v>
      </c>
      <c r="C2368" s="704" t="s">
        <v>802</v>
      </c>
      <c r="D2368" s="704" t="s">
        <v>44</v>
      </c>
      <c r="E2368" s="704" t="s">
        <v>448</v>
      </c>
      <c r="F2368" s="705">
        <v>5.029563892653844E-2</v>
      </c>
      <c r="G2368" s="705">
        <v>34.049648477356506</v>
      </c>
    </row>
    <row r="2369" spans="2:7" ht="11.25" hidden="1" customHeight="1" outlineLevel="2" x14ac:dyDescent="0.25">
      <c r="B2369" s="704" t="s">
        <v>679</v>
      </c>
      <c r="C2369" s="704" t="s">
        <v>802</v>
      </c>
      <c r="D2369" s="704" t="s">
        <v>44</v>
      </c>
      <c r="E2369" s="704" t="s">
        <v>448</v>
      </c>
      <c r="F2369" s="705">
        <v>1.7653214269495492E-2</v>
      </c>
      <c r="G2369" s="705">
        <v>11.981732881397019</v>
      </c>
    </row>
    <row r="2370" spans="2:7" ht="11.25" hidden="1" customHeight="1" outlineLevel="2" x14ac:dyDescent="0.25">
      <c r="B2370" s="704" t="s">
        <v>680</v>
      </c>
      <c r="C2370" s="704" t="s">
        <v>802</v>
      </c>
      <c r="D2370" s="704" t="s">
        <v>44</v>
      </c>
      <c r="E2370" s="704" t="s">
        <v>448</v>
      </c>
      <c r="F2370" s="705">
        <v>0.11468091640277145</v>
      </c>
      <c r="G2370" s="705">
        <v>77.991774755330084</v>
      </c>
    </row>
    <row r="2371" spans="2:7" ht="11.25" hidden="1" customHeight="1" outlineLevel="2" x14ac:dyDescent="0.25">
      <c r="B2371" s="704" t="s">
        <v>681</v>
      </c>
      <c r="C2371" s="704" t="s">
        <v>802</v>
      </c>
      <c r="D2371" s="704" t="s">
        <v>44</v>
      </c>
      <c r="E2371" s="704" t="s">
        <v>448</v>
      </c>
      <c r="F2371" s="705">
        <v>0.13038060703548562</v>
      </c>
      <c r="G2371" s="705">
        <v>88.266382977534363</v>
      </c>
    </row>
    <row r="2372" spans="2:7" ht="11.25" hidden="1" customHeight="1" outlineLevel="2" x14ac:dyDescent="0.25">
      <c r="B2372" s="704" t="s">
        <v>682</v>
      </c>
      <c r="C2372" s="704" t="s">
        <v>802</v>
      </c>
      <c r="D2372" s="704" t="s">
        <v>44</v>
      </c>
      <c r="E2372" s="704" t="s">
        <v>448</v>
      </c>
      <c r="F2372" s="705">
        <v>6.3394373353471298E-2</v>
      </c>
      <c r="G2372" s="705">
        <v>42.921398396968961</v>
      </c>
    </row>
    <row r="2373" spans="2:7" ht="11.25" hidden="1" customHeight="1" outlineLevel="2" x14ac:dyDescent="0.25">
      <c r="B2373" s="704" t="s">
        <v>683</v>
      </c>
      <c r="C2373" s="704" t="s">
        <v>802</v>
      </c>
      <c r="D2373" s="704" t="s">
        <v>44</v>
      </c>
      <c r="E2373" s="704" t="s">
        <v>448</v>
      </c>
      <c r="F2373" s="705">
        <v>2.9726119619235349E-2</v>
      </c>
      <c r="G2373" s="705">
        <v>20.175935659371035</v>
      </c>
    </row>
    <row r="2374" spans="2:7" ht="11.25" hidden="1" customHeight="1" outlineLevel="2" x14ac:dyDescent="0.25">
      <c r="B2374" s="704" t="s">
        <v>684</v>
      </c>
      <c r="C2374" s="704" t="s">
        <v>802</v>
      </c>
      <c r="D2374" s="704" t="s">
        <v>44</v>
      </c>
      <c r="E2374" s="704" t="s">
        <v>448</v>
      </c>
      <c r="F2374" s="705">
        <v>0.10349171854710809</v>
      </c>
      <c r="G2374" s="705">
        <v>70.382246672353133</v>
      </c>
    </row>
    <row r="2375" spans="2:7" ht="11.25" hidden="1" customHeight="1" outlineLevel="2" x14ac:dyDescent="0.25">
      <c r="B2375" s="704" t="s">
        <v>685</v>
      </c>
      <c r="C2375" s="704" t="s">
        <v>802</v>
      </c>
      <c r="D2375" s="704" t="s">
        <v>44</v>
      </c>
      <c r="E2375" s="704" t="s">
        <v>448</v>
      </c>
      <c r="F2375" s="705">
        <v>0.15822353263029929</v>
      </c>
      <c r="G2375" s="705">
        <v>107.39060647665133</v>
      </c>
    </row>
    <row r="2376" spans="2:7" ht="11.25" hidden="1" customHeight="1" outlineLevel="2" x14ac:dyDescent="0.25">
      <c r="B2376" s="704" t="s">
        <v>686</v>
      </c>
      <c r="C2376" s="704" t="s">
        <v>802</v>
      </c>
      <c r="D2376" s="704" t="s">
        <v>44</v>
      </c>
      <c r="E2376" s="704" t="s">
        <v>448</v>
      </c>
      <c r="F2376" s="705">
        <v>4.857477310507187E-2</v>
      </c>
      <c r="G2376" s="705">
        <v>32.847597261163898</v>
      </c>
    </row>
    <row r="2377" spans="2:7" ht="11.25" hidden="1" customHeight="1" outlineLevel="2" x14ac:dyDescent="0.25">
      <c r="B2377" s="704" t="s">
        <v>687</v>
      </c>
      <c r="C2377" s="704" t="s">
        <v>802</v>
      </c>
      <c r="D2377" s="704" t="s">
        <v>44</v>
      </c>
      <c r="E2377" s="704" t="s">
        <v>448</v>
      </c>
      <c r="F2377" s="705">
        <v>5.9391841985835227E-2</v>
      </c>
      <c r="G2377" s="705">
        <v>40.207691991214887</v>
      </c>
    </row>
    <row r="2378" spans="2:7" ht="11.25" hidden="1" customHeight="1" outlineLevel="2" x14ac:dyDescent="0.25">
      <c r="B2378" s="704" t="s">
        <v>688</v>
      </c>
      <c r="C2378" s="704" t="s">
        <v>802</v>
      </c>
      <c r="D2378" s="704" t="s">
        <v>44</v>
      </c>
      <c r="E2378" s="704" t="s">
        <v>448</v>
      </c>
      <c r="F2378" s="705">
        <v>2.6942356916585523E-2</v>
      </c>
      <c r="G2378" s="705">
        <v>18.239721171412143</v>
      </c>
    </row>
    <row r="2379" spans="2:7" ht="11.25" hidden="1" customHeight="1" outlineLevel="2" x14ac:dyDescent="0.25">
      <c r="B2379" s="704" t="s">
        <v>689</v>
      </c>
      <c r="C2379" s="704" t="s">
        <v>802</v>
      </c>
      <c r="D2379" s="704" t="s">
        <v>44</v>
      </c>
      <c r="E2379" s="704" t="s">
        <v>448</v>
      </c>
      <c r="F2379" s="705">
        <v>0.13178336380759276</v>
      </c>
      <c r="G2379" s="705">
        <v>89.095361805530487</v>
      </c>
    </row>
    <row r="2380" spans="2:7" ht="11.25" hidden="1" customHeight="1" outlineLevel="2" x14ac:dyDescent="0.25">
      <c r="B2380" s="704" t="s">
        <v>690</v>
      </c>
      <c r="C2380" s="704" t="s">
        <v>802</v>
      </c>
      <c r="D2380" s="704" t="s">
        <v>44</v>
      </c>
      <c r="E2380" s="704" t="s">
        <v>448</v>
      </c>
      <c r="F2380" s="705">
        <v>5.7550897944251111E-2</v>
      </c>
      <c r="G2380" s="705">
        <v>39.061338724013808</v>
      </c>
    </row>
    <row r="2381" spans="2:7" ht="11.25" hidden="1" customHeight="1" outlineLevel="2" x14ac:dyDescent="0.25">
      <c r="B2381" s="704" t="s">
        <v>691</v>
      </c>
      <c r="C2381" s="704" t="s">
        <v>802</v>
      </c>
      <c r="D2381" s="704" t="s">
        <v>44</v>
      </c>
      <c r="E2381" s="704" t="s">
        <v>448</v>
      </c>
      <c r="F2381" s="705">
        <v>2.2501150080422909E-2</v>
      </c>
      <c r="G2381" s="705">
        <v>15.272156507810053</v>
      </c>
    </row>
    <row r="2382" spans="2:7" ht="11.25" hidden="1" customHeight="1" outlineLevel="2" x14ac:dyDescent="0.25">
      <c r="B2382" s="704" t="s">
        <v>692</v>
      </c>
      <c r="C2382" s="704" t="s">
        <v>802</v>
      </c>
      <c r="D2382" s="704" t="s">
        <v>44</v>
      </c>
      <c r="E2382" s="704" t="s">
        <v>448</v>
      </c>
      <c r="F2382" s="705">
        <v>0.16261972144537795</v>
      </c>
      <c r="G2382" s="705">
        <v>110.09187011362901</v>
      </c>
    </row>
    <row r="2383" spans="2:7" ht="11.25" hidden="1" customHeight="1" outlineLevel="2" x14ac:dyDescent="0.25">
      <c r="B2383" s="704" t="s">
        <v>693</v>
      </c>
      <c r="C2383" s="704" t="s">
        <v>802</v>
      </c>
      <c r="D2383" s="704" t="s">
        <v>44</v>
      </c>
      <c r="E2383" s="704" t="s">
        <v>448</v>
      </c>
      <c r="F2383" s="705">
        <v>4.4395387385369509E-2</v>
      </c>
      <c r="G2383" s="705">
        <v>30.192255620822149</v>
      </c>
    </row>
    <row r="2384" spans="2:7" ht="11.25" hidden="1" customHeight="1" outlineLevel="2" x14ac:dyDescent="0.25">
      <c r="B2384" s="704" t="s">
        <v>694</v>
      </c>
      <c r="C2384" s="704" t="s">
        <v>802</v>
      </c>
      <c r="D2384" s="704" t="s">
        <v>44</v>
      </c>
      <c r="E2384" s="704" t="s">
        <v>448</v>
      </c>
      <c r="F2384" s="705">
        <v>5.0421339997414646E-2</v>
      </c>
      <c r="G2384" s="705">
        <v>34.335270738461595</v>
      </c>
    </row>
    <row r="2385" spans="2:7" ht="11.25" hidden="1" customHeight="1" outlineLevel="2" x14ac:dyDescent="0.25">
      <c r="B2385" s="704" t="s">
        <v>695</v>
      </c>
      <c r="C2385" s="704" t="s">
        <v>802</v>
      </c>
      <c r="D2385" s="704" t="s">
        <v>44</v>
      </c>
      <c r="E2385" s="704" t="s">
        <v>448</v>
      </c>
      <c r="F2385" s="705">
        <v>0.1043344968080278</v>
      </c>
      <c r="G2385" s="705">
        <v>70.955437534597422</v>
      </c>
    </row>
    <row r="2386" spans="2:7" ht="11.25" hidden="1" customHeight="1" outlineLevel="2" x14ac:dyDescent="0.25">
      <c r="B2386" s="704" t="s">
        <v>696</v>
      </c>
      <c r="C2386" s="704" t="s">
        <v>802</v>
      </c>
      <c r="D2386" s="704" t="s">
        <v>44</v>
      </c>
      <c r="E2386" s="704" t="s">
        <v>448</v>
      </c>
      <c r="F2386" s="706">
        <v>9.589122851983109E-2</v>
      </c>
      <c r="G2386" s="705">
        <v>64.844232202589751</v>
      </c>
    </row>
    <row r="2387" spans="2:7" ht="11.25" hidden="1" customHeight="1" outlineLevel="2" x14ac:dyDescent="0.25">
      <c r="B2387" s="704" t="s">
        <v>697</v>
      </c>
      <c r="C2387" s="704" t="s">
        <v>802</v>
      </c>
      <c r="D2387" s="704" t="s">
        <v>44</v>
      </c>
      <c r="E2387" s="704" t="s">
        <v>448</v>
      </c>
      <c r="F2387" s="706">
        <v>7.3239258185491332E-2</v>
      </c>
      <c r="G2387" s="705">
        <v>49.808282798379317</v>
      </c>
    </row>
    <row r="2388" spans="2:7" ht="11.25" hidden="1" customHeight="1" outlineLevel="2" x14ac:dyDescent="0.25">
      <c r="B2388" s="704" t="s">
        <v>698</v>
      </c>
      <c r="C2388" s="704" t="s">
        <v>802</v>
      </c>
      <c r="D2388" s="704" t="s">
        <v>44</v>
      </c>
      <c r="E2388" s="704" t="s">
        <v>448</v>
      </c>
      <c r="F2388" s="706">
        <v>0.11134485324987248</v>
      </c>
      <c r="G2388" s="705">
        <v>75.723021232441809</v>
      </c>
    </row>
    <row r="2389" spans="2:7" ht="11.25" hidden="1" customHeight="1" outlineLevel="2" x14ac:dyDescent="0.25">
      <c r="B2389" s="704" t="s">
        <v>699</v>
      </c>
      <c r="C2389" s="704" t="s">
        <v>802</v>
      </c>
      <c r="D2389" s="704" t="s">
        <v>44</v>
      </c>
      <c r="E2389" s="704" t="s">
        <v>448</v>
      </c>
      <c r="F2389" s="706">
        <v>3.2387271652855731E-33</v>
      </c>
      <c r="G2389" s="705">
        <v>2.1925866068221845E-30</v>
      </c>
    </row>
    <row r="2390" spans="2:7" ht="11.25" hidden="1" customHeight="1" outlineLevel="2" x14ac:dyDescent="0.25">
      <c r="B2390" s="704" t="s">
        <v>673</v>
      </c>
      <c r="C2390" s="704" t="s">
        <v>803</v>
      </c>
      <c r="D2390" s="704" t="s">
        <v>44</v>
      </c>
      <c r="E2390" s="704" t="s">
        <v>448</v>
      </c>
      <c r="F2390" s="706">
        <v>1.4874603130603078E-3</v>
      </c>
      <c r="G2390" s="705">
        <v>1.9480616581416537</v>
      </c>
    </row>
    <row r="2391" spans="2:7" ht="11.25" hidden="1" customHeight="1" outlineLevel="2" x14ac:dyDescent="0.25">
      <c r="B2391" s="704" t="s">
        <v>677</v>
      </c>
      <c r="C2391" s="704" t="s">
        <v>803</v>
      </c>
      <c r="D2391" s="704" t="s">
        <v>44</v>
      </c>
      <c r="E2391" s="704" t="s">
        <v>448</v>
      </c>
      <c r="F2391" s="706">
        <v>2.7867262661299174E-3</v>
      </c>
      <c r="G2391" s="705">
        <v>3.6211278552893913</v>
      </c>
    </row>
    <row r="2392" spans="2:7" ht="11.25" hidden="1" customHeight="1" outlineLevel="2" x14ac:dyDescent="0.25">
      <c r="B2392" s="704" t="s">
        <v>678</v>
      </c>
      <c r="C2392" s="704" t="s">
        <v>803</v>
      </c>
      <c r="D2392" s="704" t="s">
        <v>44</v>
      </c>
      <c r="E2392" s="704" t="s">
        <v>448</v>
      </c>
      <c r="F2392" s="705">
        <v>5.6508224740235164E-3</v>
      </c>
      <c r="G2392" s="705">
        <v>7.4079452945079707</v>
      </c>
    </row>
    <row r="2393" spans="2:7" ht="11.25" hidden="1" customHeight="1" outlineLevel="2" x14ac:dyDescent="0.25">
      <c r="B2393" s="704" t="s">
        <v>679</v>
      </c>
      <c r="C2393" s="704" t="s">
        <v>803</v>
      </c>
      <c r="D2393" s="704" t="s">
        <v>44</v>
      </c>
      <c r="E2393" s="704" t="s">
        <v>448</v>
      </c>
      <c r="F2393" s="705">
        <v>1.9840091501422052E-3</v>
      </c>
      <c r="G2393" s="705">
        <v>2.6067809643422444</v>
      </c>
    </row>
    <row r="2394" spans="2:7" ht="11.25" hidden="1" customHeight="1" outlineLevel="2" x14ac:dyDescent="0.25">
      <c r="B2394" s="704" t="s">
        <v>680</v>
      </c>
      <c r="C2394" s="704" t="s">
        <v>803</v>
      </c>
      <c r="D2394" s="704" t="s">
        <v>44</v>
      </c>
      <c r="E2394" s="704" t="s">
        <v>448</v>
      </c>
      <c r="F2394" s="705">
        <v>1.2891951052548228E-2</v>
      </c>
      <c r="G2394" s="705">
        <v>16.968123570809578</v>
      </c>
    </row>
    <row r="2395" spans="2:7" ht="11.25" hidden="1" customHeight="1" outlineLevel="2" x14ac:dyDescent="0.25">
      <c r="B2395" s="704" t="s">
        <v>681</v>
      </c>
      <c r="C2395" s="704" t="s">
        <v>803</v>
      </c>
      <c r="D2395" s="704" t="s">
        <v>44</v>
      </c>
      <c r="E2395" s="704" t="s">
        <v>448</v>
      </c>
      <c r="F2395" s="705">
        <v>1.464853929319033E-2</v>
      </c>
      <c r="G2395" s="705">
        <v>19.203503086775562</v>
      </c>
    </row>
    <row r="2396" spans="2:7" ht="11.25" hidden="1" customHeight="1" outlineLevel="2" x14ac:dyDescent="0.25">
      <c r="B2396" s="704" t="s">
        <v>682</v>
      </c>
      <c r="C2396" s="704" t="s">
        <v>803</v>
      </c>
      <c r="D2396" s="704" t="s">
        <v>44</v>
      </c>
      <c r="E2396" s="704" t="s">
        <v>448</v>
      </c>
      <c r="F2396" s="705">
        <v>7.1225733854141261E-3</v>
      </c>
      <c r="G2396" s="705">
        <v>9.3381137691202678</v>
      </c>
    </row>
    <row r="2397" spans="2:7" ht="11.25" hidden="1" customHeight="1" outlineLevel="2" x14ac:dyDescent="0.25">
      <c r="B2397" s="704" t="s">
        <v>683</v>
      </c>
      <c r="C2397" s="704" t="s">
        <v>803</v>
      </c>
      <c r="D2397" s="704" t="s">
        <v>44</v>
      </c>
      <c r="E2397" s="704" t="s">
        <v>448</v>
      </c>
      <c r="F2397" s="705">
        <v>3.3408586747085012E-3</v>
      </c>
      <c r="G2397" s="705">
        <v>4.3895371853479501</v>
      </c>
    </row>
    <row r="2398" spans="2:7" ht="11.25" hidden="1" customHeight="1" outlineLevel="2" x14ac:dyDescent="0.25">
      <c r="B2398" s="704" t="s">
        <v>684</v>
      </c>
      <c r="C2398" s="704" t="s">
        <v>803</v>
      </c>
      <c r="D2398" s="704" t="s">
        <v>44</v>
      </c>
      <c r="E2398" s="704" t="s">
        <v>448</v>
      </c>
      <c r="F2398" s="705">
        <v>1.1634102916539364E-2</v>
      </c>
      <c r="G2398" s="705">
        <v>15.312572825631575</v>
      </c>
    </row>
    <row r="2399" spans="2:7" ht="11.25" hidden="1" customHeight="1" outlineLevel="2" x14ac:dyDescent="0.25">
      <c r="B2399" s="704" t="s">
        <v>685</v>
      </c>
      <c r="C2399" s="704" t="s">
        <v>803</v>
      </c>
      <c r="D2399" s="704" t="s">
        <v>44</v>
      </c>
      <c r="E2399" s="704" t="s">
        <v>448</v>
      </c>
      <c r="F2399" s="705">
        <v>1.7782416882123453E-2</v>
      </c>
      <c r="G2399" s="705">
        <v>23.364221528448127</v>
      </c>
    </row>
    <row r="2400" spans="2:7" ht="11.25" hidden="1" customHeight="1" outlineLevel="2" x14ac:dyDescent="0.25">
      <c r="B2400" s="704" t="s">
        <v>686</v>
      </c>
      <c r="C2400" s="704" t="s">
        <v>803</v>
      </c>
      <c r="D2400" s="704" t="s">
        <v>44</v>
      </c>
      <c r="E2400" s="704" t="s">
        <v>448</v>
      </c>
      <c r="F2400" s="705">
        <v>5.4567147002255326E-3</v>
      </c>
      <c r="G2400" s="705">
        <v>7.1464210982750052</v>
      </c>
    </row>
    <row r="2401" spans="2:7" ht="11.25" hidden="1" customHeight="1" outlineLevel="2" x14ac:dyDescent="0.25">
      <c r="B2401" s="704" t="s">
        <v>687</v>
      </c>
      <c r="C2401" s="704" t="s">
        <v>803</v>
      </c>
      <c r="D2401" s="704" t="s">
        <v>44</v>
      </c>
      <c r="E2401" s="704" t="s">
        <v>448</v>
      </c>
      <c r="F2401" s="705">
        <v>6.6727953699173021E-3</v>
      </c>
      <c r="G2401" s="705">
        <v>8.7477080344205067</v>
      </c>
    </row>
    <row r="2402" spans="2:7" ht="11.25" hidden="1" customHeight="1" outlineLevel="2" x14ac:dyDescent="0.25">
      <c r="B2402" s="704" t="s">
        <v>688</v>
      </c>
      <c r="C2402" s="704" t="s">
        <v>803</v>
      </c>
      <c r="D2402" s="704" t="s">
        <v>44</v>
      </c>
      <c r="E2402" s="704" t="s">
        <v>448</v>
      </c>
      <c r="F2402" s="705">
        <v>3.0270320949908449E-3</v>
      </c>
      <c r="G2402" s="705">
        <v>3.9682871461072908</v>
      </c>
    </row>
    <row r="2403" spans="2:7" ht="11.25" hidden="1" customHeight="1" outlineLevel="2" x14ac:dyDescent="0.25">
      <c r="B2403" s="704" t="s">
        <v>689</v>
      </c>
      <c r="C2403" s="704" t="s">
        <v>803</v>
      </c>
      <c r="D2403" s="704" t="s">
        <v>44</v>
      </c>
      <c r="E2403" s="704" t="s">
        <v>448</v>
      </c>
      <c r="F2403" s="705">
        <v>1.4803643191125569E-2</v>
      </c>
      <c r="G2403" s="705">
        <v>19.383859592415597</v>
      </c>
    </row>
    <row r="2404" spans="2:7" ht="11.25" hidden="1" customHeight="1" outlineLevel="2" x14ac:dyDescent="0.25">
      <c r="B2404" s="704" t="s">
        <v>690</v>
      </c>
      <c r="C2404" s="704" t="s">
        <v>803</v>
      </c>
      <c r="D2404" s="704" t="s">
        <v>44</v>
      </c>
      <c r="E2404" s="704" t="s">
        <v>448</v>
      </c>
      <c r="F2404" s="705">
        <v>6.4680239181768781E-3</v>
      </c>
      <c r="G2404" s="705">
        <v>8.4983040958436575</v>
      </c>
    </row>
    <row r="2405" spans="2:7" ht="11.25" hidden="1" customHeight="1" outlineLevel="2" x14ac:dyDescent="0.25">
      <c r="B2405" s="704" t="s">
        <v>691</v>
      </c>
      <c r="C2405" s="704" t="s">
        <v>803</v>
      </c>
      <c r="D2405" s="704" t="s">
        <v>44</v>
      </c>
      <c r="E2405" s="704" t="s">
        <v>448</v>
      </c>
      <c r="F2405" s="705">
        <v>2.5288582676869609E-3</v>
      </c>
      <c r="G2405" s="705">
        <v>3.3226547161907241</v>
      </c>
    </row>
    <row r="2406" spans="2:7" ht="11.25" hidden="1" customHeight="1" outlineLevel="2" x14ac:dyDescent="0.25">
      <c r="B2406" s="704" t="s">
        <v>692</v>
      </c>
      <c r="C2406" s="704" t="s">
        <v>803</v>
      </c>
      <c r="D2406" s="704" t="s">
        <v>44</v>
      </c>
      <c r="E2406" s="704" t="s">
        <v>448</v>
      </c>
      <c r="F2406" s="705">
        <v>1.8270670175817405E-2</v>
      </c>
      <c r="G2406" s="705">
        <v>23.951939243276328</v>
      </c>
    </row>
    <row r="2407" spans="2:7" ht="11.25" hidden="1" customHeight="1" outlineLevel="2" x14ac:dyDescent="0.25">
      <c r="B2407" s="704" t="s">
        <v>693</v>
      </c>
      <c r="C2407" s="704" t="s">
        <v>803</v>
      </c>
      <c r="D2407" s="704" t="s">
        <v>44</v>
      </c>
      <c r="E2407" s="704" t="s">
        <v>448</v>
      </c>
      <c r="F2407" s="705">
        <v>4.9907448448321635E-3</v>
      </c>
      <c r="G2407" s="705">
        <v>6.568718095452768</v>
      </c>
    </row>
    <row r="2408" spans="2:7" ht="11.25" hidden="1" customHeight="1" outlineLevel="2" x14ac:dyDescent="0.25">
      <c r="B2408" s="704" t="s">
        <v>694</v>
      </c>
      <c r="C2408" s="704" t="s">
        <v>803</v>
      </c>
      <c r="D2408" s="704" t="s">
        <v>44</v>
      </c>
      <c r="E2408" s="704" t="s">
        <v>448</v>
      </c>
      <c r="F2408" s="705">
        <v>5.6690849032878616E-3</v>
      </c>
      <c r="G2408" s="705">
        <v>6.6953415830537093</v>
      </c>
    </row>
    <row r="2409" spans="2:7" ht="11.25" hidden="1" customHeight="1" outlineLevel="2" x14ac:dyDescent="0.25">
      <c r="B2409" s="704" t="s">
        <v>695</v>
      </c>
      <c r="C2409" s="704" t="s">
        <v>803</v>
      </c>
      <c r="D2409" s="704" t="s">
        <v>44</v>
      </c>
      <c r="E2409" s="704" t="s">
        <v>448</v>
      </c>
      <c r="F2409" s="705">
        <v>1.172885058721109E-2</v>
      </c>
      <c r="G2409" s="705">
        <v>15.43726916626974</v>
      </c>
    </row>
    <row r="2410" spans="2:7" ht="11.25" hidden="1" customHeight="1" outlineLevel="2" x14ac:dyDescent="0.25">
      <c r="B2410" s="704" t="s">
        <v>696</v>
      </c>
      <c r="C2410" s="704" t="s">
        <v>803</v>
      </c>
      <c r="D2410" s="704" t="s">
        <v>44</v>
      </c>
      <c r="E2410" s="704" t="s">
        <v>448</v>
      </c>
      <c r="F2410" s="705">
        <v>1.077206701464356E-2</v>
      </c>
      <c r="G2410" s="705">
        <v>14.107712605452319</v>
      </c>
    </row>
    <row r="2411" spans="2:7" ht="11.25" hidden="1" customHeight="1" outlineLevel="2" x14ac:dyDescent="0.25">
      <c r="B2411" s="704" t="s">
        <v>697</v>
      </c>
      <c r="C2411" s="704" t="s">
        <v>803</v>
      </c>
      <c r="D2411" s="704" t="s">
        <v>44</v>
      </c>
      <c r="E2411" s="704" t="s">
        <v>448</v>
      </c>
      <c r="F2411" s="705">
        <v>8.2332517713019828E-3</v>
      </c>
      <c r="G2411" s="705">
        <v>10.836435626843578</v>
      </c>
    </row>
    <row r="2412" spans="2:7" ht="11.25" hidden="1" customHeight="1" outlineLevel="2" x14ac:dyDescent="0.25">
      <c r="B2412" s="704" t="s">
        <v>698</v>
      </c>
      <c r="C2412" s="704" t="s">
        <v>803</v>
      </c>
      <c r="D2412" s="704" t="s">
        <v>44</v>
      </c>
      <c r="E2412" s="704" t="s">
        <v>448</v>
      </c>
      <c r="F2412" s="705">
        <v>1.2516919994073655E-2</v>
      </c>
      <c r="G2412" s="705">
        <v>16.474525303320039</v>
      </c>
    </row>
    <row r="2413" spans="2:7" ht="11.25" hidden="1" customHeight="1" outlineLevel="2" x14ac:dyDescent="0.25">
      <c r="B2413" s="704" t="s">
        <v>699</v>
      </c>
      <c r="C2413" s="704" t="s">
        <v>803</v>
      </c>
      <c r="D2413" s="704" t="s">
        <v>44</v>
      </c>
      <c r="E2413" s="704" t="s">
        <v>448</v>
      </c>
      <c r="F2413" s="705">
        <v>1.7007358932577879E-34</v>
      </c>
      <c r="G2413" s="705">
        <v>2.2295797325932862E-31</v>
      </c>
    </row>
    <row r="2414" spans="2:7" ht="11.25" hidden="1" customHeight="1" outlineLevel="2" x14ac:dyDescent="0.25">
      <c r="B2414" s="704" t="s">
        <v>673</v>
      </c>
      <c r="C2414" s="704" t="s">
        <v>804</v>
      </c>
      <c r="D2414" s="704" t="s">
        <v>44</v>
      </c>
      <c r="E2414" s="704" t="s">
        <v>448</v>
      </c>
      <c r="F2414" s="705">
        <v>2.215066134150906E-3</v>
      </c>
      <c r="G2414" s="705">
        <v>2.8207847020052514</v>
      </c>
    </row>
    <row r="2415" spans="2:7" ht="11.25" hidden="1" customHeight="1" outlineLevel="2" x14ac:dyDescent="0.25">
      <c r="B2415" s="704" t="s">
        <v>677</v>
      </c>
      <c r="C2415" s="704" t="s">
        <v>804</v>
      </c>
      <c r="D2415" s="704" t="s">
        <v>44</v>
      </c>
      <c r="E2415" s="704" t="s">
        <v>448</v>
      </c>
      <c r="F2415" s="705">
        <v>4.1530530340291695E-3</v>
      </c>
      <c r="G2415" s="705">
        <v>5.2433787179537683</v>
      </c>
    </row>
    <row r="2416" spans="2:7" ht="11.25" hidden="1" customHeight="1" outlineLevel="2" x14ac:dyDescent="0.25">
      <c r="B2416" s="704" t="s">
        <v>678</v>
      </c>
      <c r="C2416" s="704" t="s">
        <v>804</v>
      </c>
      <c r="D2416" s="704" t="s">
        <v>44</v>
      </c>
      <c r="E2416" s="704" t="s">
        <v>448</v>
      </c>
      <c r="F2416" s="705">
        <v>8.4141668842201006E-3</v>
      </c>
      <c r="G2416" s="705">
        <v>10.726676957534073</v>
      </c>
    </row>
    <row r="2417" spans="2:7" ht="11.25" hidden="1" customHeight="1" outlineLevel="2" x14ac:dyDescent="0.25">
      <c r="B2417" s="704" t="s">
        <v>679</v>
      </c>
      <c r="C2417" s="704" t="s">
        <v>804</v>
      </c>
      <c r="D2417" s="704" t="s">
        <v>44</v>
      </c>
      <c r="E2417" s="704" t="s">
        <v>448</v>
      </c>
      <c r="F2417" s="705">
        <v>2.9535746899304691E-3</v>
      </c>
      <c r="G2417" s="705">
        <v>3.7746094324456823</v>
      </c>
    </row>
    <row r="2418" spans="2:7" ht="11.25" hidden="1" customHeight="1" outlineLevel="2" x14ac:dyDescent="0.25">
      <c r="B2418" s="704" t="s">
        <v>680</v>
      </c>
      <c r="C2418" s="704" t="s">
        <v>804</v>
      </c>
      <c r="D2418" s="704" t="s">
        <v>44</v>
      </c>
      <c r="E2418" s="704" t="s">
        <v>448</v>
      </c>
      <c r="F2418" s="705">
        <v>1.9188828980499208E-2</v>
      </c>
      <c r="G2418" s="705">
        <v>24.569786478312889</v>
      </c>
    </row>
    <row r="2419" spans="2:7" ht="11.25" hidden="1" customHeight="1" outlineLevel="2" x14ac:dyDescent="0.25">
      <c r="B2419" s="704" t="s">
        <v>681</v>
      </c>
      <c r="C2419" s="704" t="s">
        <v>804</v>
      </c>
      <c r="D2419" s="704" t="s">
        <v>44</v>
      </c>
      <c r="E2419" s="704" t="s">
        <v>448</v>
      </c>
      <c r="F2419" s="705">
        <v>2.1811909129497094E-2</v>
      </c>
      <c r="G2419" s="705">
        <v>27.806594654742522</v>
      </c>
    </row>
    <row r="2420" spans="2:7" ht="11.25" hidden="1" customHeight="1" outlineLevel="2" x14ac:dyDescent="0.25">
      <c r="B2420" s="704" t="s">
        <v>682</v>
      </c>
      <c r="C2420" s="704" t="s">
        <v>804</v>
      </c>
      <c r="D2420" s="704" t="s">
        <v>44</v>
      </c>
      <c r="E2420" s="704" t="s">
        <v>448</v>
      </c>
      <c r="F2420" s="705">
        <v>1.0605546606865548E-2</v>
      </c>
      <c r="G2420" s="705">
        <v>13.521540582852717</v>
      </c>
    </row>
    <row r="2421" spans="2:7" ht="11.25" hidden="1" customHeight="1" outlineLevel="2" x14ac:dyDescent="0.25">
      <c r="B2421" s="704" t="s">
        <v>683</v>
      </c>
      <c r="C2421" s="704" t="s">
        <v>804</v>
      </c>
      <c r="D2421" s="704" t="s">
        <v>44</v>
      </c>
      <c r="E2421" s="704" t="s">
        <v>448</v>
      </c>
      <c r="F2421" s="705">
        <v>4.9735003324586488E-3</v>
      </c>
      <c r="G2421" s="705">
        <v>6.3560321941518616</v>
      </c>
    </row>
    <row r="2422" spans="2:7" ht="11.25" hidden="1" customHeight="1" outlineLevel="2" x14ac:dyDescent="0.25">
      <c r="B2422" s="704" t="s">
        <v>684</v>
      </c>
      <c r="C2422" s="704" t="s">
        <v>804</v>
      </c>
      <c r="D2422" s="704" t="s">
        <v>44</v>
      </c>
      <c r="E2422" s="704" t="s">
        <v>448</v>
      </c>
      <c r="F2422" s="705">
        <v>1.7316604904831764E-2</v>
      </c>
      <c r="G2422" s="705">
        <v>22.172550741020299</v>
      </c>
    </row>
    <row r="2423" spans="2:7" ht="11.25" hidden="1" customHeight="1" outlineLevel="2" x14ac:dyDescent="0.25">
      <c r="B2423" s="704" t="s">
        <v>685</v>
      </c>
      <c r="C2423" s="704" t="s">
        <v>804</v>
      </c>
      <c r="D2423" s="704" t="s">
        <v>44</v>
      </c>
      <c r="E2423" s="704" t="s">
        <v>448</v>
      </c>
      <c r="F2423" s="705">
        <v>2.6472490329112645E-2</v>
      </c>
      <c r="G2423" s="705">
        <v>33.831321364383861</v>
      </c>
    </row>
    <row r="2424" spans="2:7" ht="11.25" hidden="1" customHeight="1" outlineLevel="2" x14ac:dyDescent="0.25">
      <c r="B2424" s="704" t="s">
        <v>686</v>
      </c>
      <c r="C2424" s="704" t="s">
        <v>804</v>
      </c>
      <c r="D2424" s="704" t="s">
        <v>44</v>
      </c>
      <c r="E2424" s="704" t="s">
        <v>448</v>
      </c>
      <c r="F2424" s="705">
        <v>8.1259207032454359E-3</v>
      </c>
      <c r="G2424" s="705">
        <v>10.347987776003336</v>
      </c>
    </row>
    <row r="2425" spans="2:7" ht="11.25" hidden="1" customHeight="1" outlineLevel="2" x14ac:dyDescent="0.25">
      <c r="B2425" s="704" t="s">
        <v>687</v>
      </c>
      <c r="C2425" s="704" t="s">
        <v>804</v>
      </c>
      <c r="D2425" s="704" t="s">
        <v>44</v>
      </c>
      <c r="E2425" s="704" t="s">
        <v>448</v>
      </c>
      <c r="F2425" s="705">
        <v>9.9359073527342783E-3</v>
      </c>
      <c r="G2425" s="705">
        <v>12.666645351755795</v>
      </c>
    </row>
    <row r="2426" spans="2:7" ht="11.25" hidden="1" customHeight="1" outlineLevel="2" x14ac:dyDescent="0.25">
      <c r="B2426" s="704" t="s">
        <v>688</v>
      </c>
      <c r="C2426" s="704" t="s">
        <v>804</v>
      </c>
      <c r="D2426" s="704" t="s">
        <v>44</v>
      </c>
      <c r="E2426" s="704" t="s">
        <v>448</v>
      </c>
      <c r="F2426" s="705">
        <v>4.5072996671934751E-3</v>
      </c>
      <c r="G2426" s="705">
        <v>5.7460663877013589</v>
      </c>
    </row>
    <row r="2427" spans="2:7" ht="11.25" hidden="1" customHeight="1" outlineLevel="2" x14ac:dyDescent="0.25">
      <c r="B2427" s="704" t="s">
        <v>689</v>
      </c>
      <c r="C2427" s="704" t="s">
        <v>804</v>
      </c>
      <c r="D2427" s="704" t="s">
        <v>44</v>
      </c>
      <c r="E2427" s="704" t="s">
        <v>448</v>
      </c>
      <c r="F2427" s="705">
        <v>2.2045427173263826E-2</v>
      </c>
      <c r="G2427" s="705">
        <v>28.067751329447976</v>
      </c>
    </row>
    <row r="2428" spans="2:7" ht="11.25" hidden="1" customHeight="1" outlineLevel="2" x14ac:dyDescent="0.25">
      <c r="B2428" s="704" t="s">
        <v>690</v>
      </c>
      <c r="C2428" s="704" t="s">
        <v>804</v>
      </c>
      <c r="D2428" s="704" t="s">
        <v>44</v>
      </c>
      <c r="E2428" s="704" t="s">
        <v>448</v>
      </c>
      <c r="F2428" s="705">
        <v>9.628881013856453E-3</v>
      </c>
      <c r="G2428" s="705">
        <v>12.305508742284458</v>
      </c>
    </row>
    <row r="2429" spans="2:7" ht="11.25" hidden="1" customHeight="1" outlineLevel="2" x14ac:dyDescent="0.25">
      <c r="B2429" s="704" t="s">
        <v>691</v>
      </c>
      <c r="C2429" s="704" t="s">
        <v>804</v>
      </c>
      <c r="D2429" s="704" t="s">
        <v>44</v>
      </c>
      <c r="E2429" s="704" t="s">
        <v>448</v>
      </c>
      <c r="F2429" s="705">
        <v>3.7646825324488364E-3</v>
      </c>
      <c r="G2429" s="705">
        <v>4.8111892509149765</v>
      </c>
    </row>
    <row r="2430" spans="2:7" ht="11.25" hidden="1" customHeight="1" outlineLevel="2" x14ac:dyDescent="0.25">
      <c r="B2430" s="704" t="s">
        <v>692</v>
      </c>
      <c r="C2430" s="704" t="s">
        <v>804</v>
      </c>
      <c r="D2430" s="704" t="s">
        <v>44</v>
      </c>
      <c r="E2430" s="704" t="s">
        <v>448</v>
      </c>
      <c r="F2430" s="705">
        <v>2.720534114247768E-2</v>
      </c>
      <c r="G2430" s="705">
        <v>34.682310343300664</v>
      </c>
    </row>
    <row r="2431" spans="2:7" ht="11.25" hidden="1" customHeight="1" outlineLevel="2" x14ac:dyDescent="0.25">
      <c r="B2431" s="704" t="s">
        <v>693</v>
      </c>
      <c r="C2431" s="704" t="s">
        <v>804</v>
      </c>
      <c r="D2431" s="704" t="s">
        <v>44</v>
      </c>
      <c r="E2431" s="704" t="s">
        <v>448</v>
      </c>
      <c r="F2431" s="705">
        <v>7.428399535118731E-3</v>
      </c>
      <c r="G2431" s="705">
        <v>9.5114765486622712</v>
      </c>
    </row>
    <row r="2432" spans="2:7" ht="11.25" hidden="1" customHeight="1" outlineLevel="2" x14ac:dyDescent="0.25">
      <c r="B2432" s="704" t="s">
        <v>694</v>
      </c>
      <c r="C2432" s="704" t="s">
        <v>804</v>
      </c>
      <c r="D2432" s="704" t="s">
        <v>44</v>
      </c>
      <c r="E2432" s="704" t="s">
        <v>448</v>
      </c>
      <c r="F2432" s="706">
        <v>7.5715937509626642E-3</v>
      </c>
      <c r="G2432" s="705">
        <v>8.5730082798359035</v>
      </c>
    </row>
    <row r="2433" spans="2:7" ht="11.25" hidden="1" customHeight="1" outlineLevel="2" x14ac:dyDescent="0.25">
      <c r="B2433" s="704" t="s">
        <v>695</v>
      </c>
      <c r="C2433" s="704" t="s">
        <v>804</v>
      </c>
      <c r="D2433" s="704" t="s">
        <v>44</v>
      </c>
      <c r="E2433" s="704" t="s">
        <v>448</v>
      </c>
      <c r="F2433" s="706">
        <v>1.7457624912638796E-2</v>
      </c>
      <c r="G2433" s="705">
        <v>22.353118224096185</v>
      </c>
    </row>
    <row r="2434" spans="2:7" ht="11.25" hidden="1" customHeight="1" outlineLevel="2" x14ac:dyDescent="0.25">
      <c r="B2434" s="704" t="s">
        <v>696</v>
      </c>
      <c r="C2434" s="704" t="s">
        <v>804</v>
      </c>
      <c r="D2434" s="704" t="s">
        <v>44</v>
      </c>
      <c r="E2434" s="704" t="s">
        <v>448</v>
      </c>
      <c r="F2434" s="706">
        <v>1.604133709323198E-2</v>
      </c>
      <c r="G2434" s="705">
        <v>20.42791543649243</v>
      </c>
    </row>
    <row r="2435" spans="2:7" ht="11.25" hidden="1" customHeight="1" outlineLevel="2" x14ac:dyDescent="0.25">
      <c r="B2435" s="704" t="s">
        <v>697</v>
      </c>
      <c r="C2435" s="704" t="s">
        <v>804</v>
      </c>
      <c r="D2435" s="704" t="s">
        <v>44</v>
      </c>
      <c r="E2435" s="704" t="s">
        <v>448</v>
      </c>
      <c r="F2435" s="706">
        <v>1.2254659862426078E-2</v>
      </c>
      <c r="G2435" s="705">
        <v>15.691121547798108</v>
      </c>
    </row>
    <row r="2436" spans="2:7" ht="11.25" hidden="1" customHeight="1" outlineLevel="2" x14ac:dyDescent="0.25">
      <c r="B2436" s="704" t="s">
        <v>698</v>
      </c>
      <c r="C2436" s="704" t="s">
        <v>804</v>
      </c>
      <c r="D2436" s="704" t="s">
        <v>44</v>
      </c>
      <c r="E2436" s="704" t="s">
        <v>448</v>
      </c>
      <c r="F2436" s="706">
        <v>1.863062901487457E-2</v>
      </c>
      <c r="G2436" s="705">
        <v>23.85504873765078</v>
      </c>
    </row>
    <row r="2437" spans="2:7" ht="11.25" hidden="1" customHeight="1" outlineLevel="2" x14ac:dyDescent="0.25">
      <c r="B2437" s="704" t="s">
        <v>699</v>
      </c>
      <c r="C2437" s="704" t="s">
        <v>804</v>
      </c>
      <c r="D2437" s="704" t="s">
        <v>44</v>
      </c>
      <c r="E2437" s="704" t="s">
        <v>448</v>
      </c>
      <c r="F2437" s="706">
        <v>2.3561475446602918E-34</v>
      </c>
      <c r="G2437" s="705">
        <v>2.6850061911512384E-31</v>
      </c>
    </row>
    <row r="2438" spans="2:7" ht="11.25" hidden="1" customHeight="1" outlineLevel="2" x14ac:dyDescent="0.25">
      <c r="B2438" s="704" t="s">
        <v>673</v>
      </c>
      <c r="C2438" s="704" t="s">
        <v>805</v>
      </c>
      <c r="D2438" s="704" t="s">
        <v>44</v>
      </c>
      <c r="E2438" s="704" t="s">
        <v>448</v>
      </c>
      <c r="F2438" s="706">
        <v>4.4449912074997843E-4</v>
      </c>
      <c r="G2438" s="705">
        <v>3.129223420369053</v>
      </c>
    </row>
    <row r="2439" spans="2:7" ht="11.25" hidden="1" customHeight="1" outlineLevel="2" x14ac:dyDescent="0.25">
      <c r="B2439" s="704" t="s">
        <v>677</v>
      </c>
      <c r="C2439" s="704" t="s">
        <v>805</v>
      </c>
      <c r="D2439" s="704" t="s">
        <v>44</v>
      </c>
      <c r="E2439" s="704" t="s">
        <v>448</v>
      </c>
      <c r="F2439" s="706">
        <v>8.3457628209423389E-4</v>
      </c>
      <c r="G2439" s="705">
        <v>5.8167145025079812</v>
      </c>
    </row>
    <row r="2440" spans="2:7" ht="11.25" hidden="1" customHeight="1" outlineLevel="2" x14ac:dyDescent="0.25">
      <c r="B2440" s="704" t="s">
        <v>678</v>
      </c>
      <c r="C2440" s="704" t="s">
        <v>805</v>
      </c>
      <c r="D2440" s="704" t="s">
        <v>44</v>
      </c>
      <c r="E2440" s="704" t="s">
        <v>448</v>
      </c>
      <c r="F2440" s="706">
        <v>1.6881750385983781E-3</v>
      </c>
      <c r="G2440" s="705">
        <v>11.899581978210328</v>
      </c>
    </row>
    <row r="2441" spans="2:7" ht="11.25" hidden="1" customHeight="1" outlineLevel="2" x14ac:dyDescent="0.25">
      <c r="B2441" s="704" t="s">
        <v>679</v>
      </c>
      <c r="C2441" s="704" t="s">
        <v>805</v>
      </c>
      <c r="D2441" s="704" t="s">
        <v>44</v>
      </c>
      <c r="E2441" s="704" t="s">
        <v>448</v>
      </c>
      <c r="F2441" s="706">
        <v>5.9234838741472533E-4</v>
      </c>
      <c r="G2441" s="705">
        <v>4.1873434930372451</v>
      </c>
    </row>
    <row r="2442" spans="2:7" ht="11.25" hidden="1" customHeight="1" outlineLevel="2" x14ac:dyDescent="0.25">
      <c r="B2442" s="704" t="s">
        <v>680</v>
      </c>
      <c r="C2442" s="704" t="s">
        <v>805</v>
      </c>
      <c r="D2442" s="704" t="s">
        <v>44</v>
      </c>
      <c r="E2442" s="704" t="s">
        <v>448</v>
      </c>
      <c r="F2442" s="706">
        <v>3.8471621167354688E-3</v>
      </c>
      <c r="G2442" s="705">
        <v>27.25636303716583</v>
      </c>
    </row>
    <row r="2443" spans="2:7" ht="11.25" hidden="1" customHeight="1" outlineLevel="2" x14ac:dyDescent="0.25">
      <c r="B2443" s="704" t="s">
        <v>681</v>
      </c>
      <c r="C2443" s="704" t="s">
        <v>805</v>
      </c>
      <c r="D2443" s="704" t="s">
        <v>44</v>
      </c>
      <c r="E2443" s="704" t="s">
        <v>448</v>
      </c>
      <c r="F2443" s="706">
        <v>4.3762310881543063E-3</v>
      </c>
      <c r="G2443" s="705">
        <v>30.847111523556972</v>
      </c>
    </row>
    <row r="2444" spans="2:7" ht="11.25" hidden="1" customHeight="1" outlineLevel="2" x14ac:dyDescent="0.25">
      <c r="B2444" s="704" t="s">
        <v>682</v>
      </c>
      <c r="C2444" s="704" t="s">
        <v>805</v>
      </c>
      <c r="D2444" s="704" t="s">
        <v>44</v>
      </c>
      <c r="E2444" s="704" t="s">
        <v>448</v>
      </c>
      <c r="F2444" s="706">
        <v>2.1278104747260501E-3</v>
      </c>
      <c r="G2444" s="705">
        <v>15.000063888257623</v>
      </c>
    </row>
    <row r="2445" spans="2:7" ht="11.25" hidden="1" customHeight="1" outlineLevel="2" x14ac:dyDescent="0.25">
      <c r="B2445" s="704" t="s">
        <v>683</v>
      </c>
      <c r="C2445" s="704" t="s">
        <v>805</v>
      </c>
      <c r="D2445" s="704" t="s">
        <v>44</v>
      </c>
      <c r="E2445" s="704" t="s">
        <v>448</v>
      </c>
      <c r="F2445" s="706">
        <v>9.974506877164697E-4</v>
      </c>
      <c r="G2445" s="705">
        <v>7.0510309630512324</v>
      </c>
    </row>
    <row r="2446" spans="2:7" ht="11.25" hidden="1" customHeight="1" outlineLevel="2" x14ac:dyDescent="0.25">
      <c r="B2446" s="704" t="s">
        <v>684</v>
      </c>
      <c r="C2446" s="704" t="s">
        <v>805</v>
      </c>
      <c r="D2446" s="704" t="s">
        <v>44</v>
      </c>
      <c r="E2446" s="704" t="s">
        <v>448</v>
      </c>
      <c r="F2446" s="706">
        <v>3.4717997838224724E-3</v>
      </c>
      <c r="G2446" s="705">
        <v>24.596996143310914</v>
      </c>
    </row>
    <row r="2447" spans="2:7" ht="11.25" hidden="1" customHeight="1" outlineLevel="2" x14ac:dyDescent="0.25">
      <c r="B2447" s="704" t="s">
        <v>685</v>
      </c>
      <c r="C2447" s="704" t="s">
        <v>805</v>
      </c>
      <c r="D2447" s="704" t="s">
        <v>44</v>
      </c>
      <c r="E2447" s="704" t="s">
        <v>448</v>
      </c>
      <c r="F2447" s="706">
        <v>5.3091400005009642E-3</v>
      </c>
      <c r="G2447" s="705">
        <v>37.530605524804635</v>
      </c>
    </row>
    <row r="2448" spans="2:7" ht="11.25" hidden="1" customHeight="1" outlineLevel="2" x14ac:dyDescent="0.25">
      <c r="B2448" s="704" t="s">
        <v>686</v>
      </c>
      <c r="C2448" s="704" t="s">
        <v>805</v>
      </c>
      <c r="D2448" s="704" t="s">
        <v>44</v>
      </c>
      <c r="E2448" s="704" t="s">
        <v>448</v>
      </c>
      <c r="F2448" s="706">
        <v>1.6306349034603403E-3</v>
      </c>
      <c r="G2448" s="705">
        <v>11.479493797516158</v>
      </c>
    </row>
    <row r="2449" spans="2:7" ht="11.25" hidden="1" customHeight="1" outlineLevel="2" x14ac:dyDescent="0.25">
      <c r="B2449" s="704" t="s">
        <v>687</v>
      </c>
      <c r="C2449" s="704" t="s">
        <v>805</v>
      </c>
      <c r="D2449" s="704" t="s">
        <v>44</v>
      </c>
      <c r="E2449" s="704" t="s">
        <v>448</v>
      </c>
      <c r="F2449" s="706">
        <v>1.9934896140208127E-3</v>
      </c>
      <c r="G2449" s="705">
        <v>14.051677346743503</v>
      </c>
    </row>
    <row r="2450" spans="2:7" ht="11.25" hidden="1" customHeight="1" outlineLevel="2" x14ac:dyDescent="0.25">
      <c r="B2450" s="704" t="s">
        <v>688</v>
      </c>
      <c r="C2450" s="704" t="s">
        <v>805</v>
      </c>
      <c r="D2450" s="704" t="s">
        <v>44</v>
      </c>
      <c r="E2450" s="704" t="s">
        <v>448</v>
      </c>
      <c r="F2450" s="706">
        <v>9.0432163889985883E-4</v>
      </c>
      <c r="G2450" s="705">
        <v>6.3743677794465228</v>
      </c>
    </row>
    <row r="2451" spans="2:7" ht="11.25" hidden="1" customHeight="1" outlineLevel="2" x14ac:dyDescent="0.25">
      <c r="B2451" s="704" t="s">
        <v>689</v>
      </c>
      <c r="C2451" s="704" t="s">
        <v>805</v>
      </c>
      <c r="D2451" s="704" t="s">
        <v>44</v>
      </c>
      <c r="E2451" s="704" t="s">
        <v>448</v>
      </c>
      <c r="F2451" s="706">
        <v>4.4240322393461415E-3</v>
      </c>
      <c r="G2451" s="705">
        <v>31.136822167006891</v>
      </c>
    </row>
    <row r="2452" spans="2:7" ht="11.25" hidden="1" customHeight="1" outlineLevel="2" x14ac:dyDescent="0.25">
      <c r="B2452" s="704" t="s">
        <v>690</v>
      </c>
      <c r="C2452" s="704" t="s">
        <v>805</v>
      </c>
      <c r="D2452" s="704" t="s">
        <v>44</v>
      </c>
      <c r="E2452" s="704" t="s">
        <v>448</v>
      </c>
      <c r="F2452" s="706">
        <v>1.9311010803236787E-3</v>
      </c>
      <c r="G2452" s="705">
        <v>13.65107123640853</v>
      </c>
    </row>
    <row r="2453" spans="2:7" ht="11.25" hidden="1" customHeight="1" outlineLevel="2" x14ac:dyDescent="0.25">
      <c r="B2453" s="704" t="s">
        <v>691</v>
      </c>
      <c r="C2453" s="704" t="s">
        <v>805</v>
      </c>
      <c r="D2453" s="704" t="s">
        <v>44</v>
      </c>
      <c r="E2453" s="704" t="s">
        <v>448</v>
      </c>
      <c r="F2453" s="706">
        <v>7.5501911501571473E-4</v>
      </c>
      <c r="G2453" s="705">
        <v>5.3372720479562723</v>
      </c>
    </row>
    <row r="2454" spans="2:7" ht="11.25" hidden="1" customHeight="1" outlineLevel="2" x14ac:dyDescent="0.25">
      <c r="B2454" s="704" t="s">
        <v>692</v>
      </c>
      <c r="C2454" s="704" t="s">
        <v>805</v>
      </c>
      <c r="D2454" s="704" t="s">
        <v>44</v>
      </c>
      <c r="E2454" s="704" t="s">
        <v>448</v>
      </c>
      <c r="F2454" s="706">
        <v>5.4583376137682721E-3</v>
      </c>
      <c r="G2454" s="705">
        <v>38.474657890932569</v>
      </c>
    </row>
    <row r="2455" spans="2:7" ht="11.25" hidden="1" customHeight="1" outlineLevel="2" x14ac:dyDescent="0.25">
      <c r="B2455" s="704" t="s">
        <v>693</v>
      </c>
      <c r="C2455" s="704" t="s">
        <v>805</v>
      </c>
      <c r="D2455" s="704" t="s">
        <v>44</v>
      </c>
      <c r="E2455" s="704" t="s">
        <v>448</v>
      </c>
      <c r="F2455" s="706">
        <v>1.4893164136066518E-3</v>
      </c>
      <c r="G2455" s="705">
        <v>10.551507874477634</v>
      </c>
    </row>
    <row r="2456" spans="2:7" ht="11.25" hidden="1" customHeight="1" outlineLevel="2" x14ac:dyDescent="0.25">
      <c r="B2456" s="704" t="s">
        <v>694</v>
      </c>
      <c r="C2456" s="704" t="s">
        <v>805</v>
      </c>
      <c r="D2456" s="704" t="s">
        <v>44</v>
      </c>
      <c r="E2456" s="704" t="s">
        <v>448</v>
      </c>
      <c r="F2456" s="706">
        <v>1.3448523921790363E-3</v>
      </c>
      <c r="G2456" s="705">
        <v>9.5104189969686743</v>
      </c>
    </row>
    <row r="2457" spans="2:7" ht="11.25" hidden="1" customHeight="1" outlineLevel="2" x14ac:dyDescent="0.25">
      <c r="B2457" s="704" t="s">
        <v>695</v>
      </c>
      <c r="C2457" s="704" t="s">
        <v>805</v>
      </c>
      <c r="D2457" s="704" t="s">
        <v>44</v>
      </c>
      <c r="E2457" s="704" t="s">
        <v>448</v>
      </c>
      <c r="F2457" s="705">
        <v>3.5000728076189165E-3</v>
      </c>
      <c r="G2457" s="705">
        <v>24.797311481424781</v>
      </c>
    </row>
    <row r="2458" spans="2:7" ht="11.25" hidden="1" customHeight="1" outlineLevel="2" x14ac:dyDescent="0.25">
      <c r="B2458" s="704" t="s">
        <v>696</v>
      </c>
      <c r="C2458" s="704" t="s">
        <v>805</v>
      </c>
      <c r="D2458" s="704" t="s">
        <v>44</v>
      </c>
      <c r="E2458" s="704" t="s">
        <v>448</v>
      </c>
      <c r="F2458" s="705">
        <v>3.2190292266454971E-3</v>
      </c>
      <c r="G2458" s="705">
        <v>22.661605327077275</v>
      </c>
    </row>
    <row r="2459" spans="2:7" ht="11.25" hidden="1" customHeight="1" outlineLevel="2" x14ac:dyDescent="0.25">
      <c r="B2459" s="704" t="s">
        <v>697</v>
      </c>
      <c r="C2459" s="704" t="s">
        <v>805</v>
      </c>
      <c r="D2459" s="704" t="s">
        <v>44</v>
      </c>
      <c r="E2459" s="704" t="s">
        <v>448</v>
      </c>
      <c r="F2459" s="705">
        <v>2.4569309679864579E-3</v>
      </c>
      <c r="G2459" s="705">
        <v>17.406867636016941</v>
      </c>
    </row>
    <row r="2460" spans="2:7" ht="11.25" hidden="1" customHeight="1" outlineLevel="2" x14ac:dyDescent="0.25">
      <c r="B2460" s="704" t="s">
        <v>698</v>
      </c>
      <c r="C2460" s="704" t="s">
        <v>805</v>
      </c>
      <c r="D2460" s="704" t="s">
        <v>44</v>
      </c>
      <c r="E2460" s="704" t="s">
        <v>448</v>
      </c>
      <c r="F2460" s="705">
        <v>3.7352456640570601E-3</v>
      </c>
      <c r="G2460" s="705">
        <v>26.463470714495809</v>
      </c>
    </row>
    <row r="2461" spans="2:7" ht="11.25" hidden="1" customHeight="1" outlineLevel="2" x14ac:dyDescent="0.25">
      <c r="B2461" s="704" t="s">
        <v>699</v>
      </c>
      <c r="C2461" s="704" t="s">
        <v>805</v>
      </c>
      <c r="D2461" s="704" t="s">
        <v>44</v>
      </c>
      <c r="E2461" s="704" t="s">
        <v>448</v>
      </c>
      <c r="F2461" s="705">
        <v>1.5305193420695929E-34</v>
      </c>
      <c r="G2461" s="705">
        <v>4.470290073252037E-31</v>
      </c>
    </row>
    <row r="2462" spans="2:7" ht="11.25" hidden="1" customHeight="1" outlineLevel="2" x14ac:dyDescent="0.25">
      <c r="B2462" s="704" t="s">
        <v>673</v>
      </c>
      <c r="C2462" s="704" t="s">
        <v>806</v>
      </c>
      <c r="D2462" s="704" t="s">
        <v>562</v>
      </c>
      <c r="E2462" s="704" t="s">
        <v>448</v>
      </c>
      <c r="F2462" s="705">
        <v>0.62825220434420115</v>
      </c>
      <c r="G2462" s="705">
        <v>751.78071449730828</v>
      </c>
    </row>
    <row r="2463" spans="2:7" ht="11.25" hidden="1" customHeight="1" outlineLevel="2" x14ac:dyDescent="0.25">
      <c r="B2463" s="704" t="s">
        <v>677</v>
      </c>
      <c r="C2463" s="704" t="s">
        <v>806</v>
      </c>
      <c r="D2463" s="704" t="s">
        <v>562</v>
      </c>
      <c r="E2463" s="704" t="s">
        <v>448</v>
      </c>
      <c r="F2463" s="705">
        <v>6.4354998010768583</v>
      </c>
      <c r="G2463" s="705">
        <v>7621.9013444893426</v>
      </c>
    </row>
    <row r="2464" spans="2:7" ht="11.25" hidden="1" customHeight="1" outlineLevel="2" x14ac:dyDescent="0.25">
      <c r="B2464" s="704" t="s">
        <v>678</v>
      </c>
      <c r="C2464" s="704" t="s">
        <v>806</v>
      </c>
      <c r="D2464" s="704" t="s">
        <v>562</v>
      </c>
      <c r="E2464" s="704" t="s">
        <v>448</v>
      </c>
      <c r="F2464" s="705">
        <v>9.6965335318887647</v>
      </c>
      <c r="G2464" s="705">
        <v>11658.386264400582</v>
      </c>
    </row>
    <row r="2465" spans="2:7" ht="11.25" hidden="1" customHeight="1" outlineLevel="2" x14ac:dyDescent="0.25">
      <c r="B2465" s="704" t="s">
        <v>679</v>
      </c>
      <c r="C2465" s="704" t="s">
        <v>806</v>
      </c>
      <c r="D2465" s="704" t="s">
        <v>562</v>
      </c>
      <c r="E2465" s="704" t="s">
        <v>448</v>
      </c>
      <c r="F2465" s="705">
        <v>0.35416536636019125</v>
      </c>
      <c r="G2465" s="705">
        <v>427.93657245233669</v>
      </c>
    </row>
    <row r="2466" spans="2:7" ht="11.25" hidden="1" customHeight="1" outlineLevel="2" x14ac:dyDescent="0.25">
      <c r="B2466" s="704" t="s">
        <v>680</v>
      </c>
      <c r="C2466" s="704" t="s">
        <v>806</v>
      </c>
      <c r="D2466" s="704" t="s">
        <v>562</v>
      </c>
      <c r="E2466" s="704" t="s">
        <v>448</v>
      </c>
      <c r="F2466" s="705">
        <v>0.24860644678291369</v>
      </c>
      <c r="G2466" s="705">
        <v>300.71207051577574</v>
      </c>
    </row>
    <row r="2467" spans="2:7" ht="11.25" hidden="1" customHeight="1" outlineLevel="2" x14ac:dyDescent="0.25">
      <c r="B2467" s="704" t="s">
        <v>681</v>
      </c>
      <c r="C2467" s="704" t="s">
        <v>806</v>
      </c>
      <c r="D2467" s="704" t="s">
        <v>562</v>
      </c>
      <c r="E2467" s="704" t="s">
        <v>448</v>
      </c>
      <c r="F2467" s="705">
        <v>1.5968497854374291</v>
      </c>
      <c r="G2467" s="705">
        <v>1919.9325559359677</v>
      </c>
    </row>
    <row r="2468" spans="2:7" ht="11.25" hidden="1" customHeight="1" outlineLevel="2" x14ac:dyDescent="0.25">
      <c r="B2468" s="704" t="s">
        <v>682</v>
      </c>
      <c r="C2468" s="704" t="s">
        <v>806</v>
      </c>
      <c r="D2468" s="704" t="s">
        <v>562</v>
      </c>
      <c r="E2468" s="704" t="s">
        <v>448</v>
      </c>
      <c r="F2468" s="705">
        <v>0.61559558776163514</v>
      </c>
      <c r="G2468" s="705">
        <v>740.21458407732689</v>
      </c>
    </row>
    <row r="2469" spans="2:7" ht="11.25" hidden="1" customHeight="1" outlineLevel="2" x14ac:dyDescent="0.25">
      <c r="B2469" s="704" t="s">
        <v>683</v>
      </c>
      <c r="C2469" s="704" t="s">
        <v>806</v>
      </c>
      <c r="D2469" s="704" t="s">
        <v>562</v>
      </c>
      <c r="E2469" s="704" t="s">
        <v>448</v>
      </c>
      <c r="F2469" s="705">
        <v>0.72747499964226536</v>
      </c>
      <c r="G2469" s="705">
        <v>879.00518713362874</v>
      </c>
    </row>
    <row r="2470" spans="2:7" ht="11.25" hidden="1" customHeight="1" outlineLevel="2" x14ac:dyDescent="0.25">
      <c r="B2470" s="704" t="s">
        <v>684</v>
      </c>
      <c r="C2470" s="704" t="s">
        <v>806</v>
      </c>
      <c r="D2470" s="704" t="s">
        <v>562</v>
      </c>
      <c r="E2470" s="704" t="s">
        <v>448</v>
      </c>
      <c r="F2470" s="705">
        <v>0.44940399512051776</v>
      </c>
      <c r="G2470" s="705">
        <v>543.59512816606787</v>
      </c>
    </row>
    <row r="2471" spans="2:7" ht="11.25" hidden="1" customHeight="1" outlineLevel="2" x14ac:dyDescent="0.25">
      <c r="B2471" s="704" t="s">
        <v>685</v>
      </c>
      <c r="C2471" s="704" t="s">
        <v>806</v>
      </c>
      <c r="D2471" s="704" t="s">
        <v>562</v>
      </c>
      <c r="E2471" s="704" t="s">
        <v>448</v>
      </c>
      <c r="F2471" s="705">
        <v>2.239856582100658</v>
      </c>
      <c r="G2471" s="705">
        <v>2706.4098410537913</v>
      </c>
    </row>
    <row r="2472" spans="2:7" ht="11.25" hidden="1" customHeight="1" outlineLevel="2" x14ac:dyDescent="0.25">
      <c r="B2472" s="704" t="s">
        <v>686</v>
      </c>
      <c r="C2472" s="704" t="s">
        <v>806</v>
      </c>
      <c r="D2472" s="704" t="s">
        <v>562</v>
      </c>
      <c r="E2472" s="704" t="s">
        <v>448</v>
      </c>
      <c r="F2472" s="705">
        <v>0.33828954759941277</v>
      </c>
      <c r="G2472" s="705">
        <v>404.80491708942435</v>
      </c>
    </row>
    <row r="2473" spans="2:7" ht="11.25" hidden="1" customHeight="1" outlineLevel="2" x14ac:dyDescent="0.25">
      <c r="B2473" s="704" t="s">
        <v>687</v>
      </c>
      <c r="C2473" s="704" t="s">
        <v>806</v>
      </c>
      <c r="D2473" s="704" t="s">
        <v>562</v>
      </c>
      <c r="E2473" s="704" t="s">
        <v>448</v>
      </c>
      <c r="F2473" s="705">
        <v>2.1644044118430013</v>
      </c>
      <c r="G2473" s="705">
        <v>2602.3189237116594</v>
      </c>
    </row>
    <row r="2474" spans="2:7" ht="11.25" hidden="1" customHeight="1" outlineLevel="2" x14ac:dyDescent="0.25">
      <c r="B2474" s="704" t="s">
        <v>688</v>
      </c>
      <c r="C2474" s="704" t="s">
        <v>806</v>
      </c>
      <c r="D2474" s="704" t="s">
        <v>562</v>
      </c>
      <c r="E2474" s="704" t="s">
        <v>448</v>
      </c>
      <c r="F2474" s="705">
        <v>5.7525051347264373</v>
      </c>
      <c r="G2474" s="705">
        <v>6916.3820597916174</v>
      </c>
    </row>
    <row r="2475" spans="2:7" ht="11.25" hidden="1" customHeight="1" outlineLevel="2" x14ac:dyDescent="0.25">
      <c r="B2475" s="704" t="s">
        <v>689</v>
      </c>
      <c r="C2475" s="704" t="s">
        <v>806</v>
      </c>
      <c r="D2475" s="704" t="s">
        <v>562</v>
      </c>
      <c r="E2475" s="704" t="s">
        <v>448</v>
      </c>
      <c r="F2475" s="705">
        <v>0.35673373902265876</v>
      </c>
      <c r="G2475" s="705">
        <v>428.19913844278261</v>
      </c>
    </row>
    <row r="2476" spans="2:7" ht="11.25" hidden="1" customHeight="1" outlineLevel="2" x14ac:dyDescent="0.25">
      <c r="B2476" s="704" t="s">
        <v>690</v>
      </c>
      <c r="C2476" s="704" t="s">
        <v>806</v>
      </c>
      <c r="D2476" s="704" t="s">
        <v>562</v>
      </c>
      <c r="E2476" s="704" t="s">
        <v>448</v>
      </c>
      <c r="F2476" s="705">
        <v>8.4329644053797512</v>
      </c>
      <c r="G2476" s="705">
        <v>10189.5209592059</v>
      </c>
    </row>
    <row r="2477" spans="2:7" ht="11.25" hidden="1" customHeight="1" outlineLevel="2" x14ac:dyDescent="0.25">
      <c r="B2477" s="704" t="s">
        <v>691</v>
      </c>
      <c r="C2477" s="704" t="s">
        <v>806</v>
      </c>
      <c r="D2477" s="704" t="s">
        <v>562</v>
      </c>
      <c r="E2477" s="704" t="s">
        <v>448</v>
      </c>
      <c r="F2477" s="706">
        <v>6.4419821077171537</v>
      </c>
      <c r="G2477" s="705">
        <v>7783.8205391545462</v>
      </c>
    </row>
    <row r="2478" spans="2:7" ht="11.25" hidden="1" customHeight="1" outlineLevel="2" x14ac:dyDescent="0.25">
      <c r="B2478" s="704" t="s">
        <v>692</v>
      </c>
      <c r="C2478" s="704" t="s">
        <v>806</v>
      </c>
      <c r="D2478" s="704" t="s">
        <v>562</v>
      </c>
      <c r="E2478" s="704" t="s">
        <v>448</v>
      </c>
      <c r="F2478" s="706">
        <v>0.75994646202777494</v>
      </c>
      <c r="G2478" s="705">
        <v>913.70271961065737</v>
      </c>
    </row>
    <row r="2479" spans="2:7" ht="11.25" hidden="1" customHeight="1" outlineLevel="2" x14ac:dyDescent="0.25">
      <c r="B2479" s="704" t="s">
        <v>693</v>
      </c>
      <c r="C2479" s="704" t="s">
        <v>806</v>
      </c>
      <c r="D2479" s="704" t="s">
        <v>562</v>
      </c>
      <c r="E2479" s="704" t="s">
        <v>448</v>
      </c>
      <c r="F2479" s="706">
        <v>0.34422444894639931</v>
      </c>
      <c r="G2479" s="705">
        <v>416.37081979628192</v>
      </c>
    </row>
    <row r="2480" spans="2:7" ht="11.25" hidden="1" customHeight="1" outlineLevel="2" x14ac:dyDescent="0.25">
      <c r="B2480" s="704" t="s">
        <v>694</v>
      </c>
      <c r="C2480" s="704" t="s">
        <v>806</v>
      </c>
      <c r="D2480" s="704" t="s">
        <v>562</v>
      </c>
      <c r="E2480" s="704" t="s">
        <v>448</v>
      </c>
      <c r="F2480" s="706">
        <v>0.1434268115230245</v>
      </c>
      <c r="G2480" s="705">
        <v>173.48773106205579</v>
      </c>
    </row>
    <row r="2481" spans="2:7" ht="11.25" hidden="1" customHeight="1" outlineLevel="2" x14ac:dyDescent="0.25">
      <c r="B2481" s="704" t="s">
        <v>695</v>
      </c>
      <c r="C2481" s="704" t="s">
        <v>806</v>
      </c>
      <c r="D2481" s="704" t="s">
        <v>562</v>
      </c>
      <c r="E2481" s="704" t="s">
        <v>448</v>
      </c>
      <c r="F2481" s="706">
        <v>0.64063980464410519</v>
      </c>
      <c r="G2481" s="705">
        <v>774.91198827606638</v>
      </c>
    </row>
    <row r="2482" spans="2:7" ht="11.25" hidden="1" customHeight="1" outlineLevel="2" x14ac:dyDescent="0.25">
      <c r="B2482" s="704" t="s">
        <v>696</v>
      </c>
      <c r="C2482" s="704" t="s">
        <v>806</v>
      </c>
      <c r="D2482" s="704" t="s">
        <v>562</v>
      </c>
      <c r="E2482" s="704" t="s">
        <v>448</v>
      </c>
      <c r="F2482" s="706">
        <v>1.4594780424414191</v>
      </c>
      <c r="G2482" s="705">
        <v>1746.4451665843728</v>
      </c>
    </row>
    <row r="2483" spans="2:7" ht="11.25" hidden="1" customHeight="1" outlineLevel="2" x14ac:dyDescent="0.25">
      <c r="B2483" s="704" t="s">
        <v>697</v>
      </c>
      <c r="C2483" s="704" t="s">
        <v>806</v>
      </c>
      <c r="D2483" s="704" t="s">
        <v>562</v>
      </c>
      <c r="E2483" s="704" t="s">
        <v>448</v>
      </c>
      <c r="F2483" s="706">
        <v>1.2525941779097507</v>
      </c>
      <c r="G2483" s="705">
        <v>1515.1277760483033</v>
      </c>
    </row>
    <row r="2484" spans="2:7" ht="11.25" hidden="1" customHeight="1" outlineLevel="2" x14ac:dyDescent="0.25">
      <c r="B2484" s="704" t="s">
        <v>698</v>
      </c>
      <c r="C2484" s="704" t="s">
        <v>806</v>
      </c>
      <c r="D2484" s="704" t="s">
        <v>562</v>
      </c>
      <c r="E2484" s="704" t="s">
        <v>448</v>
      </c>
      <c r="F2484" s="705">
        <v>0.7840665293224568</v>
      </c>
      <c r="G2484" s="705">
        <v>948.40026910526331</v>
      </c>
    </row>
    <row r="2485" spans="2:7" ht="11.25" hidden="1" customHeight="1" outlineLevel="2" x14ac:dyDescent="0.25">
      <c r="B2485" s="704" t="s">
        <v>699</v>
      </c>
      <c r="C2485" s="704" t="s">
        <v>806</v>
      </c>
      <c r="D2485" s="704" t="s">
        <v>562</v>
      </c>
      <c r="E2485" s="704" t="s">
        <v>448</v>
      </c>
      <c r="F2485" s="705">
        <v>6.1180506136403068</v>
      </c>
      <c r="G2485" s="705">
        <v>7355.8860654933478</v>
      </c>
    </row>
    <row r="2486" spans="2:7" ht="11.25" hidden="1" customHeight="1" outlineLevel="2" x14ac:dyDescent="0.25">
      <c r="B2486" s="704" t="s">
        <v>673</v>
      </c>
      <c r="C2486" s="704" t="s">
        <v>807</v>
      </c>
      <c r="D2486" s="704" t="s">
        <v>562</v>
      </c>
      <c r="E2486" s="704" t="s">
        <v>448</v>
      </c>
      <c r="F2486" s="705">
        <v>0.13522090382010343</v>
      </c>
      <c r="G2486" s="705">
        <v>188.12547563539894</v>
      </c>
    </row>
    <row r="2487" spans="2:7" ht="11.25" hidden="1" customHeight="1" outlineLevel="2" x14ac:dyDescent="0.25">
      <c r="B2487" s="704" t="s">
        <v>677</v>
      </c>
      <c r="C2487" s="704" t="s">
        <v>807</v>
      </c>
      <c r="D2487" s="704" t="s">
        <v>562</v>
      </c>
      <c r="E2487" s="704" t="s">
        <v>448</v>
      </c>
      <c r="F2487" s="705">
        <v>1.3849621021815595</v>
      </c>
      <c r="G2487" s="705">
        <v>1907.3054832559583</v>
      </c>
    </row>
    <row r="2488" spans="2:7" ht="11.25" hidden="1" customHeight="1" outlineLevel="2" x14ac:dyDescent="0.25">
      <c r="B2488" s="704" t="s">
        <v>678</v>
      </c>
      <c r="C2488" s="704" t="s">
        <v>807</v>
      </c>
      <c r="D2488" s="704" t="s">
        <v>562</v>
      </c>
      <c r="E2488" s="704" t="s">
        <v>448</v>
      </c>
      <c r="F2488" s="705">
        <v>2.087139642350635</v>
      </c>
      <c r="G2488" s="705">
        <v>2917.395559776568</v>
      </c>
    </row>
    <row r="2489" spans="2:7" ht="11.25" hidden="1" customHeight="1" outlineLevel="2" x14ac:dyDescent="0.25">
      <c r="B2489" s="704" t="s">
        <v>679</v>
      </c>
      <c r="C2489" s="704" t="s">
        <v>807</v>
      </c>
      <c r="D2489" s="704" t="s">
        <v>562</v>
      </c>
      <c r="E2489" s="704" t="s">
        <v>448</v>
      </c>
      <c r="F2489" s="705">
        <v>7.6237286928608039E-2</v>
      </c>
      <c r="G2489" s="705">
        <v>107.08697777272873</v>
      </c>
    </row>
    <row r="2490" spans="2:7" ht="11.25" hidden="1" customHeight="1" outlineLevel="2" x14ac:dyDescent="0.25">
      <c r="B2490" s="704" t="s">
        <v>680</v>
      </c>
      <c r="C2490" s="704" t="s">
        <v>807</v>
      </c>
      <c r="D2490" s="704" t="s">
        <v>562</v>
      </c>
      <c r="E2490" s="704" t="s">
        <v>448</v>
      </c>
      <c r="F2490" s="705">
        <v>5.3515464293503526E-2</v>
      </c>
      <c r="G2490" s="705">
        <v>75.250280374770213</v>
      </c>
    </row>
    <row r="2491" spans="2:7" ht="11.25" hidden="1" customHeight="1" outlineLevel="2" x14ac:dyDescent="0.25">
      <c r="B2491" s="704" t="s">
        <v>681</v>
      </c>
      <c r="C2491" s="704" t="s">
        <v>807</v>
      </c>
      <c r="D2491" s="704" t="s">
        <v>562</v>
      </c>
      <c r="E2491" s="704" t="s">
        <v>448</v>
      </c>
      <c r="F2491" s="705">
        <v>0.34371550348272156</v>
      </c>
      <c r="G2491" s="705">
        <v>480.44395599023773</v>
      </c>
    </row>
    <row r="2492" spans="2:7" ht="11.25" hidden="1" customHeight="1" outlineLevel="2" x14ac:dyDescent="0.25">
      <c r="B2492" s="704" t="s">
        <v>682</v>
      </c>
      <c r="C2492" s="704" t="s">
        <v>807</v>
      </c>
      <c r="D2492" s="704" t="s">
        <v>562</v>
      </c>
      <c r="E2492" s="704" t="s">
        <v>448</v>
      </c>
      <c r="F2492" s="705">
        <v>0.13250461589580495</v>
      </c>
      <c r="G2492" s="705">
        <v>185.23145121031641</v>
      </c>
    </row>
    <row r="2493" spans="2:7" ht="11.25" hidden="1" customHeight="1" outlineLevel="2" x14ac:dyDescent="0.25">
      <c r="B2493" s="704" t="s">
        <v>683</v>
      </c>
      <c r="C2493" s="704" t="s">
        <v>807</v>
      </c>
      <c r="D2493" s="704" t="s">
        <v>562</v>
      </c>
      <c r="E2493" s="704" t="s">
        <v>448</v>
      </c>
      <c r="F2493" s="705">
        <v>0.15659551811736472</v>
      </c>
      <c r="G2493" s="705">
        <v>219.96237579573284</v>
      </c>
    </row>
    <row r="2494" spans="2:7" ht="11.25" hidden="1" customHeight="1" outlineLevel="2" x14ac:dyDescent="0.25">
      <c r="B2494" s="704" t="s">
        <v>684</v>
      </c>
      <c r="C2494" s="704" t="s">
        <v>807</v>
      </c>
      <c r="D2494" s="704" t="s">
        <v>562</v>
      </c>
      <c r="E2494" s="704" t="s">
        <v>448</v>
      </c>
      <c r="F2494" s="705">
        <v>9.6739513430686278E-2</v>
      </c>
      <c r="G2494" s="705">
        <v>136.02944878800878</v>
      </c>
    </row>
    <row r="2495" spans="2:7" ht="11.25" hidden="1" customHeight="1" outlineLevel="2" x14ac:dyDescent="0.25">
      <c r="B2495" s="704" t="s">
        <v>685</v>
      </c>
      <c r="C2495" s="704" t="s">
        <v>807</v>
      </c>
      <c r="D2495" s="704" t="s">
        <v>562</v>
      </c>
      <c r="E2495" s="704" t="s">
        <v>448</v>
      </c>
      <c r="F2495" s="705">
        <v>0.48214943366195656</v>
      </c>
      <c r="G2495" s="705">
        <v>677.25202512335488</v>
      </c>
    </row>
    <row r="2496" spans="2:7" ht="11.25" hidden="1" customHeight="1" outlineLevel="2" x14ac:dyDescent="0.25">
      <c r="B2496" s="704" t="s">
        <v>686</v>
      </c>
      <c r="C2496" s="704" t="s">
        <v>807</v>
      </c>
      <c r="D2496" s="704" t="s">
        <v>562</v>
      </c>
      <c r="E2496" s="704" t="s">
        <v>448</v>
      </c>
      <c r="F2496" s="705">
        <v>7.2811237666009221E-2</v>
      </c>
      <c r="G2496" s="705">
        <v>101.29843723796694</v>
      </c>
    </row>
    <row r="2497" spans="2:7" ht="11.25" hidden="1" customHeight="1" outlineLevel="2" x14ac:dyDescent="0.25">
      <c r="B2497" s="704" t="s">
        <v>687</v>
      </c>
      <c r="C2497" s="704" t="s">
        <v>807</v>
      </c>
      <c r="D2497" s="704" t="s">
        <v>562</v>
      </c>
      <c r="E2497" s="704" t="s">
        <v>448</v>
      </c>
      <c r="F2497" s="705">
        <v>0.46587932309584934</v>
      </c>
      <c r="G2497" s="705">
        <v>651.20414578015641</v>
      </c>
    </row>
    <row r="2498" spans="2:7" ht="11.25" hidden="1" customHeight="1" outlineLevel="2" x14ac:dyDescent="0.25">
      <c r="B2498" s="704" t="s">
        <v>688</v>
      </c>
      <c r="C2498" s="704" t="s">
        <v>807</v>
      </c>
      <c r="D2498" s="704" t="s">
        <v>562</v>
      </c>
      <c r="E2498" s="704" t="s">
        <v>448</v>
      </c>
      <c r="F2498" s="705">
        <v>1.2382039938822023</v>
      </c>
      <c r="G2498" s="705">
        <v>1730.7553653662535</v>
      </c>
    </row>
    <row r="2499" spans="2:7" ht="11.25" hidden="1" customHeight="1" outlineLevel="2" x14ac:dyDescent="0.25">
      <c r="B2499" s="704" t="s">
        <v>689</v>
      </c>
      <c r="C2499" s="704" t="s">
        <v>807</v>
      </c>
      <c r="D2499" s="704" t="s">
        <v>562</v>
      </c>
      <c r="E2499" s="704" t="s">
        <v>448</v>
      </c>
      <c r="F2499" s="705">
        <v>7.6783915928831464E-2</v>
      </c>
      <c r="G2499" s="705">
        <v>107.15252720643366</v>
      </c>
    </row>
    <row r="2500" spans="2:7" ht="11.25" hidden="1" customHeight="1" outlineLevel="2" x14ac:dyDescent="0.25">
      <c r="B2500" s="704" t="s">
        <v>690</v>
      </c>
      <c r="C2500" s="704" t="s">
        <v>807</v>
      </c>
      <c r="D2500" s="704" t="s">
        <v>562</v>
      </c>
      <c r="E2500" s="704" t="s">
        <v>448</v>
      </c>
      <c r="F2500" s="705">
        <v>1.8152710420546403</v>
      </c>
      <c r="G2500" s="705">
        <v>2549.8262045980073</v>
      </c>
    </row>
    <row r="2501" spans="2:7" ht="11.25" hidden="1" customHeight="1" outlineLevel="2" x14ac:dyDescent="0.25">
      <c r="B2501" s="704" t="s">
        <v>691</v>
      </c>
      <c r="C2501" s="704" t="s">
        <v>807</v>
      </c>
      <c r="D2501" s="704" t="s">
        <v>562</v>
      </c>
      <c r="E2501" s="704" t="s">
        <v>448</v>
      </c>
      <c r="F2501" s="705">
        <v>1.386693922478782</v>
      </c>
      <c r="G2501" s="705">
        <v>1947.8227184046455</v>
      </c>
    </row>
    <row r="2502" spans="2:7" ht="11.25" hidden="1" customHeight="1" outlineLevel="2" x14ac:dyDescent="0.25">
      <c r="B2502" s="704" t="s">
        <v>692</v>
      </c>
      <c r="C2502" s="704" t="s">
        <v>807</v>
      </c>
      <c r="D2502" s="704" t="s">
        <v>562</v>
      </c>
      <c r="E2502" s="704" t="s">
        <v>448</v>
      </c>
      <c r="F2502" s="705">
        <v>0.16357541052000124</v>
      </c>
      <c r="G2502" s="705">
        <v>228.64512447361099</v>
      </c>
    </row>
    <row r="2503" spans="2:7" ht="11.25" hidden="1" customHeight="1" outlineLevel="2" x14ac:dyDescent="0.25">
      <c r="B2503" s="704" t="s">
        <v>693</v>
      </c>
      <c r="C2503" s="704" t="s">
        <v>807</v>
      </c>
      <c r="D2503" s="704" t="s">
        <v>562</v>
      </c>
      <c r="E2503" s="704" t="s">
        <v>448</v>
      </c>
      <c r="F2503" s="705">
        <v>7.4098348554754001E-2</v>
      </c>
      <c r="G2503" s="705">
        <v>104.19269446692651</v>
      </c>
    </row>
    <row r="2504" spans="2:7" ht="11.25" hidden="1" customHeight="1" outlineLevel="2" x14ac:dyDescent="0.25">
      <c r="B2504" s="704" t="s">
        <v>694</v>
      </c>
      <c r="C2504" s="704" t="s">
        <v>807</v>
      </c>
      <c r="D2504" s="704" t="s">
        <v>562</v>
      </c>
      <c r="E2504" s="704" t="s">
        <v>448</v>
      </c>
      <c r="F2504" s="705">
        <v>3.0874311894483707E-2</v>
      </c>
      <c r="G2504" s="705">
        <v>43.413609175826792</v>
      </c>
    </row>
    <row r="2505" spans="2:7" ht="11.25" hidden="1" customHeight="1" outlineLevel="2" x14ac:dyDescent="0.25">
      <c r="B2505" s="704" t="s">
        <v>695</v>
      </c>
      <c r="C2505" s="704" t="s">
        <v>807</v>
      </c>
      <c r="D2505" s="704" t="s">
        <v>562</v>
      </c>
      <c r="E2505" s="704" t="s">
        <v>448</v>
      </c>
      <c r="F2505" s="705">
        <v>0.13790525199731937</v>
      </c>
      <c r="G2505" s="705">
        <v>193.91405372997039</v>
      </c>
    </row>
    <row r="2506" spans="2:7" ht="11.25" hidden="1" customHeight="1" outlineLevel="2" x14ac:dyDescent="0.25">
      <c r="B2506" s="704" t="s">
        <v>696</v>
      </c>
      <c r="C2506" s="704" t="s">
        <v>807</v>
      </c>
      <c r="D2506" s="704" t="s">
        <v>562</v>
      </c>
      <c r="E2506" s="704" t="s">
        <v>448</v>
      </c>
      <c r="F2506" s="705">
        <v>0.31412858399018823</v>
      </c>
      <c r="G2506" s="705">
        <v>437.03053738508902</v>
      </c>
    </row>
    <row r="2507" spans="2:7" ht="11.25" hidden="1" customHeight="1" outlineLevel="2" x14ac:dyDescent="0.25">
      <c r="B2507" s="704" t="s">
        <v>697</v>
      </c>
      <c r="C2507" s="704" t="s">
        <v>807</v>
      </c>
      <c r="D2507" s="704" t="s">
        <v>562</v>
      </c>
      <c r="E2507" s="704" t="s">
        <v>448</v>
      </c>
      <c r="F2507" s="705">
        <v>0.26963576758023999</v>
      </c>
      <c r="G2507" s="705">
        <v>379.14557351045181</v>
      </c>
    </row>
    <row r="2508" spans="2:7" ht="11.25" hidden="1" customHeight="1" outlineLevel="2" x14ac:dyDescent="0.25">
      <c r="B2508" s="704" t="s">
        <v>698</v>
      </c>
      <c r="C2508" s="704" t="s">
        <v>807</v>
      </c>
      <c r="D2508" s="704" t="s">
        <v>562</v>
      </c>
      <c r="E2508" s="704" t="s">
        <v>448</v>
      </c>
      <c r="F2508" s="705">
        <v>0.1687795568083493</v>
      </c>
      <c r="G2508" s="705">
        <v>237.32778677854199</v>
      </c>
    </row>
    <row r="2509" spans="2:7" ht="11.25" hidden="1" customHeight="1" outlineLevel="2" x14ac:dyDescent="0.25">
      <c r="B2509" s="704" t="s">
        <v>699</v>
      </c>
      <c r="C2509" s="704" t="s">
        <v>807</v>
      </c>
      <c r="D2509" s="704" t="s">
        <v>562</v>
      </c>
      <c r="E2509" s="704" t="s">
        <v>448</v>
      </c>
      <c r="F2509" s="705">
        <v>1.3168854816368287</v>
      </c>
      <c r="G2509" s="705">
        <v>1840.7379650521693</v>
      </c>
    </row>
    <row r="2510" spans="2:7" ht="11.25" hidden="1" customHeight="1" outlineLevel="2" x14ac:dyDescent="0.25">
      <c r="B2510" s="704" t="s">
        <v>673</v>
      </c>
      <c r="C2510" s="704" t="s">
        <v>808</v>
      </c>
      <c r="D2510" s="704" t="s">
        <v>562</v>
      </c>
      <c r="E2510" s="704" t="s">
        <v>448</v>
      </c>
      <c r="F2510" s="705">
        <v>6.2416764107243512E-2</v>
      </c>
      <c r="G2510" s="705">
        <v>99.761567778925709</v>
      </c>
    </row>
    <row r="2511" spans="2:7" ht="11.25" hidden="1" customHeight="1" outlineLevel="2" x14ac:dyDescent="0.25">
      <c r="B2511" s="704" t="s">
        <v>677</v>
      </c>
      <c r="C2511" s="704" t="s">
        <v>808</v>
      </c>
      <c r="D2511" s="704" t="s">
        <v>562</v>
      </c>
      <c r="E2511" s="704" t="s">
        <v>448</v>
      </c>
      <c r="F2511" s="705">
        <v>0.63925898419780991</v>
      </c>
      <c r="G2511" s="705">
        <v>1011.4286580449817</v>
      </c>
    </row>
    <row r="2512" spans="2:7" ht="11.25" hidden="1" customHeight="1" outlineLevel="2" x14ac:dyDescent="0.25">
      <c r="B2512" s="704" t="s">
        <v>678</v>
      </c>
      <c r="C2512" s="704" t="s">
        <v>808</v>
      </c>
      <c r="D2512" s="704" t="s">
        <v>562</v>
      </c>
      <c r="E2512" s="704" t="s">
        <v>448</v>
      </c>
      <c r="F2512" s="705">
        <v>0.9634243155897495</v>
      </c>
      <c r="G2512" s="705">
        <v>1547.0711299458567</v>
      </c>
    </row>
    <row r="2513" spans="2:7" ht="11.25" hidden="1" customHeight="1" outlineLevel="2" x14ac:dyDescent="0.25">
      <c r="B2513" s="704" t="s">
        <v>679</v>
      </c>
      <c r="C2513" s="704" t="s">
        <v>808</v>
      </c>
      <c r="D2513" s="704" t="s">
        <v>562</v>
      </c>
      <c r="E2513" s="704" t="s">
        <v>448</v>
      </c>
      <c r="F2513" s="705">
        <v>3.5191875018602263E-2</v>
      </c>
      <c r="G2513" s="705">
        <v>56.787343104586185</v>
      </c>
    </row>
    <row r="2514" spans="2:7" ht="11.25" hidden="1" customHeight="1" outlineLevel="2" x14ac:dyDescent="0.25">
      <c r="B2514" s="704" t="s">
        <v>680</v>
      </c>
      <c r="C2514" s="704" t="s">
        <v>808</v>
      </c>
      <c r="D2514" s="704" t="s">
        <v>562</v>
      </c>
      <c r="E2514" s="704" t="s">
        <v>448</v>
      </c>
      <c r="F2514" s="705">
        <v>2.4703389359723295E-2</v>
      </c>
      <c r="G2514" s="705">
        <v>39.904626975997559</v>
      </c>
    </row>
    <row r="2515" spans="2:7" ht="11.25" hidden="1" customHeight="1" outlineLevel="2" x14ac:dyDescent="0.25">
      <c r="B2515" s="704" t="s">
        <v>681</v>
      </c>
      <c r="C2515" s="704" t="s">
        <v>808</v>
      </c>
      <c r="D2515" s="704" t="s">
        <v>562</v>
      </c>
      <c r="E2515" s="704" t="s">
        <v>448</v>
      </c>
      <c r="F2515" s="705">
        <v>0.15865918845652613</v>
      </c>
      <c r="G2515" s="705">
        <v>254.77564134257565</v>
      </c>
    </row>
    <row r="2516" spans="2:7" ht="11.25" hidden="1" customHeight="1" outlineLevel="2" x14ac:dyDescent="0.25">
      <c r="B2516" s="704" t="s">
        <v>682</v>
      </c>
      <c r="C2516" s="704" t="s">
        <v>808</v>
      </c>
      <c r="D2516" s="704" t="s">
        <v>562</v>
      </c>
      <c r="E2516" s="704" t="s">
        <v>448</v>
      </c>
      <c r="F2516" s="706">
        <v>6.1164191227447796E-2</v>
      </c>
      <c r="G2516" s="705">
        <v>98.22678187904684</v>
      </c>
    </row>
    <row r="2517" spans="2:7" ht="11.25" hidden="1" customHeight="1" outlineLevel="2" x14ac:dyDescent="0.25">
      <c r="B2517" s="704" t="s">
        <v>683</v>
      </c>
      <c r="C2517" s="704" t="s">
        <v>808</v>
      </c>
      <c r="D2517" s="704" t="s">
        <v>562</v>
      </c>
      <c r="E2517" s="704" t="s">
        <v>448</v>
      </c>
      <c r="F2517" s="706">
        <v>7.2286021513749632E-2</v>
      </c>
      <c r="G2517" s="705">
        <v>116.64419679347615</v>
      </c>
    </row>
    <row r="2518" spans="2:7" ht="11.25" hidden="1" customHeight="1" outlineLevel="2" x14ac:dyDescent="0.25">
      <c r="B2518" s="704" t="s">
        <v>684</v>
      </c>
      <c r="C2518" s="704" t="s">
        <v>808</v>
      </c>
      <c r="D2518" s="704" t="s">
        <v>562</v>
      </c>
      <c r="E2518" s="704" t="s">
        <v>448</v>
      </c>
      <c r="F2518" s="706">
        <v>4.4656108838234801E-2</v>
      </c>
      <c r="G2518" s="705">
        <v>72.135289792686592</v>
      </c>
    </row>
    <row r="2519" spans="2:7" ht="11.25" hidden="1" customHeight="1" outlineLevel="2" x14ac:dyDescent="0.25">
      <c r="B2519" s="704" t="s">
        <v>685</v>
      </c>
      <c r="C2519" s="704" t="s">
        <v>808</v>
      </c>
      <c r="D2519" s="704" t="s">
        <v>562</v>
      </c>
      <c r="E2519" s="704" t="s">
        <v>448</v>
      </c>
      <c r="F2519" s="706">
        <v>0.22256491920155413</v>
      </c>
      <c r="G2519" s="705">
        <v>359.14144837552897</v>
      </c>
    </row>
    <row r="2520" spans="2:7" ht="11.25" hidden="1" customHeight="1" outlineLevel="2" x14ac:dyDescent="0.25">
      <c r="B2520" s="704" t="s">
        <v>686</v>
      </c>
      <c r="C2520" s="704" t="s">
        <v>808</v>
      </c>
      <c r="D2520" s="704" t="s">
        <v>562</v>
      </c>
      <c r="E2520" s="704" t="s">
        <v>448</v>
      </c>
      <c r="F2520" s="706">
        <v>3.3609021293821942E-2</v>
      </c>
      <c r="G2520" s="705">
        <v>53.717778350960415</v>
      </c>
    </row>
    <row r="2521" spans="2:7" ht="11.25" hidden="1" customHeight="1" outlineLevel="2" x14ac:dyDescent="0.25">
      <c r="B2521" s="704" t="s">
        <v>687</v>
      </c>
      <c r="C2521" s="704" t="s">
        <v>808</v>
      </c>
      <c r="D2521" s="704" t="s">
        <v>562</v>
      </c>
      <c r="E2521" s="704" t="s">
        <v>448</v>
      </c>
      <c r="F2521" s="706">
        <v>0.21505005314771897</v>
      </c>
      <c r="G2521" s="705">
        <v>345.32852670924314</v>
      </c>
    </row>
    <row r="2522" spans="2:7" ht="11.25" hidden="1" customHeight="1" outlineLevel="2" x14ac:dyDescent="0.25">
      <c r="B2522" s="704" t="s">
        <v>688</v>
      </c>
      <c r="C2522" s="704" t="s">
        <v>808</v>
      </c>
      <c r="D2522" s="704" t="s">
        <v>562</v>
      </c>
      <c r="E2522" s="704" t="s">
        <v>448</v>
      </c>
      <c r="F2522" s="706">
        <v>0.57155510546904886</v>
      </c>
      <c r="G2522" s="705">
        <v>917.80655488408775</v>
      </c>
    </row>
    <row r="2523" spans="2:7" ht="11.25" hidden="1" customHeight="1" outlineLevel="2" x14ac:dyDescent="0.25">
      <c r="B2523" s="704" t="s">
        <v>689</v>
      </c>
      <c r="C2523" s="704" t="s">
        <v>808</v>
      </c>
      <c r="D2523" s="704" t="s">
        <v>562</v>
      </c>
      <c r="E2523" s="704" t="s">
        <v>448</v>
      </c>
      <c r="F2523" s="705">
        <v>3.5443237065293259E-2</v>
      </c>
      <c r="G2523" s="705">
        <v>56.822147707017933</v>
      </c>
    </row>
    <row r="2524" spans="2:7" ht="11.25" hidden="1" customHeight="1" outlineLevel="2" x14ac:dyDescent="0.25">
      <c r="B2524" s="704" t="s">
        <v>690</v>
      </c>
      <c r="C2524" s="704" t="s">
        <v>808</v>
      </c>
      <c r="D2524" s="704" t="s">
        <v>562</v>
      </c>
      <c r="E2524" s="704" t="s">
        <v>448</v>
      </c>
      <c r="F2524" s="705">
        <v>0.83794719732797318</v>
      </c>
      <c r="G2524" s="705">
        <v>1352.1526291709292</v>
      </c>
    </row>
    <row r="2525" spans="2:7" ht="11.25" hidden="1" customHeight="1" outlineLevel="2" x14ac:dyDescent="0.25">
      <c r="B2525" s="704" t="s">
        <v>691</v>
      </c>
      <c r="C2525" s="704" t="s">
        <v>808</v>
      </c>
      <c r="D2525" s="704" t="s">
        <v>562</v>
      </c>
      <c r="E2525" s="704" t="s">
        <v>448</v>
      </c>
      <c r="F2525" s="705">
        <v>0.64011188036513567</v>
      </c>
      <c r="G2525" s="705">
        <v>1032.9162570947967</v>
      </c>
    </row>
    <row r="2526" spans="2:7" ht="11.25" hidden="1" customHeight="1" outlineLevel="2" x14ac:dyDescent="0.25">
      <c r="B2526" s="704" t="s">
        <v>692</v>
      </c>
      <c r="C2526" s="704" t="s">
        <v>808</v>
      </c>
      <c r="D2526" s="704" t="s">
        <v>562</v>
      </c>
      <c r="E2526" s="704" t="s">
        <v>448</v>
      </c>
      <c r="F2526" s="706">
        <v>7.5506474242336266E-2</v>
      </c>
      <c r="G2526" s="705">
        <v>121.24863966101067</v>
      </c>
    </row>
    <row r="2527" spans="2:7" ht="11.25" hidden="1" customHeight="1" outlineLevel="2" x14ac:dyDescent="0.25">
      <c r="B2527" s="704" t="s">
        <v>693</v>
      </c>
      <c r="C2527" s="704" t="s">
        <v>808</v>
      </c>
      <c r="D2527" s="704" t="s">
        <v>562</v>
      </c>
      <c r="E2527" s="704" t="s">
        <v>448</v>
      </c>
      <c r="F2527" s="705">
        <v>3.4204688948351325E-2</v>
      </c>
      <c r="G2527" s="705">
        <v>55.25254305238127</v>
      </c>
    </row>
    <row r="2528" spans="2:7" ht="11.25" hidden="1" customHeight="1" outlineLevel="2" x14ac:dyDescent="0.25">
      <c r="B2528" s="704" t="s">
        <v>694</v>
      </c>
      <c r="C2528" s="704" t="s">
        <v>808</v>
      </c>
      <c r="D2528" s="704" t="s">
        <v>562</v>
      </c>
      <c r="E2528" s="704" t="s">
        <v>448</v>
      </c>
      <c r="F2528" s="705">
        <v>1.4251953919227468E-2</v>
      </c>
      <c r="G2528" s="705">
        <v>23.021901071385656</v>
      </c>
    </row>
    <row r="2529" spans="2:7" ht="11.25" hidden="1" customHeight="1" outlineLevel="2" x14ac:dyDescent="0.25">
      <c r="B2529" s="704" t="s">
        <v>695</v>
      </c>
      <c r="C2529" s="704" t="s">
        <v>808</v>
      </c>
      <c r="D2529" s="704" t="s">
        <v>562</v>
      </c>
      <c r="E2529" s="704" t="s">
        <v>448</v>
      </c>
      <c r="F2529" s="706">
        <v>6.3658728113471078E-2</v>
      </c>
      <c r="G2529" s="705">
        <v>102.83117428343876</v>
      </c>
    </row>
    <row r="2530" spans="2:7" ht="11.25" hidden="1" customHeight="1" outlineLevel="2" x14ac:dyDescent="0.25">
      <c r="B2530" s="704" t="s">
        <v>696</v>
      </c>
      <c r="C2530" s="704" t="s">
        <v>808</v>
      </c>
      <c r="D2530" s="704" t="s">
        <v>562</v>
      </c>
      <c r="E2530" s="704" t="s">
        <v>448</v>
      </c>
      <c r="F2530" s="705">
        <v>0.14499893087046081</v>
      </c>
      <c r="G2530" s="705">
        <v>231.75382334130677</v>
      </c>
    </row>
    <row r="2531" spans="2:7" ht="11.25" hidden="1" customHeight="1" outlineLevel="2" x14ac:dyDescent="0.25">
      <c r="B2531" s="704" t="s">
        <v>697</v>
      </c>
      <c r="C2531" s="704" t="s">
        <v>808</v>
      </c>
      <c r="D2531" s="704" t="s">
        <v>562</v>
      </c>
      <c r="E2531" s="704" t="s">
        <v>448</v>
      </c>
      <c r="F2531" s="705">
        <v>0.12446704519310667</v>
      </c>
      <c r="G2531" s="705">
        <v>201.05802446795116</v>
      </c>
    </row>
    <row r="2532" spans="2:7" ht="11.25" hidden="1" customHeight="1" outlineLevel="2" x14ac:dyDescent="0.25">
      <c r="B2532" s="704" t="s">
        <v>698</v>
      </c>
      <c r="C2532" s="704" t="s">
        <v>808</v>
      </c>
      <c r="D2532" s="704" t="s">
        <v>562</v>
      </c>
      <c r="E2532" s="704" t="s">
        <v>448</v>
      </c>
      <c r="F2532" s="705">
        <v>7.7910682995426889E-2</v>
      </c>
      <c r="G2532" s="705">
        <v>125.85307544649778</v>
      </c>
    </row>
    <row r="2533" spans="2:7" ht="11.25" hidden="1" customHeight="1" outlineLevel="2" x14ac:dyDescent="0.25">
      <c r="B2533" s="704" t="s">
        <v>699</v>
      </c>
      <c r="C2533" s="704" t="s">
        <v>808</v>
      </c>
      <c r="D2533" s="704" t="s">
        <v>562</v>
      </c>
      <c r="E2533" s="704" t="s">
        <v>448</v>
      </c>
      <c r="F2533" s="706">
        <v>0.60787476836765519</v>
      </c>
      <c r="G2533" s="705">
        <v>976.12844458231825</v>
      </c>
    </row>
    <row r="2534" spans="2:7" ht="11.25" hidden="1" customHeight="1" outlineLevel="2" x14ac:dyDescent="0.25">
      <c r="B2534" s="704" t="s">
        <v>673</v>
      </c>
      <c r="C2534" s="704" t="s">
        <v>809</v>
      </c>
      <c r="D2534" s="704" t="s">
        <v>562</v>
      </c>
      <c r="E2534" s="704" t="s">
        <v>448</v>
      </c>
      <c r="F2534" s="706">
        <v>0.14383021169032278</v>
      </c>
      <c r="G2534" s="705">
        <v>214.05211103029106</v>
      </c>
    </row>
    <row r="2535" spans="2:7" ht="11.25" hidden="1" customHeight="1" outlineLevel="2" x14ac:dyDescent="0.25">
      <c r="B2535" s="704" t="s">
        <v>677</v>
      </c>
      <c r="C2535" s="704" t="s">
        <v>809</v>
      </c>
      <c r="D2535" s="704" t="s">
        <v>562</v>
      </c>
      <c r="E2535" s="704" t="s">
        <v>448</v>
      </c>
      <c r="F2535" s="706">
        <v>1.4731857228006735</v>
      </c>
      <c r="G2535" s="705">
        <v>2170.1600656973615</v>
      </c>
    </row>
    <row r="2536" spans="2:7" ht="11.25" hidden="1" customHeight="1" outlineLevel="2" x14ac:dyDescent="0.25">
      <c r="B2536" s="704" t="s">
        <v>678</v>
      </c>
      <c r="C2536" s="704" t="s">
        <v>809</v>
      </c>
      <c r="D2536" s="704" t="s">
        <v>562</v>
      </c>
      <c r="E2536" s="704" t="s">
        <v>448</v>
      </c>
      <c r="F2536" s="705">
        <v>2.2199933029878864</v>
      </c>
      <c r="G2536" s="705">
        <v>3319.4559034055983</v>
      </c>
    </row>
    <row r="2537" spans="2:7" ht="11.25" hidden="1" customHeight="1" outlineLevel="2" x14ac:dyDescent="0.25">
      <c r="B2537" s="704" t="s">
        <v>679</v>
      </c>
      <c r="C2537" s="704" t="s">
        <v>809</v>
      </c>
      <c r="D2537" s="704" t="s">
        <v>562</v>
      </c>
      <c r="E2537" s="704" t="s">
        <v>448</v>
      </c>
      <c r="F2537" s="705">
        <v>8.1088857052143304E-2</v>
      </c>
      <c r="G2537" s="705">
        <v>121.84503430042093</v>
      </c>
    </row>
    <row r="2538" spans="2:7" ht="11.25" hidden="1" customHeight="1" outlineLevel="2" x14ac:dyDescent="0.25">
      <c r="B2538" s="704" t="s">
        <v>680</v>
      </c>
      <c r="C2538" s="704" t="s">
        <v>809</v>
      </c>
      <c r="D2538" s="704" t="s">
        <v>562</v>
      </c>
      <c r="E2538" s="704" t="s">
        <v>448</v>
      </c>
      <c r="F2538" s="705">
        <v>5.6920914715594961E-2</v>
      </c>
      <c r="G2538" s="705">
        <v>85.620825559936463</v>
      </c>
    </row>
    <row r="2539" spans="2:7" ht="11.25" hidden="1" customHeight="1" outlineLevel="2" x14ac:dyDescent="0.25">
      <c r="B2539" s="704" t="s">
        <v>681</v>
      </c>
      <c r="C2539" s="704" t="s">
        <v>809</v>
      </c>
      <c r="D2539" s="704" t="s">
        <v>562</v>
      </c>
      <c r="E2539" s="704" t="s">
        <v>448</v>
      </c>
      <c r="F2539" s="705">
        <v>0.36559419984828079</v>
      </c>
      <c r="G2539" s="705">
        <v>546.6563137025538</v>
      </c>
    </row>
    <row r="2540" spans="2:7" ht="11.25" hidden="1" customHeight="1" outlineLevel="2" x14ac:dyDescent="0.25">
      <c r="B2540" s="704" t="s">
        <v>682</v>
      </c>
      <c r="C2540" s="704" t="s">
        <v>809</v>
      </c>
      <c r="D2540" s="704" t="s">
        <v>562</v>
      </c>
      <c r="E2540" s="704" t="s">
        <v>448</v>
      </c>
      <c r="F2540" s="705">
        <v>0.14093893559249601</v>
      </c>
      <c r="G2540" s="705">
        <v>210.75909828079961</v>
      </c>
    </row>
    <row r="2541" spans="2:7" ht="11.25" hidden="1" customHeight="1" outlineLevel="2" x14ac:dyDescent="0.25">
      <c r="B2541" s="704" t="s">
        <v>683</v>
      </c>
      <c r="C2541" s="704" t="s">
        <v>809</v>
      </c>
      <c r="D2541" s="704" t="s">
        <v>562</v>
      </c>
      <c r="E2541" s="704" t="s">
        <v>448</v>
      </c>
      <c r="F2541" s="705">
        <v>0.16656087015012072</v>
      </c>
      <c r="G2541" s="705">
        <v>250.27638965328114</v>
      </c>
    </row>
    <row r="2542" spans="2:7" ht="11.25" hidden="1" customHeight="1" outlineLevel="2" x14ac:dyDescent="0.25">
      <c r="B2542" s="704" t="s">
        <v>684</v>
      </c>
      <c r="C2542" s="704" t="s">
        <v>809</v>
      </c>
      <c r="D2542" s="704" t="s">
        <v>562</v>
      </c>
      <c r="E2542" s="704" t="s">
        <v>448</v>
      </c>
      <c r="F2542" s="705">
        <v>0.10289544200947633</v>
      </c>
      <c r="G2542" s="705">
        <v>154.77617555257081</v>
      </c>
    </row>
    <row r="2543" spans="2:7" ht="11.25" hidden="1" customHeight="1" outlineLevel="2" x14ac:dyDescent="0.25">
      <c r="B2543" s="704" t="s">
        <v>685</v>
      </c>
      <c r="C2543" s="704" t="s">
        <v>809</v>
      </c>
      <c r="D2543" s="704" t="s">
        <v>562</v>
      </c>
      <c r="E2543" s="704" t="s">
        <v>448</v>
      </c>
      <c r="F2543" s="705">
        <v>0.51283233404281592</v>
      </c>
      <c r="G2543" s="705">
        <v>770.58814050435888</v>
      </c>
    </row>
    <row r="2544" spans="2:7" ht="11.25" hidden="1" customHeight="1" outlineLevel="2" x14ac:dyDescent="0.25">
      <c r="B2544" s="704" t="s">
        <v>686</v>
      </c>
      <c r="C2544" s="704" t="s">
        <v>809</v>
      </c>
      <c r="D2544" s="704" t="s">
        <v>562</v>
      </c>
      <c r="E2544" s="704" t="s">
        <v>448</v>
      </c>
      <c r="F2544" s="705">
        <v>7.7447056589120711E-2</v>
      </c>
      <c r="G2544" s="705">
        <v>115.2589278892364</v>
      </c>
    </row>
    <row r="2545" spans="2:7" ht="11.25" hidden="1" customHeight="1" outlineLevel="2" x14ac:dyDescent="0.25">
      <c r="B2545" s="704" t="s">
        <v>687</v>
      </c>
      <c r="C2545" s="704" t="s">
        <v>809</v>
      </c>
      <c r="D2545" s="704" t="s">
        <v>562</v>
      </c>
      <c r="E2545" s="704" t="s">
        <v>448</v>
      </c>
      <c r="F2545" s="705">
        <v>0.49553419167077961</v>
      </c>
      <c r="G2545" s="705">
        <v>740.94993506092646</v>
      </c>
    </row>
    <row r="2546" spans="2:7" ht="11.25" hidden="1" customHeight="1" outlineLevel="2" x14ac:dyDescent="0.25">
      <c r="B2546" s="704" t="s">
        <v>688</v>
      </c>
      <c r="C2546" s="704" t="s">
        <v>809</v>
      </c>
      <c r="D2546" s="704" t="s">
        <v>562</v>
      </c>
      <c r="E2546" s="704" t="s">
        <v>448</v>
      </c>
      <c r="F2546" s="705">
        <v>1.317020106687121</v>
      </c>
      <c r="G2546" s="705">
        <v>1969.2802490318973</v>
      </c>
    </row>
    <row r="2547" spans="2:7" ht="11.25" hidden="1" customHeight="1" outlineLevel="2" x14ac:dyDescent="0.25">
      <c r="B2547" s="704" t="s">
        <v>689</v>
      </c>
      <c r="C2547" s="704" t="s">
        <v>809</v>
      </c>
      <c r="D2547" s="704" t="s">
        <v>562</v>
      </c>
      <c r="E2547" s="704" t="s">
        <v>448</v>
      </c>
      <c r="F2547" s="706">
        <v>8.1671922425588184E-2</v>
      </c>
      <c r="G2547" s="705">
        <v>121.91973657939863</v>
      </c>
    </row>
    <row r="2548" spans="2:7" ht="11.25" hidden="1" customHeight="1" outlineLevel="2" x14ac:dyDescent="0.25">
      <c r="B2548" s="704" t="s">
        <v>690</v>
      </c>
      <c r="C2548" s="704" t="s">
        <v>809</v>
      </c>
      <c r="D2548" s="704" t="s">
        <v>562</v>
      </c>
      <c r="E2548" s="704" t="s">
        <v>448</v>
      </c>
      <c r="F2548" s="706">
        <v>1.9307916426153819</v>
      </c>
      <c r="G2548" s="705">
        <v>2901.2304510351387</v>
      </c>
    </row>
    <row r="2549" spans="2:7" ht="11.25" hidden="1" customHeight="1" outlineLevel="2" x14ac:dyDescent="0.25">
      <c r="B2549" s="704" t="s">
        <v>691</v>
      </c>
      <c r="C2549" s="704" t="s">
        <v>809</v>
      </c>
      <c r="D2549" s="704" t="s">
        <v>562</v>
      </c>
      <c r="E2549" s="704" t="s">
        <v>448</v>
      </c>
      <c r="F2549" s="705">
        <v>1.4749403806671226</v>
      </c>
      <c r="G2549" s="705">
        <v>2216.2633736554017</v>
      </c>
    </row>
    <row r="2550" spans="2:7" ht="11.25" hidden="1" customHeight="1" outlineLevel="2" x14ac:dyDescent="0.25">
      <c r="B2550" s="704" t="s">
        <v>692</v>
      </c>
      <c r="C2550" s="704" t="s">
        <v>809</v>
      </c>
      <c r="D2550" s="704" t="s">
        <v>562</v>
      </c>
      <c r="E2550" s="704" t="s">
        <v>448</v>
      </c>
      <c r="F2550" s="705">
        <v>0.17398757882652927</v>
      </c>
      <c r="G2550" s="705">
        <v>260.15560875552171</v>
      </c>
    </row>
    <row r="2551" spans="2:7" ht="11.25" hidden="1" customHeight="1" outlineLevel="2" x14ac:dyDescent="0.25">
      <c r="B2551" s="704" t="s">
        <v>693</v>
      </c>
      <c r="C2551" s="704" t="s">
        <v>809</v>
      </c>
      <c r="D2551" s="704" t="s">
        <v>562</v>
      </c>
      <c r="E2551" s="704" t="s">
        <v>448</v>
      </c>
      <c r="F2551" s="705">
        <v>7.8813589588410476E-2</v>
      </c>
      <c r="G2551" s="705">
        <v>118.55187680576191</v>
      </c>
    </row>
    <row r="2552" spans="2:7" ht="11.25" hidden="1" customHeight="1" outlineLevel="2" x14ac:dyDescent="0.25">
      <c r="B2552" s="704" t="s">
        <v>694</v>
      </c>
      <c r="C2552" s="704" t="s">
        <v>809</v>
      </c>
      <c r="D2552" s="704" t="s">
        <v>562</v>
      </c>
      <c r="E2552" s="704" t="s">
        <v>448</v>
      </c>
      <c r="F2552" s="705">
        <v>3.2838998701065943E-2</v>
      </c>
      <c r="G2552" s="705">
        <v>49.396644477034144</v>
      </c>
    </row>
    <row r="2553" spans="2:7" ht="11.25" hidden="1" customHeight="1" outlineLevel="2" x14ac:dyDescent="0.25">
      <c r="B2553" s="704" t="s">
        <v>695</v>
      </c>
      <c r="C2553" s="704" t="s">
        <v>809</v>
      </c>
      <c r="D2553" s="704" t="s">
        <v>562</v>
      </c>
      <c r="E2553" s="704" t="s">
        <v>448</v>
      </c>
      <c r="F2553" s="705">
        <v>0.14668078929074529</v>
      </c>
      <c r="G2553" s="705">
        <v>220.63834412112848</v>
      </c>
    </row>
    <row r="2554" spans="2:7" ht="11.25" hidden="1" customHeight="1" outlineLevel="2" x14ac:dyDescent="0.25">
      <c r="B2554" s="704" t="s">
        <v>696</v>
      </c>
      <c r="C2554" s="704" t="s">
        <v>809</v>
      </c>
      <c r="D2554" s="704" t="s">
        <v>562</v>
      </c>
      <c r="E2554" s="704" t="s">
        <v>448</v>
      </c>
      <c r="F2554" s="705">
        <v>0.33412861213816575</v>
      </c>
      <c r="G2554" s="705">
        <v>497.25966103150762</v>
      </c>
    </row>
    <row r="2555" spans="2:7" ht="11.25" hidden="1" customHeight="1" outlineLevel="2" x14ac:dyDescent="0.25">
      <c r="B2555" s="704" t="s">
        <v>697</v>
      </c>
      <c r="C2555" s="704" t="s">
        <v>809</v>
      </c>
      <c r="D2555" s="704" t="s">
        <v>562</v>
      </c>
      <c r="E2555" s="704" t="s">
        <v>448</v>
      </c>
      <c r="F2555" s="705">
        <v>0.28679385297718296</v>
      </c>
      <c r="G2555" s="705">
        <v>431.39743494108751</v>
      </c>
    </row>
    <row r="2556" spans="2:7" ht="11.25" hidden="1" customHeight="1" outlineLevel="2" x14ac:dyDescent="0.25">
      <c r="B2556" s="704" t="s">
        <v>698</v>
      </c>
      <c r="C2556" s="704" t="s">
        <v>809</v>
      </c>
      <c r="D2556" s="704" t="s">
        <v>562</v>
      </c>
      <c r="E2556" s="704" t="s">
        <v>448</v>
      </c>
      <c r="F2556" s="705">
        <v>0.17951986564079098</v>
      </c>
      <c r="G2556" s="705">
        <v>270.03503580500643</v>
      </c>
    </row>
    <row r="2557" spans="2:7" ht="11.25" hidden="1" customHeight="1" outlineLevel="2" x14ac:dyDescent="0.25">
      <c r="B2557" s="704" t="s">
        <v>699</v>
      </c>
      <c r="C2557" s="704" t="s">
        <v>809</v>
      </c>
      <c r="D2557" s="704" t="s">
        <v>562</v>
      </c>
      <c r="E2557" s="704" t="s">
        <v>448</v>
      </c>
      <c r="F2557" s="705">
        <v>1.4007102895760024</v>
      </c>
      <c r="G2557" s="705">
        <v>2094.4194370128689</v>
      </c>
    </row>
    <row r="2558" spans="2:7" ht="11.25" hidden="1" customHeight="1" outlineLevel="2" x14ac:dyDescent="0.25">
      <c r="B2558" s="704" t="s">
        <v>673</v>
      </c>
      <c r="C2558" s="704" t="s">
        <v>810</v>
      </c>
      <c r="D2558" s="704" t="s">
        <v>562</v>
      </c>
      <c r="E2558" s="704" t="s">
        <v>448</v>
      </c>
      <c r="F2558" s="705">
        <v>0.27166171761358199</v>
      </c>
      <c r="G2558" s="705">
        <v>337.22070169515143</v>
      </c>
    </row>
    <row r="2559" spans="2:7" ht="11.25" hidden="1" customHeight="1" outlineLevel="2" x14ac:dyDescent="0.25">
      <c r="B2559" s="704" t="s">
        <v>677</v>
      </c>
      <c r="C2559" s="704" t="s">
        <v>810</v>
      </c>
      <c r="D2559" s="704" t="s">
        <v>562</v>
      </c>
      <c r="E2559" s="704" t="s">
        <v>448</v>
      </c>
      <c r="F2559" s="705">
        <v>2.7827754777491314</v>
      </c>
      <c r="G2559" s="705">
        <v>3418.8975955506776</v>
      </c>
    </row>
    <row r="2560" spans="2:7" ht="11.25" hidden="1" customHeight="1" outlineLevel="2" x14ac:dyDescent="0.25">
      <c r="B2560" s="704" t="s">
        <v>678</v>
      </c>
      <c r="C2560" s="704" t="s">
        <v>810</v>
      </c>
      <c r="D2560" s="704" t="s">
        <v>562</v>
      </c>
      <c r="E2560" s="704" t="s">
        <v>448</v>
      </c>
      <c r="F2560" s="705">
        <v>4.1928603075270461</v>
      </c>
      <c r="G2560" s="705">
        <v>5229.5111581098772</v>
      </c>
    </row>
    <row r="2561" spans="2:7" ht="11.25" hidden="1" customHeight="1" outlineLevel="2" x14ac:dyDescent="0.25">
      <c r="B2561" s="704" t="s">
        <v>679</v>
      </c>
      <c r="C2561" s="704" t="s">
        <v>810</v>
      </c>
      <c r="D2561" s="704" t="s">
        <v>562</v>
      </c>
      <c r="E2561" s="704" t="s">
        <v>448</v>
      </c>
      <c r="F2561" s="705">
        <v>0.15314380399161515</v>
      </c>
      <c r="G2561" s="705">
        <v>191.95625433998825</v>
      </c>
    </row>
    <row r="2562" spans="2:7" ht="11.25" hidden="1" customHeight="1" outlineLevel="2" x14ac:dyDescent="0.25">
      <c r="B2562" s="704" t="s">
        <v>680</v>
      </c>
      <c r="C2562" s="704" t="s">
        <v>810</v>
      </c>
      <c r="D2562" s="704" t="s">
        <v>562</v>
      </c>
      <c r="E2562" s="704" t="s">
        <v>448</v>
      </c>
      <c r="F2562" s="705">
        <v>0.1074992685860421</v>
      </c>
      <c r="G2562" s="705">
        <v>134.88819874619705</v>
      </c>
    </row>
    <row r="2563" spans="2:7" ht="11.25" hidden="1" customHeight="1" outlineLevel="2" x14ac:dyDescent="0.25">
      <c r="B2563" s="704" t="s">
        <v>681</v>
      </c>
      <c r="C2563" s="704" t="s">
        <v>810</v>
      </c>
      <c r="D2563" s="704" t="s">
        <v>562</v>
      </c>
      <c r="E2563" s="704" t="s">
        <v>448</v>
      </c>
      <c r="F2563" s="705">
        <v>0.69049082898012282</v>
      </c>
      <c r="G2563" s="705">
        <v>861.20957486736324</v>
      </c>
    </row>
    <row r="2564" spans="2:7" ht="11.25" hidden="1" customHeight="1" outlineLevel="2" x14ac:dyDescent="0.25">
      <c r="B2564" s="704" t="s">
        <v>682</v>
      </c>
      <c r="C2564" s="704" t="s">
        <v>810</v>
      </c>
      <c r="D2564" s="704" t="s">
        <v>562</v>
      </c>
      <c r="E2564" s="704" t="s">
        <v>448</v>
      </c>
      <c r="F2564" s="706">
        <v>0.26618859834949959</v>
      </c>
      <c r="G2564" s="705">
        <v>332.03260134701856</v>
      </c>
    </row>
    <row r="2565" spans="2:7" ht="11.25" hidden="1" customHeight="1" outlineLevel="2" x14ac:dyDescent="0.25">
      <c r="B2565" s="704" t="s">
        <v>683</v>
      </c>
      <c r="C2565" s="704" t="s">
        <v>810</v>
      </c>
      <c r="D2565" s="704" t="s">
        <v>562</v>
      </c>
      <c r="E2565" s="704" t="s">
        <v>448</v>
      </c>
      <c r="F2565" s="706">
        <v>0.31456564551731547</v>
      </c>
      <c r="G2565" s="705">
        <v>394.28869209894185</v>
      </c>
    </row>
    <row r="2566" spans="2:7" ht="11.25" hidden="1" customHeight="1" outlineLevel="2" x14ac:dyDescent="0.25">
      <c r="B2566" s="704" t="s">
        <v>684</v>
      </c>
      <c r="C2566" s="704" t="s">
        <v>810</v>
      </c>
      <c r="D2566" s="704" t="s">
        <v>562</v>
      </c>
      <c r="E2566" s="704" t="s">
        <v>448</v>
      </c>
      <c r="F2566" s="706">
        <v>0.19432560743005151</v>
      </c>
      <c r="G2566" s="705">
        <v>243.83653898268093</v>
      </c>
    </row>
    <row r="2567" spans="2:7" ht="11.25" hidden="1" customHeight="1" outlineLevel="2" x14ac:dyDescent="0.25">
      <c r="B2567" s="704" t="s">
        <v>685</v>
      </c>
      <c r="C2567" s="704" t="s">
        <v>810</v>
      </c>
      <c r="D2567" s="704" t="s">
        <v>562</v>
      </c>
      <c r="E2567" s="704" t="s">
        <v>448</v>
      </c>
      <c r="F2567" s="706">
        <v>0.96853124357559817</v>
      </c>
      <c r="G2567" s="705">
        <v>1213.9942719704384</v>
      </c>
    </row>
    <row r="2568" spans="2:7" ht="11.25" hidden="1" customHeight="1" outlineLevel="2" x14ac:dyDescent="0.25">
      <c r="B2568" s="704" t="s">
        <v>686</v>
      </c>
      <c r="C2568" s="704" t="s">
        <v>810</v>
      </c>
      <c r="D2568" s="704" t="s">
        <v>562</v>
      </c>
      <c r="E2568" s="704" t="s">
        <v>448</v>
      </c>
      <c r="F2568" s="706">
        <v>0.14627938465953266</v>
      </c>
      <c r="G2568" s="705">
        <v>181.5803948812293</v>
      </c>
    </row>
    <row r="2569" spans="2:7" ht="11.25" hidden="1" customHeight="1" outlineLevel="2" x14ac:dyDescent="0.25">
      <c r="B2569" s="704" t="s">
        <v>687</v>
      </c>
      <c r="C2569" s="704" t="s">
        <v>810</v>
      </c>
      <c r="D2569" s="704" t="s">
        <v>562</v>
      </c>
      <c r="E2569" s="704" t="s">
        <v>448</v>
      </c>
      <c r="F2569" s="706">
        <v>0.93590642091496123</v>
      </c>
      <c r="G2569" s="705">
        <v>1167.3019448411928</v>
      </c>
    </row>
    <row r="2570" spans="2:7" ht="11.25" hidden="1" customHeight="1" outlineLevel="2" x14ac:dyDescent="0.25">
      <c r="B2570" s="704" t="s">
        <v>688</v>
      </c>
      <c r="C2570" s="704" t="s">
        <v>810</v>
      </c>
      <c r="D2570" s="704" t="s">
        <v>562</v>
      </c>
      <c r="E2570" s="704" t="s">
        <v>448</v>
      </c>
      <c r="F2570" s="706">
        <v>2.4874314326763627</v>
      </c>
      <c r="G2570" s="705">
        <v>3102.4304220529284</v>
      </c>
    </row>
    <row r="2571" spans="2:7" ht="11.25" hidden="1" customHeight="1" outlineLevel="2" x14ac:dyDescent="0.25">
      <c r="B2571" s="704" t="s">
        <v>689</v>
      </c>
      <c r="C2571" s="704" t="s">
        <v>810</v>
      </c>
      <c r="D2571" s="704" t="s">
        <v>562</v>
      </c>
      <c r="E2571" s="704" t="s">
        <v>448</v>
      </c>
      <c r="F2571" s="706">
        <v>0.15425464245185572</v>
      </c>
      <c r="G2571" s="705">
        <v>192.07402631619459</v>
      </c>
    </row>
    <row r="2572" spans="2:7" ht="11.25" hidden="1" customHeight="1" outlineLevel="2" x14ac:dyDescent="0.25">
      <c r="B2572" s="704" t="s">
        <v>690</v>
      </c>
      <c r="C2572" s="704" t="s">
        <v>810</v>
      </c>
      <c r="D2572" s="704" t="s">
        <v>562</v>
      </c>
      <c r="E2572" s="704" t="s">
        <v>448</v>
      </c>
      <c r="F2572" s="706">
        <v>3.6464778276617857</v>
      </c>
      <c r="G2572" s="705">
        <v>4570.6352909658926</v>
      </c>
    </row>
    <row r="2573" spans="2:7" ht="11.25" hidden="1" customHeight="1" outlineLevel="2" x14ac:dyDescent="0.25">
      <c r="B2573" s="704" t="s">
        <v>691</v>
      </c>
      <c r="C2573" s="704" t="s">
        <v>810</v>
      </c>
      <c r="D2573" s="704" t="s">
        <v>562</v>
      </c>
      <c r="E2573" s="704" t="s">
        <v>448</v>
      </c>
      <c r="F2573" s="706">
        <v>2.7855611929633168</v>
      </c>
      <c r="G2573" s="705">
        <v>3491.5301087410762</v>
      </c>
    </row>
    <row r="2574" spans="2:7" ht="11.25" hidden="1" customHeight="1" outlineLevel="2" x14ac:dyDescent="0.25">
      <c r="B2574" s="704" t="s">
        <v>692</v>
      </c>
      <c r="C2574" s="704" t="s">
        <v>810</v>
      </c>
      <c r="D2574" s="704" t="s">
        <v>562</v>
      </c>
      <c r="E2574" s="704" t="s">
        <v>448</v>
      </c>
      <c r="F2574" s="705">
        <v>0.32860710657978875</v>
      </c>
      <c r="G2574" s="705">
        <v>409.85242677404693</v>
      </c>
    </row>
    <row r="2575" spans="2:7" ht="11.25" hidden="1" customHeight="1" outlineLevel="2" x14ac:dyDescent="0.25">
      <c r="B2575" s="704" t="s">
        <v>693</v>
      </c>
      <c r="C2575" s="704" t="s">
        <v>810</v>
      </c>
      <c r="D2575" s="704" t="s">
        <v>562</v>
      </c>
      <c r="E2575" s="704" t="s">
        <v>448</v>
      </c>
      <c r="F2575" s="705">
        <v>0.14884514215540387</v>
      </c>
      <c r="G2575" s="705">
        <v>186.76818593676472</v>
      </c>
    </row>
    <row r="2576" spans="2:7" ht="11.25" hidden="1" customHeight="1" outlineLevel="2" x14ac:dyDescent="0.25">
      <c r="B2576" s="704" t="s">
        <v>694</v>
      </c>
      <c r="C2576" s="704" t="s">
        <v>810</v>
      </c>
      <c r="D2576" s="704" t="s">
        <v>562</v>
      </c>
      <c r="E2576" s="704" t="s">
        <v>448</v>
      </c>
      <c r="F2576" s="706">
        <v>6.2018813596753569E-2</v>
      </c>
      <c r="G2576" s="705">
        <v>77.820125626903021</v>
      </c>
    </row>
    <row r="2577" spans="2:7" ht="11.25" hidden="1" customHeight="1" outlineLevel="2" x14ac:dyDescent="0.25">
      <c r="B2577" s="704" t="s">
        <v>695</v>
      </c>
      <c r="C2577" s="704" t="s">
        <v>810</v>
      </c>
      <c r="D2577" s="704" t="s">
        <v>562</v>
      </c>
      <c r="E2577" s="704" t="s">
        <v>448</v>
      </c>
      <c r="F2577" s="705">
        <v>0.2770173420855857</v>
      </c>
      <c r="G2577" s="705">
        <v>347.59643894986755</v>
      </c>
    </row>
    <row r="2578" spans="2:7" ht="11.25" hidden="1" customHeight="1" outlineLevel="2" x14ac:dyDescent="0.25">
      <c r="B2578" s="704" t="s">
        <v>696</v>
      </c>
      <c r="C2578" s="704" t="s">
        <v>810</v>
      </c>
      <c r="D2578" s="704" t="s">
        <v>562</v>
      </c>
      <c r="E2578" s="704" t="s">
        <v>448</v>
      </c>
      <c r="F2578" s="705">
        <v>0.63109104046865494</v>
      </c>
      <c r="G2578" s="705">
        <v>839.9627993340473</v>
      </c>
    </row>
    <row r="2579" spans="2:7" ht="11.25" hidden="1" customHeight="1" outlineLevel="2" x14ac:dyDescent="0.25">
      <c r="B2579" s="704" t="s">
        <v>697</v>
      </c>
      <c r="C2579" s="704" t="s">
        <v>810</v>
      </c>
      <c r="D2579" s="704" t="s">
        <v>562</v>
      </c>
      <c r="E2579" s="704" t="s">
        <v>448</v>
      </c>
      <c r="F2579" s="705">
        <v>0.54163096415622658</v>
      </c>
      <c r="G2579" s="705">
        <v>679.62908687562094</v>
      </c>
    </row>
    <row r="2580" spans="2:7" ht="11.25" hidden="1" customHeight="1" outlineLevel="2" x14ac:dyDescent="0.25">
      <c r="B2580" s="704" t="s">
        <v>698</v>
      </c>
      <c r="C2580" s="704" t="s">
        <v>810</v>
      </c>
      <c r="D2580" s="704" t="s">
        <v>562</v>
      </c>
      <c r="E2580" s="704" t="s">
        <v>448</v>
      </c>
      <c r="F2580" s="705">
        <v>0.33903614549757299</v>
      </c>
      <c r="G2580" s="705">
        <v>425.41668256838119</v>
      </c>
    </row>
    <row r="2581" spans="2:7" ht="11.25" hidden="1" customHeight="1" outlineLevel="2" x14ac:dyDescent="0.25">
      <c r="B2581" s="704" t="s">
        <v>699</v>
      </c>
      <c r="C2581" s="704" t="s">
        <v>810</v>
      </c>
      <c r="D2581" s="704" t="s">
        <v>562</v>
      </c>
      <c r="E2581" s="704" t="s">
        <v>448</v>
      </c>
      <c r="F2581" s="705">
        <v>2.6454950497395657</v>
      </c>
      <c r="G2581" s="705">
        <v>3299.5742241188864</v>
      </c>
    </row>
    <row r="2582" spans="2:7" ht="11.25" hidden="1" customHeight="1" outlineLevel="2" x14ac:dyDescent="0.25">
      <c r="B2582" s="704" t="s">
        <v>673</v>
      </c>
      <c r="C2582" s="704" t="s">
        <v>811</v>
      </c>
      <c r="D2582" s="704" t="s">
        <v>562</v>
      </c>
      <c r="E2582" s="704" t="s">
        <v>448</v>
      </c>
      <c r="F2582" s="705">
        <v>1.1565134777539565E-2</v>
      </c>
      <c r="G2582" s="705">
        <v>15.860966418852914</v>
      </c>
    </row>
    <row r="2583" spans="2:7" ht="11.25" hidden="1" customHeight="1" outlineLevel="2" x14ac:dyDescent="0.25">
      <c r="B2583" s="704" t="s">
        <v>677</v>
      </c>
      <c r="C2583" s="704" t="s">
        <v>811</v>
      </c>
      <c r="D2583" s="704" t="s">
        <v>562</v>
      </c>
      <c r="E2583" s="704" t="s">
        <v>448</v>
      </c>
      <c r="F2583" s="705">
        <v>0.11846688800462295</v>
      </c>
      <c r="G2583" s="705">
        <v>160.80583685890625</v>
      </c>
    </row>
    <row r="2584" spans="2:7" ht="11.25" hidden="1" customHeight="1" outlineLevel="2" x14ac:dyDescent="0.25">
      <c r="B2584" s="704" t="s">
        <v>678</v>
      </c>
      <c r="C2584" s="704" t="s">
        <v>811</v>
      </c>
      <c r="D2584" s="704" t="s">
        <v>562</v>
      </c>
      <c r="E2584" s="704" t="s">
        <v>448</v>
      </c>
      <c r="F2584" s="705">
        <v>0.17849838683746341</v>
      </c>
      <c r="G2584" s="705">
        <v>245.96709721365178</v>
      </c>
    </row>
    <row r="2585" spans="2:7" ht="11.25" hidden="1" customHeight="1" outlineLevel="2" x14ac:dyDescent="0.25">
      <c r="B2585" s="704" t="s">
        <v>679</v>
      </c>
      <c r="C2585" s="704" t="s">
        <v>811</v>
      </c>
      <c r="D2585" s="704" t="s">
        <v>562</v>
      </c>
      <c r="E2585" s="704" t="s">
        <v>448</v>
      </c>
      <c r="F2585" s="705">
        <v>6.5196598144264773E-3</v>
      </c>
      <c r="G2585" s="705">
        <v>9.0285559139728306</v>
      </c>
    </row>
    <row r="2586" spans="2:7" ht="11.25" hidden="1" customHeight="1" outlineLevel="2" x14ac:dyDescent="0.25">
      <c r="B2586" s="704" t="s">
        <v>680</v>
      </c>
      <c r="C2586" s="704" t="s">
        <v>811</v>
      </c>
      <c r="D2586" s="704" t="s">
        <v>562</v>
      </c>
      <c r="E2586" s="704" t="s">
        <v>448</v>
      </c>
      <c r="F2586" s="705">
        <v>4.5764779604096882E-3</v>
      </c>
      <c r="G2586" s="705">
        <v>6.3443900229961221</v>
      </c>
    </row>
    <row r="2587" spans="2:7" ht="11.25" hidden="1" customHeight="1" outlineLevel="2" x14ac:dyDescent="0.25">
      <c r="B2587" s="704" t="s">
        <v>681</v>
      </c>
      <c r="C2587" s="704" t="s">
        <v>811</v>
      </c>
      <c r="D2587" s="704" t="s">
        <v>562</v>
      </c>
      <c r="E2587" s="704" t="s">
        <v>448</v>
      </c>
      <c r="F2587" s="705">
        <v>2.9395560416299052E-2</v>
      </c>
      <c r="G2587" s="705">
        <v>40.506502265385294</v>
      </c>
    </row>
    <row r="2588" spans="2:7" ht="11.25" hidden="1" customHeight="1" outlineLevel="2" x14ac:dyDescent="0.25">
      <c r="B2588" s="704" t="s">
        <v>682</v>
      </c>
      <c r="C2588" s="704" t="s">
        <v>811</v>
      </c>
      <c r="D2588" s="704" t="s">
        <v>562</v>
      </c>
      <c r="E2588" s="704" t="s">
        <v>448</v>
      </c>
      <c r="F2588" s="705">
        <v>1.1332175635057546E-2</v>
      </c>
      <c r="G2588" s="705">
        <v>15.616966404101557</v>
      </c>
    </row>
    <row r="2589" spans="2:7" ht="11.25" hidden="1" customHeight="1" outlineLevel="2" x14ac:dyDescent="0.25">
      <c r="B2589" s="704" t="s">
        <v>683</v>
      </c>
      <c r="C2589" s="704" t="s">
        <v>811</v>
      </c>
      <c r="D2589" s="704" t="s">
        <v>562</v>
      </c>
      <c r="E2589" s="704" t="s">
        <v>448</v>
      </c>
      <c r="F2589" s="705">
        <v>1.3391730923369885E-2</v>
      </c>
      <c r="G2589" s="705">
        <v>18.545142022193009</v>
      </c>
    </row>
    <row r="2590" spans="2:7" ht="11.25" hidden="1" customHeight="1" outlineLevel="2" x14ac:dyDescent="0.25">
      <c r="B2590" s="704" t="s">
        <v>684</v>
      </c>
      <c r="C2590" s="704" t="s">
        <v>811</v>
      </c>
      <c r="D2590" s="704" t="s">
        <v>562</v>
      </c>
      <c r="E2590" s="704" t="s">
        <v>448</v>
      </c>
      <c r="F2590" s="705">
        <v>8.2728634297405054E-3</v>
      </c>
      <c r="G2590" s="705">
        <v>11.46870366904267</v>
      </c>
    </row>
    <row r="2591" spans="2:7" ht="11.25" hidden="1" customHeight="1" outlineLevel="2" x14ac:dyDescent="0.25">
      <c r="B2591" s="704" t="s">
        <v>685</v>
      </c>
      <c r="C2591" s="704" t="s">
        <v>811</v>
      </c>
      <c r="D2591" s="704" t="s">
        <v>562</v>
      </c>
      <c r="E2591" s="704" t="s">
        <v>448</v>
      </c>
      <c r="F2591" s="705">
        <v>4.1232440009336686E-2</v>
      </c>
      <c r="G2591" s="705">
        <v>57.099512826849697</v>
      </c>
    </row>
    <row r="2592" spans="2:7" ht="11.25" hidden="1" customHeight="1" outlineLevel="2" x14ac:dyDescent="0.25">
      <c r="B2592" s="704" t="s">
        <v>686</v>
      </c>
      <c r="C2592" s="704" t="s">
        <v>811</v>
      </c>
      <c r="D2592" s="704" t="s">
        <v>562</v>
      </c>
      <c r="E2592" s="704" t="s">
        <v>448</v>
      </c>
      <c r="F2592" s="705">
        <v>6.2273813898424974E-3</v>
      </c>
      <c r="G2592" s="705">
        <v>8.5405242930944851</v>
      </c>
    </row>
    <row r="2593" spans="2:7" ht="11.25" hidden="1" customHeight="1" outlineLevel="2" x14ac:dyDescent="0.25">
      <c r="B2593" s="704" t="s">
        <v>687</v>
      </c>
      <c r="C2593" s="704" t="s">
        <v>811</v>
      </c>
      <c r="D2593" s="704" t="s">
        <v>562</v>
      </c>
      <c r="E2593" s="704" t="s">
        <v>448</v>
      </c>
      <c r="F2593" s="705">
        <v>3.9843379563300828E-2</v>
      </c>
      <c r="G2593" s="705">
        <v>54.903380383993714</v>
      </c>
    </row>
    <row r="2594" spans="2:7" ht="11.25" hidden="1" customHeight="1" outlineLevel="2" x14ac:dyDescent="0.25">
      <c r="B2594" s="704" t="s">
        <v>688</v>
      </c>
      <c r="C2594" s="704" t="s">
        <v>811</v>
      </c>
      <c r="D2594" s="704" t="s">
        <v>562</v>
      </c>
      <c r="E2594" s="704" t="s">
        <v>448</v>
      </c>
      <c r="F2594" s="705">
        <v>0.10589484503523743</v>
      </c>
      <c r="G2594" s="705">
        <v>145.92091777535475</v>
      </c>
    </row>
    <row r="2595" spans="2:7" ht="11.25" hidden="1" customHeight="1" outlineLevel="2" x14ac:dyDescent="0.25">
      <c r="B2595" s="704" t="s">
        <v>689</v>
      </c>
      <c r="C2595" s="704" t="s">
        <v>811</v>
      </c>
      <c r="D2595" s="704" t="s">
        <v>562</v>
      </c>
      <c r="E2595" s="704" t="s">
        <v>448</v>
      </c>
      <c r="F2595" s="705">
        <v>6.566916609476457E-3</v>
      </c>
      <c r="G2595" s="705">
        <v>9.0340883773261424</v>
      </c>
    </row>
    <row r="2596" spans="2:7" ht="11.25" hidden="1" customHeight="1" outlineLevel="2" x14ac:dyDescent="0.25">
      <c r="B2596" s="704" t="s">
        <v>690</v>
      </c>
      <c r="C2596" s="704" t="s">
        <v>811</v>
      </c>
      <c r="D2596" s="704" t="s">
        <v>562</v>
      </c>
      <c r="E2596" s="704" t="s">
        <v>448</v>
      </c>
      <c r="F2596" s="705">
        <v>0.15523835936171626</v>
      </c>
      <c r="G2596" s="705">
        <v>214.97737739323549</v>
      </c>
    </row>
    <row r="2597" spans="2:7" ht="11.25" hidden="1" customHeight="1" outlineLevel="2" x14ac:dyDescent="0.25">
      <c r="B2597" s="704" t="s">
        <v>691</v>
      </c>
      <c r="C2597" s="704" t="s">
        <v>811</v>
      </c>
      <c r="D2597" s="704" t="s">
        <v>562</v>
      </c>
      <c r="E2597" s="704" t="s">
        <v>448</v>
      </c>
      <c r="F2597" s="706">
        <v>0.11858730079874923</v>
      </c>
      <c r="G2597" s="705">
        <v>164.22215945919541</v>
      </c>
    </row>
    <row r="2598" spans="2:7" ht="11.25" hidden="1" customHeight="1" outlineLevel="2" x14ac:dyDescent="0.25">
      <c r="B2598" s="704" t="s">
        <v>692</v>
      </c>
      <c r="C2598" s="704" t="s">
        <v>811</v>
      </c>
      <c r="D2598" s="704" t="s">
        <v>562</v>
      </c>
      <c r="E2598" s="704" t="s">
        <v>448</v>
      </c>
      <c r="F2598" s="706">
        <v>1.3989451211373211E-2</v>
      </c>
      <c r="G2598" s="705">
        <v>19.277202222636564</v>
      </c>
    </row>
    <row r="2599" spans="2:7" ht="11.25" hidden="1" customHeight="1" outlineLevel="2" x14ac:dyDescent="0.25">
      <c r="B2599" s="704" t="s">
        <v>693</v>
      </c>
      <c r="C2599" s="704" t="s">
        <v>811</v>
      </c>
      <c r="D2599" s="704" t="s">
        <v>562</v>
      </c>
      <c r="E2599" s="704" t="s">
        <v>448</v>
      </c>
      <c r="F2599" s="706">
        <v>6.3366638853253072E-3</v>
      </c>
      <c r="G2599" s="705">
        <v>8.7845364724666837</v>
      </c>
    </row>
    <row r="2600" spans="2:7" ht="11.25" hidden="1" customHeight="1" outlineLevel="2" x14ac:dyDescent="0.25">
      <c r="B2600" s="704" t="s">
        <v>694</v>
      </c>
      <c r="C2600" s="704" t="s">
        <v>811</v>
      </c>
      <c r="D2600" s="704" t="s">
        <v>562</v>
      </c>
      <c r="E2600" s="704" t="s">
        <v>448</v>
      </c>
      <c r="F2600" s="706">
        <v>2.6402760360310527E-3</v>
      </c>
      <c r="G2600" s="705">
        <v>3.6602271369017094</v>
      </c>
    </row>
    <row r="2601" spans="2:7" ht="11.25" hidden="1" customHeight="1" outlineLevel="2" x14ac:dyDescent="0.25">
      <c r="B2601" s="704" t="s">
        <v>695</v>
      </c>
      <c r="C2601" s="704" t="s">
        <v>811</v>
      </c>
      <c r="D2601" s="704" t="s">
        <v>562</v>
      </c>
      <c r="E2601" s="704" t="s">
        <v>448</v>
      </c>
      <c r="F2601" s="706">
        <v>1.1793231427693214E-2</v>
      </c>
      <c r="G2601" s="705">
        <v>16.349008527257443</v>
      </c>
    </row>
    <row r="2602" spans="2:7" ht="11.25" hidden="1" customHeight="1" outlineLevel="2" x14ac:dyDescent="0.25">
      <c r="B2602" s="704" t="s">
        <v>696</v>
      </c>
      <c r="C2602" s="704" t="s">
        <v>811</v>
      </c>
      <c r="D2602" s="704" t="s">
        <v>562</v>
      </c>
      <c r="E2602" s="704" t="s">
        <v>448</v>
      </c>
      <c r="F2602" s="706">
        <v>2.8867518778119786E-2</v>
      </c>
      <c r="G2602" s="705">
        <v>36.846251604707561</v>
      </c>
    </row>
    <row r="2603" spans="2:7" ht="11.25" hidden="1" customHeight="1" outlineLevel="2" x14ac:dyDescent="0.25">
      <c r="B2603" s="704" t="s">
        <v>697</v>
      </c>
      <c r="C2603" s="704" t="s">
        <v>811</v>
      </c>
      <c r="D2603" s="704" t="s">
        <v>562</v>
      </c>
      <c r="E2603" s="704" t="s">
        <v>448</v>
      </c>
      <c r="F2603" s="705">
        <v>2.3058406444197398E-2</v>
      </c>
      <c r="G2603" s="705">
        <v>31.965955225755881</v>
      </c>
    </row>
    <row r="2604" spans="2:7" ht="11.25" hidden="1" customHeight="1" outlineLevel="2" x14ac:dyDescent="0.25">
      <c r="B2604" s="704" t="s">
        <v>698</v>
      </c>
      <c r="C2604" s="704" t="s">
        <v>811</v>
      </c>
      <c r="D2604" s="704" t="s">
        <v>562</v>
      </c>
      <c r="E2604" s="704" t="s">
        <v>448</v>
      </c>
      <c r="F2604" s="705">
        <v>1.4433512177440563E-2</v>
      </c>
      <c r="G2604" s="705">
        <v>20.009223602078375</v>
      </c>
    </row>
    <row r="2605" spans="2:7" ht="11.25" hidden="1" customHeight="1" outlineLevel="2" x14ac:dyDescent="0.25">
      <c r="B2605" s="704" t="s">
        <v>699</v>
      </c>
      <c r="C2605" s="704" t="s">
        <v>811</v>
      </c>
      <c r="D2605" s="704" t="s">
        <v>562</v>
      </c>
      <c r="E2605" s="704" t="s">
        <v>448</v>
      </c>
      <c r="F2605" s="705">
        <v>0.11262397568025019</v>
      </c>
      <c r="G2605" s="705">
        <v>155.19359822644017</v>
      </c>
    </row>
    <row r="2606" spans="2:7" ht="11.25" hidden="1" customHeight="1" outlineLevel="2" x14ac:dyDescent="0.25">
      <c r="B2606" s="704" t="s">
        <v>673</v>
      </c>
      <c r="C2606" s="704" t="s">
        <v>812</v>
      </c>
      <c r="D2606" s="704" t="s">
        <v>745</v>
      </c>
      <c r="E2606" s="704" t="s">
        <v>448</v>
      </c>
      <c r="F2606" s="705">
        <v>4.3932917690746628E-2</v>
      </c>
      <c r="G2606" s="705">
        <v>48.410055519617352</v>
      </c>
    </row>
    <row r="2607" spans="2:7" ht="11.25" hidden="1" customHeight="1" outlineLevel="2" x14ac:dyDescent="0.25">
      <c r="B2607" s="704" t="s">
        <v>677</v>
      </c>
      <c r="C2607" s="704" t="s">
        <v>812</v>
      </c>
      <c r="D2607" s="704" t="s">
        <v>745</v>
      </c>
      <c r="E2607" s="704" t="s">
        <v>448</v>
      </c>
      <c r="F2607" s="705">
        <v>4.0610596693594618E-2</v>
      </c>
      <c r="G2607" s="705">
        <v>44.293366034735534</v>
      </c>
    </row>
    <row r="2608" spans="2:7" ht="11.25" hidden="1" customHeight="1" outlineLevel="2" x14ac:dyDescent="0.25">
      <c r="B2608" s="704" t="s">
        <v>678</v>
      </c>
      <c r="C2608" s="704" t="s">
        <v>812</v>
      </c>
      <c r="D2608" s="704" t="s">
        <v>745</v>
      </c>
      <c r="E2608" s="704" t="s">
        <v>448</v>
      </c>
      <c r="F2608" s="705">
        <v>2.2274529922454607E-2</v>
      </c>
      <c r="G2608" s="705">
        <v>24.660648562510556</v>
      </c>
    </row>
    <row r="2609" spans="2:7" ht="11.25" hidden="1" customHeight="1" outlineLevel="2" x14ac:dyDescent="0.25">
      <c r="B2609" s="704" t="s">
        <v>679</v>
      </c>
      <c r="C2609" s="704" t="s">
        <v>812</v>
      </c>
      <c r="D2609" s="704" t="s">
        <v>745</v>
      </c>
      <c r="E2609" s="704" t="s">
        <v>448</v>
      </c>
      <c r="F2609" s="705">
        <v>2.5934898142718384E-2</v>
      </c>
      <c r="G2609" s="705">
        <v>28.85477464646366</v>
      </c>
    </row>
    <row r="2610" spans="2:7" ht="11.25" hidden="1" customHeight="1" outlineLevel="2" x14ac:dyDescent="0.25">
      <c r="B2610" s="704" t="s">
        <v>680</v>
      </c>
      <c r="C2610" s="704" t="s">
        <v>812</v>
      </c>
      <c r="D2610" s="704" t="s">
        <v>745</v>
      </c>
      <c r="E2610" s="704" t="s">
        <v>448</v>
      </c>
      <c r="F2610" s="705">
        <v>1.7873230677792975E-2</v>
      </c>
      <c r="G2610" s="705">
        <v>19.906658788828786</v>
      </c>
    </row>
    <row r="2611" spans="2:7" ht="11.25" hidden="1" customHeight="1" outlineLevel="2" x14ac:dyDescent="0.25">
      <c r="B2611" s="704" t="s">
        <v>681</v>
      </c>
      <c r="C2611" s="704" t="s">
        <v>812</v>
      </c>
      <c r="D2611" s="704" t="s">
        <v>745</v>
      </c>
      <c r="E2611" s="704" t="s">
        <v>448</v>
      </c>
      <c r="F2611" s="705">
        <v>1.6775728059978678E-2</v>
      </c>
      <c r="G2611" s="705">
        <v>18.572803174133043</v>
      </c>
    </row>
    <row r="2612" spans="2:7" ht="11.25" hidden="1" customHeight="1" outlineLevel="2" x14ac:dyDescent="0.25">
      <c r="B2612" s="704" t="s">
        <v>682</v>
      </c>
      <c r="C2612" s="704" t="s">
        <v>812</v>
      </c>
      <c r="D2612" s="704" t="s">
        <v>745</v>
      </c>
      <c r="E2612" s="704" t="s">
        <v>448</v>
      </c>
      <c r="F2612" s="705">
        <v>1.7046453660849914E-3</v>
      </c>
      <c r="G2612" s="705">
        <v>1.8874282448024666</v>
      </c>
    </row>
    <row r="2613" spans="2:7" ht="11.25" hidden="1" customHeight="1" outlineLevel="2" x14ac:dyDescent="0.25">
      <c r="B2613" s="704" t="s">
        <v>683</v>
      </c>
      <c r="C2613" s="704" t="s">
        <v>812</v>
      </c>
      <c r="D2613" s="704" t="s">
        <v>745</v>
      </c>
      <c r="E2613" s="704" t="s">
        <v>448</v>
      </c>
      <c r="F2613" s="705">
        <v>6.6761790859171874E-2</v>
      </c>
      <c r="G2613" s="705">
        <v>74.278167198310612</v>
      </c>
    </row>
    <row r="2614" spans="2:7" ht="11.25" hidden="1" customHeight="1" outlineLevel="2" x14ac:dyDescent="0.25">
      <c r="B2614" s="704" t="s">
        <v>684</v>
      </c>
      <c r="C2614" s="704" t="s">
        <v>812</v>
      </c>
      <c r="D2614" s="704" t="s">
        <v>745</v>
      </c>
      <c r="E2614" s="704" t="s">
        <v>448</v>
      </c>
      <c r="F2614" s="705">
        <v>5.4966730400959472E-2</v>
      </c>
      <c r="G2614" s="705">
        <v>61.220242182149455</v>
      </c>
    </row>
    <row r="2615" spans="2:7" ht="11.25" hidden="1" customHeight="1" outlineLevel="2" x14ac:dyDescent="0.25">
      <c r="B2615" s="704" t="s">
        <v>685</v>
      </c>
      <c r="C2615" s="704" t="s">
        <v>812</v>
      </c>
      <c r="D2615" s="704" t="s">
        <v>745</v>
      </c>
      <c r="E2615" s="704" t="s">
        <v>448</v>
      </c>
      <c r="F2615" s="705">
        <v>9.3750397099323906E-3</v>
      </c>
      <c r="G2615" s="705">
        <v>10.430526808111262</v>
      </c>
    </row>
    <row r="2616" spans="2:7" ht="11.25" hidden="1" customHeight="1" outlineLevel="2" x14ac:dyDescent="0.25">
      <c r="B2616" s="704" t="s">
        <v>686</v>
      </c>
      <c r="C2616" s="704" t="s">
        <v>812</v>
      </c>
      <c r="D2616" s="704" t="s">
        <v>745</v>
      </c>
      <c r="E2616" s="704" t="s">
        <v>448</v>
      </c>
      <c r="F2616" s="705">
        <v>9.6239845148255843E-2</v>
      </c>
      <c r="G2616" s="705">
        <v>106.04759075359736</v>
      </c>
    </row>
    <row r="2617" spans="2:7" ht="11.25" hidden="1" customHeight="1" outlineLevel="2" x14ac:dyDescent="0.25">
      <c r="B2617" s="704" t="s">
        <v>687</v>
      </c>
      <c r="C2617" s="704" t="s">
        <v>812</v>
      </c>
      <c r="D2617" s="704" t="s">
        <v>745</v>
      </c>
      <c r="E2617" s="704" t="s">
        <v>448</v>
      </c>
      <c r="F2617" s="705">
        <v>2.5340829349000948E-2</v>
      </c>
      <c r="G2617" s="705">
        <v>28.055431404671388</v>
      </c>
    </row>
    <row r="2618" spans="2:7" ht="11.25" hidden="1" customHeight="1" outlineLevel="2" x14ac:dyDescent="0.25">
      <c r="B2618" s="704" t="s">
        <v>688</v>
      </c>
      <c r="C2618" s="704" t="s">
        <v>812</v>
      </c>
      <c r="D2618" s="704" t="s">
        <v>745</v>
      </c>
      <c r="E2618" s="704" t="s">
        <v>448</v>
      </c>
      <c r="F2618" s="705">
        <v>1.1429937194822184E-2</v>
      </c>
      <c r="G2618" s="705">
        <v>12.654360139635537</v>
      </c>
    </row>
    <row r="2619" spans="2:7" ht="11.25" hidden="1" customHeight="1" outlineLevel="2" x14ac:dyDescent="0.25">
      <c r="B2619" s="704" t="s">
        <v>689</v>
      </c>
      <c r="C2619" s="704" t="s">
        <v>812</v>
      </c>
      <c r="D2619" s="704" t="s">
        <v>745</v>
      </c>
      <c r="E2619" s="704" t="s">
        <v>448</v>
      </c>
      <c r="F2619" s="705">
        <v>1.3729674779309871E-2</v>
      </c>
      <c r="G2619" s="705">
        <v>15.175440506680722</v>
      </c>
    </row>
    <row r="2620" spans="2:7" ht="11.25" hidden="1" customHeight="1" outlineLevel="2" x14ac:dyDescent="0.25">
      <c r="B2620" s="704" t="s">
        <v>690</v>
      </c>
      <c r="C2620" s="704" t="s">
        <v>812</v>
      </c>
      <c r="D2620" s="704" t="s">
        <v>745</v>
      </c>
      <c r="E2620" s="704" t="s">
        <v>448</v>
      </c>
      <c r="F2620" s="705">
        <v>7.1403258042166641E-3</v>
      </c>
      <c r="G2620" s="705">
        <v>7.9442156402234207</v>
      </c>
    </row>
    <row r="2621" spans="2:7" ht="11.25" hidden="1" customHeight="1" outlineLevel="2" x14ac:dyDescent="0.25">
      <c r="B2621" s="704" t="s">
        <v>691</v>
      </c>
      <c r="C2621" s="704" t="s">
        <v>812</v>
      </c>
      <c r="D2621" s="704" t="s">
        <v>745</v>
      </c>
      <c r="E2621" s="704" t="s">
        <v>448</v>
      </c>
      <c r="F2621" s="705">
        <v>2.714881356159362E-2</v>
      </c>
      <c r="G2621" s="705">
        <v>30.205350399230664</v>
      </c>
    </row>
    <row r="2622" spans="2:7" ht="11.25" hidden="1" customHeight="1" outlineLevel="2" x14ac:dyDescent="0.25">
      <c r="B2622" s="704" t="s">
        <v>692</v>
      </c>
      <c r="C2622" s="704" t="s">
        <v>812</v>
      </c>
      <c r="D2622" s="704" t="s">
        <v>745</v>
      </c>
      <c r="E2622" s="704" t="s">
        <v>448</v>
      </c>
      <c r="F2622" s="705">
        <v>1.8679037591598099E-2</v>
      </c>
      <c r="G2622" s="705">
        <v>20.680005077299526</v>
      </c>
    </row>
    <row r="2623" spans="2:7" ht="11.25" hidden="1" customHeight="1" outlineLevel="2" x14ac:dyDescent="0.25">
      <c r="B2623" s="704" t="s">
        <v>693</v>
      </c>
      <c r="C2623" s="704" t="s">
        <v>812</v>
      </c>
      <c r="D2623" s="704" t="s">
        <v>745</v>
      </c>
      <c r="E2623" s="704" t="s">
        <v>448</v>
      </c>
      <c r="F2623" s="705">
        <v>3.8188481784736023E-2</v>
      </c>
      <c r="G2623" s="705">
        <v>42.533151416600106</v>
      </c>
    </row>
    <row r="2624" spans="2:7" ht="11.25" hidden="1" customHeight="1" outlineLevel="2" x14ac:dyDescent="0.25">
      <c r="B2624" s="704" t="s">
        <v>694</v>
      </c>
      <c r="C2624" s="704" t="s">
        <v>812</v>
      </c>
      <c r="D2624" s="704" t="s">
        <v>745</v>
      </c>
      <c r="E2624" s="704" t="s">
        <v>448</v>
      </c>
      <c r="F2624" s="705">
        <v>3.372557576535281E-2</v>
      </c>
      <c r="G2624" s="705">
        <v>37.562514977707025</v>
      </c>
    </row>
    <row r="2625" spans="2:7" ht="11.25" hidden="1" customHeight="1" outlineLevel="2" x14ac:dyDescent="0.25">
      <c r="B2625" s="704" t="s">
        <v>695</v>
      </c>
      <c r="C2625" s="704" t="s">
        <v>812</v>
      </c>
      <c r="D2625" s="704" t="s">
        <v>745</v>
      </c>
      <c r="E2625" s="704" t="s">
        <v>448</v>
      </c>
      <c r="F2625" s="705">
        <v>2.0524469044164627E-2</v>
      </c>
      <c r="G2625" s="705">
        <v>22.859516119742452</v>
      </c>
    </row>
    <row r="2626" spans="2:7" ht="11.25" hidden="1" customHeight="1" outlineLevel="2" x14ac:dyDescent="0.25">
      <c r="B2626" s="704" t="s">
        <v>696</v>
      </c>
      <c r="C2626" s="704" t="s">
        <v>812</v>
      </c>
      <c r="D2626" s="704" t="s">
        <v>745</v>
      </c>
      <c r="E2626" s="704" t="s">
        <v>448</v>
      </c>
      <c r="F2626" s="705">
        <v>8.7272366448715982E-3</v>
      </c>
      <c r="G2626" s="705">
        <v>9.6166205374446019</v>
      </c>
    </row>
    <row r="2627" spans="2:7" ht="11.25" hidden="1" customHeight="1" outlineLevel="2" x14ac:dyDescent="0.25">
      <c r="B2627" s="704" t="s">
        <v>697</v>
      </c>
      <c r="C2627" s="704" t="s">
        <v>812</v>
      </c>
      <c r="D2627" s="704" t="s">
        <v>745</v>
      </c>
      <c r="E2627" s="704" t="s">
        <v>448</v>
      </c>
      <c r="F2627" s="705">
        <v>7.9688703159370697E-2</v>
      </c>
      <c r="G2627" s="705">
        <v>88.754870885745817</v>
      </c>
    </row>
    <row r="2628" spans="2:7" ht="11.25" hidden="1" customHeight="1" outlineLevel="2" x14ac:dyDescent="0.25">
      <c r="B2628" s="704" t="s">
        <v>698</v>
      </c>
      <c r="C2628" s="704" t="s">
        <v>812</v>
      </c>
      <c r="D2628" s="704" t="s">
        <v>745</v>
      </c>
      <c r="E2628" s="704" t="s">
        <v>448</v>
      </c>
      <c r="F2628" s="705">
        <v>6.7107547458934796E-2</v>
      </c>
      <c r="G2628" s="705">
        <v>74.742326799445806</v>
      </c>
    </row>
    <row r="2629" spans="2:7" ht="11.25" hidden="1" customHeight="1" outlineLevel="2" x14ac:dyDescent="0.25">
      <c r="B2629" s="704" t="s">
        <v>699</v>
      </c>
      <c r="C2629" s="704" t="s">
        <v>812</v>
      </c>
      <c r="D2629" s="704" t="s">
        <v>745</v>
      </c>
      <c r="E2629" s="704" t="s">
        <v>448</v>
      </c>
      <c r="F2629" s="705">
        <v>2.7422756183907537E-35</v>
      </c>
      <c r="G2629" s="705">
        <v>3.0433135541203165E-32</v>
      </c>
    </row>
    <row r="2630" spans="2:7" ht="11.25" hidden="1" customHeight="1" outlineLevel="2" x14ac:dyDescent="0.25">
      <c r="B2630" s="704" t="s">
        <v>673</v>
      </c>
      <c r="C2630" s="704" t="s">
        <v>813</v>
      </c>
      <c r="D2630" s="704" t="s">
        <v>745</v>
      </c>
      <c r="E2630" s="704" t="s">
        <v>448</v>
      </c>
      <c r="F2630" s="705">
        <v>4.506754532866608E-4</v>
      </c>
      <c r="G2630" s="705">
        <v>0.56870855026738631</v>
      </c>
    </row>
    <row r="2631" spans="2:7" ht="11.25" hidden="1" customHeight="1" outlineLevel="2" x14ac:dyDescent="0.25">
      <c r="B2631" s="704" t="s">
        <v>677</v>
      </c>
      <c r="C2631" s="704" t="s">
        <v>813</v>
      </c>
      <c r="D2631" s="704" t="s">
        <v>745</v>
      </c>
      <c r="E2631" s="704" t="s">
        <v>448</v>
      </c>
      <c r="F2631" s="705">
        <v>4.1662536772323777E-4</v>
      </c>
      <c r="G2631" s="705">
        <v>0.52034692557121331</v>
      </c>
    </row>
    <row r="2632" spans="2:7" ht="11.25" hidden="1" customHeight="1" outlineLevel="2" x14ac:dyDescent="0.25">
      <c r="B2632" s="704" t="s">
        <v>678</v>
      </c>
      <c r="C2632" s="704" t="s">
        <v>813</v>
      </c>
      <c r="D2632" s="704" t="s">
        <v>745</v>
      </c>
      <c r="E2632" s="704" t="s">
        <v>448</v>
      </c>
      <c r="F2632" s="705">
        <v>2.2848997185984319E-4</v>
      </c>
      <c r="G2632" s="705">
        <v>0.2897068269145161</v>
      </c>
    </row>
    <row r="2633" spans="2:7" ht="11.25" hidden="1" customHeight="1" outlineLevel="2" x14ac:dyDescent="0.25">
      <c r="B2633" s="704" t="s">
        <v>679</v>
      </c>
      <c r="C2633" s="704" t="s">
        <v>813</v>
      </c>
      <c r="D2633" s="704" t="s">
        <v>745</v>
      </c>
      <c r="E2633" s="704" t="s">
        <v>448</v>
      </c>
      <c r="F2633" s="705">
        <v>2.6602808760549244E-4</v>
      </c>
      <c r="G2633" s="705">
        <v>0.33897815073037474</v>
      </c>
    </row>
    <row r="2634" spans="2:7" ht="11.25" hidden="1" customHeight="1" outlineLevel="2" x14ac:dyDescent="0.25">
      <c r="B2634" s="704" t="s">
        <v>680</v>
      </c>
      <c r="C2634" s="704" t="s">
        <v>813</v>
      </c>
      <c r="D2634" s="704" t="s">
        <v>745</v>
      </c>
      <c r="E2634" s="704" t="s">
        <v>448</v>
      </c>
      <c r="F2634" s="705">
        <v>1.8333373851871893E-4</v>
      </c>
      <c r="G2634" s="705">
        <v>0.23385788500093374</v>
      </c>
    </row>
    <row r="2635" spans="2:7" ht="11.25" hidden="1" customHeight="1" outlineLevel="2" x14ac:dyDescent="0.25">
      <c r="B2635" s="704" t="s">
        <v>681</v>
      </c>
      <c r="C2635" s="704" t="s">
        <v>813</v>
      </c>
      <c r="D2635" s="704" t="s">
        <v>745</v>
      </c>
      <c r="E2635" s="704" t="s">
        <v>448</v>
      </c>
      <c r="F2635" s="705">
        <v>1.7208390357525036E-4</v>
      </c>
      <c r="G2635" s="705">
        <v>0.21818829305700377</v>
      </c>
    </row>
    <row r="2636" spans="2:7" ht="11.25" hidden="1" customHeight="1" outlineLevel="2" x14ac:dyDescent="0.25">
      <c r="B2636" s="704" t="s">
        <v>682</v>
      </c>
      <c r="C2636" s="704" t="s">
        <v>813</v>
      </c>
      <c r="D2636" s="704" t="s">
        <v>745</v>
      </c>
      <c r="E2636" s="704" t="s">
        <v>448</v>
      </c>
      <c r="F2636" s="705">
        <v>1.7486093662297707E-5</v>
      </c>
      <c r="G2636" s="705">
        <v>2.217300846743216E-2</v>
      </c>
    </row>
    <row r="2637" spans="2:7" ht="11.25" hidden="1" customHeight="1" outlineLevel="2" x14ac:dyDescent="0.25">
      <c r="B2637" s="704" t="s">
        <v>683</v>
      </c>
      <c r="C2637" s="704" t="s">
        <v>813</v>
      </c>
      <c r="D2637" s="704" t="s">
        <v>745</v>
      </c>
      <c r="E2637" s="704" t="s">
        <v>448</v>
      </c>
      <c r="F2637" s="705">
        <v>6.8481112773233124E-4</v>
      </c>
      <c r="G2637" s="705">
        <v>0.87260008312126625</v>
      </c>
    </row>
    <row r="2638" spans="2:7" ht="11.25" hidden="1" customHeight="1" outlineLevel="2" x14ac:dyDescent="0.25">
      <c r="B2638" s="704" t="s">
        <v>684</v>
      </c>
      <c r="C2638" s="704" t="s">
        <v>813</v>
      </c>
      <c r="D2638" s="704" t="s">
        <v>745</v>
      </c>
      <c r="E2638" s="704" t="s">
        <v>448</v>
      </c>
      <c r="F2638" s="705">
        <v>5.6381861580635643E-4</v>
      </c>
      <c r="G2638" s="705">
        <v>0.71919917025353108</v>
      </c>
    </row>
    <row r="2639" spans="2:7" ht="11.25" hidden="1" customHeight="1" outlineLevel="2" x14ac:dyDescent="0.25">
      <c r="B2639" s="704" t="s">
        <v>685</v>
      </c>
      <c r="C2639" s="704" t="s">
        <v>813</v>
      </c>
      <c r="D2639" s="704" t="s">
        <v>745</v>
      </c>
      <c r="E2639" s="704" t="s">
        <v>448</v>
      </c>
      <c r="F2639" s="705">
        <v>9.6164850911426304E-5</v>
      </c>
      <c r="G2639" s="705">
        <v>0.12253502307584513</v>
      </c>
    </row>
    <row r="2640" spans="2:7" ht="11.25" hidden="1" customHeight="1" outlineLevel="2" x14ac:dyDescent="0.25">
      <c r="B2640" s="704" t="s">
        <v>686</v>
      </c>
      <c r="C2640" s="704" t="s">
        <v>813</v>
      </c>
      <c r="D2640" s="704" t="s">
        <v>745</v>
      </c>
      <c r="E2640" s="704" t="s">
        <v>448</v>
      </c>
      <c r="F2640" s="705">
        <v>9.8725345452104906E-4</v>
      </c>
      <c r="G2640" s="705">
        <v>1.2458187384261799</v>
      </c>
    </row>
    <row r="2641" spans="2:7" ht="11.25" hidden="1" customHeight="1" outlineLevel="2" x14ac:dyDescent="0.25">
      <c r="B2641" s="704" t="s">
        <v>687</v>
      </c>
      <c r="C2641" s="704" t="s">
        <v>813</v>
      </c>
      <c r="D2641" s="704" t="s">
        <v>745</v>
      </c>
      <c r="E2641" s="704" t="s">
        <v>448</v>
      </c>
      <c r="F2641" s="705">
        <v>2.5994387737406229E-4</v>
      </c>
      <c r="G2641" s="705">
        <v>0.32958794679184233</v>
      </c>
    </row>
    <row r="2642" spans="2:7" ht="11.25" hidden="1" customHeight="1" outlineLevel="2" x14ac:dyDescent="0.25">
      <c r="B2642" s="704" t="s">
        <v>688</v>
      </c>
      <c r="C2642" s="704" t="s">
        <v>813</v>
      </c>
      <c r="D2642" s="704" t="s">
        <v>745</v>
      </c>
      <c r="E2642" s="704" t="s">
        <v>448</v>
      </c>
      <c r="F2642" s="705">
        <v>1.1724719176993185E-4</v>
      </c>
      <c r="G2642" s="705">
        <v>0.14865998504741065</v>
      </c>
    </row>
    <row r="2643" spans="2:7" ht="11.25" hidden="1" customHeight="1" outlineLevel="2" x14ac:dyDescent="0.25">
      <c r="B2643" s="704" t="s">
        <v>689</v>
      </c>
      <c r="C2643" s="704" t="s">
        <v>813</v>
      </c>
      <c r="D2643" s="704" t="s">
        <v>745</v>
      </c>
      <c r="E2643" s="704" t="s">
        <v>448</v>
      </c>
      <c r="F2643" s="706">
        <v>1.408394347768649E-4</v>
      </c>
      <c r="G2643" s="705">
        <v>0.17827706609388086</v>
      </c>
    </row>
    <row r="2644" spans="2:7" ht="11.25" hidden="1" customHeight="1" outlineLevel="2" x14ac:dyDescent="0.25">
      <c r="B2644" s="704" t="s">
        <v>690</v>
      </c>
      <c r="C2644" s="704" t="s">
        <v>813</v>
      </c>
      <c r="D2644" s="704" t="s">
        <v>745</v>
      </c>
      <c r="E2644" s="704" t="s">
        <v>448</v>
      </c>
      <c r="F2644" s="706">
        <v>7.3242126924426645E-5</v>
      </c>
      <c r="G2644" s="705">
        <v>9.3326475797485542E-2</v>
      </c>
    </row>
    <row r="2645" spans="2:7" ht="11.25" hidden="1" customHeight="1" outlineLevel="2" x14ac:dyDescent="0.25">
      <c r="B2645" s="704" t="s">
        <v>691</v>
      </c>
      <c r="C2645" s="704" t="s">
        <v>813</v>
      </c>
      <c r="D2645" s="704" t="s">
        <v>745</v>
      </c>
      <c r="E2645" s="704" t="s">
        <v>448</v>
      </c>
      <c r="F2645" s="706">
        <v>2.7847994546511547E-4</v>
      </c>
      <c r="G2645" s="705">
        <v>0.35484456008728227</v>
      </c>
    </row>
    <row r="2646" spans="2:7" ht="11.25" hidden="1" customHeight="1" outlineLevel="2" x14ac:dyDescent="0.25">
      <c r="B2646" s="704" t="s">
        <v>692</v>
      </c>
      <c r="C2646" s="704" t="s">
        <v>813</v>
      </c>
      <c r="D2646" s="704" t="s">
        <v>745</v>
      </c>
      <c r="E2646" s="704" t="s">
        <v>448</v>
      </c>
      <c r="F2646" s="706">
        <v>1.9160783910620856E-4</v>
      </c>
      <c r="G2646" s="705">
        <v>0.24294332202182825</v>
      </c>
    </row>
    <row r="2647" spans="2:7" ht="11.25" hidden="1" customHeight="1" outlineLevel="2" x14ac:dyDescent="0.25">
      <c r="B2647" s="704" t="s">
        <v>693</v>
      </c>
      <c r="C2647" s="704" t="s">
        <v>813</v>
      </c>
      <c r="D2647" s="704" t="s">
        <v>745</v>
      </c>
      <c r="E2647" s="704" t="s">
        <v>448</v>
      </c>
      <c r="F2647" s="706">
        <v>3.9171671382828008E-4</v>
      </c>
      <c r="G2647" s="705">
        <v>0.49966810797494776</v>
      </c>
    </row>
    <row r="2648" spans="2:7" ht="11.25" hidden="1" customHeight="1" outlineLevel="2" x14ac:dyDescent="0.25">
      <c r="B2648" s="704" t="s">
        <v>694</v>
      </c>
      <c r="C2648" s="704" t="s">
        <v>813</v>
      </c>
      <c r="D2648" s="704" t="s">
        <v>745</v>
      </c>
      <c r="E2648" s="704" t="s">
        <v>448</v>
      </c>
      <c r="F2648" s="706">
        <v>3.4593869688454595E-4</v>
      </c>
      <c r="G2648" s="705">
        <v>0.44127437750524556</v>
      </c>
    </row>
    <row r="2649" spans="2:7" ht="11.25" hidden="1" customHeight="1" outlineLevel="2" x14ac:dyDescent="0.25">
      <c r="B2649" s="704" t="s">
        <v>695</v>
      </c>
      <c r="C2649" s="704" t="s">
        <v>813</v>
      </c>
      <c r="D2649" s="704" t="s">
        <v>745</v>
      </c>
      <c r="E2649" s="704" t="s">
        <v>448</v>
      </c>
      <c r="F2649" s="706">
        <v>2.1052892333692542E-4</v>
      </c>
      <c r="G2649" s="705">
        <v>0.26854744744134029</v>
      </c>
    </row>
    <row r="2650" spans="2:7" ht="11.25" hidden="1" customHeight="1" outlineLevel="2" x14ac:dyDescent="0.25">
      <c r="B2650" s="704" t="s">
        <v>696</v>
      </c>
      <c r="C2650" s="704" t="s">
        <v>813</v>
      </c>
      <c r="D2650" s="704" t="s">
        <v>745</v>
      </c>
      <c r="E2650" s="704" t="s">
        <v>448</v>
      </c>
      <c r="F2650" s="706">
        <v>8.9526281437277952E-5</v>
      </c>
      <c r="G2650" s="705">
        <v>0.1048150160741104</v>
      </c>
    </row>
    <row r="2651" spans="2:7" ht="11.25" hidden="1" customHeight="1" outlineLevel="2" x14ac:dyDescent="0.25">
      <c r="B2651" s="704" t="s">
        <v>697</v>
      </c>
      <c r="C2651" s="704" t="s">
        <v>813</v>
      </c>
      <c r="D2651" s="704" t="s">
        <v>745</v>
      </c>
      <c r="E2651" s="704" t="s">
        <v>448</v>
      </c>
      <c r="F2651" s="706">
        <v>8.1740297001954879E-4</v>
      </c>
      <c r="G2651" s="705">
        <v>1.0426679063467732</v>
      </c>
    </row>
    <row r="2652" spans="2:7" ht="11.25" hidden="1" customHeight="1" outlineLevel="2" x14ac:dyDescent="0.25">
      <c r="B2652" s="704" t="s">
        <v>698</v>
      </c>
      <c r="C2652" s="704" t="s">
        <v>813</v>
      </c>
      <c r="D2652" s="704" t="s">
        <v>745</v>
      </c>
      <c r="E2652" s="704" t="s">
        <v>448</v>
      </c>
      <c r="F2652" s="706">
        <v>6.8835252685713023E-4</v>
      </c>
      <c r="G2652" s="705">
        <v>0.8780533944369604</v>
      </c>
    </row>
    <row r="2653" spans="2:7" ht="11.25" hidden="1" customHeight="1" outlineLevel="2" x14ac:dyDescent="0.25">
      <c r="B2653" s="704" t="s">
        <v>699</v>
      </c>
      <c r="C2653" s="704" t="s">
        <v>813</v>
      </c>
      <c r="D2653" s="704" t="s">
        <v>745</v>
      </c>
      <c r="E2653" s="704" t="s">
        <v>448</v>
      </c>
      <c r="F2653" s="706">
        <v>3.1357877272552823E-37</v>
      </c>
      <c r="G2653" s="705">
        <v>4.3186769967087623E-34</v>
      </c>
    </row>
    <row r="2654" spans="2:7" ht="11.25" hidden="1" customHeight="1" outlineLevel="2" x14ac:dyDescent="0.25">
      <c r="B2654" s="704" t="s">
        <v>673</v>
      </c>
      <c r="C2654" s="704" t="s">
        <v>814</v>
      </c>
      <c r="D2654" s="704" t="s">
        <v>815</v>
      </c>
      <c r="E2654" s="704" t="s">
        <v>448</v>
      </c>
      <c r="F2654" s="706">
        <v>2.6027026481861473E-34</v>
      </c>
      <c r="G2654" s="705">
        <v>1.7109690376180409E-30</v>
      </c>
    </row>
    <row r="2655" spans="2:7" ht="11.25" hidden="1" customHeight="1" outlineLevel="2" x14ac:dyDescent="0.25">
      <c r="B2655" s="704" t="s">
        <v>677</v>
      </c>
      <c r="C2655" s="704" t="s">
        <v>814</v>
      </c>
      <c r="D2655" s="704" t="s">
        <v>815</v>
      </c>
      <c r="E2655" s="704" t="s">
        <v>448</v>
      </c>
      <c r="F2655" s="706">
        <v>0.10608789328470504</v>
      </c>
      <c r="G2655" s="705">
        <v>303.62439702372995</v>
      </c>
    </row>
    <row r="2656" spans="2:7" ht="11.25" hidden="1" customHeight="1" outlineLevel="2" x14ac:dyDescent="0.25">
      <c r="B2656" s="704" t="s">
        <v>678</v>
      </c>
      <c r="C2656" s="704" t="s">
        <v>814</v>
      </c>
      <c r="D2656" s="704" t="s">
        <v>815</v>
      </c>
      <c r="E2656" s="704" t="s">
        <v>448</v>
      </c>
      <c r="F2656" s="706">
        <v>7.5074450865664661E-5</v>
      </c>
      <c r="G2656" s="705">
        <v>0.21800921633107243</v>
      </c>
    </row>
    <row r="2657" spans="2:7" ht="11.25" hidden="1" customHeight="1" outlineLevel="2" x14ac:dyDescent="0.25">
      <c r="B2657" s="704" t="s">
        <v>679</v>
      </c>
      <c r="C2657" s="704" t="s">
        <v>814</v>
      </c>
      <c r="D2657" s="704" t="s">
        <v>815</v>
      </c>
      <c r="E2657" s="704" t="s">
        <v>448</v>
      </c>
      <c r="F2657" s="706">
        <v>2.6757713009941471E-34</v>
      </c>
      <c r="G2657" s="705">
        <v>6.539019983539831E-31</v>
      </c>
    </row>
    <row r="2658" spans="2:7" ht="11.25" hidden="1" customHeight="1" outlineLevel="2" x14ac:dyDescent="0.25">
      <c r="B2658" s="704" t="s">
        <v>680</v>
      </c>
      <c r="C2658" s="704" t="s">
        <v>814</v>
      </c>
      <c r="D2658" s="704" t="s">
        <v>815</v>
      </c>
      <c r="E2658" s="704" t="s">
        <v>448</v>
      </c>
      <c r="F2658" s="706">
        <v>1.2726620208700038E-33</v>
      </c>
      <c r="G2658" s="705">
        <v>2.548002157498148E-30</v>
      </c>
    </row>
    <row r="2659" spans="2:7" ht="11.25" hidden="1" customHeight="1" outlineLevel="2" x14ac:dyDescent="0.25">
      <c r="B2659" s="704" t="s">
        <v>681</v>
      </c>
      <c r="C2659" s="704" t="s">
        <v>814</v>
      </c>
      <c r="D2659" s="704" t="s">
        <v>815</v>
      </c>
      <c r="E2659" s="704" t="s">
        <v>448</v>
      </c>
      <c r="F2659" s="706">
        <v>2.8331664148189346E-5</v>
      </c>
      <c r="G2659" s="705">
        <v>8.2272473986186881E-2</v>
      </c>
    </row>
    <row r="2660" spans="2:7" ht="11.25" hidden="1" customHeight="1" outlineLevel="2" x14ac:dyDescent="0.25">
      <c r="B2660" s="704" t="s">
        <v>682</v>
      </c>
      <c r="C2660" s="704" t="s">
        <v>814</v>
      </c>
      <c r="D2660" s="704" t="s">
        <v>815</v>
      </c>
      <c r="E2660" s="704" t="s">
        <v>448</v>
      </c>
      <c r="F2660" s="706">
        <v>3.8952874951531652E-34</v>
      </c>
      <c r="G2660" s="705">
        <v>6.1605054560983056E-31</v>
      </c>
    </row>
    <row r="2661" spans="2:7" ht="11.25" hidden="1" customHeight="1" outlineLevel="2" x14ac:dyDescent="0.25">
      <c r="B2661" s="704" t="s">
        <v>683</v>
      </c>
      <c r="C2661" s="704" t="s">
        <v>814</v>
      </c>
      <c r="D2661" s="704" t="s">
        <v>815</v>
      </c>
      <c r="E2661" s="704" t="s">
        <v>448</v>
      </c>
      <c r="F2661" s="706">
        <v>3.6481196869676405E-36</v>
      </c>
      <c r="G2661" s="705">
        <v>5.1032962245437871E-32</v>
      </c>
    </row>
    <row r="2662" spans="2:7" ht="11.25" hidden="1" customHeight="1" outlineLevel="2" x14ac:dyDescent="0.25">
      <c r="B2662" s="704" t="s">
        <v>684</v>
      </c>
      <c r="C2662" s="704" t="s">
        <v>814</v>
      </c>
      <c r="D2662" s="704" t="s">
        <v>815</v>
      </c>
      <c r="E2662" s="704" t="s">
        <v>448</v>
      </c>
      <c r="F2662" s="706">
        <v>2.3991914587645556E-6</v>
      </c>
      <c r="G2662" s="705">
        <v>7.0074351444588375E-3</v>
      </c>
    </row>
    <row r="2663" spans="2:7" ht="11.25" hidden="1" customHeight="1" outlineLevel="2" x14ac:dyDescent="0.25">
      <c r="B2663" s="704" t="s">
        <v>685</v>
      </c>
      <c r="C2663" s="704" t="s">
        <v>814</v>
      </c>
      <c r="D2663" s="704" t="s">
        <v>815</v>
      </c>
      <c r="E2663" s="704" t="s">
        <v>448</v>
      </c>
      <c r="F2663" s="706">
        <v>3.0242949543144318E-5</v>
      </c>
      <c r="G2663" s="705">
        <v>8.8241725961892573E-2</v>
      </c>
    </row>
    <row r="2664" spans="2:7" ht="11.25" hidden="1" customHeight="1" outlineLevel="2" x14ac:dyDescent="0.25">
      <c r="B2664" s="704" t="s">
        <v>686</v>
      </c>
      <c r="C2664" s="704" t="s">
        <v>814</v>
      </c>
      <c r="D2664" s="704" t="s">
        <v>815</v>
      </c>
      <c r="E2664" s="704" t="s">
        <v>448</v>
      </c>
      <c r="F2664" s="706">
        <v>1.7957041227941505E-6</v>
      </c>
      <c r="G2664" s="705">
        <v>5.190695610299445E-3</v>
      </c>
    </row>
    <row r="2665" spans="2:7" ht="11.25" hidden="1" customHeight="1" outlineLevel="2" x14ac:dyDescent="0.25">
      <c r="B2665" s="704" t="s">
        <v>687</v>
      </c>
      <c r="C2665" s="704" t="s">
        <v>814</v>
      </c>
      <c r="D2665" s="704" t="s">
        <v>815</v>
      </c>
      <c r="E2665" s="704" t="s">
        <v>448</v>
      </c>
      <c r="F2665" s="706">
        <v>9.7425381139052297E-34</v>
      </c>
      <c r="G2665" s="705">
        <v>6.5488706385837996E-30</v>
      </c>
    </row>
    <row r="2666" spans="2:7" ht="11.25" hidden="1" customHeight="1" outlineLevel="2" x14ac:dyDescent="0.25">
      <c r="B2666" s="704" t="s">
        <v>688</v>
      </c>
      <c r="C2666" s="704" t="s">
        <v>814</v>
      </c>
      <c r="D2666" s="704" t="s">
        <v>815</v>
      </c>
      <c r="E2666" s="704" t="s">
        <v>448</v>
      </c>
      <c r="F2666" s="706">
        <v>2.6842632411043145E-34</v>
      </c>
      <c r="G2666" s="705">
        <v>1.4108141940538616E-30</v>
      </c>
    </row>
    <row r="2667" spans="2:7" ht="11.25" hidden="1" customHeight="1" outlineLevel="2" x14ac:dyDescent="0.25">
      <c r="B2667" s="704" t="s">
        <v>689</v>
      </c>
      <c r="C2667" s="704" t="s">
        <v>814</v>
      </c>
      <c r="D2667" s="704" t="s">
        <v>815</v>
      </c>
      <c r="E2667" s="704" t="s">
        <v>448</v>
      </c>
      <c r="F2667" s="706">
        <v>2.2886705725982671E-34</v>
      </c>
      <c r="G2667" s="705">
        <v>3.4391137315468474E-31</v>
      </c>
    </row>
    <row r="2668" spans="2:7" ht="11.25" hidden="1" customHeight="1" outlineLevel="2" x14ac:dyDescent="0.25">
      <c r="B2668" s="704" t="s">
        <v>690</v>
      </c>
      <c r="C2668" s="704" t="s">
        <v>814</v>
      </c>
      <c r="D2668" s="704" t="s">
        <v>815</v>
      </c>
      <c r="E2668" s="704" t="s">
        <v>448</v>
      </c>
      <c r="F2668" s="705">
        <v>6.2264890773870382E-5</v>
      </c>
      <c r="G2668" s="705">
        <v>0.18167435383544203</v>
      </c>
    </row>
    <row r="2669" spans="2:7" ht="11.25" hidden="1" customHeight="1" outlineLevel="2" x14ac:dyDescent="0.25">
      <c r="B2669" s="704" t="s">
        <v>691</v>
      </c>
      <c r="C2669" s="704" t="s">
        <v>814</v>
      </c>
      <c r="D2669" s="704" t="s">
        <v>815</v>
      </c>
      <c r="E2669" s="704" t="s">
        <v>448</v>
      </c>
      <c r="F2669" s="705">
        <v>4.0916936318717795E-6</v>
      </c>
      <c r="G2669" s="705">
        <v>1.1938599343622174E-2</v>
      </c>
    </row>
    <row r="2670" spans="2:7" ht="11.25" hidden="1" customHeight="1" outlineLevel="2" x14ac:dyDescent="0.25">
      <c r="B2670" s="704" t="s">
        <v>692</v>
      </c>
      <c r="C2670" s="704" t="s">
        <v>814</v>
      </c>
      <c r="D2670" s="704" t="s">
        <v>815</v>
      </c>
      <c r="E2670" s="704" t="s">
        <v>448</v>
      </c>
      <c r="F2670" s="705">
        <v>6.6137027373922643E-6</v>
      </c>
      <c r="G2670" s="705">
        <v>1.9205561446003747E-2</v>
      </c>
    </row>
    <row r="2671" spans="2:7" ht="11.25" hidden="1" customHeight="1" outlineLevel="2" x14ac:dyDescent="0.25">
      <c r="B2671" s="704" t="s">
        <v>693</v>
      </c>
      <c r="C2671" s="704" t="s">
        <v>814</v>
      </c>
      <c r="D2671" s="704" t="s">
        <v>815</v>
      </c>
      <c r="E2671" s="704" t="s">
        <v>448</v>
      </c>
      <c r="F2671" s="705">
        <v>1.4306285918916574E-5</v>
      </c>
      <c r="G2671" s="705">
        <v>4.1785077518369469E-2</v>
      </c>
    </row>
    <row r="2672" spans="2:7" ht="11.25" hidden="1" customHeight="1" outlineLevel="2" x14ac:dyDescent="0.25">
      <c r="B2672" s="704" t="s">
        <v>694</v>
      </c>
      <c r="C2672" s="704" t="s">
        <v>814</v>
      </c>
      <c r="D2672" s="704" t="s">
        <v>815</v>
      </c>
      <c r="E2672" s="704" t="s">
        <v>448</v>
      </c>
      <c r="F2672" s="705">
        <v>8.4600258055354856E-35</v>
      </c>
      <c r="G2672" s="705">
        <v>1.4522433112864399E-31</v>
      </c>
    </row>
    <row r="2673" spans="2:7" ht="11.25" hidden="1" customHeight="1" outlineLevel="2" x14ac:dyDescent="0.25">
      <c r="B2673" s="704" t="s">
        <v>695</v>
      </c>
      <c r="C2673" s="704" t="s">
        <v>814</v>
      </c>
      <c r="D2673" s="704" t="s">
        <v>815</v>
      </c>
      <c r="E2673" s="704" t="s">
        <v>448</v>
      </c>
      <c r="F2673" s="705">
        <v>8.8858917893321879E-5</v>
      </c>
      <c r="G2673" s="705">
        <v>0.25953448303135218</v>
      </c>
    </row>
    <row r="2674" spans="2:7" ht="11.25" hidden="1" customHeight="1" outlineLevel="2" x14ac:dyDescent="0.25">
      <c r="B2674" s="704" t="s">
        <v>696</v>
      </c>
      <c r="C2674" s="704" t="s">
        <v>814</v>
      </c>
      <c r="D2674" s="704" t="s">
        <v>815</v>
      </c>
      <c r="E2674" s="704" t="s">
        <v>448</v>
      </c>
      <c r="F2674" s="705">
        <v>4.9085982753307848E-4</v>
      </c>
      <c r="G2674" s="705">
        <v>1.5156812504459787</v>
      </c>
    </row>
    <row r="2675" spans="2:7" ht="11.25" hidden="1" customHeight="1" outlineLevel="2" x14ac:dyDescent="0.25">
      <c r="B2675" s="704" t="s">
        <v>697</v>
      </c>
      <c r="C2675" s="704" t="s">
        <v>814</v>
      </c>
      <c r="D2675" s="704" t="s">
        <v>815</v>
      </c>
      <c r="E2675" s="704" t="s">
        <v>448</v>
      </c>
      <c r="F2675" s="705">
        <v>2.1290600677037856E-3</v>
      </c>
      <c r="G2675" s="705">
        <v>6.2184481965325373</v>
      </c>
    </row>
    <row r="2676" spans="2:7" ht="11.25" hidden="1" customHeight="1" outlineLevel="2" x14ac:dyDescent="0.25">
      <c r="B2676" s="704" t="s">
        <v>698</v>
      </c>
      <c r="C2676" s="704" t="s">
        <v>814</v>
      </c>
      <c r="D2676" s="704" t="s">
        <v>815</v>
      </c>
      <c r="E2676" s="704" t="s">
        <v>448</v>
      </c>
      <c r="F2676" s="705">
        <v>2.63116075488244E-34</v>
      </c>
      <c r="G2676" s="705">
        <v>3.4472761091999997E-31</v>
      </c>
    </row>
    <row r="2677" spans="2:7" ht="11.25" hidden="1" customHeight="1" outlineLevel="2" x14ac:dyDescent="0.25">
      <c r="B2677" s="704" t="s">
        <v>699</v>
      </c>
      <c r="C2677" s="704" t="s">
        <v>814</v>
      </c>
      <c r="D2677" s="704" t="s">
        <v>815</v>
      </c>
      <c r="E2677" s="704" t="s">
        <v>448</v>
      </c>
      <c r="F2677" s="705">
        <v>2.0593414926510195E-34</v>
      </c>
      <c r="G2677" s="705">
        <v>1.3405188215545494E-30</v>
      </c>
    </row>
    <row r="2678" spans="2:7" ht="11.25" hidden="1" customHeight="1" outlineLevel="2" x14ac:dyDescent="0.25">
      <c r="B2678" s="704" t="s">
        <v>673</v>
      </c>
      <c r="C2678" s="704" t="s">
        <v>816</v>
      </c>
      <c r="D2678" s="704" t="s">
        <v>712</v>
      </c>
      <c r="E2678" s="704" t="s">
        <v>448</v>
      </c>
      <c r="F2678" s="705">
        <v>6.3625560135058758E-36</v>
      </c>
      <c r="G2678" s="705">
        <v>7.370579327563089E-33</v>
      </c>
    </row>
    <row r="2679" spans="2:7" ht="11.25" hidden="1" customHeight="1" outlineLevel="2" x14ac:dyDescent="0.25">
      <c r="B2679" s="704" t="s">
        <v>677</v>
      </c>
      <c r="C2679" s="704" t="s">
        <v>816</v>
      </c>
      <c r="D2679" s="704" t="s">
        <v>712</v>
      </c>
      <c r="E2679" s="704" t="s">
        <v>448</v>
      </c>
      <c r="F2679" s="705">
        <v>1.083038714440662E-33</v>
      </c>
      <c r="G2679" s="705">
        <v>1.3540678341841603E-30</v>
      </c>
    </row>
    <row r="2680" spans="2:7" ht="11.25" hidden="1" customHeight="1" outlineLevel="2" x14ac:dyDescent="0.25">
      <c r="B2680" s="704" t="s">
        <v>678</v>
      </c>
      <c r="C2680" s="704" t="s">
        <v>816</v>
      </c>
      <c r="D2680" s="704" t="s">
        <v>712</v>
      </c>
      <c r="E2680" s="704" t="s">
        <v>448</v>
      </c>
      <c r="F2680" s="705">
        <v>1.6685691472936203E-2</v>
      </c>
      <c r="G2680" s="705">
        <v>20.088329130503634</v>
      </c>
    </row>
    <row r="2681" spans="2:7" ht="11.25" hidden="1" customHeight="1" outlineLevel="2" x14ac:dyDescent="0.25">
      <c r="B2681" s="704" t="s">
        <v>679</v>
      </c>
      <c r="C2681" s="704" t="s">
        <v>816</v>
      </c>
      <c r="D2681" s="704" t="s">
        <v>712</v>
      </c>
      <c r="E2681" s="704" t="s">
        <v>448</v>
      </c>
      <c r="F2681" s="705">
        <v>4.3350506462682783E-36</v>
      </c>
      <c r="G2681" s="705">
        <v>5.5241704489547512E-33</v>
      </c>
    </row>
    <row r="2682" spans="2:7" ht="11.25" hidden="1" customHeight="1" outlineLevel="2" x14ac:dyDescent="0.25">
      <c r="B2682" s="704" t="s">
        <v>680</v>
      </c>
      <c r="C2682" s="704" t="s">
        <v>816</v>
      </c>
      <c r="D2682" s="704" t="s">
        <v>712</v>
      </c>
      <c r="E2682" s="704" t="s">
        <v>448</v>
      </c>
      <c r="F2682" s="705">
        <v>8.5898610198684103E-35</v>
      </c>
      <c r="G2682" s="705">
        <v>1.0190821470877713E-31</v>
      </c>
    </row>
    <row r="2683" spans="2:7" ht="11.25" hidden="1" customHeight="1" outlineLevel="2" x14ac:dyDescent="0.25">
      <c r="B2683" s="704" t="s">
        <v>681</v>
      </c>
      <c r="C2683" s="704" t="s">
        <v>816</v>
      </c>
      <c r="D2683" s="704" t="s">
        <v>712</v>
      </c>
      <c r="E2683" s="704" t="s">
        <v>448</v>
      </c>
      <c r="F2683" s="705">
        <v>1.6685691472936203E-2</v>
      </c>
      <c r="G2683" s="705">
        <v>20.088329130503634</v>
      </c>
    </row>
    <row r="2684" spans="2:7" ht="11.25" hidden="1" customHeight="1" outlineLevel="2" x14ac:dyDescent="0.25">
      <c r="B2684" s="704" t="s">
        <v>682</v>
      </c>
      <c r="C2684" s="704" t="s">
        <v>816</v>
      </c>
      <c r="D2684" s="704" t="s">
        <v>712</v>
      </c>
      <c r="E2684" s="704" t="s">
        <v>448</v>
      </c>
      <c r="F2684" s="705">
        <v>2.8661987182845824E-34</v>
      </c>
      <c r="G2684" s="705">
        <v>3.3224387853505758E-31</v>
      </c>
    </row>
    <row r="2685" spans="2:7" ht="11.25" hidden="1" customHeight="1" outlineLevel="2" x14ac:dyDescent="0.25">
      <c r="B2685" s="704" t="s">
        <v>683</v>
      </c>
      <c r="C2685" s="704" t="s">
        <v>816</v>
      </c>
      <c r="D2685" s="704" t="s">
        <v>712</v>
      </c>
      <c r="E2685" s="704" t="s">
        <v>448</v>
      </c>
      <c r="F2685" s="705">
        <v>8.8078438118890436E-35</v>
      </c>
      <c r="G2685" s="705">
        <v>1.0440683611184075E-31</v>
      </c>
    </row>
    <row r="2686" spans="2:7" ht="11.25" hidden="1" customHeight="1" outlineLevel="2" x14ac:dyDescent="0.25">
      <c r="B2686" s="704" t="s">
        <v>684</v>
      </c>
      <c r="C2686" s="704" t="s">
        <v>816</v>
      </c>
      <c r="D2686" s="704" t="s">
        <v>712</v>
      </c>
      <c r="E2686" s="704" t="s">
        <v>448</v>
      </c>
      <c r="F2686" s="705">
        <v>1.3847646596244949E-33</v>
      </c>
      <c r="G2686" s="705">
        <v>1.6437961088360134E-30</v>
      </c>
    </row>
    <row r="2687" spans="2:7" ht="11.25" hidden="1" customHeight="1" outlineLevel="2" x14ac:dyDescent="0.25">
      <c r="B2687" s="704" t="s">
        <v>685</v>
      </c>
      <c r="C2687" s="704" t="s">
        <v>816</v>
      </c>
      <c r="D2687" s="704" t="s">
        <v>712</v>
      </c>
      <c r="E2687" s="704" t="s">
        <v>448</v>
      </c>
      <c r="F2687" s="705">
        <v>8.5993545433003732E-35</v>
      </c>
      <c r="G2687" s="705">
        <v>1.0190821488480301E-31</v>
      </c>
    </row>
    <row r="2688" spans="2:7" ht="11.25" hidden="1" customHeight="1" outlineLevel="2" x14ac:dyDescent="0.25">
      <c r="B2688" s="704" t="s">
        <v>686</v>
      </c>
      <c r="C2688" s="704" t="s">
        <v>816</v>
      </c>
      <c r="D2688" s="704" t="s">
        <v>712</v>
      </c>
      <c r="E2688" s="704" t="s">
        <v>448</v>
      </c>
      <c r="F2688" s="706">
        <v>6.406622441749647E-37</v>
      </c>
      <c r="G2688" s="705">
        <v>7.6822854802757556E-34</v>
      </c>
    </row>
    <row r="2689" spans="2:7" ht="11.25" hidden="1" customHeight="1" outlineLevel="2" x14ac:dyDescent="0.25">
      <c r="B2689" s="704" t="s">
        <v>687</v>
      </c>
      <c r="C2689" s="704" t="s">
        <v>816</v>
      </c>
      <c r="D2689" s="704" t="s">
        <v>712</v>
      </c>
      <c r="E2689" s="704" t="s">
        <v>448</v>
      </c>
      <c r="F2689" s="706">
        <v>7.5844068785508633E-3</v>
      </c>
      <c r="G2689" s="705">
        <v>9.1310573255514811</v>
      </c>
    </row>
    <row r="2690" spans="2:7" ht="11.25" hidden="1" customHeight="1" outlineLevel="2" x14ac:dyDescent="0.25">
      <c r="B2690" s="704" t="s">
        <v>688</v>
      </c>
      <c r="C2690" s="704" t="s">
        <v>816</v>
      </c>
      <c r="D2690" s="704" t="s">
        <v>712</v>
      </c>
      <c r="E2690" s="704" t="s">
        <v>448</v>
      </c>
      <c r="F2690" s="706">
        <v>6.0675241775003143E-3</v>
      </c>
      <c r="G2690" s="705">
        <v>7.3048477072746651</v>
      </c>
    </row>
    <row r="2691" spans="2:7" ht="11.25" hidden="1" customHeight="1" outlineLevel="2" x14ac:dyDescent="0.25">
      <c r="B2691" s="704" t="s">
        <v>689</v>
      </c>
      <c r="C2691" s="704" t="s">
        <v>816</v>
      </c>
      <c r="D2691" s="704" t="s">
        <v>712</v>
      </c>
      <c r="E2691" s="704" t="s">
        <v>448</v>
      </c>
      <c r="F2691" s="706">
        <v>2.2566889688663539E-2</v>
      </c>
      <c r="G2691" s="705">
        <v>27.11119230094592</v>
      </c>
    </row>
    <row r="2692" spans="2:7" ht="11.25" hidden="1" customHeight="1" outlineLevel="2" x14ac:dyDescent="0.25">
      <c r="B2692" s="704" t="s">
        <v>690</v>
      </c>
      <c r="C2692" s="704" t="s">
        <v>816</v>
      </c>
      <c r="D2692" s="704" t="s">
        <v>712</v>
      </c>
      <c r="E2692" s="704" t="s">
        <v>448</v>
      </c>
      <c r="F2692" s="706">
        <v>1.1887021458895242E-33</v>
      </c>
      <c r="G2692" s="705">
        <v>1.390752821155065E-30</v>
      </c>
    </row>
    <row r="2693" spans="2:7" ht="11.25" hidden="1" customHeight="1" outlineLevel="2" x14ac:dyDescent="0.25">
      <c r="B2693" s="704" t="s">
        <v>691</v>
      </c>
      <c r="C2693" s="704" t="s">
        <v>816</v>
      </c>
      <c r="D2693" s="704" t="s">
        <v>712</v>
      </c>
      <c r="E2693" s="704" t="s">
        <v>448</v>
      </c>
      <c r="F2693" s="706">
        <v>2.1844146577000001E-33</v>
      </c>
      <c r="G2693" s="705">
        <v>2.6641730390000002E-30</v>
      </c>
    </row>
    <row r="2694" spans="2:7" ht="11.25" hidden="1" customHeight="1" outlineLevel="2" x14ac:dyDescent="0.25">
      <c r="B2694" s="704" t="s">
        <v>692</v>
      </c>
      <c r="C2694" s="704" t="s">
        <v>816</v>
      </c>
      <c r="D2694" s="704" t="s">
        <v>712</v>
      </c>
      <c r="E2694" s="704" t="s">
        <v>448</v>
      </c>
      <c r="F2694" s="706">
        <v>3.5159328099357565E-38</v>
      </c>
      <c r="G2694" s="705">
        <v>4.2522794678666422E-35</v>
      </c>
    </row>
    <row r="2695" spans="2:7" ht="11.25" hidden="1" customHeight="1" outlineLevel="2" x14ac:dyDescent="0.25">
      <c r="B2695" s="704" t="s">
        <v>693</v>
      </c>
      <c r="C2695" s="704" t="s">
        <v>816</v>
      </c>
      <c r="D2695" s="704" t="s">
        <v>712</v>
      </c>
      <c r="E2695" s="704" t="s">
        <v>448</v>
      </c>
      <c r="F2695" s="705">
        <v>1.1308463101756586E-35</v>
      </c>
      <c r="G2695" s="705">
        <v>1.3633235801716551E-32</v>
      </c>
    </row>
    <row r="2696" spans="2:7" ht="11.25" hidden="1" customHeight="1" outlineLevel="2" x14ac:dyDescent="0.25">
      <c r="B2696" s="704" t="s">
        <v>694</v>
      </c>
      <c r="C2696" s="704" t="s">
        <v>816</v>
      </c>
      <c r="D2696" s="704" t="s">
        <v>712</v>
      </c>
      <c r="E2696" s="704" t="s">
        <v>448</v>
      </c>
      <c r="F2696" s="705">
        <v>1.2846700037536762E-33</v>
      </c>
      <c r="G2696" s="705">
        <v>1.5042958365886881E-30</v>
      </c>
    </row>
    <row r="2697" spans="2:7" ht="11.25" hidden="1" customHeight="1" outlineLevel="2" x14ac:dyDescent="0.25">
      <c r="B2697" s="704" t="s">
        <v>695</v>
      </c>
      <c r="C2697" s="704" t="s">
        <v>816</v>
      </c>
      <c r="D2697" s="704" t="s">
        <v>712</v>
      </c>
      <c r="E2697" s="704" t="s">
        <v>448</v>
      </c>
      <c r="F2697" s="705">
        <v>1.0379941144339633E-33</v>
      </c>
      <c r="G2697" s="705">
        <v>1.3260307253321559E-30</v>
      </c>
    </row>
    <row r="2698" spans="2:7" ht="11.25" hidden="1" customHeight="1" outlineLevel="2" x14ac:dyDescent="0.25">
      <c r="B2698" s="704" t="s">
        <v>696</v>
      </c>
      <c r="C2698" s="704" t="s">
        <v>816</v>
      </c>
      <c r="D2698" s="704" t="s">
        <v>712</v>
      </c>
      <c r="E2698" s="704" t="s">
        <v>448</v>
      </c>
      <c r="F2698" s="705">
        <v>6.0932519104968698E-3</v>
      </c>
      <c r="G2698" s="705">
        <v>7.3048477072746651</v>
      </c>
    </row>
    <row r="2699" spans="2:7" ht="11.25" hidden="1" customHeight="1" outlineLevel="2" x14ac:dyDescent="0.25">
      <c r="B2699" s="704" t="s">
        <v>697</v>
      </c>
      <c r="C2699" s="704" t="s">
        <v>816</v>
      </c>
      <c r="D2699" s="704" t="s">
        <v>712</v>
      </c>
      <c r="E2699" s="704" t="s">
        <v>448</v>
      </c>
      <c r="F2699" s="705">
        <v>7.598663754000002E-36</v>
      </c>
      <c r="G2699" s="705">
        <v>8.85375392E-33</v>
      </c>
    </row>
    <row r="2700" spans="2:7" ht="11.25" hidden="1" customHeight="1" outlineLevel="2" x14ac:dyDescent="0.25">
      <c r="B2700" s="704" t="s">
        <v>698</v>
      </c>
      <c r="C2700" s="704" t="s">
        <v>816</v>
      </c>
      <c r="D2700" s="704" t="s">
        <v>712</v>
      </c>
      <c r="E2700" s="704" t="s">
        <v>448</v>
      </c>
      <c r="F2700" s="705">
        <v>1.7136401028999999E-35</v>
      </c>
      <c r="G2700" s="705">
        <v>1.9967684263999999E-32</v>
      </c>
    </row>
    <row r="2701" spans="2:7" ht="11.25" hidden="1" customHeight="1" outlineLevel="2" x14ac:dyDescent="0.25">
      <c r="B2701" s="704" t="s">
        <v>699</v>
      </c>
      <c r="C2701" s="704" t="s">
        <v>816</v>
      </c>
      <c r="D2701" s="704" t="s">
        <v>712</v>
      </c>
      <c r="E2701" s="704" t="s">
        <v>448</v>
      </c>
      <c r="F2701" s="705">
        <v>1.6685691472936203E-2</v>
      </c>
      <c r="G2701" s="705">
        <v>20.088329130503634</v>
      </c>
    </row>
    <row r="2702" spans="2:7" ht="11.25" hidden="1" customHeight="1" outlineLevel="2" x14ac:dyDescent="0.25">
      <c r="B2702" s="704" t="s">
        <v>673</v>
      </c>
      <c r="C2702" s="704" t="s">
        <v>817</v>
      </c>
      <c r="D2702" s="704" t="s">
        <v>818</v>
      </c>
      <c r="E2702" s="704" t="s">
        <v>448</v>
      </c>
      <c r="F2702" s="705">
        <v>0.80587668172606619</v>
      </c>
      <c r="G2702" s="705">
        <v>662.21116533065538</v>
      </c>
    </row>
    <row r="2703" spans="2:7" ht="11.25" hidden="1" customHeight="1" outlineLevel="2" x14ac:dyDescent="0.25">
      <c r="B2703" s="704" t="s">
        <v>677</v>
      </c>
      <c r="C2703" s="704" t="s">
        <v>817</v>
      </c>
      <c r="D2703" s="704" t="s">
        <v>818</v>
      </c>
      <c r="E2703" s="704" t="s">
        <v>448</v>
      </c>
      <c r="F2703" s="705">
        <v>9.2437073020179188</v>
      </c>
      <c r="G2703" s="705">
        <v>7585.3273372182566</v>
      </c>
    </row>
    <row r="2704" spans="2:7" ht="11.25" hidden="1" customHeight="1" outlineLevel="2" x14ac:dyDescent="0.25">
      <c r="B2704" s="704" t="s">
        <v>678</v>
      </c>
      <c r="C2704" s="704" t="s">
        <v>817</v>
      </c>
      <c r="D2704" s="704" t="s">
        <v>818</v>
      </c>
      <c r="E2704" s="704" t="s">
        <v>448</v>
      </c>
      <c r="F2704" s="705">
        <v>7.1076087153032175</v>
      </c>
      <c r="G2704" s="705">
        <v>5839.4975347680975</v>
      </c>
    </row>
    <row r="2705" spans="2:7" ht="11.25" hidden="1" customHeight="1" outlineLevel="2" x14ac:dyDescent="0.25">
      <c r="B2705" s="704" t="s">
        <v>679</v>
      </c>
      <c r="C2705" s="704" t="s">
        <v>817</v>
      </c>
      <c r="D2705" s="704" t="s">
        <v>818</v>
      </c>
      <c r="E2705" s="704" t="s">
        <v>448</v>
      </c>
      <c r="F2705" s="705">
        <v>6.2283171292572517</v>
      </c>
      <c r="G2705" s="705">
        <v>5117.0857672819175</v>
      </c>
    </row>
    <row r="2706" spans="2:7" ht="11.25" hidden="1" customHeight="1" outlineLevel="2" x14ac:dyDescent="0.25">
      <c r="B2706" s="704" t="s">
        <v>680</v>
      </c>
      <c r="C2706" s="704" t="s">
        <v>817</v>
      </c>
      <c r="D2706" s="704" t="s">
        <v>818</v>
      </c>
      <c r="E2706" s="704" t="s">
        <v>448</v>
      </c>
      <c r="F2706" s="705">
        <v>1.0989225367991728</v>
      </c>
      <c r="G2706" s="705">
        <v>903.01526456314411</v>
      </c>
    </row>
    <row r="2707" spans="2:7" ht="11.25" hidden="1" customHeight="1" outlineLevel="2" x14ac:dyDescent="0.25">
      <c r="B2707" s="704" t="s">
        <v>681</v>
      </c>
      <c r="C2707" s="704" t="s">
        <v>817</v>
      </c>
      <c r="D2707" s="704" t="s">
        <v>818</v>
      </c>
      <c r="E2707" s="704" t="s">
        <v>448</v>
      </c>
      <c r="F2707" s="705">
        <v>0.58619466546712795</v>
      </c>
      <c r="G2707" s="705">
        <v>481.60821273105205</v>
      </c>
    </row>
    <row r="2708" spans="2:7" ht="11.25" hidden="1" customHeight="1" outlineLevel="2" x14ac:dyDescent="0.25">
      <c r="B2708" s="704" t="s">
        <v>682</v>
      </c>
      <c r="C2708" s="704" t="s">
        <v>817</v>
      </c>
      <c r="D2708" s="704" t="s">
        <v>818</v>
      </c>
      <c r="E2708" s="704" t="s">
        <v>448</v>
      </c>
      <c r="F2708" s="705">
        <v>7.0343344674886792</v>
      </c>
      <c r="G2708" s="705">
        <v>5779.2967433866179</v>
      </c>
    </row>
    <row r="2709" spans="2:7" ht="11.25" hidden="1" customHeight="1" outlineLevel="2" x14ac:dyDescent="0.25">
      <c r="B2709" s="704" t="s">
        <v>683</v>
      </c>
      <c r="C2709" s="704" t="s">
        <v>817</v>
      </c>
      <c r="D2709" s="704" t="s">
        <v>818</v>
      </c>
      <c r="E2709" s="704" t="s">
        <v>448</v>
      </c>
      <c r="F2709" s="705">
        <v>7.3274306966454112</v>
      </c>
      <c r="G2709" s="705">
        <v>6020.1000629458349</v>
      </c>
    </row>
    <row r="2710" spans="2:7" ht="11.25" hidden="1" customHeight="1" outlineLevel="2" x14ac:dyDescent="0.25">
      <c r="B2710" s="704" t="s">
        <v>684</v>
      </c>
      <c r="C2710" s="704" t="s">
        <v>817</v>
      </c>
      <c r="D2710" s="704" t="s">
        <v>818</v>
      </c>
      <c r="E2710" s="704" t="s">
        <v>448</v>
      </c>
      <c r="F2710" s="705">
        <v>23.004115641085797</v>
      </c>
      <c r="G2710" s="705">
        <v>18903.113341444572</v>
      </c>
    </row>
    <row r="2711" spans="2:7" ht="11.25" hidden="1" customHeight="1" outlineLevel="2" x14ac:dyDescent="0.25">
      <c r="B2711" s="704" t="s">
        <v>685</v>
      </c>
      <c r="C2711" s="704" t="s">
        <v>817</v>
      </c>
      <c r="D2711" s="704" t="s">
        <v>818</v>
      </c>
      <c r="E2711" s="704" t="s">
        <v>448</v>
      </c>
      <c r="F2711" s="705">
        <v>0.87929188289685734</v>
      </c>
      <c r="G2711" s="705">
        <v>722.41218389483186</v>
      </c>
    </row>
    <row r="2712" spans="2:7" ht="11.25" hidden="1" customHeight="1" outlineLevel="2" x14ac:dyDescent="0.25">
      <c r="B2712" s="704" t="s">
        <v>686</v>
      </c>
      <c r="C2712" s="704" t="s">
        <v>817</v>
      </c>
      <c r="D2712" s="704" t="s">
        <v>818</v>
      </c>
      <c r="E2712" s="704" t="s">
        <v>448</v>
      </c>
      <c r="F2712" s="705">
        <v>1.5384917242285603</v>
      </c>
      <c r="G2712" s="705">
        <v>1264.221425508676</v>
      </c>
    </row>
    <row r="2713" spans="2:7" ht="11.25" hidden="1" customHeight="1" outlineLevel="2" x14ac:dyDescent="0.25">
      <c r="B2713" s="704" t="s">
        <v>687</v>
      </c>
      <c r="C2713" s="704" t="s">
        <v>817</v>
      </c>
      <c r="D2713" s="704" t="s">
        <v>818</v>
      </c>
      <c r="E2713" s="704" t="s">
        <v>448</v>
      </c>
      <c r="F2713" s="705">
        <v>5.4222999331956645</v>
      </c>
      <c r="G2713" s="705">
        <v>4454.8750399629271</v>
      </c>
    </row>
    <row r="2714" spans="2:7" ht="11.25" hidden="1" customHeight="1" outlineLevel="2" x14ac:dyDescent="0.25">
      <c r="B2714" s="704" t="s">
        <v>688</v>
      </c>
      <c r="C2714" s="704" t="s">
        <v>817</v>
      </c>
      <c r="D2714" s="704" t="s">
        <v>818</v>
      </c>
      <c r="E2714" s="704" t="s">
        <v>448</v>
      </c>
      <c r="F2714" s="705">
        <v>0.29309728493696025</v>
      </c>
      <c r="G2714" s="705">
        <v>240.80410474911892</v>
      </c>
    </row>
    <row r="2715" spans="2:7" ht="11.25" hidden="1" customHeight="1" outlineLevel="2" x14ac:dyDescent="0.25">
      <c r="B2715" s="704" t="s">
        <v>689</v>
      </c>
      <c r="C2715" s="704" t="s">
        <v>817</v>
      </c>
      <c r="D2715" s="704" t="s">
        <v>818</v>
      </c>
      <c r="E2715" s="704" t="s">
        <v>448</v>
      </c>
      <c r="F2715" s="705">
        <v>10.840889353403078</v>
      </c>
      <c r="G2715" s="705">
        <v>8906.9758584332849</v>
      </c>
    </row>
    <row r="2716" spans="2:7" ht="11.25" hidden="1" customHeight="1" outlineLevel="2" x14ac:dyDescent="0.25">
      <c r="B2716" s="704" t="s">
        <v>690</v>
      </c>
      <c r="C2716" s="704" t="s">
        <v>817</v>
      </c>
      <c r="D2716" s="704" t="s">
        <v>818</v>
      </c>
      <c r="E2716" s="704" t="s">
        <v>448</v>
      </c>
      <c r="F2716" s="705">
        <v>2.1982293795386298</v>
      </c>
      <c r="G2716" s="705">
        <v>1806.0306274049431</v>
      </c>
    </row>
    <row r="2717" spans="2:7" ht="11.25" hidden="1" customHeight="1" outlineLevel="2" x14ac:dyDescent="0.25">
      <c r="B2717" s="704" t="s">
        <v>691</v>
      </c>
      <c r="C2717" s="704" t="s">
        <v>817</v>
      </c>
      <c r="D2717" s="704" t="s">
        <v>818</v>
      </c>
      <c r="E2717" s="704" t="s">
        <v>448</v>
      </c>
      <c r="F2717" s="705">
        <v>2.4913268220116276</v>
      </c>
      <c r="G2717" s="705">
        <v>2046.8345687168089</v>
      </c>
    </row>
    <row r="2718" spans="2:7" ht="11.25" hidden="1" customHeight="1" outlineLevel="2" x14ac:dyDescent="0.25">
      <c r="B2718" s="704" t="s">
        <v>692</v>
      </c>
      <c r="C2718" s="704" t="s">
        <v>817</v>
      </c>
      <c r="D2718" s="704" t="s">
        <v>818</v>
      </c>
      <c r="E2718" s="704" t="s">
        <v>448</v>
      </c>
      <c r="F2718" s="705">
        <v>6.8877848610785088</v>
      </c>
      <c r="G2718" s="705">
        <v>5658.8955671568156</v>
      </c>
    </row>
    <row r="2719" spans="2:7" ht="11.25" hidden="1" customHeight="1" outlineLevel="2" x14ac:dyDescent="0.25">
      <c r="B2719" s="704" t="s">
        <v>693</v>
      </c>
      <c r="C2719" s="704" t="s">
        <v>817</v>
      </c>
      <c r="D2719" s="704" t="s">
        <v>818</v>
      </c>
      <c r="E2719" s="704" t="s">
        <v>448</v>
      </c>
      <c r="F2719" s="705">
        <v>14.579042235892407</v>
      </c>
      <c r="G2719" s="705">
        <v>11980.001689264287</v>
      </c>
    </row>
    <row r="2720" spans="2:7" ht="11.25" hidden="1" customHeight="1" outlineLevel="2" x14ac:dyDescent="0.25">
      <c r="B2720" s="704" t="s">
        <v>694</v>
      </c>
      <c r="C2720" s="704" t="s">
        <v>817</v>
      </c>
      <c r="D2720" s="704" t="s">
        <v>818</v>
      </c>
      <c r="E2720" s="704" t="s">
        <v>448</v>
      </c>
      <c r="F2720" s="705">
        <v>11.795102989506848</v>
      </c>
      <c r="G2720" s="705">
        <v>9692.3628318309929</v>
      </c>
    </row>
    <row r="2721" spans="2:7" ht="11.25" hidden="1" customHeight="1" outlineLevel="2" x14ac:dyDescent="0.25">
      <c r="B2721" s="704" t="s">
        <v>695</v>
      </c>
      <c r="C2721" s="704" t="s">
        <v>817</v>
      </c>
      <c r="D2721" s="704" t="s">
        <v>818</v>
      </c>
      <c r="E2721" s="704" t="s">
        <v>448</v>
      </c>
      <c r="F2721" s="705">
        <v>13.333593116487345</v>
      </c>
      <c r="G2721" s="705">
        <v>10956.584922687398</v>
      </c>
    </row>
    <row r="2722" spans="2:7" ht="11.25" hidden="1" customHeight="1" outlineLevel="2" x14ac:dyDescent="0.25">
      <c r="B2722" s="704" t="s">
        <v>696</v>
      </c>
      <c r="C2722" s="704" t="s">
        <v>817</v>
      </c>
      <c r="D2722" s="704" t="s">
        <v>818</v>
      </c>
      <c r="E2722" s="704" t="s">
        <v>448</v>
      </c>
      <c r="F2722" s="705">
        <v>1.7582760929188515</v>
      </c>
      <c r="G2722" s="705">
        <v>1444.8244916845877</v>
      </c>
    </row>
    <row r="2723" spans="2:7" ht="11.25" hidden="1" customHeight="1" outlineLevel="2" x14ac:dyDescent="0.25">
      <c r="B2723" s="704" t="s">
        <v>697</v>
      </c>
      <c r="C2723" s="704" t="s">
        <v>817</v>
      </c>
      <c r="D2723" s="704" t="s">
        <v>818</v>
      </c>
      <c r="E2723" s="704" t="s">
        <v>448</v>
      </c>
      <c r="F2723" s="705">
        <v>3.2235064731661458</v>
      </c>
      <c r="G2723" s="705">
        <v>2648.8446339886632</v>
      </c>
    </row>
    <row r="2724" spans="2:7" ht="11.25" hidden="1" customHeight="1" outlineLevel="2" x14ac:dyDescent="0.25">
      <c r="B2724" s="704" t="s">
        <v>698</v>
      </c>
      <c r="C2724" s="704" t="s">
        <v>817</v>
      </c>
      <c r="D2724" s="704" t="s">
        <v>818</v>
      </c>
      <c r="E2724" s="704" t="s">
        <v>448</v>
      </c>
      <c r="F2724" s="705">
        <v>23.736735306350074</v>
      </c>
      <c r="G2724" s="705">
        <v>19505.127604044599</v>
      </c>
    </row>
    <row r="2725" spans="2:7" ht="11.25" hidden="1" customHeight="1" outlineLevel="2" x14ac:dyDescent="0.25">
      <c r="B2725" s="704" t="s">
        <v>699</v>
      </c>
      <c r="C2725" s="704" t="s">
        <v>817</v>
      </c>
      <c r="D2725" s="704" t="s">
        <v>818</v>
      </c>
      <c r="E2725" s="704" t="s">
        <v>448</v>
      </c>
      <c r="F2725" s="705">
        <v>2.271504020724989</v>
      </c>
      <c r="G2725" s="705">
        <v>1866.2316841987492</v>
      </c>
    </row>
    <row r="2726" spans="2:7" ht="11.25" hidden="1" customHeight="1" outlineLevel="2" x14ac:dyDescent="0.25">
      <c r="B2726" s="704" t="s">
        <v>673</v>
      </c>
      <c r="C2726" s="704" t="s">
        <v>819</v>
      </c>
      <c r="D2726" s="704" t="s">
        <v>818</v>
      </c>
      <c r="E2726" s="704" t="s">
        <v>448</v>
      </c>
      <c r="F2726" s="705">
        <v>0.3509163969734993</v>
      </c>
      <c r="G2726" s="705">
        <v>279.45138027706378</v>
      </c>
    </row>
    <row r="2727" spans="2:7" ht="11.25" hidden="1" customHeight="1" outlineLevel="2" x14ac:dyDescent="0.25">
      <c r="B2727" s="704" t="s">
        <v>677</v>
      </c>
      <c r="C2727" s="704" t="s">
        <v>819</v>
      </c>
      <c r="D2727" s="704" t="s">
        <v>818</v>
      </c>
      <c r="E2727" s="704" t="s">
        <v>448</v>
      </c>
      <c r="F2727" s="706">
        <v>4.0251407272833433</v>
      </c>
      <c r="G2727" s="705">
        <v>3200.9890977144969</v>
      </c>
    </row>
    <row r="2728" spans="2:7" ht="11.25" hidden="1" customHeight="1" outlineLevel="2" x14ac:dyDescent="0.25">
      <c r="B2728" s="704" t="s">
        <v>678</v>
      </c>
      <c r="C2728" s="704" t="s">
        <v>819</v>
      </c>
      <c r="D2728" s="704" t="s">
        <v>818</v>
      </c>
      <c r="E2728" s="704" t="s">
        <v>448</v>
      </c>
      <c r="F2728" s="706">
        <v>3.0949859989511554</v>
      </c>
      <c r="G2728" s="705">
        <v>2464.2524142530174</v>
      </c>
    </row>
    <row r="2729" spans="2:7" ht="11.25" hidden="1" customHeight="1" outlineLevel="2" x14ac:dyDescent="0.25">
      <c r="B2729" s="704" t="s">
        <v>679</v>
      </c>
      <c r="C2729" s="704" t="s">
        <v>819</v>
      </c>
      <c r="D2729" s="704" t="s">
        <v>818</v>
      </c>
      <c r="E2729" s="704" t="s">
        <v>448</v>
      </c>
      <c r="F2729" s="706">
        <v>2.7121005455023885</v>
      </c>
      <c r="G2729" s="705">
        <v>2159.3961232926822</v>
      </c>
    </row>
    <row r="2730" spans="2:7" ht="11.25" hidden="1" customHeight="1" outlineLevel="2" x14ac:dyDescent="0.25">
      <c r="B2730" s="704" t="s">
        <v>680</v>
      </c>
      <c r="C2730" s="704" t="s">
        <v>819</v>
      </c>
      <c r="D2730" s="704" t="s">
        <v>818</v>
      </c>
      <c r="E2730" s="704" t="s">
        <v>448</v>
      </c>
      <c r="F2730" s="706">
        <v>0.4785223989994386</v>
      </c>
      <c r="G2730" s="705">
        <v>381.06987319204728</v>
      </c>
    </row>
    <row r="2731" spans="2:7" ht="11.25" hidden="1" customHeight="1" outlineLevel="2" x14ac:dyDescent="0.25">
      <c r="B2731" s="704" t="s">
        <v>681</v>
      </c>
      <c r="C2731" s="704" t="s">
        <v>819</v>
      </c>
      <c r="D2731" s="704" t="s">
        <v>818</v>
      </c>
      <c r="E2731" s="704" t="s">
        <v>448</v>
      </c>
      <c r="F2731" s="706">
        <v>0.25525656317273515</v>
      </c>
      <c r="G2731" s="705">
        <v>203.23733091254712</v>
      </c>
    </row>
    <row r="2732" spans="2:7" ht="11.25" hidden="1" customHeight="1" outlineLevel="2" x14ac:dyDescent="0.25">
      <c r="B2732" s="704" t="s">
        <v>682</v>
      </c>
      <c r="C2732" s="704" t="s">
        <v>819</v>
      </c>
      <c r="D2732" s="704" t="s">
        <v>818</v>
      </c>
      <c r="E2732" s="704" t="s">
        <v>448</v>
      </c>
      <c r="F2732" s="706">
        <v>3.0630789223590771</v>
      </c>
      <c r="G2732" s="705">
        <v>2438.8475198854912</v>
      </c>
    </row>
    <row r="2733" spans="2:7" ht="11.25" hidden="1" customHeight="1" outlineLevel="2" x14ac:dyDescent="0.25">
      <c r="B2733" s="704" t="s">
        <v>683</v>
      </c>
      <c r="C2733" s="704" t="s">
        <v>819</v>
      </c>
      <c r="D2733" s="704" t="s">
        <v>818</v>
      </c>
      <c r="E2733" s="704" t="s">
        <v>448</v>
      </c>
      <c r="F2733" s="706">
        <v>3.1907073927139171</v>
      </c>
      <c r="G2733" s="705">
        <v>2540.4676175299824</v>
      </c>
    </row>
    <row r="2734" spans="2:7" ht="11.25" hidden="1" customHeight="1" outlineLevel="2" x14ac:dyDescent="0.25">
      <c r="B2734" s="704" t="s">
        <v>684</v>
      </c>
      <c r="C2734" s="704" t="s">
        <v>819</v>
      </c>
      <c r="D2734" s="704" t="s">
        <v>818</v>
      </c>
      <c r="E2734" s="704" t="s">
        <v>448</v>
      </c>
      <c r="F2734" s="705">
        <v>10.017068120120912</v>
      </c>
      <c r="G2734" s="705">
        <v>7977.066758033774</v>
      </c>
    </row>
    <row r="2735" spans="2:7" ht="11.25" hidden="1" customHeight="1" outlineLevel="2" x14ac:dyDescent="0.25">
      <c r="B2735" s="704" t="s">
        <v>685</v>
      </c>
      <c r="C2735" s="704" t="s">
        <v>819</v>
      </c>
      <c r="D2735" s="704" t="s">
        <v>818</v>
      </c>
      <c r="E2735" s="704" t="s">
        <v>448</v>
      </c>
      <c r="F2735" s="705">
        <v>0.38288492219890946</v>
      </c>
      <c r="G2735" s="705">
        <v>304.85604972604676</v>
      </c>
    </row>
    <row r="2736" spans="2:7" ht="11.25" hidden="1" customHeight="1" outlineLevel="2" x14ac:dyDescent="0.25">
      <c r="B2736" s="704" t="s">
        <v>686</v>
      </c>
      <c r="C2736" s="704" t="s">
        <v>819</v>
      </c>
      <c r="D2736" s="704" t="s">
        <v>818</v>
      </c>
      <c r="E2736" s="704" t="s">
        <v>448</v>
      </c>
      <c r="F2736" s="705">
        <v>0.66993133104476443</v>
      </c>
      <c r="G2736" s="705">
        <v>533.49793345347916</v>
      </c>
    </row>
    <row r="2737" spans="2:7" ht="11.25" hidden="1" customHeight="1" outlineLevel="2" x14ac:dyDescent="0.25">
      <c r="B2737" s="704" t="s">
        <v>687</v>
      </c>
      <c r="C2737" s="704" t="s">
        <v>819</v>
      </c>
      <c r="D2737" s="704" t="s">
        <v>818</v>
      </c>
      <c r="E2737" s="704" t="s">
        <v>448</v>
      </c>
      <c r="F2737" s="706">
        <v>2.3611231345648216</v>
      </c>
      <c r="G2737" s="705">
        <v>1879.9455050463882</v>
      </c>
    </row>
    <row r="2738" spans="2:7" ht="11.25" hidden="1" customHeight="1" outlineLevel="2" x14ac:dyDescent="0.25">
      <c r="B2738" s="704" t="s">
        <v>688</v>
      </c>
      <c r="C2738" s="704" t="s">
        <v>819</v>
      </c>
      <c r="D2738" s="704" t="s">
        <v>818</v>
      </c>
      <c r="E2738" s="704" t="s">
        <v>448</v>
      </c>
      <c r="F2738" s="705">
        <v>0.12762822120313036</v>
      </c>
      <c r="G2738" s="705">
        <v>101.61869835598395</v>
      </c>
    </row>
    <row r="2739" spans="2:7" ht="11.25" hidden="1" customHeight="1" outlineLevel="2" x14ac:dyDescent="0.25">
      <c r="B2739" s="704" t="s">
        <v>689</v>
      </c>
      <c r="C2739" s="704" t="s">
        <v>819</v>
      </c>
      <c r="D2739" s="704" t="s">
        <v>818</v>
      </c>
      <c r="E2739" s="704" t="s">
        <v>448</v>
      </c>
      <c r="F2739" s="705">
        <v>4.7206308137515229</v>
      </c>
      <c r="G2739" s="705">
        <v>3758.7205178569257</v>
      </c>
    </row>
    <row r="2740" spans="2:7" ht="11.25" hidden="1" customHeight="1" outlineLevel="2" x14ac:dyDescent="0.25">
      <c r="B2740" s="704" t="s">
        <v>690</v>
      </c>
      <c r="C2740" s="704" t="s">
        <v>819</v>
      </c>
      <c r="D2740" s="704" t="s">
        <v>818</v>
      </c>
      <c r="E2740" s="704" t="s">
        <v>448</v>
      </c>
      <c r="F2740" s="706">
        <v>0.95721208843369088</v>
      </c>
      <c r="G2740" s="705">
        <v>762.14015301691666</v>
      </c>
    </row>
    <row r="2741" spans="2:7" ht="11.25" hidden="1" customHeight="1" outlineLevel="2" x14ac:dyDescent="0.25">
      <c r="B2741" s="704" t="s">
        <v>691</v>
      </c>
      <c r="C2741" s="704" t="s">
        <v>819</v>
      </c>
      <c r="D2741" s="704" t="s">
        <v>818</v>
      </c>
      <c r="E2741" s="704" t="s">
        <v>448</v>
      </c>
      <c r="F2741" s="705">
        <v>1.0848401219767652</v>
      </c>
      <c r="G2741" s="705">
        <v>863.75867379838689</v>
      </c>
    </row>
    <row r="2742" spans="2:7" ht="11.25" hidden="1" customHeight="1" outlineLevel="2" x14ac:dyDescent="0.25">
      <c r="B2742" s="704" t="s">
        <v>692</v>
      </c>
      <c r="C2742" s="704" t="s">
        <v>819</v>
      </c>
      <c r="D2742" s="704" t="s">
        <v>818</v>
      </c>
      <c r="E2742" s="704" t="s">
        <v>448</v>
      </c>
      <c r="F2742" s="705">
        <v>2.9992643496934219</v>
      </c>
      <c r="G2742" s="705">
        <v>2388.0395303941291</v>
      </c>
    </row>
    <row r="2743" spans="2:7" ht="11.25" hidden="1" customHeight="1" outlineLevel="2" x14ac:dyDescent="0.25">
      <c r="B2743" s="704" t="s">
        <v>693</v>
      </c>
      <c r="C2743" s="704" t="s">
        <v>819</v>
      </c>
      <c r="D2743" s="704" t="s">
        <v>818</v>
      </c>
      <c r="E2743" s="704" t="s">
        <v>448</v>
      </c>
      <c r="F2743" s="705">
        <v>6.3483957103297444</v>
      </c>
      <c r="G2743" s="705">
        <v>5055.5280300105369</v>
      </c>
    </row>
    <row r="2744" spans="2:7" ht="11.25" hidden="1" customHeight="1" outlineLevel="2" x14ac:dyDescent="0.25">
      <c r="B2744" s="704" t="s">
        <v>694</v>
      </c>
      <c r="C2744" s="704" t="s">
        <v>819</v>
      </c>
      <c r="D2744" s="704" t="s">
        <v>818</v>
      </c>
      <c r="E2744" s="704" t="s">
        <v>448</v>
      </c>
      <c r="F2744" s="706">
        <v>5.1361397253253971</v>
      </c>
      <c r="G2744" s="705">
        <v>4090.1511692792328</v>
      </c>
    </row>
    <row r="2745" spans="2:7" ht="11.25" hidden="1" customHeight="1" outlineLevel="2" x14ac:dyDescent="0.25">
      <c r="B2745" s="704" t="s">
        <v>695</v>
      </c>
      <c r="C2745" s="704" t="s">
        <v>819</v>
      </c>
      <c r="D2745" s="704" t="s">
        <v>818</v>
      </c>
      <c r="E2745" s="704" t="s">
        <v>448</v>
      </c>
      <c r="F2745" s="706">
        <v>5.8060704263270972</v>
      </c>
      <c r="G2745" s="705">
        <v>4623.6503748659443</v>
      </c>
    </row>
    <row r="2746" spans="2:7" ht="11.25" hidden="1" customHeight="1" outlineLevel="2" x14ac:dyDescent="0.25">
      <c r="B2746" s="704" t="s">
        <v>696</v>
      </c>
      <c r="C2746" s="704" t="s">
        <v>819</v>
      </c>
      <c r="D2746" s="704" t="s">
        <v>818</v>
      </c>
      <c r="E2746" s="704" t="s">
        <v>448</v>
      </c>
      <c r="F2746" s="706">
        <v>0.76563549214764848</v>
      </c>
      <c r="G2746" s="705">
        <v>609.71196406233901</v>
      </c>
    </row>
    <row r="2747" spans="2:7" ht="11.25" hidden="1" customHeight="1" outlineLevel="2" x14ac:dyDescent="0.25">
      <c r="B2747" s="704" t="s">
        <v>697</v>
      </c>
      <c r="C2747" s="704" t="s">
        <v>819</v>
      </c>
      <c r="D2747" s="704" t="s">
        <v>818</v>
      </c>
      <c r="E2747" s="704" t="s">
        <v>448</v>
      </c>
      <c r="F2747" s="705">
        <v>1.403665457647967</v>
      </c>
      <c r="G2747" s="705">
        <v>1117.8052808221689</v>
      </c>
    </row>
    <row r="2748" spans="2:7" ht="11.25" hidden="1" customHeight="1" outlineLevel="2" x14ac:dyDescent="0.25">
      <c r="B2748" s="704" t="s">
        <v>698</v>
      </c>
      <c r="C2748" s="704" t="s">
        <v>819</v>
      </c>
      <c r="D2748" s="704" t="s">
        <v>818</v>
      </c>
      <c r="E2748" s="704" t="s">
        <v>448</v>
      </c>
      <c r="F2748" s="705">
        <v>10.336082574179949</v>
      </c>
      <c r="G2748" s="705">
        <v>8231.1171777936634</v>
      </c>
    </row>
    <row r="2749" spans="2:7" ht="11.25" hidden="1" customHeight="1" outlineLevel="2" x14ac:dyDescent="0.25">
      <c r="B2749" s="704" t="s">
        <v>699</v>
      </c>
      <c r="C2749" s="704" t="s">
        <v>819</v>
      </c>
      <c r="D2749" s="704" t="s">
        <v>818</v>
      </c>
      <c r="E2749" s="704" t="s">
        <v>448</v>
      </c>
      <c r="F2749" s="705">
        <v>0.98911918285216072</v>
      </c>
      <c r="G2749" s="705">
        <v>787.54455160586838</v>
      </c>
    </row>
    <row r="2750" spans="2:7" ht="11.25" hidden="1" customHeight="1" outlineLevel="2" x14ac:dyDescent="0.25">
      <c r="B2750" s="704" t="s">
        <v>673</v>
      </c>
      <c r="C2750" s="704" t="s">
        <v>820</v>
      </c>
      <c r="D2750" s="704" t="s">
        <v>818</v>
      </c>
      <c r="E2750" s="704" t="s">
        <v>448</v>
      </c>
      <c r="F2750" s="705">
        <v>0.13415825553750715</v>
      </c>
      <c r="G2750" s="705">
        <v>208.58859402845923</v>
      </c>
    </row>
    <row r="2751" spans="2:7" ht="11.25" hidden="1" customHeight="1" outlineLevel="2" x14ac:dyDescent="0.25">
      <c r="B2751" s="704" t="s">
        <v>677</v>
      </c>
      <c r="C2751" s="704" t="s">
        <v>820</v>
      </c>
      <c r="D2751" s="704" t="s">
        <v>818</v>
      </c>
      <c r="E2751" s="704" t="s">
        <v>448</v>
      </c>
      <c r="F2751" s="705">
        <v>3.9833981758278356</v>
      </c>
      <c r="G2751" s="705">
        <v>6124.9216596624119</v>
      </c>
    </row>
    <row r="2752" spans="2:7" ht="11.25" hidden="1" customHeight="1" outlineLevel="2" x14ac:dyDescent="0.25">
      <c r="B2752" s="704" t="s">
        <v>678</v>
      </c>
      <c r="C2752" s="704" t="s">
        <v>820</v>
      </c>
      <c r="D2752" s="704" t="s">
        <v>818</v>
      </c>
      <c r="E2752" s="704" t="s">
        <v>448</v>
      </c>
      <c r="F2752" s="705">
        <v>2.2571553120952896</v>
      </c>
      <c r="G2752" s="705">
        <v>3508.0833305223769</v>
      </c>
    </row>
    <row r="2753" spans="2:7" ht="11.25" hidden="1" customHeight="1" outlineLevel="2" x14ac:dyDescent="0.25">
      <c r="B2753" s="704" t="s">
        <v>679</v>
      </c>
      <c r="C2753" s="704" t="s">
        <v>820</v>
      </c>
      <c r="D2753" s="704" t="s">
        <v>818</v>
      </c>
      <c r="E2753" s="704" t="s">
        <v>448</v>
      </c>
      <c r="F2753" s="705">
        <v>2.7544996421134371</v>
      </c>
      <c r="G2753" s="705">
        <v>4285.5479385561366</v>
      </c>
    </row>
    <row r="2754" spans="2:7" ht="11.25" hidden="1" customHeight="1" outlineLevel="2" x14ac:dyDescent="0.25">
      <c r="B2754" s="704" t="s">
        <v>680</v>
      </c>
      <c r="C2754" s="704" t="s">
        <v>820</v>
      </c>
      <c r="D2754" s="704" t="s">
        <v>818</v>
      </c>
      <c r="E2754" s="704" t="s">
        <v>448</v>
      </c>
      <c r="F2754" s="705">
        <v>0.18233972419148145</v>
      </c>
      <c r="G2754" s="705">
        <v>284.43911204410654</v>
      </c>
    </row>
    <row r="2755" spans="2:7" ht="11.25" hidden="1" customHeight="1" outlineLevel="2" x14ac:dyDescent="0.25">
      <c r="B2755" s="704" t="s">
        <v>681</v>
      </c>
      <c r="C2755" s="704" t="s">
        <v>820</v>
      </c>
      <c r="D2755" s="704" t="s">
        <v>818</v>
      </c>
      <c r="E2755" s="704" t="s">
        <v>448</v>
      </c>
      <c r="F2755" s="705">
        <v>9.7606730679074077E-2</v>
      </c>
      <c r="G2755" s="705">
        <v>151.70079478872543</v>
      </c>
    </row>
    <row r="2756" spans="2:7" ht="11.25" hidden="1" customHeight="1" outlineLevel="2" x14ac:dyDescent="0.25">
      <c r="B2756" s="704" t="s">
        <v>682</v>
      </c>
      <c r="C2756" s="704" t="s">
        <v>820</v>
      </c>
      <c r="D2756" s="704" t="s">
        <v>818</v>
      </c>
      <c r="E2756" s="704" t="s">
        <v>448</v>
      </c>
      <c r="F2756" s="705">
        <v>2.1231589967119904</v>
      </c>
      <c r="G2756" s="705">
        <v>3299.493271157954</v>
      </c>
    </row>
    <row r="2757" spans="2:7" ht="11.25" hidden="1" customHeight="1" outlineLevel="2" x14ac:dyDescent="0.25">
      <c r="B2757" s="704" t="s">
        <v>683</v>
      </c>
      <c r="C2757" s="704" t="s">
        <v>820</v>
      </c>
      <c r="D2757" s="704" t="s">
        <v>818</v>
      </c>
      <c r="E2757" s="704" t="s">
        <v>448</v>
      </c>
      <c r="F2757" s="705">
        <v>3.6442280134271723</v>
      </c>
      <c r="G2757" s="705">
        <v>5669.8183289864992</v>
      </c>
    </row>
    <row r="2758" spans="2:7" ht="11.25" hidden="1" customHeight="1" outlineLevel="2" x14ac:dyDescent="0.25">
      <c r="B2758" s="704" t="s">
        <v>684</v>
      </c>
      <c r="C2758" s="704" t="s">
        <v>820</v>
      </c>
      <c r="D2758" s="704" t="s">
        <v>818</v>
      </c>
      <c r="E2758" s="704" t="s">
        <v>448</v>
      </c>
      <c r="F2758" s="706">
        <v>9.3601044426790345</v>
      </c>
      <c r="G2758" s="705">
        <v>14601.202317451567</v>
      </c>
    </row>
    <row r="2759" spans="2:7" ht="11.25" hidden="1" customHeight="1" outlineLevel="2" x14ac:dyDescent="0.25">
      <c r="B2759" s="704" t="s">
        <v>685</v>
      </c>
      <c r="C2759" s="704" t="s">
        <v>820</v>
      </c>
      <c r="D2759" s="704" t="s">
        <v>818</v>
      </c>
      <c r="E2759" s="704" t="s">
        <v>448</v>
      </c>
      <c r="F2759" s="706">
        <v>0.14625669141683662</v>
      </c>
      <c r="G2759" s="705">
        <v>227.55128585916324</v>
      </c>
    </row>
    <row r="2760" spans="2:7" ht="11.25" hidden="1" customHeight="1" outlineLevel="2" x14ac:dyDescent="0.25">
      <c r="B2760" s="704" t="s">
        <v>686</v>
      </c>
      <c r="C2760" s="704" t="s">
        <v>820</v>
      </c>
      <c r="D2760" s="704" t="s">
        <v>818</v>
      </c>
      <c r="E2760" s="704" t="s">
        <v>448</v>
      </c>
      <c r="F2760" s="705">
        <v>0.25612021791110795</v>
      </c>
      <c r="G2760" s="705">
        <v>398.21466700189478</v>
      </c>
    </row>
    <row r="2761" spans="2:7" ht="11.25" hidden="1" customHeight="1" outlineLevel="2" x14ac:dyDescent="0.25">
      <c r="B2761" s="704" t="s">
        <v>687</v>
      </c>
      <c r="C2761" s="704" t="s">
        <v>820</v>
      </c>
      <c r="D2761" s="704" t="s">
        <v>818</v>
      </c>
      <c r="E2761" s="704" t="s">
        <v>448</v>
      </c>
      <c r="F2761" s="705">
        <v>2.0375406560530274</v>
      </c>
      <c r="G2761" s="705">
        <v>3166.7553217182731</v>
      </c>
    </row>
    <row r="2762" spans="2:7" ht="11.25" hidden="1" customHeight="1" outlineLevel="2" x14ac:dyDescent="0.25">
      <c r="B2762" s="704" t="s">
        <v>688</v>
      </c>
      <c r="C2762" s="704" t="s">
        <v>820</v>
      </c>
      <c r="D2762" s="704" t="s">
        <v>818</v>
      </c>
      <c r="E2762" s="704" t="s">
        <v>448</v>
      </c>
      <c r="F2762" s="705">
        <v>4.8803357747145955E-2</v>
      </c>
      <c r="G2762" s="705">
        <v>75.850442801661288</v>
      </c>
    </row>
    <row r="2763" spans="2:7" ht="11.25" hidden="1" customHeight="1" outlineLevel="2" x14ac:dyDescent="0.25">
      <c r="B2763" s="704" t="s">
        <v>689</v>
      </c>
      <c r="C2763" s="704" t="s">
        <v>820</v>
      </c>
      <c r="D2763" s="704" t="s">
        <v>818</v>
      </c>
      <c r="E2763" s="704" t="s">
        <v>448</v>
      </c>
      <c r="F2763" s="705">
        <v>5.0930171915541598</v>
      </c>
      <c r="G2763" s="705">
        <v>7903.5576067553338</v>
      </c>
    </row>
    <row r="2764" spans="2:7" ht="11.25" hidden="1" customHeight="1" outlineLevel="2" x14ac:dyDescent="0.25">
      <c r="B2764" s="704" t="s">
        <v>690</v>
      </c>
      <c r="C2764" s="704" t="s">
        <v>820</v>
      </c>
      <c r="D2764" s="704" t="s">
        <v>818</v>
      </c>
      <c r="E2764" s="704" t="s">
        <v>448</v>
      </c>
      <c r="F2764" s="705">
        <v>0.36564167633053946</v>
      </c>
      <c r="G2764" s="705">
        <v>568.87827791595441</v>
      </c>
    </row>
    <row r="2765" spans="2:7" ht="11.25" hidden="1" customHeight="1" outlineLevel="2" x14ac:dyDescent="0.25">
      <c r="B2765" s="704" t="s">
        <v>691</v>
      </c>
      <c r="C2765" s="704" t="s">
        <v>820</v>
      </c>
      <c r="D2765" s="704" t="s">
        <v>818</v>
      </c>
      <c r="E2765" s="704" t="s">
        <v>448</v>
      </c>
      <c r="F2765" s="705">
        <v>0.41439380982024698</v>
      </c>
      <c r="G2765" s="705">
        <v>644.72865848592994</v>
      </c>
    </row>
    <row r="2766" spans="2:7" ht="11.25" hidden="1" customHeight="1" outlineLevel="2" x14ac:dyDescent="0.25">
      <c r="B2766" s="704" t="s">
        <v>692</v>
      </c>
      <c r="C2766" s="704" t="s">
        <v>820</v>
      </c>
      <c r="D2766" s="704" t="s">
        <v>818</v>
      </c>
      <c r="E2766" s="704" t="s">
        <v>448</v>
      </c>
      <c r="F2766" s="705">
        <v>3.0624103999620766</v>
      </c>
      <c r="G2766" s="705">
        <v>4759.6141277090555</v>
      </c>
    </row>
    <row r="2767" spans="2:7" ht="11.25" hidden="1" customHeight="1" outlineLevel="2" x14ac:dyDescent="0.25">
      <c r="B2767" s="704" t="s">
        <v>693</v>
      </c>
      <c r="C2767" s="704" t="s">
        <v>820</v>
      </c>
      <c r="D2767" s="704" t="s">
        <v>818</v>
      </c>
      <c r="E2767" s="704" t="s">
        <v>448</v>
      </c>
      <c r="F2767" s="705">
        <v>7.9378572573603519</v>
      </c>
      <c r="G2767" s="705">
        <v>12382.58433968568</v>
      </c>
    </row>
    <row r="2768" spans="2:7" ht="11.25" hidden="1" customHeight="1" outlineLevel="2" x14ac:dyDescent="0.25">
      <c r="B2768" s="704" t="s">
        <v>694</v>
      </c>
      <c r="C2768" s="704" t="s">
        <v>820</v>
      </c>
      <c r="D2768" s="704" t="s">
        <v>818</v>
      </c>
      <c r="E2768" s="704" t="s">
        <v>448</v>
      </c>
      <c r="F2768" s="705">
        <v>5.944273433474863</v>
      </c>
      <c r="G2768" s="705">
        <v>9272.7171184878116</v>
      </c>
    </row>
    <row r="2769" spans="2:7" ht="11.25" hidden="1" customHeight="1" outlineLevel="2" x14ac:dyDescent="0.25">
      <c r="B2769" s="704" t="s">
        <v>695</v>
      </c>
      <c r="C2769" s="704" t="s">
        <v>820</v>
      </c>
      <c r="D2769" s="704" t="s">
        <v>818</v>
      </c>
      <c r="E2769" s="704" t="s">
        <v>448</v>
      </c>
      <c r="F2769" s="705">
        <v>5.1176676937540151</v>
      </c>
      <c r="G2769" s="705">
        <v>7983.2554946947093</v>
      </c>
    </row>
    <row r="2770" spans="2:7" ht="11.25" hidden="1" customHeight="1" outlineLevel="2" x14ac:dyDescent="0.25">
      <c r="B2770" s="704" t="s">
        <v>696</v>
      </c>
      <c r="C2770" s="704" t="s">
        <v>820</v>
      </c>
      <c r="D2770" s="704" t="s">
        <v>818</v>
      </c>
      <c r="E2770" s="704" t="s">
        <v>448</v>
      </c>
      <c r="F2770" s="705">
        <v>0.29270895092112043</v>
      </c>
      <c r="G2770" s="705">
        <v>455.1025108856644</v>
      </c>
    </row>
    <row r="2771" spans="2:7" ht="11.25" hidden="1" customHeight="1" outlineLevel="2" x14ac:dyDescent="0.25">
      <c r="B2771" s="704" t="s">
        <v>697</v>
      </c>
      <c r="C2771" s="704" t="s">
        <v>820</v>
      </c>
      <c r="D2771" s="704" t="s">
        <v>818</v>
      </c>
      <c r="E2771" s="704" t="s">
        <v>448</v>
      </c>
      <c r="F2771" s="705">
        <v>0.75367087697340085</v>
      </c>
      <c r="G2771" s="705">
        <v>1175.6815847397349</v>
      </c>
    </row>
    <row r="2772" spans="2:7" ht="11.25" hidden="1" customHeight="1" outlineLevel="2" x14ac:dyDescent="0.25">
      <c r="B2772" s="704" t="s">
        <v>698</v>
      </c>
      <c r="C2772" s="704" t="s">
        <v>820</v>
      </c>
      <c r="D2772" s="704" t="s">
        <v>818</v>
      </c>
      <c r="E2772" s="704" t="s">
        <v>448</v>
      </c>
      <c r="F2772" s="705">
        <v>6.9653800587568364</v>
      </c>
      <c r="G2772" s="705">
        <v>10865.572704358185</v>
      </c>
    </row>
    <row r="2773" spans="2:7" ht="11.25" hidden="1" customHeight="1" outlineLevel="2" x14ac:dyDescent="0.25">
      <c r="B2773" s="704" t="s">
        <v>699</v>
      </c>
      <c r="C2773" s="704" t="s">
        <v>820</v>
      </c>
      <c r="D2773" s="704" t="s">
        <v>818</v>
      </c>
      <c r="E2773" s="704" t="s">
        <v>448</v>
      </c>
      <c r="F2773" s="705">
        <v>0.56123871673317005</v>
      </c>
      <c r="G2773" s="705">
        <v>872.27995492148671</v>
      </c>
    </row>
    <row r="2774" spans="2:7" ht="11.25" hidden="1" customHeight="1" outlineLevel="2" x14ac:dyDescent="0.25">
      <c r="B2774" s="704" t="s">
        <v>673</v>
      </c>
      <c r="C2774" s="704" t="s">
        <v>821</v>
      </c>
      <c r="D2774" s="704" t="s">
        <v>822</v>
      </c>
      <c r="E2774" s="704" t="s">
        <v>448</v>
      </c>
      <c r="F2774" s="705">
        <v>4.006977402499631E-3</v>
      </c>
      <c r="G2774" s="705">
        <v>5.3863819128015242</v>
      </c>
    </row>
    <row r="2775" spans="2:7" ht="11.25" hidden="1" customHeight="1" outlineLevel="2" x14ac:dyDescent="0.25">
      <c r="B2775" s="704" t="s">
        <v>677</v>
      </c>
      <c r="C2775" s="704" t="s">
        <v>821</v>
      </c>
      <c r="D2775" s="704" t="s">
        <v>822</v>
      </c>
      <c r="E2775" s="704" t="s">
        <v>448</v>
      </c>
      <c r="F2775" s="706">
        <v>5.0202942664993883E-3</v>
      </c>
      <c r="G2775" s="705">
        <v>6.6796687042765832</v>
      </c>
    </row>
    <row r="2776" spans="2:7" ht="11.25" hidden="1" customHeight="1" outlineLevel="2" x14ac:dyDescent="0.25">
      <c r="B2776" s="704" t="s">
        <v>678</v>
      </c>
      <c r="C2776" s="704" t="s">
        <v>821</v>
      </c>
      <c r="D2776" s="704" t="s">
        <v>822</v>
      </c>
      <c r="E2776" s="704" t="s">
        <v>448</v>
      </c>
      <c r="F2776" s="706">
        <v>9.5496988495790414E-3</v>
      </c>
      <c r="G2776" s="705">
        <v>12.898062595711068</v>
      </c>
    </row>
    <row r="2777" spans="2:7" ht="11.25" hidden="1" customHeight="1" outlineLevel="2" x14ac:dyDescent="0.25">
      <c r="B2777" s="704" t="s">
        <v>679</v>
      </c>
      <c r="C2777" s="704" t="s">
        <v>821</v>
      </c>
      <c r="D2777" s="704" t="s">
        <v>822</v>
      </c>
      <c r="E2777" s="704" t="s">
        <v>448</v>
      </c>
      <c r="F2777" s="706">
        <v>1.004667680530274E-34</v>
      </c>
      <c r="G2777" s="705">
        <v>1.3798314681467387E-31</v>
      </c>
    </row>
    <row r="2778" spans="2:7" ht="11.25" hidden="1" customHeight="1" outlineLevel="2" x14ac:dyDescent="0.25">
      <c r="B2778" s="704" t="s">
        <v>680</v>
      </c>
      <c r="C2778" s="704" t="s">
        <v>821</v>
      </c>
      <c r="D2778" s="704" t="s">
        <v>822</v>
      </c>
      <c r="E2778" s="704" t="s">
        <v>448</v>
      </c>
      <c r="F2778" s="706">
        <v>2.7324095556541653E-34</v>
      </c>
      <c r="G2778" s="705">
        <v>3.5099562988835953E-31</v>
      </c>
    </row>
    <row r="2779" spans="2:7" ht="11.25" hidden="1" customHeight="1" outlineLevel="2" x14ac:dyDescent="0.25">
      <c r="B2779" s="704" t="s">
        <v>681</v>
      </c>
      <c r="C2779" s="704" t="s">
        <v>821</v>
      </c>
      <c r="D2779" s="704" t="s">
        <v>822</v>
      </c>
      <c r="E2779" s="704" t="s">
        <v>448</v>
      </c>
      <c r="F2779" s="706">
        <v>2.7381262544486753E-3</v>
      </c>
      <c r="G2779" s="705">
        <v>3.6981801216152719</v>
      </c>
    </row>
    <row r="2780" spans="2:7" ht="11.25" hidden="1" customHeight="1" outlineLevel="2" x14ac:dyDescent="0.25">
      <c r="B2780" s="704" t="s">
        <v>682</v>
      </c>
      <c r="C2780" s="704" t="s">
        <v>821</v>
      </c>
      <c r="D2780" s="704" t="s">
        <v>822</v>
      </c>
      <c r="E2780" s="704" t="s">
        <v>448</v>
      </c>
      <c r="F2780" s="706">
        <v>4.9571956221965497E-3</v>
      </c>
      <c r="G2780" s="705">
        <v>6.6959496749326117</v>
      </c>
    </row>
    <row r="2781" spans="2:7" ht="11.25" hidden="1" customHeight="1" outlineLevel="2" x14ac:dyDescent="0.25">
      <c r="B2781" s="704" t="s">
        <v>683</v>
      </c>
      <c r="C2781" s="704" t="s">
        <v>821</v>
      </c>
      <c r="D2781" s="704" t="s">
        <v>822</v>
      </c>
      <c r="E2781" s="704" t="s">
        <v>448</v>
      </c>
      <c r="F2781" s="706">
        <v>1.1275301803991817E-4</v>
      </c>
      <c r="G2781" s="705">
        <v>0.15304114882938344</v>
      </c>
    </row>
    <row r="2782" spans="2:7" ht="11.25" hidden="1" customHeight="1" outlineLevel="2" x14ac:dyDescent="0.25">
      <c r="B2782" s="704" t="s">
        <v>684</v>
      </c>
      <c r="C2782" s="704" t="s">
        <v>821</v>
      </c>
      <c r="D2782" s="704" t="s">
        <v>822</v>
      </c>
      <c r="E2782" s="704" t="s">
        <v>448</v>
      </c>
      <c r="F2782" s="706">
        <v>1.4296641266448002E-35</v>
      </c>
      <c r="G2782" s="705">
        <v>1.9649166645629601E-32</v>
      </c>
    </row>
    <row r="2783" spans="2:7" ht="11.25" hidden="1" customHeight="1" outlineLevel="2" x14ac:dyDescent="0.25">
      <c r="B2783" s="704" t="s">
        <v>685</v>
      </c>
      <c r="C2783" s="704" t="s">
        <v>821</v>
      </c>
      <c r="D2783" s="704" t="s">
        <v>822</v>
      </c>
      <c r="E2783" s="704" t="s">
        <v>448</v>
      </c>
      <c r="F2783" s="706">
        <v>1.1461768754320322E-2</v>
      </c>
      <c r="G2783" s="705">
        <v>15.557212689125251</v>
      </c>
    </row>
    <row r="2784" spans="2:7" ht="11.25" hidden="1" customHeight="1" outlineLevel="2" x14ac:dyDescent="0.25">
      <c r="B2784" s="704" t="s">
        <v>686</v>
      </c>
      <c r="C2784" s="704" t="s">
        <v>821</v>
      </c>
      <c r="D2784" s="704" t="s">
        <v>822</v>
      </c>
      <c r="E2784" s="704" t="s">
        <v>448</v>
      </c>
      <c r="F2784" s="706">
        <v>6.2397171240423572E-4</v>
      </c>
      <c r="G2784" s="705">
        <v>0.83877504476520182</v>
      </c>
    </row>
    <row r="2785" spans="2:7" ht="11.25" hidden="1" customHeight="1" outlineLevel="2" x14ac:dyDescent="0.25">
      <c r="B2785" s="704" t="s">
        <v>687</v>
      </c>
      <c r="C2785" s="704" t="s">
        <v>821</v>
      </c>
      <c r="D2785" s="704" t="s">
        <v>822</v>
      </c>
      <c r="E2785" s="704" t="s">
        <v>448</v>
      </c>
      <c r="F2785" s="705">
        <v>4.998382277272298E-3</v>
      </c>
      <c r="G2785" s="705">
        <v>6.750932011967139</v>
      </c>
    </row>
    <row r="2786" spans="2:7" ht="11.25" hidden="1" customHeight="1" outlineLevel="2" x14ac:dyDescent="0.25">
      <c r="B2786" s="704" t="s">
        <v>688</v>
      </c>
      <c r="C2786" s="704" t="s">
        <v>821</v>
      </c>
      <c r="D2786" s="704" t="s">
        <v>822</v>
      </c>
      <c r="E2786" s="704" t="s">
        <v>448</v>
      </c>
      <c r="F2786" s="705">
        <v>6.2766772549652473E-3</v>
      </c>
      <c r="G2786" s="705">
        <v>8.4774355555770704</v>
      </c>
    </row>
    <row r="2787" spans="2:7" ht="11.25" hidden="1" customHeight="1" outlineLevel="2" x14ac:dyDescent="0.25">
      <c r="B2787" s="704" t="s">
        <v>689</v>
      </c>
      <c r="C2787" s="704" t="s">
        <v>821</v>
      </c>
      <c r="D2787" s="704" t="s">
        <v>822</v>
      </c>
      <c r="E2787" s="704" t="s">
        <v>448</v>
      </c>
      <c r="F2787" s="706">
        <v>1.8024355299800121E-33</v>
      </c>
      <c r="G2787" s="705">
        <v>2.5055075951912425E-30</v>
      </c>
    </row>
    <row r="2788" spans="2:7" ht="11.25" hidden="1" customHeight="1" outlineLevel="2" x14ac:dyDescent="0.25">
      <c r="B2788" s="704" t="s">
        <v>690</v>
      </c>
      <c r="C2788" s="704" t="s">
        <v>821</v>
      </c>
      <c r="D2788" s="704" t="s">
        <v>822</v>
      </c>
      <c r="E2788" s="704" t="s">
        <v>448</v>
      </c>
      <c r="F2788" s="705">
        <v>7.4628050578419269E-3</v>
      </c>
      <c r="G2788" s="705">
        <v>10.129353351378866</v>
      </c>
    </row>
    <row r="2789" spans="2:7" ht="11.25" hidden="1" customHeight="1" outlineLevel="2" x14ac:dyDescent="0.25">
      <c r="B2789" s="704" t="s">
        <v>691</v>
      </c>
      <c r="C2789" s="704" t="s">
        <v>821</v>
      </c>
      <c r="D2789" s="704" t="s">
        <v>822</v>
      </c>
      <c r="E2789" s="704" t="s">
        <v>448</v>
      </c>
      <c r="F2789" s="705">
        <v>4.8833825772056014E-3</v>
      </c>
      <c r="G2789" s="705">
        <v>6.628275164213294</v>
      </c>
    </row>
    <row r="2790" spans="2:7" ht="11.25" hidden="1" customHeight="1" outlineLevel="2" x14ac:dyDescent="0.25">
      <c r="B2790" s="704" t="s">
        <v>692</v>
      </c>
      <c r="C2790" s="704" t="s">
        <v>821</v>
      </c>
      <c r="D2790" s="704" t="s">
        <v>822</v>
      </c>
      <c r="E2790" s="704" t="s">
        <v>448</v>
      </c>
      <c r="F2790" s="705">
        <v>1.009667838308136E-34</v>
      </c>
      <c r="G2790" s="705">
        <v>1.3798314681467367E-31</v>
      </c>
    </row>
    <row r="2791" spans="2:7" ht="11.25" hidden="1" customHeight="1" outlineLevel="2" x14ac:dyDescent="0.25">
      <c r="B2791" s="704" t="s">
        <v>693</v>
      </c>
      <c r="C2791" s="704" t="s">
        <v>821</v>
      </c>
      <c r="D2791" s="704" t="s">
        <v>822</v>
      </c>
      <c r="E2791" s="704" t="s">
        <v>448</v>
      </c>
      <c r="F2791" s="705">
        <v>3.5648020414616141E-36</v>
      </c>
      <c r="G2791" s="705">
        <v>4.8941940554863511E-33</v>
      </c>
    </row>
    <row r="2792" spans="2:7" ht="11.25" hidden="1" customHeight="1" outlineLevel="2" x14ac:dyDescent="0.25">
      <c r="B2792" s="704" t="s">
        <v>694</v>
      </c>
      <c r="C2792" s="704" t="s">
        <v>821</v>
      </c>
      <c r="D2792" s="704" t="s">
        <v>822</v>
      </c>
      <c r="E2792" s="704" t="s">
        <v>448</v>
      </c>
      <c r="F2792" s="705">
        <v>5.7322654762894346E-5</v>
      </c>
      <c r="G2792" s="705">
        <v>7.7888305189482809E-2</v>
      </c>
    </row>
    <row r="2793" spans="2:7" ht="11.25" hidden="1" customHeight="1" outlineLevel="2" x14ac:dyDescent="0.25">
      <c r="B2793" s="704" t="s">
        <v>695</v>
      </c>
      <c r="C2793" s="704" t="s">
        <v>821</v>
      </c>
      <c r="D2793" s="704" t="s">
        <v>822</v>
      </c>
      <c r="E2793" s="704" t="s">
        <v>448</v>
      </c>
      <c r="F2793" s="705">
        <v>1.4296641266448002E-35</v>
      </c>
      <c r="G2793" s="705">
        <v>1.9649166645629601E-32</v>
      </c>
    </row>
    <row r="2794" spans="2:7" ht="11.25" hidden="1" customHeight="1" outlineLevel="2" x14ac:dyDescent="0.25">
      <c r="B2794" s="704" t="s">
        <v>696</v>
      </c>
      <c r="C2794" s="704" t="s">
        <v>821</v>
      </c>
      <c r="D2794" s="704" t="s">
        <v>822</v>
      </c>
      <c r="E2794" s="704" t="s">
        <v>448</v>
      </c>
      <c r="F2794" s="705">
        <v>5.8245920189223307E-3</v>
      </c>
      <c r="G2794" s="705">
        <v>7.8296999392866011</v>
      </c>
    </row>
    <row r="2795" spans="2:7" ht="11.25" hidden="1" customHeight="1" outlineLevel="2" x14ac:dyDescent="0.25">
      <c r="B2795" s="704" t="s">
        <v>697</v>
      </c>
      <c r="C2795" s="704" t="s">
        <v>821</v>
      </c>
      <c r="D2795" s="704" t="s">
        <v>822</v>
      </c>
      <c r="E2795" s="704" t="s">
        <v>448</v>
      </c>
      <c r="F2795" s="705">
        <v>1.2418145592836338E-4</v>
      </c>
      <c r="G2795" s="705">
        <v>0.16873380542616212</v>
      </c>
    </row>
    <row r="2796" spans="2:7" ht="11.25" hidden="1" customHeight="1" outlineLevel="2" x14ac:dyDescent="0.25">
      <c r="B2796" s="704" t="s">
        <v>698</v>
      </c>
      <c r="C2796" s="704" t="s">
        <v>821</v>
      </c>
      <c r="D2796" s="704" t="s">
        <v>822</v>
      </c>
      <c r="E2796" s="704" t="s">
        <v>448</v>
      </c>
      <c r="F2796" s="705">
        <v>5.7322654772868091E-5</v>
      </c>
      <c r="G2796" s="705">
        <v>7.7888305185286236E-2</v>
      </c>
    </row>
    <row r="2797" spans="2:7" ht="11.25" hidden="1" customHeight="1" outlineLevel="2" x14ac:dyDescent="0.25">
      <c r="B2797" s="704" t="s">
        <v>699</v>
      </c>
      <c r="C2797" s="704" t="s">
        <v>821</v>
      </c>
      <c r="D2797" s="704" t="s">
        <v>822</v>
      </c>
      <c r="E2797" s="704" t="s">
        <v>448</v>
      </c>
      <c r="F2797" s="705">
        <v>4.8649242329520974E-3</v>
      </c>
      <c r="G2797" s="705">
        <v>6.5706869497414058</v>
      </c>
    </row>
    <row r="2798" spans="2:7" ht="11.25" hidden="1" customHeight="1" outlineLevel="1" x14ac:dyDescent="0.25">
      <c r="B2798" s="704"/>
      <c r="C2798" s="704"/>
      <c r="D2798" s="704"/>
      <c r="E2798" s="707" t="s">
        <v>662</v>
      </c>
      <c r="F2798" s="705">
        <f t="shared" ref="F2798:G2798" si="9">SUBTOTAL(9,F330:F2797)</f>
        <v>1218.0977114867603</v>
      </c>
      <c r="G2798" s="705">
        <f t="shared" si="9"/>
        <v>1194330.697541289</v>
      </c>
    </row>
    <row r="2799" spans="2:7" ht="11.25" hidden="1" customHeight="1" outlineLevel="2" x14ac:dyDescent="0.25">
      <c r="B2799" s="704" t="s">
        <v>673</v>
      </c>
      <c r="C2799" s="704" t="s">
        <v>823</v>
      </c>
      <c r="D2799" s="704" t="s">
        <v>715</v>
      </c>
      <c r="E2799" s="704" t="s">
        <v>824</v>
      </c>
      <c r="F2799" s="705">
        <v>4.2912131950305875E-3</v>
      </c>
      <c r="G2799" s="705">
        <v>7.1692385698538557</v>
      </c>
    </row>
    <row r="2800" spans="2:7" ht="11.25" hidden="1" customHeight="1" outlineLevel="2" x14ac:dyDescent="0.25">
      <c r="B2800" s="704" t="s">
        <v>677</v>
      </c>
      <c r="C2800" s="704" t="s">
        <v>823</v>
      </c>
      <c r="D2800" s="704" t="s">
        <v>715</v>
      </c>
      <c r="E2800" s="704" t="s">
        <v>824</v>
      </c>
      <c r="F2800" s="705">
        <v>8.5824269271227577E-3</v>
      </c>
      <c r="G2800" s="705">
        <v>14.338478267024716</v>
      </c>
    </row>
    <row r="2801" spans="2:7" ht="11.25" hidden="1" customHeight="1" outlineLevel="2" x14ac:dyDescent="0.25">
      <c r="B2801" s="704" t="s">
        <v>678</v>
      </c>
      <c r="C2801" s="704" t="s">
        <v>823</v>
      </c>
      <c r="D2801" s="704" t="s">
        <v>715</v>
      </c>
      <c r="E2801" s="704" t="s">
        <v>824</v>
      </c>
      <c r="F2801" s="705">
        <v>4.2912131950305875E-3</v>
      </c>
      <c r="G2801" s="705">
        <v>7.1692385698538557</v>
      </c>
    </row>
    <row r="2802" spans="2:7" ht="11.25" hidden="1" customHeight="1" outlineLevel="2" x14ac:dyDescent="0.25">
      <c r="B2802" s="704" t="s">
        <v>679</v>
      </c>
      <c r="C2802" s="704" t="s">
        <v>823</v>
      </c>
      <c r="D2802" s="704" t="s">
        <v>715</v>
      </c>
      <c r="E2802" s="704" t="s">
        <v>824</v>
      </c>
      <c r="F2802" s="705">
        <v>1.9010908880696712E-35</v>
      </c>
      <c r="G2802" s="705">
        <v>3.1761120668295189E-32</v>
      </c>
    </row>
    <row r="2803" spans="2:7" ht="11.25" hidden="1" customHeight="1" outlineLevel="2" x14ac:dyDescent="0.25">
      <c r="B2803" s="704" t="s">
        <v>680</v>
      </c>
      <c r="C2803" s="704" t="s">
        <v>823</v>
      </c>
      <c r="D2803" s="704" t="s">
        <v>715</v>
      </c>
      <c r="E2803" s="704" t="s">
        <v>824</v>
      </c>
      <c r="F2803" s="705">
        <v>4.2912131950305875E-3</v>
      </c>
      <c r="G2803" s="705">
        <v>7.1692385698538557</v>
      </c>
    </row>
    <row r="2804" spans="2:7" ht="11.25" hidden="1" customHeight="1" outlineLevel="2" x14ac:dyDescent="0.25">
      <c r="B2804" s="704" t="s">
        <v>681</v>
      </c>
      <c r="C2804" s="704" t="s">
        <v>823</v>
      </c>
      <c r="D2804" s="704" t="s">
        <v>715</v>
      </c>
      <c r="E2804" s="704" t="s">
        <v>824</v>
      </c>
      <c r="F2804" s="705">
        <v>4.2912131950305875E-3</v>
      </c>
      <c r="G2804" s="705">
        <v>7.1692385698538557</v>
      </c>
    </row>
    <row r="2805" spans="2:7" ht="11.25" hidden="1" customHeight="1" outlineLevel="2" x14ac:dyDescent="0.25">
      <c r="B2805" s="704" t="s">
        <v>682</v>
      </c>
      <c r="C2805" s="704" t="s">
        <v>823</v>
      </c>
      <c r="D2805" s="704" t="s">
        <v>715</v>
      </c>
      <c r="E2805" s="704" t="s">
        <v>824</v>
      </c>
      <c r="F2805" s="705">
        <v>1.1443235182431401E-2</v>
      </c>
      <c r="G2805" s="705">
        <v>19.117966778259756</v>
      </c>
    </row>
    <row r="2806" spans="2:7" ht="11.25" hidden="1" customHeight="1" outlineLevel="2" x14ac:dyDescent="0.25">
      <c r="B2806" s="704" t="s">
        <v>683</v>
      </c>
      <c r="C2806" s="704" t="s">
        <v>823</v>
      </c>
      <c r="D2806" s="704" t="s">
        <v>715</v>
      </c>
      <c r="E2806" s="704" t="s">
        <v>824</v>
      </c>
      <c r="F2806" s="705">
        <v>4.2912131950305875E-3</v>
      </c>
      <c r="G2806" s="705">
        <v>7.1692385698538557</v>
      </c>
    </row>
    <row r="2807" spans="2:7" ht="11.25" hidden="1" customHeight="1" outlineLevel="2" x14ac:dyDescent="0.25">
      <c r="B2807" s="704" t="s">
        <v>684</v>
      </c>
      <c r="C2807" s="704" t="s">
        <v>823</v>
      </c>
      <c r="D2807" s="704" t="s">
        <v>715</v>
      </c>
      <c r="E2807" s="704" t="s">
        <v>824</v>
      </c>
      <c r="F2807" s="705">
        <v>1.4304042678230688E-3</v>
      </c>
      <c r="G2807" s="705">
        <v>2.389745619463544</v>
      </c>
    </row>
    <row r="2808" spans="2:7" ht="11.25" hidden="1" customHeight="1" outlineLevel="2" x14ac:dyDescent="0.25">
      <c r="B2808" s="704" t="s">
        <v>685</v>
      </c>
      <c r="C2808" s="704" t="s">
        <v>823</v>
      </c>
      <c r="D2808" s="704" t="s">
        <v>715</v>
      </c>
      <c r="E2808" s="704" t="s">
        <v>824</v>
      </c>
      <c r="F2808" s="705">
        <v>4.2912131950305875E-3</v>
      </c>
      <c r="G2808" s="705">
        <v>7.1692385698538557</v>
      </c>
    </row>
    <row r="2809" spans="2:7" ht="11.25" hidden="1" customHeight="1" outlineLevel="2" x14ac:dyDescent="0.25">
      <c r="B2809" s="704" t="s">
        <v>686</v>
      </c>
      <c r="C2809" s="704" t="s">
        <v>823</v>
      </c>
      <c r="D2809" s="704" t="s">
        <v>715</v>
      </c>
      <c r="E2809" s="704" t="s">
        <v>824</v>
      </c>
      <c r="F2809" s="706">
        <v>4.2912131950305875E-3</v>
      </c>
      <c r="G2809" s="705">
        <v>7.1692385698538557</v>
      </c>
    </row>
    <row r="2810" spans="2:7" ht="11.25" hidden="1" customHeight="1" outlineLevel="2" x14ac:dyDescent="0.25">
      <c r="B2810" s="704" t="s">
        <v>687</v>
      </c>
      <c r="C2810" s="704" t="s">
        <v>823</v>
      </c>
      <c r="D2810" s="704" t="s">
        <v>715</v>
      </c>
      <c r="E2810" s="704" t="s">
        <v>824</v>
      </c>
      <c r="F2810" s="706">
        <v>7.1520215805905268E-3</v>
      </c>
      <c r="G2810" s="705">
        <v>11.948725799974781</v>
      </c>
    </row>
    <row r="2811" spans="2:7" ht="11.25" hidden="1" customHeight="1" outlineLevel="2" x14ac:dyDescent="0.25">
      <c r="B2811" s="704" t="s">
        <v>688</v>
      </c>
      <c r="C2811" s="704" t="s">
        <v>823</v>
      </c>
      <c r="D2811" s="704" t="s">
        <v>715</v>
      </c>
      <c r="E2811" s="704" t="s">
        <v>824</v>
      </c>
      <c r="F2811" s="706">
        <v>1.5221035770581089E-3</v>
      </c>
      <c r="G2811" s="705">
        <v>2.542945650020723</v>
      </c>
    </row>
    <row r="2812" spans="2:7" ht="11.25" hidden="1" customHeight="1" outlineLevel="2" x14ac:dyDescent="0.25">
      <c r="B2812" s="704" t="s">
        <v>689</v>
      </c>
      <c r="C2812" s="704" t="s">
        <v>823</v>
      </c>
      <c r="D2812" s="704" t="s">
        <v>715</v>
      </c>
      <c r="E2812" s="704" t="s">
        <v>824</v>
      </c>
      <c r="F2812" s="706">
        <v>6.5857109872361061E-3</v>
      </c>
      <c r="G2812" s="705">
        <v>11.002608735574404</v>
      </c>
    </row>
    <row r="2813" spans="2:7" ht="11.25" hidden="1" customHeight="1" outlineLevel="2" x14ac:dyDescent="0.25">
      <c r="B2813" s="704" t="s">
        <v>690</v>
      </c>
      <c r="C2813" s="704" t="s">
        <v>823</v>
      </c>
      <c r="D2813" s="704" t="s">
        <v>715</v>
      </c>
      <c r="E2813" s="704" t="s">
        <v>824</v>
      </c>
      <c r="F2813" s="706">
        <v>8.5824269271227577E-3</v>
      </c>
      <c r="G2813" s="705">
        <v>14.338478267024716</v>
      </c>
    </row>
    <row r="2814" spans="2:7" ht="11.25" hidden="1" customHeight="1" outlineLevel="2" x14ac:dyDescent="0.25">
      <c r="B2814" s="704" t="s">
        <v>691</v>
      </c>
      <c r="C2814" s="704" t="s">
        <v>823</v>
      </c>
      <c r="D2814" s="704" t="s">
        <v>715</v>
      </c>
      <c r="E2814" s="704" t="s">
        <v>824</v>
      </c>
      <c r="F2814" s="706">
        <v>4.2912131951980698E-3</v>
      </c>
      <c r="G2814" s="705">
        <v>7.169238569826927</v>
      </c>
    </row>
    <row r="2815" spans="2:7" ht="11.25" hidden="1" customHeight="1" outlineLevel="2" x14ac:dyDescent="0.25">
      <c r="B2815" s="704" t="s">
        <v>692</v>
      </c>
      <c r="C2815" s="704" t="s">
        <v>823</v>
      </c>
      <c r="D2815" s="704" t="s">
        <v>715</v>
      </c>
      <c r="E2815" s="704" t="s">
        <v>824</v>
      </c>
      <c r="F2815" s="705">
        <v>2.8608091219981288E-3</v>
      </c>
      <c r="G2815" s="705">
        <v>4.7794929595290334</v>
      </c>
    </row>
    <row r="2816" spans="2:7" ht="11.25" hidden="1" customHeight="1" outlineLevel="2" x14ac:dyDescent="0.25">
      <c r="B2816" s="704" t="s">
        <v>693</v>
      </c>
      <c r="C2816" s="704" t="s">
        <v>823</v>
      </c>
      <c r="D2816" s="704" t="s">
        <v>715</v>
      </c>
      <c r="E2816" s="704" t="s">
        <v>824</v>
      </c>
      <c r="F2816" s="705">
        <v>2.8608091219981336E-3</v>
      </c>
      <c r="G2816" s="705">
        <v>4.7794929595290441</v>
      </c>
    </row>
    <row r="2817" spans="2:7" ht="11.25" hidden="1" customHeight="1" outlineLevel="2" x14ac:dyDescent="0.25">
      <c r="B2817" s="704" t="s">
        <v>694</v>
      </c>
      <c r="C2817" s="704" t="s">
        <v>823</v>
      </c>
      <c r="D2817" s="704" t="s">
        <v>715</v>
      </c>
      <c r="E2817" s="704" t="s">
        <v>824</v>
      </c>
      <c r="F2817" s="705">
        <v>1.9010908880696712E-35</v>
      </c>
      <c r="G2817" s="705">
        <v>3.1761120668295189E-32</v>
      </c>
    </row>
    <row r="2818" spans="2:7" ht="11.25" hidden="1" customHeight="1" outlineLevel="2" x14ac:dyDescent="0.25">
      <c r="B2818" s="704" t="s">
        <v>695</v>
      </c>
      <c r="C2818" s="704" t="s">
        <v>823</v>
      </c>
      <c r="D2818" s="704" t="s">
        <v>715</v>
      </c>
      <c r="E2818" s="704" t="s">
        <v>824</v>
      </c>
      <c r="F2818" s="705">
        <v>1.9010908880696712E-35</v>
      </c>
      <c r="G2818" s="705">
        <v>3.1761120668295189E-32</v>
      </c>
    </row>
    <row r="2819" spans="2:7" ht="11.25" hidden="1" customHeight="1" outlineLevel="2" x14ac:dyDescent="0.25">
      <c r="B2819" s="704" t="s">
        <v>696</v>
      </c>
      <c r="C2819" s="704" t="s">
        <v>823</v>
      </c>
      <c r="D2819" s="704" t="s">
        <v>715</v>
      </c>
      <c r="E2819" s="704" t="s">
        <v>824</v>
      </c>
      <c r="F2819" s="705">
        <v>4.2912131950305875E-3</v>
      </c>
      <c r="G2819" s="705">
        <v>7.1692385698538557</v>
      </c>
    </row>
    <row r="2820" spans="2:7" ht="11.25" hidden="1" customHeight="1" outlineLevel="2" x14ac:dyDescent="0.25">
      <c r="B2820" s="704" t="s">
        <v>697</v>
      </c>
      <c r="C2820" s="704" t="s">
        <v>823</v>
      </c>
      <c r="D2820" s="704" t="s">
        <v>715</v>
      </c>
      <c r="E2820" s="704" t="s">
        <v>824</v>
      </c>
      <c r="F2820" s="705">
        <v>4.2912131951980698E-3</v>
      </c>
      <c r="G2820" s="705">
        <v>7.169238569826927</v>
      </c>
    </row>
    <row r="2821" spans="2:7" ht="11.25" hidden="1" customHeight="1" outlineLevel="2" x14ac:dyDescent="0.25">
      <c r="B2821" s="704" t="s">
        <v>698</v>
      </c>
      <c r="C2821" s="704" t="s">
        <v>823</v>
      </c>
      <c r="D2821" s="704" t="s">
        <v>715</v>
      </c>
      <c r="E2821" s="704" t="s">
        <v>824</v>
      </c>
      <c r="F2821" s="705">
        <v>5.7216187382967583E-3</v>
      </c>
      <c r="G2821" s="705">
        <v>9.5589829727909787</v>
      </c>
    </row>
    <row r="2822" spans="2:7" ht="11.25" hidden="1" customHeight="1" outlineLevel="2" x14ac:dyDescent="0.25">
      <c r="B2822" s="704" t="s">
        <v>699</v>
      </c>
      <c r="C2822" s="704" t="s">
        <v>823</v>
      </c>
      <c r="D2822" s="704" t="s">
        <v>715</v>
      </c>
      <c r="E2822" s="704" t="s">
        <v>824</v>
      </c>
      <c r="F2822" s="705">
        <v>1.9010908880696712E-35</v>
      </c>
      <c r="G2822" s="705">
        <v>3.1761120668295189E-32</v>
      </c>
    </row>
    <row r="2823" spans="2:7" ht="11.25" hidden="1" customHeight="1" outlineLevel="2" x14ac:dyDescent="0.25">
      <c r="B2823" s="704" t="s">
        <v>673</v>
      </c>
      <c r="C2823" s="704" t="s">
        <v>825</v>
      </c>
      <c r="D2823" s="704" t="s">
        <v>675</v>
      </c>
      <c r="E2823" s="704" t="s">
        <v>824</v>
      </c>
      <c r="F2823" s="705">
        <v>1.4724494478168359E-4</v>
      </c>
      <c r="G2823" s="705">
        <v>0.69717689105758507</v>
      </c>
    </row>
    <row r="2824" spans="2:7" ht="11.25" hidden="1" customHeight="1" outlineLevel="2" x14ac:dyDescent="0.25">
      <c r="B2824" s="704" t="s">
        <v>677</v>
      </c>
      <c r="C2824" s="704" t="s">
        <v>825</v>
      </c>
      <c r="D2824" s="704" t="s">
        <v>675</v>
      </c>
      <c r="E2824" s="704" t="s">
        <v>824</v>
      </c>
      <c r="F2824" s="705">
        <v>2.4435071069017823E-3</v>
      </c>
      <c r="G2824" s="705">
        <v>11.569540446650805</v>
      </c>
    </row>
    <row r="2825" spans="2:7" ht="11.25" hidden="1" customHeight="1" outlineLevel="2" x14ac:dyDescent="0.25">
      <c r="B2825" s="704" t="s">
        <v>678</v>
      </c>
      <c r="C2825" s="704" t="s">
        <v>825</v>
      </c>
      <c r="D2825" s="704" t="s">
        <v>675</v>
      </c>
      <c r="E2825" s="704" t="s">
        <v>824</v>
      </c>
      <c r="F2825" s="705">
        <v>5.6599289147902312E-3</v>
      </c>
      <c r="G2825" s="705">
        <v>26.798697969955285</v>
      </c>
    </row>
    <row r="2826" spans="2:7" ht="11.25" hidden="1" customHeight="1" outlineLevel="2" x14ac:dyDescent="0.25">
      <c r="B2826" s="704" t="s">
        <v>679</v>
      </c>
      <c r="C2826" s="704" t="s">
        <v>825</v>
      </c>
      <c r="D2826" s="704" t="s">
        <v>675</v>
      </c>
      <c r="E2826" s="704" t="s">
        <v>824</v>
      </c>
      <c r="F2826" s="705">
        <v>4.5931528132420023E-4</v>
      </c>
      <c r="G2826" s="705">
        <v>2.1747716882966084</v>
      </c>
    </row>
    <row r="2827" spans="2:7" ht="11.25" hidden="1" customHeight="1" outlineLevel="2" x14ac:dyDescent="0.25">
      <c r="B2827" s="704" t="s">
        <v>680</v>
      </c>
      <c r="C2827" s="704" t="s">
        <v>825</v>
      </c>
      <c r="D2827" s="704" t="s">
        <v>675</v>
      </c>
      <c r="E2827" s="704" t="s">
        <v>824</v>
      </c>
      <c r="F2827" s="705">
        <v>8.5132778316998874E-5</v>
      </c>
      <c r="G2827" s="705">
        <v>0.40308772513238816</v>
      </c>
    </row>
    <row r="2828" spans="2:7" ht="11.25" hidden="1" customHeight="1" outlineLevel="2" x14ac:dyDescent="0.25">
      <c r="B2828" s="704" t="s">
        <v>681</v>
      </c>
      <c r="C2828" s="704" t="s">
        <v>825</v>
      </c>
      <c r="D2828" s="704" t="s">
        <v>675</v>
      </c>
      <c r="E2828" s="704" t="s">
        <v>824</v>
      </c>
      <c r="F2828" s="705">
        <v>7.1806796638343917E-4</v>
      </c>
      <c r="G2828" s="705">
        <v>3.3999168930975436</v>
      </c>
    </row>
    <row r="2829" spans="2:7" ht="11.25" hidden="1" customHeight="1" outlineLevel="2" x14ac:dyDescent="0.25">
      <c r="B2829" s="704" t="s">
        <v>682</v>
      </c>
      <c r="C2829" s="704" t="s">
        <v>825</v>
      </c>
      <c r="D2829" s="704" t="s">
        <v>675</v>
      </c>
      <c r="E2829" s="704" t="s">
        <v>824</v>
      </c>
      <c r="F2829" s="705">
        <v>6.3035370887999924E-4</v>
      </c>
      <c r="G2829" s="705">
        <v>2.9846060372141054</v>
      </c>
    </row>
    <row r="2830" spans="2:7" ht="11.25" hidden="1" customHeight="1" outlineLevel="2" x14ac:dyDescent="0.25">
      <c r="B2830" s="704" t="s">
        <v>683</v>
      </c>
      <c r="C2830" s="704" t="s">
        <v>825</v>
      </c>
      <c r="D2830" s="704" t="s">
        <v>675</v>
      </c>
      <c r="E2830" s="704" t="s">
        <v>824</v>
      </c>
      <c r="F2830" s="705">
        <v>1.0468685675725138E-3</v>
      </c>
      <c r="G2830" s="705">
        <v>4.9567263154733725</v>
      </c>
    </row>
    <row r="2831" spans="2:7" ht="11.25" hidden="1" customHeight="1" outlineLevel="2" x14ac:dyDescent="0.25">
      <c r="B2831" s="704" t="s">
        <v>684</v>
      </c>
      <c r="C2831" s="704" t="s">
        <v>825</v>
      </c>
      <c r="D2831" s="704" t="s">
        <v>675</v>
      </c>
      <c r="E2831" s="704" t="s">
        <v>824</v>
      </c>
      <c r="F2831" s="705">
        <v>1.3664726924562321E-4</v>
      </c>
      <c r="G2831" s="705">
        <v>0.64699937685515652</v>
      </c>
    </row>
    <row r="2832" spans="2:7" ht="11.25" hidden="1" customHeight="1" outlineLevel="2" x14ac:dyDescent="0.25">
      <c r="B2832" s="704" t="s">
        <v>685</v>
      </c>
      <c r="C2832" s="704" t="s">
        <v>825</v>
      </c>
      <c r="D2832" s="704" t="s">
        <v>675</v>
      </c>
      <c r="E2832" s="704" t="s">
        <v>824</v>
      </c>
      <c r="F2832" s="705">
        <v>1.2563388776244007E-3</v>
      </c>
      <c r="G2832" s="705">
        <v>5.9485304918367419</v>
      </c>
    </row>
    <row r="2833" spans="2:7" ht="11.25" hidden="1" customHeight="1" outlineLevel="2" x14ac:dyDescent="0.25">
      <c r="B2833" s="704" t="s">
        <v>686</v>
      </c>
      <c r="C2833" s="704" t="s">
        <v>825</v>
      </c>
      <c r="D2833" s="704" t="s">
        <v>675</v>
      </c>
      <c r="E2833" s="704" t="s">
        <v>824</v>
      </c>
      <c r="F2833" s="705">
        <v>2.9537619237653725E-4</v>
      </c>
      <c r="G2833" s="705">
        <v>1.3985514635914611</v>
      </c>
    </row>
    <row r="2834" spans="2:7" ht="11.25" hidden="1" customHeight="1" outlineLevel="2" x14ac:dyDescent="0.25">
      <c r="B2834" s="704" t="s">
        <v>687</v>
      </c>
      <c r="C2834" s="704" t="s">
        <v>825</v>
      </c>
      <c r="D2834" s="704" t="s">
        <v>675</v>
      </c>
      <c r="E2834" s="704" t="s">
        <v>824</v>
      </c>
      <c r="F2834" s="705">
        <v>1.5130262354407058E-3</v>
      </c>
      <c r="G2834" s="705">
        <v>7.1638924642857136</v>
      </c>
    </row>
    <row r="2835" spans="2:7" ht="11.25" hidden="1" customHeight="1" outlineLevel="2" x14ac:dyDescent="0.25">
      <c r="B2835" s="704" t="s">
        <v>688</v>
      </c>
      <c r="C2835" s="704" t="s">
        <v>825</v>
      </c>
      <c r="D2835" s="704" t="s">
        <v>675</v>
      </c>
      <c r="E2835" s="704" t="s">
        <v>824</v>
      </c>
      <c r="F2835" s="705">
        <v>1.0860266367174324E-3</v>
      </c>
      <c r="G2835" s="705">
        <v>5.1421316035408235</v>
      </c>
    </row>
    <row r="2836" spans="2:7" ht="11.25" hidden="1" customHeight="1" outlineLevel="2" x14ac:dyDescent="0.25">
      <c r="B2836" s="704" t="s">
        <v>689</v>
      </c>
      <c r="C2836" s="704" t="s">
        <v>825</v>
      </c>
      <c r="D2836" s="704" t="s">
        <v>675</v>
      </c>
      <c r="E2836" s="704" t="s">
        <v>824</v>
      </c>
      <c r="F2836" s="705">
        <v>1.6056764232426197E-4</v>
      </c>
      <c r="G2836" s="705">
        <v>0.7602573989089717</v>
      </c>
    </row>
    <row r="2837" spans="2:7" ht="11.25" hidden="1" customHeight="1" outlineLevel="2" x14ac:dyDescent="0.25">
      <c r="B2837" s="704" t="s">
        <v>690</v>
      </c>
      <c r="C2837" s="704" t="s">
        <v>825</v>
      </c>
      <c r="D2837" s="704" t="s">
        <v>675</v>
      </c>
      <c r="E2837" s="704" t="s">
        <v>824</v>
      </c>
      <c r="F2837" s="705">
        <v>3.5351632835687479E-3</v>
      </c>
      <c r="G2837" s="705">
        <v>16.738345831867786</v>
      </c>
    </row>
    <row r="2838" spans="2:7" ht="11.25" hidden="1" customHeight="1" outlineLevel="2" x14ac:dyDescent="0.25">
      <c r="B2838" s="704" t="s">
        <v>691</v>
      </c>
      <c r="C2838" s="704" t="s">
        <v>825</v>
      </c>
      <c r="D2838" s="704" t="s">
        <v>675</v>
      </c>
      <c r="E2838" s="704" t="s">
        <v>824</v>
      </c>
      <c r="F2838" s="705">
        <v>4.0372676904417981E-3</v>
      </c>
      <c r="G2838" s="705">
        <v>19.115701903041526</v>
      </c>
    </row>
    <row r="2839" spans="2:7" ht="11.25" hidden="1" customHeight="1" outlineLevel="2" x14ac:dyDescent="0.25">
      <c r="B2839" s="704" t="s">
        <v>692</v>
      </c>
      <c r="C2839" s="704" t="s">
        <v>825</v>
      </c>
      <c r="D2839" s="704" t="s">
        <v>675</v>
      </c>
      <c r="E2839" s="704" t="s">
        <v>824</v>
      </c>
      <c r="F2839" s="705">
        <v>2.3608933797217741E-4</v>
      </c>
      <c r="G2839" s="705">
        <v>1.1178389158044668</v>
      </c>
    </row>
    <row r="2840" spans="2:7" ht="11.25" hidden="1" customHeight="1" outlineLevel="2" x14ac:dyDescent="0.25">
      <c r="B2840" s="704" t="s">
        <v>693</v>
      </c>
      <c r="C2840" s="704" t="s">
        <v>825</v>
      </c>
      <c r="D2840" s="704" t="s">
        <v>675</v>
      </c>
      <c r="E2840" s="704" t="s">
        <v>824</v>
      </c>
      <c r="F2840" s="705">
        <v>5.8932585297641696E-4</v>
      </c>
      <c r="G2840" s="705">
        <v>2.7903471672134463</v>
      </c>
    </row>
    <row r="2841" spans="2:7" ht="11.25" hidden="1" customHeight="1" outlineLevel="2" x14ac:dyDescent="0.25">
      <c r="B2841" s="704" t="s">
        <v>694</v>
      </c>
      <c r="C2841" s="704" t="s">
        <v>825</v>
      </c>
      <c r="D2841" s="704" t="s">
        <v>675</v>
      </c>
      <c r="E2841" s="704" t="s">
        <v>824</v>
      </c>
      <c r="F2841" s="705">
        <v>6.607032552082256E-5</v>
      </c>
      <c r="G2841" s="705">
        <v>0.31283075785195441</v>
      </c>
    </row>
    <row r="2842" spans="2:7" ht="11.25" hidden="1" customHeight="1" outlineLevel="2" x14ac:dyDescent="0.25">
      <c r="B2842" s="704" t="s">
        <v>695</v>
      </c>
      <c r="C2842" s="704" t="s">
        <v>825</v>
      </c>
      <c r="D2842" s="704" t="s">
        <v>675</v>
      </c>
      <c r="E2842" s="704" t="s">
        <v>824</v>
      </c>
      <c r="F2842" s="705">
        <v>3.133916607174495E-4</v>
      </c>
      <c r="G2842" s="705">
        <v>1.4838503703926957</v>
      </c>
    </row>
    <row r="2843" spans="2:7" ht="11.25" hidden="1" customHeight="1" outlineLevel="2" x14ac:dyDescent="0.25">
      <c r="B2843" s="704" t="s">
        <v>696</v>
      </c>
      <c r="C2843" s="704" t="s">
        <v>825</v>
      </c>
      <c r="D2843" s="704" t="s">
        <v>675</v>
      </c>
      <c r="E2843" s="704" t="s">
        <v>824</v>
      </c>
      <c r="F2843" s="705">
        <v>7.8302178555353873E-4</v>
      </c>
      <c r="G2843" s="705">
        <v>3.707463470091668</v>
      </c>
    </row>
    <row r="2844" spans="2:7" ht="11.25" hidden="1" customHeight="1" outlineLevel="2" x14ac:dyDescent="0.25">
      <c r="B2844" s="704" t="s">
        <v>697</v>
      </c>
      <c r="C2844" s="704" t="s">
        <v>825</v>
      </c>
      <c r="D2844" s="704" t="s">
        <v>675</v>
      </c>
      <c r="E2844" s="704" t="s">
        <v>824</v>
      </c>
      <c r="F2844" s="705">
        <v>4.2841426433953752E-4</v>
      </c>
      <c r="G2844" s="705">
        <v>2.0284615008197178</v>
      </c>
    </row>
    <row r="2845" spans="2:7" ht="11.25" hidden="1" customHeight="1" outlineLevel="2" x14ac:dyDescent="0.25">
      <c r="B2845" s="704" t="s">
        <v>698</v>
      </c>
      <c r="C2845" s="704" t="s">
        <v>825</v>
      </c>
      <c r="D2845" s="704" t="s">
        <v>675</v>
      </c>
      <c r="E2845" s="704" t="s">
        <v>824</v>
      </c>
      <c r="F2845" s="705">
        <v>4.7043648881658147E-4</v>
      </c>
      <c r="G2845" s="705">
        <v>2.2274284625250695</v>
      </c>
    </row>
    <row r="2846" spans="2:7" ht="11.25" hidden="1" customHeight="1" outlineLevel="2" x14ac:dyDescent="0.25">
      <c r="B2846" s="704" t="s">
        <v>699</v>
      </c>
      <c r="C2846" s="704" t="s">
        <v>825</v>
      </c>
      <c r="D2846" s="704" t="s">
        <v>675</v>
      </c>
      <c r="E2846" s="704" t="s">
        <v>824</v>
      </c>
      <c r="F2846" s="705">
        <v>6.4109261635202507E-35</v>
      </c>
      <c r="G2846" s="705">
        <v>4.5061821783692092E-31</v>
      </c>
    </row>
    <row r="2847" spans="2:7" ht="11.25" hidden="1" customHeight="1" outlineLevel="2" x14ac:dyDescent="0.25">
      <c r="B2847" s="704" t="s">
        <v>673</v>
      </c>
      <c r="C2847" s="704" t="s">
        <v>826</v>
      </c>
      <c r="D2847" s="704" t="s">
        <v>675</v>
      </c>
      <c r="E2847" s="704" t="s">
        <v>824</v>
      </c>
      <c r="F2847" s="705">
        <v>1.0945712378554294E-4</v>
      </c>
      <c r="G2847" s="705">
        <v>1.1699954006757545</v>
      </c>
    </row>
    <row r="2848" spans="2:7" ht="11.25" hidden="1" customHeight="1" outlineLevel="2" x14ac:dyDescent="0.25">
      <c r="B2848" s="704" t="s">
        <v>677</v>
      </c>
      <c r="C2848" s="704" t="s">
        <v>826</v>
      </c>
      <c r="D2848" s="704" t="s">
        <v>675</v>
      </c>
      <c r="E2848" s="704" t="s">
        <v>824</v>
      </c>
      <c r="F2848" s="705">
        <v>1.8164231031035745E-3</v>
      </c>
      <c r="G2848" s="705">
        <v>19.415865343743292</v>
      </c>
    </row>
    <row r="2849" spans="2:7" ht="11.25" hidden="1" customHeight="1" outlineLevel="2" x14ac:dyDescent="0.25">
      <c r="B2849" s="704" t="s">
        <v>678</v>
      </c>
      <c r="C2849" s="704" t="s">
        <v>826</v>
      </c>
      <c r="D2849" s="704" t="s">
        <v>675</v>
      </c>
      <c r="E2849" s="704" t="s">
        <v>824</v>
      </c>
      <c r="F2849" s="705">
        <v>4.2074083354541403E-3</v>
      </c>
      <c r="G2849" s="705">
        <v>44.973264451792168</v>
      </c>
    </row>
    <row r="2850" spans="2:7" ht="11.25" hidden="1" customHeight="1" outlineLevel="2" x14ac:dyDescent="0.25">
      <c r="B2850" s="704" t="s">
        <v>679</v>
      </c>
      <c r="C2850" s="704" t="s">
        <v>826</v>
      </c>
      <c r="D2850" s="704" t="s">
        <v>675</v>
      </c>
      <c r="E2850" s="704" t="s">
        <v>824</v>
      </c>
      <c r="F2850" s="705">
        <v>3.4144008246168357E-4</v>
      </c>
      <c r="G2850" s="705">
        <v>3.6496764829857766</v>
      </c>
    </row>
    <row r="2851" spans="2:7" ht="11.25" hidden="1" customHeight="1" outlineLevel="2" x14ac:dyDescent="0.25">
      <c r="B2851" s="704" t="s">
        <v>680</v>
      </c>
      <c r="C2851" s="704" t="s">
        <v>826</v>
      </c>
      <c r="D2851" s="704" t="s">
        <v>675</v>
      </c>
      <c r="E2851" s="704" t="s">
        <v>824</v>
      </c>
      <c r="F2851" s="705">
        <v>6.3284953510433627E-5</v>
      </c>
      <c r="G2851" s="705">
        <v>0.67645709697436929</v>
      </c>
    </row>
    <row r="2852" spans="2:7" ht="11.25" hidden="1" customHeight="1" outlineLevel="2" x14ac:dyDescent="0.25">
      <c r="B2852" s="704" t="s">
        <v>681</v>
      </c>
      <c r="C2852" s="704" t="s">
        <v>826</v>
      </c>
      <c r="D2852" s="704" t="s">
        <v>675</v>
      </c>
      <c r="E2852" s="704" t="s">
        <v>824</v>
      </c>
      <c r="F2852" s="705">
        <v>5.3378850509563545E-4</v>
      </c>
      <c r="G2852" s="705">
        <v>5.7057012455714418</v>
      </c>
    </row>
    <row r="2853" spans="2:7" ht="11.25" hidden="1" customHeight="1" outlineLevel="2" x14ac:dyDescent="0.25">
      <c r="B2853" s="704" t="s">
        <v>682</v>
      </c>
      <c r="C2853" s="704" t="s">
        <v>826</v>
      </c>
      <c r="D2853" s="704" t="s">
        <v>675</v>
      </c>
      <c r="E2853" s="704" t="s">
        <v>824</v>
      </c>
      <c r="F2853" s="705">
        <v>4.6858459907692665E-4</v>
      </c>
      <c r="G2853" s="705">
        <v>5.0087309989832756</v>
      </c>
    </row>
    <row r="2854" spans="2:7" ht="11.25" hidden="1" customHeight="1" outlineLevel="2" x14ac:dyDescent="0.25">
      <c r="B2854" s="704" t="s">
        <v>683</v>
      </c>
      <c r="C2854" s="704" t="s">
        <v>826</v>
      </c>
      <c r="D2854" s="704" t="s">
        <v>675</v>
      </c>
      <c r="E2854" s="704" t="s">
        <v>824</v>
      </c>
      <c r="F2854" s="705">
        <v>7.7820826848781809E-4</v>
      </c>
      <c r="G2854" s="705">
        <v>8.3183208707594076</v>
      </c>
    </row>
    <row r="2855" spans="2:7" ht="11.25" hidden="1" customHeight="1" outlineLevel="2" x14ac:dyDescent="0.25">
      <c r="B2855" s="704" t="s">
        <v>684</v>
      </c>
      <c r="C2855" s="704" t="s">
        <v>826</v>
      </c>
      <c r="D2855" s="704" t="s">
        <v>675</v>
      </c>
      <c r="E2855" s="704" t="s">
        <v>824</v>
      </c>
      <c r="F2855" s="706">
        <v>1.0157919226015414E-4</v>
      </c>
      <c r="G2855" s="705">
        <v>1.0857866984202986</v>
      </c>
    </row>
    <row r="2856" spans="2:7" ht="11.25" hidden="1" customHeight="1" outlineLevel="2" x14ac:dyDescent="0.25">
      <c r="B2856" s="704" t="s">
        <v>685</v>
      </c>
      <c r="C2856" s="704" t="s">
        <v>826</v>
      </c>
      <c r="D2856" s="704" t="s">
        <v>675</v>
      </c>
      <c r="E2856" s="704" t="s">
        <v>824</v>
      </c>
      <c r="F2856" s="706">
        <v>9.3392202024349721E-4</v>
      </c>
      <c r="G2856" s="705">
        <v>9.9827509121441853</v>
      </c>
    </row>
    <row r="2857" spans="2:7" ht="11.25" hidden="1" customHeight="1" outlineLevel="2" x14ac:dyDescent="0.25">
      <c r="B2857" s="704" t="s">
        <v>686</v>
      </c>
      <c r="C2857" s="704" t="s">
        <v>826</v>
      </c>
      <c r="D2857" s="704" t="s">
        <v>675</v>
      </c>
      <c r="E2857" s="704" t="s">
        <v>824</v>
      </c>
      <c r="F2857" s="706">
        <v>2.195731276639831E-4</v>
      </c>
      <c r="G2857" s="705">
        <v>2.3470318924262781</v>
      </c>
    </row>
    <row r="2858" spans="2:7" ht="11.25" hidden="1" customHeight="1" outlineLevel="2" x14ac:dyDescent="0.25">
      <c r="B2858" s="704" t="s">
        <v>687</v>
      </c>
      <c r="C2858" s="704" t="s">
        <v>826</v>
      </c>
      <c r="D2858" s="704" t="s">
        <v>675</v>
      </c>
      <c r="E2858" s="704" t="s">
        <v>824</v>
      </c>
      <c r="F2858" s="706">
        <v>1.1247343896218461E-3</v>
      </c>
      <c r="G2858" s="705">
        <v>12.022362132269512</v>
      </c>
    </row>
    <row r="2859" spans="2:7" ht="11.25" hidden="1" customHeight="1" outlineLevel="2" x14ac:dyDescent="0.25">
      <c r="B2859" s="704" t="s">
        <v>688</v>
      </c>
      <c r="C2859" s="704" t="s">
        <v>826</v>
      </c>
      <c r="D2859" s="704" t="s">
        <v>675</v>
      </c>
      <c r="E2859" s="704" t="s">
        <v>824</v>
      </c>
      <c r="F2859" s="706">
        <v>8.07317167463835E-4</v>
      </c>
      <c r="G2859" s="705">
        <v>8.6294668810548778</v>
      </c>
    </row>
    <row r="2860" spans="2:7" ht="11.25" hidden="1" customHeight="1" outlineLevel="2" x14ac:dyDescent="0.25">
      <c r="B2860" s="704" t="s">
        <v>689</v>
      </c>
      <c r="C2860" s="704" t="s">
        <v>826</v>
      </c>
      <c r="D2860" s="704" t="s">
        <v>675</v>
      </c>
      <c r="E2860" s="704" t="s">
        <v>824</v>
      </c>
      <c r="F2860" s="706">
        <v>1.1936076600204007E-4</v>
      </c>
      <c r="G2860" s="705">
        <v>1.2758555336715427</v>
      </c>
    </row>
    <row r="2861" spans="2:7" ht="11.25" hidden="1" customHeight="1" outlineLevel="2" x14ac:dyDescent="0.25">
      <c r="B2861" s="704" t="s">
        <v>690</v>
      </c>
      <c r="C2861" s="704" t="s">
        <v>826</v>
      </c>
      <c r="D2861" s="704" t="s">
        <v>675</v>
      </c>
      <c r="E2861" s="704" t="s">
        <v>824</v>
      </c>
      <c r="F2861" s="706">
        <v>2.6279268749185248E-3</v>
      </c>
      <c r="G2861" s="705">
        <v>28.090078927595236</v>
      </c>
    </row>
    <row r="2862" spans="2:7" ht="11.25" hidden="1" customHeight="1" outlineLevel="2" x14ac:dyDescent="0.25">
      <c r="B2862" s="704" t="s">
        <v>691</v>
      </c>
      <c r="C2862" s="704" t="s">
        <v>826</v>
      </c>
      <c r="D2862" s="704" t="s">
        <v>675</v>
      </c>
      <c r="E2862" s="704" t="s">
        <v>824</v>
      </c>
      <c r="F2862" s="706">
        <v>3.0011760625375393E-3</v>
      </c>
      <c r="G2862" s="705">
        <v>32.079750328051951</v>
      </c>
    </row>
    <row r="2863" spans="2:7" ht="11.25" hidden="1" customHeight="1" outlineLevel="2" x14ac:dyDescent="0.25">
      <c r="B2863" s="704" t="s">
        <v>692</v>
      </c>
      <c r="C2863" s="704" t="s">
        <v>826</v>
      </c>
      <c r="D2863" s="704" t="s">
        <v>675</v>
      </c>
      <c r="E2863" s="704" t="s">
        <v>824</v>
      </c>
      <c r="F2863" s="706">
        <v>1.7550119298132975E-4</v>
      </c>
      <c r="G2863" s="705">
        <v>1.8759443372812226</v>
      </c>
    </row>
    <row r="2864" spans="2:7" ht="11.25" hidden="1" customHeight="1" outlineLevel="2" x14ac:dyDescent="0.25">
      <c r="B2864" s="704" t="s">
        <v>693</v>
      </c>
      <c r="C2864" s="704" t="s">
        <v>826</v>
      </c>
      <c r="D2864" s="704" t="s">
        <v>675</v>
      </c>
      <c r="E2864" s="704" t="s">
        <v>824</v>
      </c>
      <c r="F2864" s="706">
        <v>4.3808574253531503E-4</v>
      </c>
      <c r="G2864" s="705">
        <v>4.6827295468043717</v>
      </c>
    </row>
    <row r="2865" spans="2:7" ht="11.25" hidden="1" customHeight="1" outlineLevel="2" x14ac:dyDescent="0.25">
      <c r="B2865" s="704" t="s">
        <v>694</v>
      </c>
      <c r="C2865" s="704" t="s">
        <v>826</v>
      </c>
      <c r="D2865" s="704" t="s">
        <v>675</v>
      </c>
      <c r="E2865" s="704" t="s">
        <v>824</v>
      </c>
      <c r="F2865" s="706">
        <v>4.9114568311686235E-5</v>
      </c>
      <c r="G2865" s="705">
        <v>0.52498864764635944</v>
      </c>
    </row>
    <row r="2866" spans="2:7" ht="11.25" hidden="1" customHeight="1" outlineLevel="2" x14ac:dyDescent="0.25">
      <c r="B2866" s="704" t="s">
        <v>695</v>
      </c>
      <c r="C2866" s="704" t="s">
        <v>826</v>
      </c>
      <c r="D2866" s="704" t="s">
        <v>675</v>
      </c>
      <c r="E2866" s="704" t="s">
        <v>824</v>
      </c>
      <c r="F2866" s="706">
        <v>2.3296528139548684E-4</v>
      </c>
      <c r="G2866" s="705">
        <v>2.4901807224240695</v>
      </c>
    </row>
    <row r="2867" spans="2:7" ht="11.25" hidden="1" customHeight="1" outlineLevel="2" x14ac:dyDescent="0.25">
      <c r="B2867" s="704" t="s">
        <v>696</v>
      </c>
      <c r="C2867" s="704" t="s">
        <v>826</v>
      </c>
      <c r="D2867" s="704" t="s">
        <v>675</v>
      </c>
      <c r="E2867" s="704" t="s">
        <v>824</v>
      </c>
      <c r="F2867" s="706">
        <v>5.8207334608071618E-4</v>
      </c>
      <c r="G2867" s="705">
        <v>6.2218208425736297</v>
      </c>
    </row>
    <row r="2868" spans="2:7" ht="11.25" hidden="1" customHeight="1" outlineLevel="2" x14ac:dyDescent="0.25">
      <c r="B2868" s="704" t="s">
        <v>697</v>
      </c>
      <c r="C2868" s="704" t="s">
        <v>826</v>
      </c>
      <c r="D2868" s="704" t="s">
        <v>675</v>
      </c>
      <c r="E2868" s="704" t="s">
        <v>824</v>
      </c>
      <c r="F2868" s="706">
        <v>3.1846949036357634E-4</v>
      </c>
      <c r="G2868" s="705">
        <v>3.4041395554532841</v>
      </c>
    </row>
    <row r="2869" spans="2:7" ht="11.25" hidden="1" customHeight="1" outlineLevel="2" x14ac:dyDescent="0.25">
      <c r="B2869" s="704" t="s">
        <v>698</v>
      </c>
      <c r="C2869" s="704" t="s">
        <v>826</v>
      </c>
      <c r="D2869" s="704" t="s">
        <v>675</v>
      </c>
      <c r="E2869" s="704" t="s">
        <v>824</v>
      </c>
      <c r="F2869" s="706">
        <v>3.4970733919950593E-4</v>
      </c>
      <c r="G2869" s="705">
        <v>3.7380442499467272</v>
      </c>
    </row>
    <row r="2870" spans="2:7" ht="11.25" hidden="1" customHeight="1" outlineLevel="2" x14ac:dyDescent="0.25">
      <c r="B2870" s="704" t="s">
        <v>699</v>
      </c>
      <c r="C2870" s="704" t="s">
        <v>826</v>
      </c>
      <c r="D2870" s="704" t="s">
        <v>675</v>
      </c>
      <c r="E2870" s="704" t="s">
        <v>824</v>
      </c>
      <c r="F2870" s="706">
        <v>6.3495751445360996E-35</v>
      </c>
      <c r="G2870" s="705">
        <v>5.5876112040841091E-31</v>
      </c>
    </row>
    <row r="2871" spans="2:7" ht="11.25" hidden="1" customHeight="1" outlineLevel="2" x14ac:dyDescent="0.25">
      <c r="B2871" s="704" t="s">
        <v>673</v>
      </c>
      <c r="C2871" s="704" t="s">
        <v>827</v>
      </c>
      <c r="D2871" s="704" t="s">
        <v>675</v>
      </c>
      <c r="E2871" s="704" t="s">
        <v>824</v>
      </c>
      <c r="F2871" s="706">
        <v>8.1051147315854347E-5</v>
      </c>
      <c r="G2871" s="705">
        <v>0.1935521460979861</v>
      </c>
    </row>
    <row r="2872" spans="2:7" ht="11.25" hidden="1" customHeight="1" outlineLevel="2" x14ac:dyDescent="0.25">
      <c r="B2872" s="704" t="s">
        <v>677</v>
      </c>
      <c r="C2872" s="704" t="s">
        <v>827</v>
      </c>
      <c r="D2872" s="704" t="s">
        <v>675</v>
      </c>
      <c r="E2872" s="704" t="s">
        <v>824</v>
      </c>
      <c r="F2872" s="706">
        <v>1.3450307972903185E-3</v>
      </c>
      <c r="G2872" s="705">
        <v>3.2119668811962843</v>
      </c>
    </row>
    <row r="2873" spans="2:7" ht="11.25" hidden="1" customHeight="1" outlineLevel="2" x14ac:dyDescent="0.25">
      <c r="B2873" s="704" t="s">
        <v>678</v>
      </c>
      <c r="C2873" s="704" t="s">
        <v>827</v>
      </c>
      <c r="D2873" s="704" t="s">
        <v>675</v>
      </c>
      <c r="E2873" s="704" t="s">
        <v>824</v>
      </c>
      <c r="F2873" s="706">
        <v>3.1155142952454091E-3</v>
      </c>
      <c r="G2873" s="705">
        <v>7.4399290363535435</v>
      </c>
    </row>
    <row r="2874" spans="2:7" ht="11.25" hidden="1" customHeight="1" outlineLevel="2" x14ac:dyDescent="0.25">
      <c r="B2874" s="704" t="s">
        <v>679</v>
      </c>
      <c r="C2874" s="704" t="s">
        <v>827</v>
      </c>
      <c r="D2874" s="704" t="s">
        <v>675</v>
      </c>
      <c r="E2874" s="704" t="s">
        <v>824</v>
      </c>
      <c r="F2874" s="706">
        <v>2.5283074213370605E-4</v>
      </c>
      <c r="G2874" s="705">
        <v>0.60376596217702327</v>
      </c>
    </row>
    <row r="2875" spans="2:7" ht="11.25" hidden="1" customHeight="1" outlineLevel="2" x14ac:dyDescent="0.25">
      <c r="B2875" s="704" t="s">
        <v>680</v>
      </c>
      <c r="C2875" s="704" t="s">
        <v>827</v>
      </c>
      <c r="D2875" s="704" t="s">
        <v>675</v>
      </c>
      <c r="E2875" s="704" t="s">
        <v>824</v>
      </c>
      <c r="F2875" s="706">
        <v>4.6861432037902379E-5</v>
      </c>
      <c r="G2875" s="705">
        <v>0.11190623076785181</v>
      </c>
    </row>
    <row r="2876" spans="2:7" ht="11.25" hidden="1" customHeight="1" outlineLevel="2" x14ac:dyDescent="0.25">
      <c r="B2876" s="704" t="s">
        <v>681</v>
      </c>
      <c r="C2876" s="704" t="s">
        <v>827</v>
      </c>
      <c r="D2876" s="704" t="s">
        <v>675</v>
      </c>
      <c r="E2876" s="704" t="s">
        <v>824</v>
      </c>
      <c r="F2876" s="706">
        <v>3.9526149650110905E-4</v>
      </c>
      <c r="G2876" s="705">
        <v>0.94389414363819613</v>
      </c>
    </row>
    <row r="2877" spans="2:7" ht="11.25" hidden="1" customHeight="1" outlineLevel="2" x14ac:dyDescent="0.25">
      <c r="B2877" s="704" t="s">
        <v>682</v>
      </c>
      <c r="C2877" s="704" t="s">
        <v>827</v>
      </c>
      <c r="D2877" s="704" t="s">
        <v>675</v>
      </c>
      <c r="E2877" s="704" t="s">
        <v>824</v>
      </c>
      <c r="F2877" s="706">
        <v>3.4697894077065936E-4</v>
      </c>
      <c r="G2877" s="705">
        <v>0.8285940199278955</v>
      </c>
    </row>
    <row r="2878" spans="2:7" ht="11.25" hidden="1" customHeight="1" outlineLevel="2" x14ac:dyDescent="0.25">
      <c r="B2878" s="704" t="s">
        <v>683</v>
      </c>
      <c r="C2878" s="704" t="s">
        <v>827</v>
      </c>
      <c r="D2878" s="704" t="s">
        <v>675</v>
      </c>
      <c r="E2878" s="704" t="s">
        <v>824</v>
      </c>
      <c r="F2878" s="706">
        <v>5.7625011761688351E-4</v>
      </c>
      <c r="G2878" s="705">
        <v>1.3760993402650965</v>
      </c>
    </row>
    <row r="2879" spans="2:7" ht="11.25" hidden="1" customHeight="1" outlineLevel="2" x14ac:dyDescent="0.25">
      <c r="B2879" s="704" t="s">
        <v>684</v>
      </c>
      <c r="C2879" s="704" t="s">
        <v>827</v>
      </c>
      <c r="D2879" s="704" t="s">
        <v>675</v>
      </c>
      <c r="E2879" s="704" t="s">
        <v>824</v>
      </c>
      <c r="F2879" s="706">
        <v>7.5217689267648811E-5</v>
      </c>
      <c r="G2879" s="705">
        <v>0.17962161239839833</v>
      </c>
    </row>
    <row r="2880" spans="2:7" ht="11.25" hidden="1" customHeight="1" outlineLevel="2" x14ac:dyDescent="0.25">
      <c r="B2880" s="704" t="s">
        <v>685</v>
      </c>
      <c r="C2880" s="704" t="s">
        <v>827</v>
      </c>
      <c r="D2880" s="704" t="s">
        <v>675</v>
      </c>
      <c r="E2880" s="704" t="s">
        <v>824</v>
      </c>
      <c r="F2880" s="705">
        <v>6.9155352134421001E-4</v>
      </c>
      <c r="G2880" s="705">
        <v>1.6514472222388212</v>
      </c>
    </row>
    <row r="2881" spans="2:7" ht="11.25" hidden="1" customHeight="1" outlineLevel="2" x14ac:dyDescent="0.25">
      <c r="B2881" s="704" t="s">
        <v>686</v>
      </c>
      <c r="C2881" s="704" t="s">
        <v>827</v>
      </c>
      <c r="D2881" s="704" t="s">
        <v>675</v>
      </c>
      <c r="E2881" s="704" t="s">
        <v>824</v>
      </c>
      <c r="F2881" s="705">
        <v>1.6259025144889448E-4</v>
      </c>
      <c r="G2881" s="705">
        <v>0.3882694257251329</v>
      </c>
    </row>
    <row r="2882" spans="2:7" ht="11.25" hidden="1" customHeight="1" outlineLevel="2" x14ac:dyDescent="0.25">
      <c r="B2882" s="704" t="s">
        <v>687</v>
      </c>
      <c r="C2882" s="704" t="s">
        <v>827</v>
      </c>
      <c r="D2882" s="704" t="s">
        <v>675</v>
      </c>
      <c r="E2882" s="704" t="s">
        <v>824</v>
      </c>
      <c r="F2882" s="705">
        <v>8.3284729768302803E-4</v>
      </c>
      <c r="G2882" s="705">
        <v>1.9888586877675323</v>
      </c>
    </row>
    <row r="2883" spans="2:7" ht="11.25" hidden="1" customHeight="1" outlineLevel="2" x14ac:dyDescent="0.25">
      <c r="B2883" s="704" t="s">
        <v>688</v>
      </c>
      <c r="C2883" s="704" t="s">
        <v>827</v>
      </c>
      <c r="D2883" s="704" t="s">
        <v>675</v>
      </c>
      <c r="E2883" s="704" t="s">
        <v>824</v>
      </c>
      <c r="F2883" s="705">
        <v>5.9780462467077383E-4</v>
      </c>
      <c r="G2883" s="705">
        <v>1.4275724310949889</v>
      </c>
    </row>
    <row r="2884" spans="2:7" ht="11.25" hidden="1" customHeight="1" outlineLevel="2" x14ac:dyDescent="0.25">
      <c r="B2884" s="704" t="s">
        <v>689</v>
      </c>
      <c r="C2884" s="704" t="s">
        <v>827</v>
      </c>
      <c r="D2884" s="704" t="s">
        <v>675</v>
      </c>
      <c r="E2884" s="704" t="s">
        <v>824</v>
      </c>
      <c r="F2884" s="705">
        <v>8.8384650327506391E-5</v>
      </c>
      <c r="G2884" s="705">
        <v>0.21106460523387602</v>
      </c>
    </row>
    <row r="2885" spans="2:7" ht="11.25" hidden="1" customHeight="1" outlineLevel="2" x14ac:dyDescent="0.25">
      <c r="B2885" s="704" t="s">
        <v>690</v>
      </c>
      <c r="C2885" s="704" t="s">
        <v>827</v>
      </c>
      <c r="D2885" s="704" t="s">
        <v>675</v>
      </c>
      <c r="E2885" s="704" t="s">
        <v>824</v>
      </c>
      <c r="F2885" s="705">
        <v>1.9459350621036226E-3</v>
      </c>
      <c r="G2885" s="705">
        <v>4.6469395992144955</v>
      </c>
    </row>
    <row r="2886" spans="2:7" ht="11.25" hidden="1" customHeight="1" outlineLevel="2" x14ac:dyDescent="0.25">
      <c r="B2886" s="704" t="s">
        <v>691</v>
      </c>
      <c r="C2886" s="704" t="s">
        <v>827</v>
      </c>
      <c r="D2886" s="704" t="s">
        <v>675</v>
      </c>
      <c r="E2886" s="704" t="s">
        <v>824</v>
      </c>
      <c r="F2886" s="705">
        <v>2.2223190897344247E-3</v>
      </c>
      <c r="G2886" s="705">
        <v>5.306953160014193</v>
      </c>
    </row>
    <row r="2887" spans="2:7" ht="11.25" hidden="1" customHeight="1" outlineLevel="2" x14ac:dyDescent="0.25">
      <c r="B2887" s="704" t="s">
        <v>692</v>
      </c>
      <c r="C2887" s="704" t="s">
        <v>827</v>
      </c>
      <c r="D2887" s="704" t="s">
        <v>675</v>
      </c>
      <c r="E2887" s="704" t="s">
        <v>824</v>
      </c>
      <c r="F2887" s="705">
        <v>1.2995571054126465E-4</v>
      </c>
      <c r="G2887" s="705">
        <v>0.31033741896608463</v>
      </c>
    </row>
    <row r="2888" spans="2:7" ht="11.25" hidden="1" customHeight="1" outlineLevel="2" x14ac:dyDescent="0.25">
      <c r="B2888" s="704" t="s">
        <v>693</v>
      </c>
      <c r="C2888" s="704" t="s">
        <v>827</v>
      </c>
      <c r="D2888" s="704" t="s">
        <v>675</v>
      </c>
      <c r="E2888" s="704" t="s">
        <v>824</v>
      </c>
      <c r="F2888" s="705">
        <v>3.2439519633044371E-4</v>
      </c>
      <c r="G2888" s="705">
        <v>0.7746636682359338</v>
      </c>
    </row>
    <row r="2889" spans="2:7" ht="11.25" hidden="1" customHeight="1" outlineLevel="2" x14ac:dyDescent="0.25">
      <c r="B2889" s="704" t="s">
        <v>694</v>
      </c>
      <c r="C2889" s="704" t="s">
        <v>827</v>
      </c>
      <c r="D2889" s="704" t="s">
        <v>675</v>
      </c>
      <c r="E2889" s="704" t="s">
        <v>824</v>
      </c>
      <c r="F2889" s="705">
        <v>3.6368514001814603E-5</v>
      </c>
      <c r="G2889" s="705">
        <v>8.6848893426328219E-2</v>
      </c>
    </row>
    <row r="2890" spans="2:7" ht="11.25" hidden="1" customHeight="1" outlineLevel="2" x14ac:dyDescent="0.25">
      <c r="B2890" s="704" t="s">
        <v>695</v>
      </c>
      <c r="C2890" s="704" t="s">
        <v>827</v>
      </c>
      <c r="D2890" s="704" t="s">
        <v>675</v>
      </c>
      <c r="E2890" s="704" t="s">
        <v>824</v>
      </c>
      <c r="F2890" s="705">
        <v>1.7250681264537352E-4</v>
      </c>
      <c r="G2890" s="705">
        <v>0.41195053288000055</v>
      </c>
    </row>
    <row r="2891" spans="2:7" ht="11.25" hidden="1" customHeight="1" outlineLevel="2" x14ac:dyDescent="0.25">
      <c r="B2891" s="704" t="s">
        <v>696</v>
      </c>
      <c r="C2891" s="704" t="s">
        <v>827</v>
      </c>
      <c r="D2891" s="704" t="s">
        <v>675</v>
      </c>
      <c r="E2891" s="704" t="s">
        <v>824</v>
      </c>
      <c r="F2891" s="705">
        <v>4.3101552815088287E-4</v>
      </c>
      <c r="G2891" s="705">
        <v>1.0292750520081704</v>
      </c>
    </row>
    <row r="2892" spans="2:7" ht="11.25" hidden="1" customHeight="1" outlineLevel="2" x14ac:dyDescent="0.25">
      <c r="B2892" s="704" t="s">
        <v>697</v>
      </c>
      <c r="C2892" s="704" t="s">
        <v>827</v>
      </c>
      <c r="D2892" s="704" t="s">
        <v>675</v>
      </c>
      <c r="E2892" s="704" t="s">
        <v>824</v>
      </c>
      <c r="F2892" s="705">
        <v>2.3582128492283575E-4</v>
      </c>
      <c r="G2892" s="705">
        <v>0.56314684559623673</v>
      </c>
    </row>
    <row r="2893" spans="2:7" ht="11.25" hidden="1" customHeight="1" outlineLevel="2" x14ac:dyDescent="0.25">
      <c r="B2893" s="704" t="s">
        <v>698</v>
      </c>
      <c r="C2893" s="704" t="s">
        <v>827</v>
      </c>
      <c r="D2893" s="704" t="s">
        <v>675</v>
      </c>
      <c r="E2893" s="704" t="s">
        <v>824</v>
      </c>
      <c r="F2893" s="705">
        <v>2.5895240602888278E-4</v>
      </c>
      <c r="G2893" s="705">
        <v>0.61838456883572468</v>
      </c>
    </row>
    <row r="2894" spans="2:7" ht="11.25" hidden="1" customHeight="1" outlineLevel="2" x14ac:dyDescent="0.25">
      <c r="B2894" s="704" t="s">
        <v>699</v>
      </c>
      <c r="C2894" s="704" t="s">
        <v>827</v>
      </c>
      <c r="D2894" s="704" t="s">
        <v>675</v>
      </c>
      <c r="E2894" s="704" t="s">
        <v>824</v>
      </c>
      <c r="F2894" s="705">
        <v>1.3931299995213113E-36</v>
      </c>
      <c r="G2894" s="705">
        <v>3.5520604857606628E-33</v>
      </c>
    </row>
    <row r="2895" spans="2:7" ht="11.25" hidden="1" customHeight="1" outlineLevel="2" x14ac:dyDescent="0.25">
      <c r="B2895" s="704" t="s">
        <v>673</v>
      </c>
      <c r="C2895" s="704" t="s">
        <v>828</v>
      </c>
      <c r="D2895" s="704" t="s">
        <v>675</v>
      </c>
      <c r="E2895" s="704" t="s">
        <v>824</v>
      </c>
      <c r="F2895" s="705">
        <v>2.2100911348229906E-5</v>
      </c>
      <c r="G2895" s="705">
        <v>0.12128413991516737</v>
      </c>
    </row>
    <row r="2896" spans="2:7" ht="11.25" hidden="1" customHeight="1" outlineLevel="2" x14ac:dyDescent="0.25">
      <c r="B2896" s="704" t="s">
        <v>677</v>
      </c>
      <c r="C2896" s="704" t="s">
        <v>828</v>
      </c>
      <c r="D2896" s="704" t="s">
        <v>675</v>
      </c>
      <c r="E2896" s="704" t="s">
        <v>824</v>
      </c>
      <c r="F2896" s="705">
        <v>3.6676107427986211E-4</v>
      </c>
      <c r="G2896" s="705">
        <v>2.0126903422817954</v>
      </c>
    </row>
    <row r="2897" spans="2:7" ht="11.25" hidden="1" customHeight="1" outlineLevel="2" x14ac:dyDescent="0.25">
      <c r="B2897" s="704" t="s">
        <v>678</v>
      </c>
      <c r="C2897" s="704" t="s">
        <v>828</v>
      </c>
      <c r="D2897" s="704" t="s">
        <v>675</v>
      </c>
      <c r="E2897" s="704" t="s">
        <v>824</v>
      </c>
      <c r="F2897" s="705">
        <v>8.4953396602479442E-4</v>
      </c>
      <c r="G2897" s="705">
        <v>4.6620241763043149</v>
      </c>
    </row>
    <row r="2898" spans="2:7" ht="11.25" hidden="1" customHeight="1" outlineLevel="2" x14ac:dyDescent="0.25">
      <c r="B2898" s="704" t="s">
        <v>679</v>
      </c>
      <c r="C2898" s="704" t="s">
        <v>828</v>
      </c>
      <c r="D2898" s="704" t="s">
        <v>675</v>
      </c>
      <c r="E2898" s="704" t="s">
        <v>824</v>
      </c>
      <c r="F2898" s="705">
        <v>6.8941511736013105E-5</v>
      </c>
      <c r="G2898" s="705">
        <v>0.37833327722272347</v>
      </c>
    </row>
    <row r="2899" spans="2:7" ht="11.25" hidden="1" customHeight="1" outlineLevel="2" x14ac:dyDescent="0.25">
      <c r="B2899" s="704" t="s">
        <v>680</v>
      </c>
      <c r="C2899" s="704" t="s">
        <v>828</v>
      </c>
      <c r="D2899" s="704" t="s">
        <v>675</v>
      </c>
      <c r="E2899" s="704" t="s">
        <v>824</v>
      </c>
      <c r="F2899" s="705">
        <v>1.2778108607428869E-5</v>
      </c>
      <c r="G2899" s="705">
        <v>7.0122983860609486E-2</v>
      </c>
    </row>
    <row r="2900" spans="2:7" ht="11.25" hidden="1" customHeight="1" outlineLevel="2" x14ac:dyDescent="0.25">
      <c r="B2900" s="704" t="s">
        <v>681</v>
      </c>
      <c r="C2900" s="704" t="s">
        <v>828</v>
      </c>
      <c r="D2900" s="704" t="s">
        <v>675</v>
      </c>
      <c r="E2900" s="704" t="s">
        <v>824</v>
      </c>
      <c r="F2900" s="706">
        <v>1.0777935817745574E-4</v>
      </c>
      <c r="G2900" s="705">
        <v>0.59146518038698903</v>
      </c>
    </row>
    <row r="2901" spans="2:7" ht="11.25" hidden="1" customHeight="1" outlineLevel="2" x14ac:dyDescent="0.25">
      <c r="B2901" s="704" t="s">
        <v>682</v>
      </c>
      <c r="C2901" s="704" t="s">
        <v>828</v>
      </c>
      <c r="D2901" s="704" t="s">
        <v>675</v>
      </c>
      <c r="E2901" s="704" t="s">
        <v>824</v>
      </c>
      <c r="F2901" s="706">
        <v>9.461372264385289E-5</v>
      </c>
      <c r="G2901" s="705">
        <v>0.51921569726230021</v>
      </c>
    </row>
    <row r="2902" spans="2:7" ht="11.25" hidden="1" customHeight="1" outlineLevel="2" x14ac:dyDescent="0.25">
      <c r="B2902" s="704" t="s">
        <v>683</v>
      </c>
      <c r="C2902" s="704" t="s">
        <v>828</v>
      </c>
      <c r="D2902" s="704" t="s">
        <v>675</v>
      </c>
      <c r="E2902" s="704" t="s">
        <v>824</v>
      </c>
      <c r="F2902" s="706">
        <v>1.5713111956916395E-4</v>
      </c>
      <c r="G2902" s="705">
        <v>0.86229436308473117</v>
      </c>
    </row>
    <row r="2903" spans="2:7" ht="11.25" hidden="1" customHeight="1" outlineLevel="2" x14ac:dyDescent="0.25">
      <c r="B2903" s="704" t="s">
        <v>684</v>
      </c>
      <c r="C2903" s="704" t="s">
        <v>828</v>
      </c>
      <c r="D2903" s="704" t="s">
        <v>675</v>
      </c>
      <c r="E2903" s="704" t="s">
        <v>824</v>
      </c>
      <c r="F2903" s="706">
        <v>2.0510255393466448E-5</v>
      </c>
      <c r="G2903" s="705">
        <v>0.1125549813190045</v>
      </c>
    </row>
    <row r="2904" spans="2:7" ht="11.25" hidden="1" customHeight="1" outlineLevel="2" x14ac:dyDescent="0.25">
      <c r="B2904" s="704" t="s">
        <v>685</v>
      </c>
      <c r="C2904" s="704" t="s">
        <v>828</v>
      </c>
      <c r="D2904" s="704" t="s">
        <v>675</v>
      </c>
      <c r="E2904" s="704" t="s">
        <v>824</v>
      </c>
      <c r="F2904" s="706">
        <v>1.8857181640860945E-4</v>
      </c>
      <c r="G2904" s="705">
        <v>1.0348336099008859</v>
      </c>
    </row>
    <row r="2905" spans="2:7" ht="11.25" hidden="1" customHeight="1" outlineLevel="2" x14ac:dyDescent="0.25">
      <c r="B2905" s="704" t="s">
        <v>686</v>
      </c>
      <c r="C2905" s="704" t="s">
        <v>828</v>
      </c>
      <c r="D2905" s="704" t="s">
        <v>675</v>
      </c>
      <c r="E2905" s="704" t="s">
        <v>824</v>
      </c>
      <c r="F2905" s="706">
        <v>4.433486884162038E-5</v>
      </c>
      <c r="G2905" s="705">
        <v>0.24329823428661518</v>
      </c>
    </row>
    <row r="2906" spans="2:7" ht="11.25" hidden="1" customHeight="1" outlineLevel="2" x14ac:dyDescent="0.25">
      <c r="B2906" s="704" t="s">
        <v>687</v>
      </c>
      <c r="C2906" s="704" t="s">
        <v>828</v>
      </c>
      <c r="D2906" s="704" t="s">
        <v>675</v>
      </c>
      <c r="E2906" s="704" t="s">
        <v>824</v>
      </c>
      <c r="F2906" s="706">
        <v>2.2709946775811602E-4</v>
      </c>
      <c r="G2906" s="705">
        <v>1.2462636425712066</v>
      </c>
    </row>
    <row r="2907" spans="2:7" ht="11.25" hidden="1" customHeight="1" outlineLevel="2" x14ac:dyDescent="0.25">
      <c r="B2907" s="704" t="s">
        <v>688</v>
      </c>
      <c r="C2907" s="704" t="s">
        <v>828</v>
      </c>
      <c r="D2907" s="704" t="s">
        <v>675</v>
      </c>
      <c r="E2907" s="704" t="s">
        <v>824</v>
      </c>
      <c r="F2907" s="705">
        <v>1.630086186425722E-4</v>
      </c>
      <c r="G2907" s="705">
        <v>0.89454877247612841</v>
      </c>
    </row>
    <row r="2908" spans="2:7" ht="11.25" hidden="1" customHeight="1" outlineLevel="2" x14ac:dyDescent="0.25">
      <c r="B2908" s="704" t="s">
        <v>689</v>
      </c>
      <c r="C2908" s="704" t="s">
        <v>828</v>
      </c>
      <c r="D2908" s="704" t="s">
        <v>675</v>
      </c>
      <c r="E2908" s="704" t="s">
        <v>824</v>
      </c>
      <c r="F2908" s="705">
        <v>2.4100591627977199E-5</v>
      </c>
      <c r="G2908" s="705">
        <v>0.13225783721178017</v>
      </c>
    </row>
    <row r="2909" spans="2:7" ht="11.25" hidden="1" customHeight="1" outlineLevel="2" x14ac:dyDescent="0.25">
      <c r="B2909" s="704" t="s">
        <v>690</v>
      </c>
      <c r="C2909" s="704" t="s">
        <v>828</v>
      </c>
      <c r="D2909" s="704" t="s">
        <v>675</v>
      </c>
      <c r="E2909" s="704" t="s">
        <v>824</v>
      </c>
      <c r="F2909" s="705">
        <v>5.3061472364418559E-4</v>
      </c>
      <c r="G2909" s="705">
        <v>2.9118767048264109</v>
      </c>
    </row>
    <row r="2910" spans="2:7" ht="11.25" hidden="1" customHeight="1" outlineLevel="2" x14ac:dyDescent="0.25">
      <c r="B2910" s="704" t="s">
        <v>691</v>
      </c>
      <c r="C2910" s="704" t="s">
        <v>828</v>
      </c>
      <c r="D2910" s="704" t="s">
        <v>675</v>
      </c>
      <c r="E2910" s="704" t="s">
        <v>824</v>
      </c>
      <c r="F2910" s="705">
        <v>6.0597878674622683E-4</v>
      </c>
      <c r="G2910" s="705">
        <v>3.3254547455024253</v>
      </c>
    </row>
    <row r="2911" spans="2:7" ht="11.25" hidden="1" customHeight="1" outlineLevel="2" x14ac:dyDescent="0.25">
      <c r="B2911" s="704" t="s">
        <v>692</v>
      </c>
      <c r="C2911" s="704" t="s">
        <v>828</v>
      </c>
      <c r="D2911" s="704" t="s">
        <v>675</v>
      </c>
      <c r="E2911" s="704" t="s">
        <v>824</v>
      </c>
      <c r="F2911" s="705">
        <v>3.5436137779463197E-5</v>
      </c>
      <c r="G2911" s="705">
        <v>0.19446432570965158</v>
      </c>
    </row>
    <row r="2912" spans="2:7" ht="11.25" hidden="1" customHeight="1" outlineLevel="2" x14ac:dyDescent="0.25">
      <c r="B2912" s="704" t="s">
        <v>693</v>
      </c>
      <c r="C2912" s="704" t="s">
        <v>828</v>
      </c>
      <c r="D2912" s="704" t="s">
        <v>675</v>
      </c>
      <c r="E2912" s="704" t="s">
        <v>824</v>
      </c>
      <c r="F2912" s="705">
        <v>8.8455637919478207E-5</v>
      </c>
      <c r="G2912" s="705">
        <v>0.48542166858749047</v>
      </c>
    </row>
    <row r="2913" spans="2:7" ht="11.25" hidden="1" customHeight="1" outlineLevel="2" x14ac:dyDescent="0.25">
      <c r="B2913" s="704" t="s">
        <v>694</v>
      </c>
      <c r="C2913" s="704" t="s">
        <v>828</v>
      </c>
      <c r="D2913" s="704" t="s">
        <v>675</v>
      </c>
      <c r="E2913" s="704" t="s">
        <v>824</v>
      </c>
      <c r="F2913" s="705">
        <v>9.9169122066727977E-6</v>
      </c>
      <c r="G2913" s="705">
        <v>5.4421465723648067E-2</v>
      </c>
    </row>
    <row r="2914" spans="2:7" ht="11.25" hidden="1" customHeight="1" outlineLevel="2" x14ac:dyDescent="0.25">
      <c r="B2914" s="704" t="s">
        <v>695</v>
      </c>
      <c r="C2914" s="704" t="s">
        <v>828</v>
      </c>
      <c r="D2914" s="704" t="s">
        <v>675</v>
      </c>
      <c r="E2914" s="704" t="s">
        <v>824</v>
      </c>
      <c r="F2914" s="705">
        <v>4.7038911916732481E-5</v>
      </c>
      <c r="G2914" s="705">
        <v>0.25813735633087181</v>
      </c>
    </row>
    <row r="2915" spans="2:7" ht="11.25" hidden="1" customHeight="1" outlineLevel="2" x14ac:dyDescent="0.25">
      <c r="B2915" s="704" t="s">
        <v>696</v>
      </c>
      <c r="C2915" s="704" t="s">
        <v>828</v>
      </c>
      <c r="D2915" s="704" t="s">
        <v>675</v>
      </c>
      <c r="E2915" s="704" t="s">
        <v>824</v>
      </c>
      <c r="F2915" s="705">
        <v>1.1752867941621485E-4</v>
      </c>
      <c r="G2915" s="705">
        <v>0.64496703379540599</v>
      </c>
    </row>
    <row r="2916" spans="2:7" ht="11.25" hidden="1" customHeight="1" outlineLevel="2" x14ac:dyDescent="0.25">
      <c r="B2916" s="704" t="s">
        <v>697</v>
      </c>
      <c r="C2916" s="704" t="s">
        <v>828</v>
      </c>
      <c r="D2916" s="704" t="s">
        <v>675</v>
      </c>
      <c r="E2916" s="704" t="s">
        <v>824</v>
      </c>
      <c r="F2916" s="705">
        <v>6.4303409818046548E-5</v>
      </c>
      <c r="G2916" s="705">
        <v>0.35288049630769525</v>
      </c>
    </row>
    <row r="2917" spans="2:7" ht="11.25" hidden="1" customHeight="1" outlineLevel="2" x14ac:dyDescent="0.25">
      <c r="B2917" s="704" t="s">
        <v>698</v>
      </c>
      <c r="C2917" s="704" t="s">
        <v>828</v>
      </c>
      <c r="D2917" s="704" t="s">
        <v>675</v>
      </c>
      <c r="E2917" s="704" t="s">
        <v>824</v>
      </c>
      <c r="F2917" s="705">
        <v>7.0610754680556874E-5</v>
      </c>
      <c r="G2917" s="705">
        <v>0.38749353505467266</v>
      </c>
    </row>
    <row r="2918" spans="2:7" ht="11.25" hidden="1" customHeight="1" outlineLevel="2" x14ac:dyDescent="0.25">
      <c r="B2918" s="704" t="s">
        <v>699</v>
      </c>
      <c r="C2918" s="704" t="s">
        <v>828</v>
      </c>
      <c r="D2918" s="704" t="s">
        <v>675</v>
      </c>
      <c r="E2918" s="704" t="s">
        <v>824</v>
      </c>
      <c r="F2918" s="705">
        <v>5.0263454186658089E-35</v>
      </c>
      <c r="G2918" s="705">
        <v>4.4770586099014243E-31</v>
      </c>
    </row>
    <row r="2919" spans="2:7" ht="11.25" hidden="1" customHeight="1" outlineLevel="2" x14ac:dyDescent="0.25">
      <c r="B2919" s="704" t="s">
        <v>673</v>
      </c>
      <c r="C2919" s="704" t="s">
        <v>829</v>
      </c>
      <c r="D2919" s="704" t="s">
        <v>675</v>
      </c>
      <c r="E2919" s="704" t="s">
        <v>824</v>
      </c>
      <c r="F2919" s="705">
        <v>4.7827884455283295E-4</v>
      </c>
      <c r="G2919" s="705">
        <v>2.1463188069936194</v>
      </c>
    </row>
    <row r="2920" spans="2:7" ht="11.25" hidden="1" customHeight="1" outlineLevel="2" x14ac:dyDescent="0.25">
      <c r="B2920" s="704" t="s">
        <v>677</v>
      </c>
      <c r="C2920" s="704" t="s">
        <v>829</v>
      </c>
      <c r="D2920" s="704" t="s">
        <v>675</v>
      </c>
      <c r="E2920" s="704" t="s">
        <v>824</v>
      </c>
      <c r="F2920" s="705">
        <v>7.9369587344715262E-3</v>
      </c>
      <c r="G2920" s="705">
        <v>35.6178058716512</v>
      </c>
    </row>
    <row r="2921" spans="2:7" ht="11.25" hidden="1" customHeight="1" outlineLevel="2" x14ac:dyDescent="0.25">
      <c r="B2921" s="704" t="s">
        <v>678</v>
      </c>
      <c r="C2921" s="704" t="s">
        <v>829</v>
      </c>
      <c r="D2921" s="704" t="s">
        <v>675</v>
      </c>
      <c r="E2921" s="704" t="s">
        <v>824</v>
      </c>
      <c r="F2921" s="705">
        <v>1.8384498214086192E-2</v>
      </c>
      <c r="G2921" s="705">
        <v>82.50204707244967</v>
      </c>
    </row>
    <row r="2922" spans="2:7" ht="11.25" hidden="1" customHeight="1" outlineLevel="2" x14ac:dyDescent="0.25">
      <c r="B2922" s="704" t="s">
        <v>679</v>
      </c>
      <c r="C2922" s="704" t="s">
        <v>829</v>
      </c>
      <c r="D2922" s="704" t="s">
        <v>675</v>
      </c>
      <c r="E2922" s="704" t="s">
        <v>824</v>
      </c>
      <c r="F2922" s="705">
        <v>1.4919414481158783E-3</v>
      </c>
      <c r="G2922" s="705">
        <v>6.6952182587353493</v>
      </c>
    </row>
    <row r="2923" spans="2:7" ht="11.25" hidden="1" customHeight="1" outlineLevel="2" x14ac:dyDescent="0.25">
      <c r="B2923" s="704" t="s">
        <v>680</v>
      </c>
      <c r="C2923" s="704" t="s">
        <v>829</v>
      </c>
      <c r="D2923" s="704" t="s">
        <v>675</v>
      </c>
      <c r="E2923" s="704" t="s">
        <v>824</v>
      </c>
      <c r="F2923" s="705">
        <v>2.7652699220664738E-4</v>
      </c>
      <c r="G2923" s="705">
        <v>1.2409395160481702</v>
      </c>
    </row>
    <row r="2924" spans="2:7" ht="11.25" hidden="1" customHeight="1" outlineLevel="2" x14ac:dyDescent="0.25">
      <c r="B2924" s="704" t="s">
        <v>681</v>
      </c>
      <c r="C2924" s="704" t="s">
        <v>829</v>
      </c>
      <c r="D2924" s="704" t="s">
        <v>675</v>
      </c>
      <c r="E2924" s="704" t="s">
        <v>824</v>
      </c>
      <c r="F2924" s="705">
        <v>2.3324185299534407E-3</v>
      </c>
      <c r="G2924" s="705">
        <v>10.466928938205188</v>
      </c>
    </row>
    <row r="2925" spans="2:7" ht="11.25" hidden="1" customHeight="1" outlineLevel="2" x14ac:dyDescent="0.25">
      <c r="B2925" s="704" t="s">
        <v>682</v>
      </c>
      <c r="C2925" s="704" t="s">
        <v>829</v>
      </c>
      <c r="D2925" s="704" t="s">
        <v>675</v>
      </c>
      <c r="E2925" s="704" t="s">
        <v>824</v>
      </c>
      <c r="F2925" s="705">
        <v>2.0475060023723516E-3</v>
      </c>
      <c r="G2925" s="705">
        <v>9.1883611253191386</v>
      </c>
    </row>
    <row r="2926" spans="2:7" ht="11.25" hidden="1" customHeight="1" outlineLevel="2" x14ac:dyDescent="0.25">
      <c r="B2926" s="704" t="s">
        <v>683</v>
      </c>
      <c r="C2926" s="704" t="s">
        <v>829</v>
      </c>
      <c r="D2926" s="704" t="s">
        <v>675</v>
      </c>
      <c r="E2926" s="704" t="s">
        <v>824</v>
      </c>
      <c r="F2926" s="705">
        <v>3.4004231535545324E-3</v>
      </c>
      <c r="G2926" s="705">
        <v>15.25969747884319</v>
      </c>
    </row>
    <row r="2927" spans="2:7" ht="11.25" hidden="1" customHeight="1" outlineLevel="2" x14ac:dyDescent="0.25">
      <c r="B2927" s="704" t="s">
        <v>684</v>
      </c>
      <c r="C2927" s="704" t="s">
        <v>829</v>
      </c>
      <c r="D2927" s="704" t="s">
        <v>675</v>
      </c>
      <c r="E2927" s="704" t="s">
        <v>824</v>
      </c>
      <c r="F2927" s="705">
        <v>4.43855809655459E-4</v>
      </c>
      <c r="G2927" s="705">
        <v>1.9918421817186147</v>
      </c>
    </row>
    <row r="2928" spans="2:7" ht="11.25" hidden="1" customHeight="1" outlineLevel="2" x14ac:dyDescent="0.25">
      <c r="B2928" s="704" t="s">
        <v>685</v>
      </c>
      <c r="C2928" s="704" t="s">
        <v>829</v>
      </c>
      <c r="D2928" s="704" t="s">
        <v>675</v>
      </c>
      <c r="E2928" s="704" t="s">
        <v>824</v>
      </c>
      <c r="F2928" s="705">
        <v>4.0808233031935691E-3</v>
      </c>
      <c r="G2928" s="705">
        <v>18.313047344589354</v>
      </c>
    </row>
    <row r="2929" spans="2:7" ht="11.25" hidden="1" customHeight="1" outlineLevel="2" x14ac:dyDescent="0.25">
      <c r="B2929" s="704" t="s">
        <v>686</v>
      </c>
      <c r="C2929" s="704" t="s">
        <v>829</v>
      </c>
      <c r="D2929" s="704" t="s">
        <v>675</v>
      </c>
      <c r="E2929" s="704" t="s">
        <v>824</v>
      </c>
      <c r="F2929" s="705">
        <v>9.5943685812261694E-4</v>
      </c>
      <c r="G2929" s="705">
        <v>4.3055558079881671</v>
      </c>
    </row>
    <row r="2930" spans="2:7" ht="11.25" hidden="1" customHeight="1" outlineLevel="2" x14ac:dyDescent="0.25">
      <c r="B2930" s="704" t="s">
        <v>687</v>
      </c>
      <c r="C2930" s="704" t="s">
        <v>829</v>
      </c>
      <c r="D2930" s="704" t="s">
        <v>675</v>
      </c>
      <c r="E2930" s="704" t="s">
        <v>824</v>
      </c>
      <c r="F2930" s="705">
        <v>4.9145871474715348E-3</v>
      </c>
      <c r="G2930" s="705">
        <v>22.054640761238225</v>
      </c>
    </row>
    <row r="2931" spans="2:7" ht="11.25" hidden="1" customHeight="1" outlineLevel="2" x14ac:dyDescent="0.25">
      <c r="B2931" s="704" t="s">
        <v>688</v>
      </c>
      <c r="C2931" s="704" t="s">
        <v>829</v>
      </c>
      <c r="D2931" s="704" t="s">
        <v>675</v>
      </c>
      <c r="E2931" s="704" t="s">
        <v>824</v>
      </c>
      <c r="F2931" s="705">
        <v>3.5276153784559502E-3</v>
      </c>
      <c r="G2931" s="705">
        <v>15.830488440696387</v>
      </c>
    </row>
    <row r="2932" spans="2:7" ht="11.25" hidden="1" customHeight="1" outlineLevel="2" x14ac:dyDescent="0.25">
      <c r="B2932" s="704" t="s">
        <v>689</v>
      </c>
      <c r="C2932" s="704" t="s">
        <v>829</v>
      </c>
      <c r="D2932" s="704" t="s">
        <v>675</v>
      </c>
      <c r="E2932" s="704" t="s">
        <v>824</v>
      </c>
      <c r="F2932" s="705">
        <v>5.2155340400668662E-4</v>
      </c>
      <c r="G2932" s="705">
        <v>2.3405166621381257</v>
      </c>
    </row>
    <row r="2933" spans="2:7" ht="11.25" hidden="1" customHeight="1" outlineLevel="2" x14ac:dyDescent="0.25">
      <c r="B2933" s="704" t="s">
        <v>690</v>
      </c>
      <c r="C2933" s="704" t="s">
        <v>829</v>
      </c>
      <c r="D2933" s="704" t="s">
        <v>675</v>
      </c>
      <c r="E2933" s="704" t="s">
        <v>824</v>
      </c>
      <c r="F2933" s="705">
        <v>1.1482867118741887E-2</v>
      </c>
      <c r="G2933" s="705">
        <v>51.530379321853275</v>
      </c>
    </row>
    <row r="2934" spans="2:7" ht="11.25" hidden="1" customHeight="1" outlineLevel="2" x14ac:dyDescent="0.25">
      <c r="B2934" s="704" t="s">
        <v>691</v>
      </c>
      <c r="C2934" s="704" t="s">
        <v>829</v>
      </c>
      <c r="D2934" s="704" t="s">
        <v>675</v>
      </c>
      <c r="E2934" s="704" t="s">
        <v>824</v>
      </c>
      <c r="F2934" s="705">
        <v>1.3113800447251059E-2</v>
      </c>
      <c r="G2934" s="705">
        <v>58.849315100366567</v>
      </c>
    </row>
    <row r="2935" spans="2:7" ht="11.25" hidden="1" customHeight="1" outlineLevel="2" x14ac:dyDescent="0.25">
      <c r="B2935" s="704" t="s">
        <v>692</v>
      </c>
      <c r="C2935" s="704" t="s">
        <v>829</v>
      </c>
      <c r="D2935" s="704" t="s">
        <v>675</v>
      </c>
      <c r="E2935" s="704" t="s">
        <v>824</v>
      </c>
      <c r="F2935" s="705">
        <v>7.6686204388195687E-4</v>
      </c>
      <c r="G2935" s="705">
        <v>3.4413602633579008</v>
      </c>
    </row>
    <row r="2936" spans="2:7" ht="11.25" hidden="1" customHeight="1" outlineLevel="2" x14ac:dyDescent="0.25">
      <c r="B2936" s="704" t="s">
        <v>693</v>
      </c>
      <c r="C2936" s="704" t="s">
        <v>829</v>
      </c>
      <c r="D2936" s="704" t="s">
        <v>675</v>
      </c>
      <c r="E2936" s="704" t="s">
        <v>824</v>
      </c>
      <c r="F2936" s="705">
        <v>1.9142394976093644E-3</v>
      </c>
      <c r="G2936" s="705">
        <v>8.5903207259974508</v>
      </c>
    </row>
    <row r="2937" spans="2:7" ht="11.25" hidden="1" customHeight="1" outlineLevel="2" x14ac:dyDescent="0.25">
      <c r="B2937" s="704" t="s">
        <v>694</v>
      </c>
      <c r="C2937" s="704" t="s">
        <v>829</v>
      </c>
      <c r="D2937" s="704" t="s">
        <v>675</v>
      </c>
      <c r="E2937" s="704" t="s">
        <v>824</v>
      </c>
      <c r="F2937" s="705">
        <v>2.1460868245343009E-4</v>
      </c>
      <c r="G2937" s="705">
        <v>0.96307553958602587</v>
      </c>
    </row>
    <row r="2938" spans="2:7" ht="11.25" hidden="1" customHeight="1" outlineLevel="2" x14ac:dyDescent="0.25">
      <c r="B2938" s="704" t="s">
        <v>695</v>
      </c>
      <c r="C2938" s="704" t="s">
        <v>829</v>
      </c>
      <c r="D2938" s="704" t="s">
        <v>675</v>
      </c>
      <c r="E2938" s="704" t="s">
        <v>824</v>
      </c>
      <c r="F2938" s="705">
        <v>1.0179541769035736E-3</v>
      </c>
      <c r="G2938" s="705">
        <v>4.5681591980850049</v>
      </c>
    </row>
    <row r="2939" spans="2:7" ht="11.25" hidden="1" customHeight="1" outlineLevel="2" x14ac:dyDescent="0.25">
      <c r="B2939" s="704" t="s">
        <v>696</v>
      </c>
      <c r="C2939" s="704" t="s">
        <v>829</v>
      </c>
      <c r="D2939" s="704" t="s">
        <v>675</v>
      </c>
      <c r="E2939" s="704" t="s">
        <v>824</v>
      </c>
      <c r="F2939" s="706">
        <v>2.543401335560005E-3</v>
      </c>
      <c r="G2939" s="705">
        <v>11.413736252394688</v>
      </c>
    </row>
    <row r="2940" spans="2:7" ht="11.25" hidden="1" customHeight="1" outlineLevel="2" x14ac:dyDescent="0.25">
      <c r="B2940" s="704" t="s">
        <v>697</v>
      </c>
      <c r="C2940" s="704" t="s">
        <v>829</v>
      </c>
      <c r="D2940" s="704" t="s">
        <v>675</v>
      </c>
      <c r="E2940" s="704" t="s">
        <v>824</v>
      </c>
      <c r="F2940" s="706">
        <v>1.3915694299473211E-3</v>
      </c>
      <c r="G2940" s="705">
        <v>6.244789903577443</v>
      </c>
    </row>
    <row r="2941" spans="2:7" ht="11.25" hidden="1" customHeight="1" outlineLevel="2" x14ac:dyDescent="0.25">
      <c r="B2941" s="704" t="s">
        <v>698</v>
      </c>
      <c r="C2941" s="704" t="s">
        <v>829</v>
      </c>
      <c r="D2941" s="704" t="s">
        <v>675</v>
      </c>
      <c r="E2941" s="704" t="s">
        <v>824</v>
      </c>
      <c r="F2941" s="706">
        <v>1.5280645764433991E-3</v>
      </c>
      <c r="G2941" s="705">
        <v>6.8573264204614732</v>
      </c>
    </row>
    <row r="2942" spans="2:7" ht="11.25" hidden="1" customHeight="1" outlineLevel="2" x14ac:dyDescent="0.25">
      <c r="B2942" s="704" t="s">
        <v>699</v>
      </c>
      <c r="C2942" s="704" t="s">
        <v>829</v>
      </c>
      <c r="D2942" s="704" t="s">
        <v>675</v>
      </c>
      <c r="E2942" s="704" t="s">
        <v>824</v>
      </c>
      <c r="F2942" s="706">
        <v>1.5455633489338472E-34</v>
      </c>
      <c r="G2942" s="705">
        <v>2.4976966426871716E-30</v>
      </c>
    </row>
    <row r="2943" spans="2:7" ht="11.25" hidden="1" customHeight="1" outlineLevel="2" x14ac:dyDescent="0.25">
      <c r="B2943" s="704" t="s">
        <v>673</v>
      </c>
      <c r="C2943" s="704" t="s">
        <v>830</v>
      </c>
      <c r="D2943" s="704" t="s">
        <v>675</v>
      </c>
      <c r="E2943" s="704" t="s">
        <v>824</v>
      </c>
      <c r="F2943" s="706">
        <v>4.3390917736020151E-4</v>
      </c>
      <c r="G2943" s="705">
        <v>0.77279812565908512</v>
      </c>
    </row>
    <row r="2944" spans="2:7" ht="11.25" hidden="1" customHeight="1" outlineLevel="2" x14ac:dyDescent="0.25">
      <c r="B2944" s="704" t="s">
        <v>677</v>
      </c>
      <c r="C2944" s="704" t="s">
        <v>830</v>
      </c>
      <c r="D2944" s="704" t="s">
        <v>675</v>
      </c>
      <c r="E2944" s="704" t="s">
        <v>824</v>
      </c>
      <c r="F2944" s="706">
        <v>7.2006534639395521E-3</v>
      </c>
      <c r="G2944" s="705">
        <v>12.824461713536497</v>
      </c>
    </row>
    <row r="2945" spans="2:7" ht="11.25" hidden="1" customHeight="1" outlineLevel="2" x14ac:dyDescent="0.25">
      <c r="B2945" s="704" t="s">
        <v>678</v>
      </c>
      <c r="C2945" s="704" t="s">
        <v>830</v>
      </c>
      <c r="D2945" s="704" t="s">
        <v>675</v>
      </c>
      <c r="E2945" s="704" t="s">
        <v>824</v>
      </c>
      <c r="F2945" s="706">
        <v>1.6678981022697353E-2</v>
      </c>
      <c r="G2945" s="705">
        <v>29.705481581034668</v>
      </c>
    </row>
    <row r="2946" spans="2:7" ht="11.25" hidden="1" customHeight="1" outlineLevel="2" x14ac:dyDescent="0.25">
      <c r="B2946" s="704" t="s">
        <v>679</v>
      </c>
      <c r="C2946" s="704" t="s">
        <v>830</v>
      </c>
      <c r="D2946" s="704" t="s">
        <v>675</v>
      </c>
      <c r="E2946" s="704" t="s">
        <v>824</v>
      </c>
      <c r="F2946" s="705">
        <v>1.3535349013253069E-3</v>
      </c>
      <c r="G2946" s="705">
        <v>2.4106643013359346</v>
      </c>
    </row>
    <row r="2947" spans="2:7" ht="11.25" hidden="1" customHeight="1" outlineLevel="2" x14ac:dyDescent="0.25">
      <c r="B2947" s="704" t="s">
        <v>680</v>
      </c>
      <c r="C2947" s="704" t="s">
        <v>830</v>
      </c>
      <c r="D2947" s="704" t="s">
        <v>675</v>
      </c>
      <c r="E2947" s="704" t="s">
        <v>824</v>
      </c>
      <c r="F2947" s="705">
        <v>2.5087372210056059E-4</v>
      </c>
      <c r="G2947" s="705">
        <v>0.44680961155282217</v>
      </c>
    </row>
    <row r="2948" spans="2:7" ht="11.25" hidden="1" customHeight="1" outlineLevel="2" x14ac:dyDescent="0.25">
      <c r="B2948" s="704" t="s">
        <v>681</v>
      </c>
      <c r="C2948" s="704" t="s">
        <v>830</v>
      </c>
      <c r="D2948" s="704" t="s">
        <v>675</v>
      </c>
      <c r="E2948" s="704" t="s">
        <v>824</v>
      </c>
      <c r="F2948" s="705">
        <v>2.1160414205367824E-3</v>
      </c>
      <c r="G2948" s="705">
        <v>3.7686975915218905</v>
      </c>
    </row>
    <row r="2949" spans="2:7" ht="11.25" hidden="1" customHeight="1" outlineLevel="2" x14ac:dyDescent="0.25">
      <c r="B2949" s="704" t="s">
        <v>682</v>
      </c>
      <c r="C2949" s="704" t="s">
        <v>830</v>
      </c>
      <c r="D2949" s="704" t="s">
        <v>675</v>
      </c>
      <c r="E2949" s="704" t="s">
        <v>824</v>
      </c>
      <c r="F2949" s="706">
        <v>1.857560090550146E-3</v>
      </c>
      <c r="G2949" s="705">
        <v>3.3083396339472642</v>
      </c>
    </row>
    <row r="2950" spans="2:7" ht="11.25" hidden="1" customHeight="1" outlineLevel="2" x14ac:dyDescent="0.25">
      <c r="B2950" s="704" t="s">
        <v>683</v>
      </c>
      <c r="C2950" s="704" t="s">
        <v>830</v>
      </c>
      <c r="D2950" s="704" t="s">
        <v>675</v>
      </c>
      <c r="E2950" s="704" t="s">
        <v>824</v>
      </c>
      <c r="F2950" s="705">
        <v>3.0849679718256071E-3</v>
      </c>
      <c r="G2950" s="705">
        <v>5.4943682702634584</v>
      </c>
    </row>
    <row r="2951" spans="2:7" ht="11.25" hidden="1" customHeight="1" outlineLevel="2" x14ac:dyDescent="0.25">
      <c r="B2951" s="704" t="s">
        <v>684</v>
      </c>
      <c r="C2951" s="704" t="s">
        <v>830</v>
      </c>
      <c r="D2951" s="704" t="s">
        <v>675</v>
      </c>
      <c r="E2951" s="704" t="s">
        <v>824</v>
      </c>
      <c r="F2951" s="705">
        <v>4.0267954055890664E-4</v>
      </c>
      <c r="G2951" s="705">
        <v>0.71717783882943131</v>
      </c>
    </row>
    <row r="2952" spans="2:7" ht="11.25" hidden="1" customHeight="1" outlineLevel="2" x14ac:dyDescent="0.25">
      <c r="B2952" s="704" t="s">
        <v>685</v>
      </c>
      <c r="C2952" s="704" t="s">
        <v>830</v>
      </c>
      <c r="D2952" s="704" t="s">
        <v>675</v>
      </c>
      <c r="E2952" s="704" t="s">
        <v>824</v>
      </c>
      <c r="F2952" s="706">
        <v>3.7022471679474221E-3</v>
      </c>
      <c r="G2952" s="705">
        <v>6.5937521591186243</v>
      </c>
    </row>
    <row r="2953" spans="2:7" ht="11.25" hidden="1" customHeight="1" outlineLevel="2" x14ac:dyDescent="0.25">
      <c r="B2953" s="704" t="s">
        <v>686</v>
      </c>
      <c r="C2953" s="704" t="s">
        <v>830</v>
      </c>
      <c r="D2953" s="704" t="s">
        <v>675</v>
      </c>
      <c r="E2953" s="704" t="s">
        <v>824</v>
      </c>
      <c r="F2953" s="705">
        <v>8.7043106745456999E-4</v>
      </c>
      <c r="G2953" s="705">
        <v>1.5502490137128364</v>
      </c>
    </row>
    <row r="2954" spans="2:7" ht="11.25" hidden="1" customHeight="1" outlineLevel="2" x14ac:dyDescent="0.25">
      <c r="B2954" s="704" t="s">
        <v>687</v>
      </c>
      <c r="C2954" s="704" t="s">
        <v>830</v>
      </c>
      <c r="D2954" s="704" t="s">
        <v>675</v>
      </c>
      <c r="E2954" s="704" t="s">
        <v>824</v>
      </c>
      <c r="F2954" s="705">
        <v>4.4586651636066652E-3</v>
      </c>
      <c r="G2954" s="705">
        <v>7.9409400726807311</v>
      </c>
    </row>
    <row r="2955" spans="2:7" ht="11.25" hidden="1" customHeight="1" outlineLevel="2" x14ac:dyDescent="0.25">
      <c r="B2955" s="704" t="s">
        <v>688</v>
      </c>
      <c r="C2955" s="704" t="s">
        <v>830</v>
      </c>
      <c r="D2955" s="704" t="s">
        <v>675</v>
      </c>
      <c r="E2955" s="704" t="s">
        <v>824</v>
      </c>
      <c r="F2955" s="705">
        <v>3.200361539108723E-3</v>
      </c>
      <c r="G2955" s="705">
        <v>5.6998865179857141</v>
      </c>
    </row>
    <row r="2956" spans="2:7" ht="11.25" hidden="1" customHeight="1" outlineLevel="2" x14ac:dyDescent="0.25">
      <c r="B2956" s="704" t="s">
        <v>689</v>
      </c>
      <c r="C2956" s="704" t="s">
        <v>830</v>
      </c>
      <c r="D2956" s="704" t="s">
        <v>675</v>
      </c>
      <c r="E2956" s="704" t="s">
        <v>824</v>
      </c>
      <c r="F2956" s="706">
        <v>4.731692473334139E-4</v>
      </c>
      <c r="G2956" s="705">
        <v>0.84272082199204301</v>
      </c>
    </row>
    <row r="2957" spans="2:7" ht="11.25" hidden="1" customHeight="1" outlineLevel="2" x14ac:dyDescent="0.25">
      <c r="B2957" s="704" t="s">
        <v>690</v>
      </c>
      <c r="C2957" s="704" t="s">
        <v>830</v>
      </c>
      <c r="D2957" s="704" t="s">
        <v>675</v>
      </c>
      <c r="E2957" s="704" t="s">
        <v>824</v>
      </c>
      <c r="F2957" s="706">
        <v>1.0417608015189114E-2</v>
      </c>
      <c r="G2957" s="705">
        <v>18.55390989155298</v>
      </c>
    </row>
    <row r="2958" spans="2:7" ht="11.25" hidden="1" customHeight="1" outlineLevel="2" x14ac:dyDescent="0.25">
      <c r="B2958" s="704" t="s">
        <v>691</v>
      </c>
      <c r="C2958" s="704" t="s">
        <v>830</v>
      </c>
      <c r="D2958" s="704" t="s">
        <v>675</v>
      </c>
      <c r="E2958" s="704" t="s">
        <v>824</v>
      </c>
      <c r="F2958" s="706">
        <v>1.1897238442763206E-2</v>
      </c>
      <c r="G2958" s="705">
        <v>21.189139707261539</v>
      </c>
    </row>
    <row r="2959" spans="2:7" ht="11.25" hidden="1" customHeight="1" outlineLevel="2" x14ac:dyDescent="0.25">
      <c r="B2959" s="704" t="s">
        <v>692</v>
      </c>
      <c r="C2959" s="704" t="s">
        <v>830</v>
      </c>
      <c r="D2959" s="704" t="s">
        <v>675</v>
      </c>
      <c r="E2959" s="704" t="s">
        <v>824</v>
      </c>
      <c r="F2959" s="705">
        <v>6.9572099285788449E-4</v>
      </c>
      <c r="G2959" s="705">
        <v>1.2390878977874078</v>
      </c>
    </row>
    <row r="2960" spans="2:7" ht="11.25" hidden="1" customHeight="1" outlineLevel="2" x14ac:dyDescent="0.25">
      <c r="B2960" s="704" t="s">
        <v>693</v>
      </c>
      <c r="C2960" s="704" t="s">
        <v>830</v>
      </c>
      <c r="D2960" s="704" t="s">
        <v>675</v>
      </c>
      <c r="E2960" s="704" t="s">
        <v>824</v>
      </c>
      <c r="F2960" s="705">
        <v>1.7366575941608012E-3</v>
      </c>
      <c r="G2960" s="705">
        <v>3.0930104515017298</v>
      </c>
    </row>
    <row r="2961" spans="2:7" ht="11.25" hidden="1" customHeight="1" outlineLevel="2" x14ac:dyDescent="0.25">
      <c r="B2961" s="704" t="s">
        <v>694</v>
      </c>
      <c r="C2961" s="704" t="s">
        <v>830</v>
      </c>
      <c r="D2961" s="704" t="s">
        <v>675</v>
      </c>
      <c r="E2961" s="704" t="s">
        <v>824</v>
      </c>
      <c r="F2961" s="705">
        <v>1.9469954952875838E-4</v>
      </c>
      <c r="G2961" s="705">
        <v>0.34676264104854809</v>
      </c>
    </row>
    <row r="2962" spans="2:7" ht="11.25" hidden="1" customHeight="1" outlineLevel="2" x14ac:dyDescent="0.25">
      <c r="B2962" s="704" t="s">
        <v>695</v>
      </c>
      <c r="C2962" s="704" t="s">
        <v>830</v>
      </c>
      <c r="D2962" s="704" t="s">
        <v>675</v>
      </c>
      <c r="E2962" s="704" t="s">
        <v>824</v>
      </c>
      <c r="F2962" s="705">
        <v>9.2351878305848786E-4</v>
      </c>
      <c r="G2962" s="705">
        <v>1.6447999715606909</v>
      </c>
    </row>
    <row r="2963" spans="2:7" ht="11.25" hidden="1" customHeight="1" outlineLevel="2" x14ac:dyDescent="0.25">
      <c r="B2963" s="704" t="s">
        <v>696</v>
      </c>
      <c r="C2963" s="704" t="s">
        <v>830</v>
      </c>
      <c r="D2963" s="704" t="s">
        <v>675</v>
      </c>
      <c r="E2963" s="704" t="s">
        <v>824</v>
      </c>
      <c r="F2963" s="705">
        <v>2.3074505815177219E-3</v>
      </c>
      <c r="G2963" s="705">
        <v>4.109602070530407</v>
      </c>
    </row>
    <row r="2964" spans="2:7" ht="11.25" hidden="1" customHeight="1" outlineLevel="2" x14ac:dyDescent="0.25">
      <c r="B2964" s="704" t="s">
        <v>697</v>
      </c>
      <c r="C2964" s="704" t="s">
        <v>830</v>
      </c>
      <c r="D2964" s="704" t="s">
        <v>675</v>
      </c>
      <c r="E2964" s="704" t="s">
        <v>824</v>
      </c>
      <c r="F2964" s="705">
        <v>1.2624742695856739E-3</v>
      </c>
      <c r="G2964" s="705">
        <v>2.2484836408553095</v>
      </c>
    </row>
    <row r="2965" spans="2:7" ht="11.25" hidden="1" customHeight="1" outlineLevel="2" x14ac:dyDescent="0.25">
      <c r="B2965" s="704" t="s">
        <v>698</v>
      </c>
      <c r="C2965" s="704" t="s">
        <v>830</v>
      </c>
      <c r="D2965" s="704" t="s">
        <v>675</v>
      </c>
      <c r="E2965" s="704" t="s">
        <v>824</v>
      </c>
      <c r="F2965" s="705">
        <v>1.3863074495958877E-3</v>
      </c>
      <c r="G2965" s="705">
        <v>2.4690320022559962</v>
      </c>
    </row>
    <row r="2966" spans="2:7" ht="11.25" hidden="1" customHeight="1" outlineLevel="2" x14ac:dyDescent="0.25">
      <c r="B2966" s="704" t="s">
        <v>699</v>
      </c>
      <c r="C2966" s="704" t="s">
        <v>830</v>
      </c>
      <c r="D2966" s="704" t="s">
        <v>675</v>
      </c>
      <c r="E2966" s="704" t="s">
        <v>824</v>
      </c>
      <c r="F2966" s="705">
        <v>5.1446058839019298E-34</v>
      </c>
      <c r="G2966" s="705">
        <v>8.9750478892751075E-31</v>
      </c>
    </row>
    <row r="2967" spans="2:7" ht="11.25" hidden="1" customHeight="1" outlineLevel="2" x14ac:dyDescent="0.25">
      <c r="B2967" s="704" t="s">
        <v>673</v>
      </c>
      <c r="C2967" s="704" t="s">
        <v>831</v>
      </c>
      <c r="D2967" s="704" t="s">
        <v>675</v>
      </c>
      <c r="E2967" s="704" t="s">
        <v>824</v>
      </c>
      <c r="F2967" s="705">
        <v>1.2038978425747801E-4</v>
      </c>
      <c r="G2967" s="705">
        <v>1.985689365911584</v>
      </c>
    </row>
    <row r="2968" spans="2:7" ht="11.25" hidden="1" customHeight="1" outlineLevel="2" x14ac:dyDescent="0.25">
      <c r="B2968" s="704" t="s">
        <v>677</v>
      </c>
      <c r="C2968" s="704" t="s">
        <v>831</v>
      </c>
      <c r="D2968" s="704" t="s">
        <v>675</v>
      </c>
      <c r="E2968" s="704" t="s">
        <v>824</v>
      </c>
      <c r="F2968" s="705">
        <v>1.997849793368341E-3</v>
      </c>
      <c r="G2968" s="705">
        <v>32.952172705121257</v>
      </c>
    </row>
    <row r="2969" spans="2:7" ht="11.25" hidden="1" customHeight="1" outlineLevel="2" x14ac:dyDescent="0.25">
      <c r="B2969" s="704" t="s">
        <v>678</v>
      </c>
      <c r="C2969" s="704" t="s">
        <v>831</v>
      </c>
      <c r="D2969" s="704" t="s">
        <v>675</v>
      </c>
      <c r="E2969" s="704" t="s">
        <v>824</v>
      </c>
      <c r="F2969" s="705">
        <v>4.6276491021284101E-3</v>
      </c>
      <c r="G2969" s="705">
        <v>76.327631890619003</v>
      </c>
    </row>
    <row r="2970" spans="2:7" ht="11.25" hidden="1" customHeight="1" outlineLevel="2" x14ac:dyDescent="0.25">
      <c r="B2970" s="704" t="s">
        <v>679</v>
      </c>
      <c r="C2970" s="704" t="s">
        <v>831</v>
      </c>
      <c r="D2970" s="704" t="s">
        <v>675</v>
      </c>
      <c r="E2970" s="704" t="s">
        <v>824</v>
      </c>
      <c r="F2970" s="706">
        <v>3.7554367300154039E-4</v>
      </c>
      <c r="G2970" s="705">
        <v>6.1941515531103324</v>
      </c>
    </row>
    <row r="2971" spans="2:7" ht="11.25" hidden="1" customHeight="1" outlineLevel="2" x14ac:dyDescent="0.25">
      <c r="B2971" s="704" t="s">
        <v>680</v>
      </c>
      <c r="C2971" s="704" t="s">
        <v>831</v>
      </c>
      <c r="D2971" s="704" t="s">
        <v>675</v>
      </c>
      <c r="E2971" s="704" t="s">
        <v>824</v>
      </c>
      <c r="F2971" s="706">
        <v>6.9605945154472843E-5</v>
      </c>
      <c r="G2971" s="705">
        <v>1.1480677869131977</v>
      </c>
    </row>
    <row r="2972" spans="2:7" ht="11.25" hidden="1" customHeight="1" outlineLevel="2" x14ac:dyDescent="0.25">
      <c r="B2972" s="704" t="s">
        <v>681</v>
      </c>
      <c r="C2972" s="704" t="s">
        <v>831</v>
      </c>
      <c r="D2972" s="704" t="s">
        <v>675</v>
      </c>
      <c r="E2972" s="704" t="s">
        <v>824</v>
      </c>
      <c r="F2972" s="705">
        <v>5.8710401740726267E-4</v>
      </c>
      <c r="G2972" s="705">
        <v>9.6835872711472959</v>
      </c>
    </row>
    <row r="2973" spans="2:7" ht="11.25" hidden="1" customHeight="1" outlineLevel="2" x14ac:dyDescent="0.25">
      <c r="B2973" s="704" t="s">
        <v>682</v>
      </c>
      <c r="C2973" s="704" t="s">
        <v>831</v>
      </c>
      <c r="D2973" s="704" t="s">
        <v>675</v>
      </c>
      <c r="E2973" s="704" t="s">
        <v>824</v>
      </c>
      <c r="F2973" s="705">
        <v>5.1538724822974618E-4</v>
      </c>
      <c r="G2973" s="705">
        <v>8.5007086479590672</v>
      </c>
    </row>
    <row r="2974" spans="2:7" ht="11.25" hidden="1" customHeight="1" outlineLevel="2" x14ac:dyDescent="0.25">
      <c r="B2974" s="704" t="s">
        <v>683</v>
      </c>
      <c r="C2974" s="704" t="s">
        <v>831</v>
      </c>
      <c r="D2974" s="704" t="s">
        <v>675</v>
      </c>
      <c r="E2974" s="704" t="s">
        <v>824</v>
      </c>
      <c r="F2974" s="705">
        <v>8.5593718360413794E-4</v>
      </c>
      <c r="G2974" s="705">
        <v>14.117667403841851</v>
      </c>
    </row>
    <row r="2975" spans="2:7" ht="11.25" hidden="1" customHeight="1" outlineLevel="2" x14ac:dyDescent="0.25">
      <c r="B2975" s="704" t="s">
        <v>684</v>
      </c>
      <c r="C2975" s="704" t="s">
        <v>831</v>
      </c>
      <c r="D2975" s="704" t="s">
        <v>675</v>
      </c>
      <c r="E2975" s="704" t="s">
        <v>824</v>
      </c>
      <c r="F2975" s="705">
        <v>1.1172508900300163E-4</v>
      </c>
      <c r="G2975" s="705">
        <v>1.842773250616915</v>
      </c>
    </row>
    <row r="2976" spans="2:7" ht="11.25" hidden="1" customHeight="1" outlineLevel="2" x14ac:dyDescent="0.25">
      <c r="B2976" s="704" t="s">
        <v>685</v>
      </c>
      <c r="C2976" s="704" t="s">
        <v>831</v>
      </c>
      <c r="D2976" s="704" t="s">
        <v>675</v>
      </c>
      <c r="E2976" s="704" t="s">
        <v>824</v>
      </c>
      <c r="F2976" s="705">
        <v>1.0272031955651021E-3</v>
      </c>
      <c r="G2976" s="705">
        <v>16.942511363142351</v>
      </c>
    </row>
    <row r="2977" spans="2:7" ht="11.25" hidden="1" customHeight="1" outlineLevel="2" x14ac:dyDescent="0.25">
      <c r="B2977" s="704" t="s">
        <v>686</v>
      </c>
      <c r="C2977" s="704" t="s">
        <v>831</v>
      </c>
      <c r="D2977" s="704" t="s">
        <v>675</v>
      </c>
      <c r="E2977" s="704" t="s">
        <v>824</v>
      </c>
      <c r="F2977" s="705">
        <v>2.4150436061693724E-4</v>
      </c>
      <c r="G2977" s="705">
        <v>3.9833312563131358</v>
      </c>
    </row>
    <row r="2978" spans="2:7" ht="11.25" hidden="1" customHeight="1" outlineLevel="2" x14ac:dyDescent="0.25">
      <c r="B2978" s="704" t="s">
        <v>687</v>
      </c>
      <c r="C2978" s="704" t="s">
        <v>831</v>
      </c>
      <c r="D2978" s="704" t="s">
        <v>675</v>
      </c>
      <c r="E2978" s="704" t="s">
        <v>824</v>
      </c>
      <c r="F2978" s="705">
        <v>1.2370740350387294E-3</v>
      </c>
      <c r="G2978" s="705">
        <v>20.404074122770382</v>
      </c>
    </row>
    <row r="2979" spans="2:7" ht="11.25" hidden="1" customHeight="1" outlineLevel="2" x14ac:dyDescent="0.25">
      <c r="B2979" s="704" t="s">
        <v>688</v>
      </c>
      <c r="C2979" s="704" t="s">
        <v>831</v>
      </c>
      <c r="D2979" s="704" t="s">
        <v>675</v>
      </c>
      <c r="E2979" s="704" t="s">
        <v>824</v>
      </c>
      <c r="F2979" s="705">
        <v>8.8795248524781449E-4</v>
      </c>
      <c r="G2979" s="705">
        <v>14.645735117544724</v>
      </c>
    </row>
    <row r="2980" spans="2:7" ht="11.25" hidden="1" customHeight="1" outlineLevel="2" x14ac:dyDescent="0.25">
      <c r="B2980" s="704" t="s">
        <v>689</v>
      </c>
      <c r="C2980" s="704" t="s">
        <v>831</v>
      </c>
      <c r="D2980" s="704" t="s">
        <v>675</v>
      </c>
      <c r="E2980" s="704" t="s">
        <v>824</v>
      </c>
      <c r="F2980" s="705">
        <v>1.3128263528162134E-4</v>
      </c>
      <c r="G2980" s="705">
        <v>2.165352975601825</v>
      </c>
    </row>
    <row r="2981" spans="2:7" ht="11.25" hidden="1" customHeight="1" outlineLevel="2" x14ac:dyDescent="0.25">
      <c r="B2981" s="704" t="s">
        <v>690</v>
      </c>
      <c r="C2981" s="704" t="s">
        <v>831</v>
      </c>
      <c r="D2981" s="704" t="s">
        <v>675</v>
      </c>
      <c r="E2981" s="704" t="s">
        <v>824</v>
      </c>
      <c r="F2981" s="705">
        <v>2.8904080474766967E-3</v>
      </c>
      <c r="G2981" s="705">
        <v>47.673853612350918</v>
      </c>
    </row>
    <row r="2982" spans="2:7" ht="11.25" hidden="1" customHeight="1" outlineLevel="2" x14ac:dyDescent="0.25">
      <c r="B2982" s="704" t="s">
        <v>691</v>
      </c>
      <c r="C2982" s="704" t="s">
        <v>831</v>
      </c>
      <c r="D2982" s="704" t="s">
        <v>675</v>
      </c>
      <c r="E2982" s="704" t="s">
        <v>824</v>
      </c>
      <c r="F2982" s="705">
        <v>3.3009351290839554E-3</v>
      </c>
      <c r="G2982" s="705">
        <v>54.445051288217073</v>
      </c>
    </row>
    <row r="2983" spans="2:7" ht="11.25" hidden="1" customHeight="1" outlineLevel="2" x14ac:dyDescent="0.25">
      <c r="B2983" s="704" t="s">
        <v>692</v>
      </c>
      <c r="C2983" s="704" t="s">
        <v>831</v>
      </c>
      <c r="D2983" s="704" t="s">
        <v>675</v>
      </c>
      <c r="E2983" s="704" t="s">
        <v>824</v>
      </c>
      <c r="F2983" s="705">
        <v>1.9303048581571325E-4</v>
      </c>
      <c r="G2983" s="705">
        <v>3.1838116406986194</v>
      </c>
    </row>
    <row r="2984" spans="2:7" ht="11.25" hidden="1" customHeight="1" outlineLevel="2" x14ac:dyDescent="0.25">
      <c r="B2984" s="704" t="s">
        <v>693</v>
      </c>
      <c r="C2984" s="704" t="s">
        <v>831</v>
      </c>
      <c r="D2984" s="704" t="s">
        <v>675</v>
      </c>
      <c r="E2984" s="704" t="s">
        <v>824</v>
      </c>
      <c r="F2984" s="705">
        <v>4.8184249121345187E-4</v>
      </c>
      <c r="G2984" s="705">
        <v>7.9474245446040248</v>
      </c>
    </row>
    <row r="2985" spans="2:7" ht="11.25" hidden="1" customHeight="1" outlineLevel="2" x14ac:dyDescent="0.25">
      <c r="B2985" s="704" t="s">
        <v>694</v>
      </c>
      <c r="C2985" s="704" t="s">
        <v>831</v>
      </c>
      <c r="D2985" s="704" t="s">
        <v>675</v>
      </c>
      <c r="E2985" s="704" t="s">
        <v>824</v>
      </c>
      <c r="F2985" s="705">
        <v>5.40201789845248E-5</v>
      </c>
      <c r="G2985" s="705">
        <v>0.8910001013494383</v>
      </c>
    </row>
    <row r="2986" spans="2:7" ht="11.25" hidden="1" customHeight="1" outlineLevel="2" x14ac:dyDescent="0.25">
      <c r="B2986" s="704" t="s">
        <v>695</v>
      </c>
      <c r="C2986" s="704" t="s">
        <v>831</v>
      </c>
      <c r="D2986" s="704" t="s">
        <v>675</v>
      </c>
      <c r="E2986" s="704" t="s">
        <v>824</v>
      </c>
      <c r="F2986" s="705">
        <v>2.562339851851615E-4</v>
      </c>
      <c r="G2986" s="705">
        <v>4.2262795168249143</v>
      </c>
    </row>
    <row r="2987" spans="2:7" ht="11.25" hidden="1" customHeight="1" outlineLevel="2" x14ac:dyDescent="0.25">
      <c r="B2987" s="704" t="s">
        <v>696</v>
      </c>
      <c r="C2987" s="704" t="s">
        <v>831</v>
      </c>
      <c r="D2987" s="704" t="s">
        <v>675</v>
      </c>
      <c r="E2987" s="704" t="s">
        <v>824</v>
      </c>
      <c r="F2987" s="706">
        <v>6.4021142093971788E-4</v>
      </c>
      <c r="G2987" s="705">
        <v>10.559537474261422</v>
      </c>
    </row>
    <row r="2988" spans="2:7" ht="11.25" hidden="1" customHeight="1" outlineLevel="2" x14ac:dyDescent="0.25">
      <c r="B2988" s="704" t="s">
        <v>697</v>
      </c>
      <c r="C2988" s="704" t="s">
        <v>831</v>
      </c>
      <c r="D2988" s="704" t="s">
        <v>675</v>
      </c>
      <c r="E2988" s="704" t="s">
        <v>824</v>
      </c>
      <c r="F2988" s="706">
        <v>3.5027854667896651E-4</v>
      </c>
      <c r="G2988" s="705">
        <v>5.7774329502054016</v>
      </c>
    </row>
    <row r="2989" spans="2:7" ht="11.25" hidden="1" customHeight="1" outlineLevel="2" x14ac:dyDescent="0.25">
      <c r="B2989" s="704" t="s">
        <v>698</v>
      </c>
      <c r="C2989" s="704" t="s">
        <v>831</v>
      </c>
      <c r="D2989" s="704" t="s">
        <v>675</v>
      </c>
      <c r="E2989" s="704" t="s">
        <v>824</v>
      </c>
      <c r="F2989" s="706">
        <v>3.8463640510953657E-4</v>
      </c>
      <c r="G2989" s="705">
        <v>6.3441257662699648</v>
      </c>
    </row>
    <row r="2990" spans="2:7" ht="11.25" hidden="1" customHeight="1" outlineLevel="2" x14ac:dyDescent="0.25">
      <c r="B2990" s="704" t="s">
        <v>699</v>
      </c>
      <c r="C2990" s="704" t="s">
        <v>831</v>
      </c>
      <c r="D2990" s="704" t="s">
        <v>675</v>
      </c>
      <c r="E2990" s="704" t="s">
        <v>824</v>
      </c>
      <c r="F2990" s="706">
        <v>3.4206548151183186E-37</v>
      </c>
      <c r="G2990" s="705">
        <v>6.4615878927369862E-33</v>
      </c>
    </row>
    <row r="2991" spans="2:7" ht="11.25" hidden="1" customHeight="1" outlineLevel="2" x14ac:dyDescent="0.25">
      <c r="B2991" s="704" t="s">
        <v>673</v>
      </c>
      <c r="C2991" s="704" t="s">
        <v>832</v>
      </c>
      <c r="D2991" s="704" t="s">
        <v>675</v>
      </c>
      <c r="E2991" s="704" t="s">
        <v>824</v>
      </c>
      <c r="F2991" s="706">
        <v>3.2908137132080007E-4</v>
      </c>
      <c r="G2991" s="705">
        <v>0.79087859166600727</v>
      </c>
    </row>
    <row r="2992" spans="2:7" ht="11.25" hidden="1" customHeight="1" outlineLevel="2" x14ac:dyDescent="0.25">
      <c r="B2992" s="704" t="s">
        <v>677</v>
      </c>
      <c r="C2992" s="704" t="s">
        <v>832</v>
      </c>
      <c r="D2992" s="704" t="s">
        <v>675</v>
      </c>
      <c r="E2992" s="704" t="s">
        <v>824</v>
      </c>
      <c r="F2992" s="706">
        <v>5.4610541127784358E-3</v>
      </c>
      <c r="G2992" s="705">
        <v>13.124499515856058</v>
      </c>
    </row>
    <row r="2993" spans="2:7" ht="11.25" hidden="1" customHeight="1" outlineLevel="2" x14ac:dyDescent="0.25">
      <c r="B2993" s="704" t="s">
        <v>678</v>
      </c>
      <c r="C2993" s="704" t="s">
        <v>832</v>
      </c>
      <c r="D2993" s="704" t="s">
        <v>675</v>
      </c>
      <c r="E2993" s="704" t="s">
        <v>824</v>
      </c>
      <c r="F2993" s="706">
        <v>1.2649519286572125E-2</v>
      </c>
      <c r="G2993" s="705">
        <v>30.40047111913</v>
      </c>
    </row>
    <row r="2994" spans="2:7" ht="11.25" hidden="1" customHeight="1" outlineLevel="2" x14ac:dyDescent="0.25">
      <c r="B2994" s="704" t="s">
        <v>679</v>
      </c>
      <c r="C2994" s="704" t="s">
        <v>832</v>
      </c>
      <c r="D2994" s="704" t="s">
        <v>675</v>
      </c>
      <c r="E2994" s="704" t="s">
        <v>824</v>
      </c>
      <c r="F2994" s="706">
        <v>1.0265356866156529E-3</v>
      </c>
      <c r="G2994" s="705">
        <v>2.4670635894609112</v>
      </c>
    </row>
    <row r="2995" spans="2:7" ht="11.25" hidden="1" customHeight="1" outlineLevel="2" x14ac:dyDescent="0.25">
      <c r="B2995" s="704" t="s">
        <v>680</v>
      </c>
      <c r="C2995" s="704" t="s">
        <v>832</v>
      </c>
      <c r="D2995" s="704" t="s">
        <v>675</v>
      </c>
      <c r="E2995" s="704" t="s">
        <v>824</v>
      </c>
      <c r="F2995" s="706">
        <v>1.9026528187644505E-4</v>
      </c>
      <c r="G2995" s="705">
        <v>0.45726306868716315</v>
      </c>
    </row>
    <row r="2996" spans="2:7" ht="11.25" hidden="1" customHeight="1" outlineLevel="2" x14ac:dyDescent="0.25">
      <c r="B2996" s="704" t="s">
        <v>681</v>
      </c>
      <c r="C2996" s="704" t="s">
        <v>832</v>
      </c>
      <c r="D2996" s="704" t="s">
        <v>675</v>
      </c>
      <c r="E2996" s="704" t="s">
        <v>824</v>
      </c>
      <c r="F2996" s="706">
        <v>1.6048280847340724E-3</v>
      </c>
      <c r="G2996" s="705">
        <v>3.8568699241875768</v>
      </c>
    </row>
    <row r="2997" spans="2:7" ht="11.25" hidden="1" customHeight="1" outlineLevel="2" x14ac:dyDescent="0.25">
      <c r="B2997" s="704" t="s">
        <v>682</v>
      </c>
      <c r="C2997" s="704" t="s">
        <v>832</v>
      </c>
      <c r="D2997" s="704" t="s">
        <v>675</v>
      </c>
      <c r="E2997" s="704" t="s">
        <v>824</v>
      </c>
      <c r="F2997" s="705">
        <v>1.4087937431657128E-3</v>
      </c>
      <c r="G2997" s="705">
        <v>3.3298057575020943</v>
      </c>
    </row>
    <row r="2998" spans="2:7" ht="11.25" hidden="1" customHeight="1" outlineLevel="2" x14ac:dyDescent="0.25">
      <c r="B2998" s="704" t="s">
        <v>683</v>
      </c>
      <c r="C2998" s="704" t="s">
        <v>832</v>
      </c>
      <c r="D2998" s="704" t="s">
        <v>675</v>
      </c>
      <c r="E2998" s="704" t="s">
        <v>824</v>
      </c>
      <c r="F2998" s="705">
        <v>2.3396731575651719E-3</v>
      </c>
      <c r="G2998" s="705">
        <v>5.6229159543255118</v>
      </c>
    </row>
    <row r="2999" spans="2:7" ht="11.25" hidden="1" customHeight="1" outlineLevel="2" x14ac:dyDescent="0.25">
      <c r="B2999" s="704" t="s">
        <v>684</v>
      </c>
      <c r="C2999" s="704" t="s">
        <v>832</v>
      </c>
      <c r="D2999" s="704" t="s">
        <v>675</v>
      </c>
      <c r="E2999" s="704" t="s">
        <v>824</v>
      </c>
      <c r="F2999" s="706">
        <v>3.0539654689813647E-4</v>
      </c>
      <c r="G2999" s="705">
        <v>0.73395690135890856</v>
      </c>
    </row>
    <row r="3000" spans="2:7" ht="11.25" hidden="1" customHeight="1" outlineLevel="2" x14ac:dyDescent="0.25">
      <c r="B3000" s="704" t="s">
        <v>685</v>
      </c>
      <c r="C3000" s="704" t="s">
        <v>832</v>
      </c>
      <c r="D3000" s="704" t="s">
        <v>675</v>
      </c>
      <c r="E3000" s="704" t="s">
        <v>824</v>
      </c>
      <c r="F3000" s="705">
        <v>2.8078241829473821E-3</v>
      </c>
      <c r="G3000" s="705">
        <v>6.7480209334450594</v>
      </c>
    </row>
    <row r="3001" spans="2:7" ht="11.25" hidden="1" customHeight="1" outlineLevel="2" x14ac:dyDescent="0.25">
      <c r="B3001" s="704" t="s">
        <v>686</v>
      </c>
      <c r="C3001" s="704" t="s">
        <v>832</v>
      </c>
      <c r="D3001" s="704" t="s">
        <v>675</v>
      </c>
      <c r="E3001" s="704" t="s">
        <v>824</v>
      </c>
      <c r="F3001" s="705">
        <v>6.6014365236063922E-4</v>
      </c>
      <c r="G3001" s="705">
        <v>1.5865184614993781</v>
      </c>
    </row>
    <row r="3002" spans="2:7" ht="11.25" hidden="1" customHeight="1" outlineLevel="2" x14ac:dyDescent="0.25">
      <c r="B3002" s="704" t="s">
        <v>687</v>
      </c>
      <c r="C3002" s="704" t="s">
        <v>832</v>
      </c>
      <c r="D3002" s="704" t="s">
        <v>675</v>
      </c>
      <c r="E3002" s="704" t="s">
        <v>824</v>
      </c>
      <c r="F3002" s="705">
        <v>3.3814995732835158E-3</v>
      </c>
      <c r="G3002" s="705">
        <v>8.1267285344898497</v>
      </c>
    </row>
    <row r="3003" spans="2:7" ht="11.25" hidden="1" customHeight="1" outlineLevel="2" x14ac:dyDescent="0.25">
      <c r="B3003" s="704" t="s">
        <v>688</v>
      </c>
      <c r="C3003" s="704" t="s">
        <v>832</v>
      </c>
      <c r="D3003" s="704" t="s">
        <v>675</v>
      </c>
      <c r="E3003" s="704" t="s">
        <v>824</v>
      </c>
      <c r="F3003" s="705">
        <v>2.427188819656007E-3</v>
      </c>
      <c r="G3003" s="705">
        <v>5.8332406334452145</v>
      </c>
    </row>
    <row r="3004" spans="2:7" ht="11.25" hidden="1" customHeight="1" outlineLevel="2" x14ac:dyDescent="0.25">
      <c r="B3004" s="704" t="s">
        <v>689</v>
      </c>
      <c r="C3004" s="704" t="s">
        <v>832</v>
      </c>
      <c r="D3004" s="704" t="s">
        <v>675</v>
      </c>
      <c r="E3004" s="704" t="s">
        <v>824</v>
      </c>
      <c r="F3004" s="705">
        <v>3.5885661935300601E-4</v>
      </c>
      <c r="G3004" s="705">
        <v>0.86243697692195154</v>
      </c>
    </row>
    <row r="3005" spans="2:7" ht="11.25" hidden="1" customHeight="1" outlineLevel="2" x14ac:dyDescent="0.25">
      <c r="B3005" s="704" t="s">
        <v>690</v>
      </c>
      <c r="C3005" s="704" t="s">
        <v>832</v>
      </c>
      <c r="D3005" s="704" t="s">
        <v>675</v>
      </c>
      <c r="E3005" s="704" t="s">
        <v>824</v>
      </c>
      <c r="F3005" s="705">
        <v>7.9008238799975102E-3</v>
      </c>
      <c r="G3005" s="705">
        <v>18.987984992498866</v>
      </c>
    </row>
    <row r="3006" spans="2:7" ht="11.25" hidden="1" customHeight="1" outlineLevel="2" x14ac:dyDescent="0.25">
      <c r="B3006" s="704" t="s">
        <v>691</v>
      </c>
      <c r="C3006" s="704" t="s">
        <v>832</v>
      </c>
      <c r="D3006" s="704" t="s">
        <v>675</v>
      </c>
      <c r="E3006" s="704" t="s">
        <v>824</v>
      </c>
      <c r="F3006" s="705">
        <v>9.0229942582440714E-3</v>
      </c>
      <c r="G3006" s="705">
        <v>21.684878112376325</v>
      </c>
    </row>
    <row r="3007" spans="2:7" ht="11.25" hidden="1" customHeight="1" outlineLevel="2" x14ac:dyDescent="0.25">
      <c r="B3007" s="704" t="s">
        <v>692</v>
      </c>
      <c r="C3007" s="704" t="s">
        <v>832</v>
      </c>
      <c r="D3007" s="704" t="s">
        <v>675</v>
      </c>
      <c r="E3007" s="704" t="s">
        <v>824</v>
      </c>
      <c r="F3007" s="705">
        <v>5.2764218091916272E-4</v>
      </c>
      <c r="G3007" s="705">
        <v>1.2680786430598392</v>
      </c>
    </row>
    <row r="3008" spans="2:7" ht="11.25" hidden="1" customHeight="1" outlineLevel="2" x14ac:dyDescent="0.25">
      <c r="B3008" s="704" t="s">
        <v>693</v>
      </c>
      <c r="C3008" s="704" t="s">
        <v>832</v>
      </c>
      <c r="D3008" s="704" t="s">
        <v>675</v>
      </c>
      <c r="E3008" s="704" t="s">
        <v>824</v>
      </c>
      <c r="F3008" s="705">
        <v>1.3170996808128761E-3</v>
      </c>
      <c r="G3008" s="705">
        <v>3.16537477112389</v>
      </c>
    </row>
    <row r="3009" spans="2:7" ht="11.25" hidden="1" customHeight="1" outlineLevel="2" x14ac:dyDescent="0.25">
      <c r="B3009" s="704" t="s">
        <v>694</v>
      </c>
      <c r="C3009" s="704" t="s">
        <v>832</v>
      </c>
      <c r="D3009" s="704" t="s">
        <v>675</v>
      </c>
      <c r="E3009" s="704" t="s">
        <v>824</v>
      </c>
      <c r="F3009" s="705">
        <v>1.4766236869622162E-4</v>
      </c>
      <c r="G3009" s="705">
        <v>0.35487559685357623</v>
      </c>
    </row>
    <row r="3010" spans="2:7" ht="11.25" hidden="1" customHeight="1" outlineLevel="2" x14ac:dyDescent="0.25">
      <c r="B3010" s="704" t="s">
        <v>695</v>
      </c>
      <c r="C3010" s="704" t="s">
        <v>832</v>
      </c>
      <c r="D3010" s="704" t="s">
        <v>675</v>
      </c>
      <c r="E3010" s="704" t="s">
        <v>824</v>
      </c>
      <c r="F3010" s="705">
        <v>7.0040717728497089E-4</v>
      </c>
      <c r="G3010" s="705">
        <v>1.6832824419443024</v>
      </c>
    </row>
    <row r="3011" spans="2:7" ht="11.25" hidden="1" customHeight="1" outlineLevel="2" x14ac:dyDescent="0.25">
      <c r="B3011" s="704" t="s">
        <v>696</v>
      </c>
      <c r="C3011" s="704" t="s">
        <v>832</v>
      </c>
      <c r="D3011" s="704" t="s">
        <v>675</v>
      </c>
      <c r="E3011" s="704" t="s">
        <v>824</v>
      </c>
      <c r="F3011" s="705">
        <v>1.7499964131050399E-3</v>
      </c>
      <c r="G3011" s="705">
        <v>4.2057504991155881</v>
      </c>
    </row>
    <row r="3012" spans="2:7" ht="11.25" hidden="1" customHeight="1" outlineLevel="2" x14ac:dyDescent="0.25">
      <c r="B3012" s="704" t="s">
        <v>697</v>
      </c>
      <c r="C3012" s="704" t="s">
        <v>832</v>
      </c>
      <c r="D3012" s="704" t="s">
        <v>675</v>
      </c>
      <c r="E3012" s="704" t="s">
        <v>824</v>
      </c>
      <c r="F3012" s="705">
        <v>9.5747414047953354E-4</v>
      </c>
      <c r="G3012" s="705">
        <v>2.3010895943824243</v>
      </c>
    </row>
    <row r="3013" spans="2:7" ht="11.25" hidden="1" customHeight="1" outlineLevel="2" x14ac:dyDescent="0.25">
      <c r="B3013" s="704" t="s">
        <v>698</v>
      </c>
      <c r="C3013" s="704" t="s">
        <v>832</v>
      </c>
      <c r="D3013" s="704" t="s">
        <v>675</v>
      </c>
      <c r="E3013" s="704" t="s">
        <v>824</v>
      </c>
      <c r="F3013" s="705">
        <v>1.0513905312791662E-3</v>
      </c>
      <c r="G3013" s="705">
        <v>2.6920039620918246</v>
      </c>
    </row>
    <row r="3014" spans="2:7" ht="11.25" hidden="1" customHeight="1" outlineLevel="2" x14ac:dyDescent="0.25">
      <c r="B3014" s="704" t="s">
        <v>699</v>
      </c>
      <c r="C3014" s="704" t="s">
        <v>832</v>
      </c>
      <c r="D3014" s="704" t="s">
        <v>675</v>
      </c>
      <c r="E3014" s="704" t="s">
        <v>824</v>
      </c>
      <c r="F3014" s="705">
        <v>8.9880013977959222E-35</v>
      </c>
      <c r="G3014" s="705">
        <v>2.1532901516339633E-31</v>
      </c>
    </row>
    <row r="3015" spans="2:7" ht="11.25" hidden="1" customHeight="1" outlineLevel="2" x14ac:dyDescent="0.25">
      <c r="B3015" s="704" t="s">
        <v>673</v>
      </c>
      <c r="C3015" s="704" t="s">
        <v>833</v>
      </c>
      <c r="D3015" s="704" t="s">
        <v>675</v>
      </c>
      <c r="E3015" s="704" t="s">
        <v>824</v>
      </c>
      <c r="F3015" s="705">
        <v>5.0259717809454929E-5</v>
      </c>
      <c r="G3015" s="705">
        <v>0.12726389617623471</v>
      </c>
    </row>
    <row r="3016" spans="2:7" ht="11.25" hidden="1" customHeight="1" outlineLevel="2" x14ac:dyDescent="0.25">
      <c r="B3016" s="704" t="s">
        <v>677</v>
      </c>
      <c r="C3016" s="704" t="s">
        <v>833</v>
      </c>
      <c r="D3016" s="704" t="s">
        <v>675</v>
      </c>
      <c r="E3016" s="704" t="s">
        <v>824</v>
      </c>
      <c r="F3016" s="705">
        <v>8.3405253239465251E-4</v>
      </c>
      <c r="G3016" s="705">
        <v>2.1119246133467899</v>
      </c>
    </row>
    <row r="3017" spans="2:7" ht="11.25" hidden="1" customHeight="1" outlineLevel="2" x14ac:dyDescent="0.25">
      <c r="B3017" s="704" t="s">
        <v>678</v>
      </c>
      <c r="C3017" s="704" t="s">
        <v>833</v>
      </c>
      <c r="D3017" s="704" t="s">
        <v>675</v>
      </c>
      <c r="E3017" s="704" t="s">
        <v>824</v>
      </c>
      <c r="F3017" s="705">
        <v>1.9319274794825964E-3</v>
      </c>
      <c r="G3017" s="705">
        <v>4.8918821258522911</v>
      </c>
    </row>
    <row r="3018" spans="2:7" ht="11.25" hidden="1" customHeight="1" outlineLevel="2" x14ac:dyDescent="0.25">
      <c r="B3018" s="704" t="s">
        <v>679</v>
      </c>
      <c r="C3018" s="704" t="s">
        <v>833</v>
      </c>
      <c r="D3018" s="704" t="s">
        <v>675</v>
      </c>
      <c r="E3018" s="704" t="s">
        <v>824</v>
      </c>
      <c r="F3018" s="705">
        <v>1.567800138920246E-4</v>
      </c>
      <c r="G3018" s="705">
        <v>0.39698658345554466</v>
      </c>
    </row>
    <row r="3019" spans="2:7" ht="11.25" hidden="1" customHeight="1" outlineLevel="2" x14ac:dyDescent="0.25">
      <c r="B3019" s="704" t="s">
        <v>680</v>
      </c>
      <c r="C3019" s="704" t="s">
        <v>833</v>
      </c>
      <c r="D3019" s="704" t="s">
        <v>675</v>
      </c>
      <c r="E3019" s="704" t="s">
        <v>824</v>
      </c>
      <c r="F3019" s="705">
        <v>2.9058739266679836E-5</v>
      </c>
      <c r="G3019" s="705">
        <v>7.3580342063450876E-2</v>
      </c>
    </row>
    <row r="3020" spans="2:7" ht="11.25" hidden="1" customHeight="1" outlineLevel="2" x14ac:dyDescent="0.25">
      <c r="B3020" s="704" t="s">
        <v>681</v>
      </c>
      <c r="C3020" s="704" t="s">
        <v>833</v>
      </c>
      <c r="D3020" s="704" t="s">
        <v>675</v>
      </c>
      <c r="E3020" s="704" t="s">
        <v>824</v>
      </c>
      <c r="F3020" s="706">
        <v>2.4510130434040353E-4</v>
      </c>
      <c r="G3020" s="705">
        <v>0.62062671928165292</v>
      </c>
    </row>
    <row r="3021" spans="2:7" ht="11.25" hidden="1" customHeight="1" outlineLevel="2" x14ac:dyDescent="0.25">
      <c r="B3021" s="704" t="s">
        <v>682</v>
      </c>
      <c r="C3021" s="704" t="s">
        <v>833</v>
      </c>
      <c r="D3021" s="704" t="s">
        <v>675</v>
      </c>
      <c r="E3021" s="704" t="s">
        <v>824</v>
      </c>
      <c r="F3021" s="706">
        <v>2.1160673362665279E-4</v>
      </c>
      <c r="G3021" s="705">
        <v>0.54481524858311581</v>
      </c>
    </row>
    <row r="3022" spans="2:7" ht="11.25" hidden="1" customHeight="1" outlineLevel="2" x14ac:dyDescent="0.25">
      <c r="B3022" s="704" t="s">
        <v>683</v>
      </c>
      <c r="C3022" s="704" t="s">
        <v>833</v>
      </c>
      <c r="D3022" s="704" t="s">
        <v>675</v>
      </c>
      <c r="E3022" s="704" t="s">
        <v>824</v>
      </c>
      <c r="F3022" s="706">
        <v>3.5733217891199641E-4</v>
      </c>
      <c r="G3022" s="705">
        <v>0.90480919734597931</v>
      </c>
    </row>
    <row r="3023" spans="2:7" ht="11.25" hidden="1" customHeight="1" outlineLevel="2" x14ac:dyDescent="0.25">
      <c r="B3023" s="704" t="s">
        <v>684</v>
      </c>
      <c r="C3023" s="704" t="s">
        <v>833</v>
      </c>
      <c r="D3023" s="704" t="s">
        <v>675</v>
      </c>
      <c r="E3023" s="704" t="s">
        <v>824</v>
      </c>
      <c r="F3023" s="706">
        <v>4.6642425040518683E-5</v>
      </c>
      <c r="G3023" s="705">
        <v>0.11810441694945482</v>
      </c>
    </row>
    <row r="3024" spans="2:7" ht="11.25" hidden="1" customHeight="1" outlineLevel="2" x14ac:dyDescent="0.25">
      <c r="B3024" s="704" t="s">
        <v>685</v>
      </c>
      <c r="C3024" s="704" t="s">
        <v>833</v>
      </c>
      <c r="D3024" s="704" t="s">
        <v>675</v>
      </c>
      <c r="E3024" s="704" t="s">
        <v>824</v>
      </c>
      <c r="F3024" s="706">
        <v>4.2883166759629223E-4</v>
      </c>
      <c r="G3024" s="705">
        <v>1.0858552198073586</v>
      </c>
    </row>
    <row r="3025" spans="2:7" ht="11.25" hidden="1" customHeight="1" outlineLevel="2" x14ac:dyDescent="0.25">
      <c r="B3025" s="704" t="s">
        <v>686</v>
      </c>
      <c r="C3025" s="704" t="s">
        <v>833</v>
      </c>
      <c r="D3025" s="704" t="s">
        <v>675</v>
      </c>
      <c r="E3025" s="704" t="s">
        <v>824</v>
      </c>
      <c r="F3025" s="706">
        <v>1.0082198689260377E-4</v>
      </c>
      <c r="G3025" s="705">
        <v>0.25529393872532447</v>
      </c>
    </row>
    <row r="3026" spans="2:7" ht="11.25" hidden="1" customHeight="1" outlineLevel="2" x14ac:dyDescent="0.25">
      <c r="B3026" s="704" t="s">
        <v>687</v>
      </c>
      <c r="C3026" s="704" t="s">
        <v>833</v>
      </c>
      <c r="D3026" s="704" t="s">
        <v>675</v>
      </c>
      <c r="E3026" s="704" t="s">
        <v>824</v>
      </c>
      <c r="F3026" s="705">
        <v>5.1644756675154897E-4</v>
      </c>
      <c r="G3026" s="705">
        <v>1.307709499402848</v>
      </c>
    </row>
    <row r="3027" spans="2:7" ht="11.25" hidden="1" customHeight="1" outlineLevel="2" x14ac:dyDescent="0.25">
      <c r="B3027" s="704" t="s">
        <v>688</v>
      </c>
      <c r="C3027" s="704" t="s">
        <v>833</v>
      </c>
      <c r="D3027" s="704" t="s">
        <v>675</v>
      </c>
      <c r="E3027" s="704" t="s">
        <v>824</v>
      </c>
      <c r="F3027" s="705">
        <v>3.7069818280237348E-4</v>
      </c>
      <c r="G3027" s="705">
        <v>0.93865392355230381</v>
      </c>
    </row>
    <row r="3028" spans="2:7" ht="11.25" hidden="1" customHeight="1" outlineLevel="2" x14ac:dyDescent="0.25">
      <c r="B3028" s="704" t="s">
        <v>689</v>
      </c>
      <c r="C3028" s="704" t="s">
        <v>833</v>
      </c>
      <c r="D3028" s="704" t="s">
        <v>675</v>
      </c>
      <c r="E3028" s="704" t="s">
        <v>824</v>
      </c>
      <c r="F3028" s="705">
        <v>5.4807239287307334E-5</v>
      </c>
      <c r="G3028" s="705">
        <v>0.13877874142979385</v>
      </c>
    </row>
    <row r="3029" spans="2:7" ht="11.25" hidden="1" customHeight="1" outlineLevel="2" x14ac:dyDescent="0.25">
      <c r="B3029" s="704" t="s">
        <v>690</v>
      </c>
      <c r="C3029" s="704" t="s">
        <v>833</v>
      </c>
      <c r="D3029" s="704" t="s">
        <v>675</v>
      </c>
      <c r="E3029" s="704" t="s">
        <v>824</v>
      </c>
      <c r="F3029" s="705">
        <v>1.2066723080553126E-3</v>
      </c>
      <c r="G3029" s="705">
        <v>3.0554459384701942</v>
      </c>
    </row>
    <row r="3030" spans="2:7" ht="11.25" hidden="1" customHeight="1" outlineLevel="2" x14ac:dyDescent="0.25">
      <c r="B3030" s="704" t="s">
        <v>691</v>
      </c>
      <c r="C3030" s="704" t="s">
        <v>833</v>
      </c>
      <c r="D3030" s="704" t="s">
        <v>675</v>
      </c>
      <c r="E3030" s="704" t="s">
        <v>824</v>
      </c>
      <c r="F3030" s="705">
        <v>1.3780582172519438E-3</v>
      </c>
      <c r="G3030" s="705">
        <v>3.4894153374824302</v>
      </c>
    </row>
    <row r="3031" spans="2:7" ht="11.25" hidden="1" customHeight="1" outlineLevel="2" x14ac:dyDescent="0.25">
      <c r="B3031" s="704" t="s">
        <v>692</v>
      </c>
      <c r="C3031" s="704" t="s">
        <v>833</v>
      </c>
      <c r="D3031" s="704" t="s">
        <v>675</v>
      </c>
      <c r="E3031" s="704" t="s">
        <v>824</v>
      </c>
      <c r="F3031" s="705">
        <v>8.0585429639697329E-5</v>
      </c>
      <c r="G3031" s="705">
        <v>0.20405229643734488</v>
      </c>
    </row>
    <row r="3032" spans="2:7" ht="11.25" hidden="1" customHeight="1" outlineLevel="2" x14ac:dyDescent="0.25">
      <c r="B3032" s="704" t="s">
        <v>693</v>
      </c>
      <c r="C3032" s="704" t="s">
        <v>833</v>
      </c>
      <c r="D3032" s="704" t="s">
        <v>675</v>
      </c>
      <c r="E3032" s="704" t="s">
        <v>824</v>
      </c>
      <c r="F3032" s="705">
        <v>2.0115715894421227E-4</v>
      </c>
      <c r="G3032" s="705">
        <v>0.50935495185648827</v>
      </c>
    </row>
    <row r="3033" spans="2:7" ht="11.25" hidden="1" customHeight="1" outlineLevel="2" x14ac:dyDescent="0.25">
      <c r="B3033" s="704" t="s">
        <v>694</v>
      </c>
      <c r="C3033" s="704" t="s">
        <v>833</v>
      </c>
      <c r="D3033" s="704" t="s">
        <v>675</v>
      </c>
      <c r="E3033" s="704" t="s">
        <v>824</v>
      </c>
      <c r="F3033" s="705">
        <v>2.2552066001132985E-5</v>
      </c>
      <c r="G3033" s="705">
        <v>5.710465302195035E-2</v>
      </c>
    </row>
    <row r="3034" spans="2:7" ht="11.25" hidden="1" customHeight="1" outlineLevel="2" x14ac:dyDescent="0.25">
      <c r="B3034" s="704" t="s">
        <v>695</v>
      </c>
      <c r="C3034" s="704" t="s">
        <v>833</v>
      </c>
      <c r="D3034" s="704" t="s">
        <v>675</v>
      </c>
      <c r="E3034" s="704" t="s">
        <v>824</v>
      </c>
      <c r="F3034" s="705">
        <v>1.0697128766543203E-4</v>
      </c>
      <c r="G3034" s="705">
        <v>0.27086460026297643</v>
      </c>
    </row>
    <row r="3035" spans="2:7" ht="11.25" hidden="1" customHeight="1" outlineLevel="2" x14ac:dyDescent="0.25">
      <c r="B3035" s="704" t="s">
        <v>696</v>
      </c>
      <c r="C3035" s="704" t="s">
        <v>833</v>
      </c>
      <c r="D3035" s="704" t="s">
        <v>675</v>
      </c>
      <c r="E3035" s="704" t="s">
        <v>824</v>
      </c>
      <c r="F3035" s="705">
        <v>2.6727222534427757E-4</v>
      </c>
      <c r="G3035" s="705">
        <v>0.67676683962131667</v>
      </c>
    </row>
    <row r="3036" spans="2:7" ht="11.25" hidden="1" customHeight="1" outlineLevel="2" x14ac:dyDescent="0.25">
      <c r="B3036" s="704" t="s">
        <v>697</v>
      </c>
      <c r="C3036" s="704" t="s">
        <v>833</v>
      </c>
      <c r="D3036" s="704" t="s">
        <v>675</v>
      </c>
      <c r="E3036" s="704" t="s">
        <v>824</v>
      </c>
      <c r="F3036" s="705">
        <v>1.462325070447592E-4</v>
      </c>
      <c r="G3036" s="705">
        <v>0.37027893154606556</v>
      </c>
    </row>
    <row r="3037" spans="2:7" ht="11.25" hidden="1" customHeight="1" outlineLevel="2" x14ac:dyDescent="0.25">
      <c r="B3037" s="704" t="s">
        <v>698</v>
      </c>
      <c r="C3037" s="704" t="s">
        <v>833</v>
      </c>
      <c r="D3037" s="704" t="s">
        <v>675</v>
      </c>
      <c r="E3037" s="704" t="s">
        <v>824</v>
      </c>
      <c r="F3037" s="705">
        <v>1.7107484498610846E-4</v>
      </c>
      <c r="G3037" s="705">
        <v>0.43318263392723899</v>
      </c>
    </row>
    <row r="3038" spans="2:7" ht="11.25" hidden="1" customHeight="1" outlineLevel="2" x14ac:dyDescent="0.25">
      <c r="B3038" s="704" t="s">
        <v>699</v>
      </c>
      <c r="C3038" s="704" t="s">
        <v>833</v>
      </c>
      <c r="D3038" s="704" t="s">
        <v>675</v>
      </c>
      <c r="E3038" s="704" t="s">
        <v>824</v>
      </c>
      <c r="F3038" s="705">
        <v>6.8279870837335869E-38</v>
      </c>
      <c r="G3038" s="705">
        <v>1.7289290835431349E-34</v>
      </c>
    </row>
    <row r="3039" spans="2:7" ht="11.25" hidden="1" customHeight="1" outlineLevel="2" x14ac:dyDescent="0.25">
      <c r="B3039" s="704" t="s">
        <v>673</v>
      </c>
      <c r="C3039" s="704" t="s">
        <v>834</v>
      </c>
      <c r="D3039" s="704" t="s">
        <v>675</v>
      </c>
      <c r="E3039" s="704" t="s">
        <v>824</v>
      </c>
      <c r="F3039" s="705">
        <v>3.6404105112430103E-4</v>
      </c>
      <c r="G3039" s="705">
        <v>1.3767187810923898</v>
      </c>
    </row>
    <row r="3040" spans="2:7" ht="11.25" hidden="1" customHeight="1" outlineLevel="2" x14ac:dyDescent="0.25">
      <c r="B3040" s="704" t="s">
        <v>677</v>
      </c>
      <c r="C3040" s="704" t="s">
        <v>834</v>
      </c>
      <c r="D3040" s="704" t="s">
        <v>675</v>
      </c>
      <c r="E3040" s="704" t="s">
        <v>824</v>
      </c>
      <c r="F3040" s="705">
        <v>6.0412024094079501E-3</v>
      </c>
      <c r="G3040" s="705">
        <v>22.846420749796103</v>
      </c>
    </row>
    <row r="3041" spans="2:7" ht="11.25" hidden="1" customHeight="1" outlineLevel="2" x14ac:dyDescent="0.25">
      <c r="B3041" s="704" t="s">
        <v>678</v>
      </c>
      <c r="C3041" s="704" t="s">
        <v>834</v>
      </c>
      <c r="D3041" s="704" t="s">
        <v>675</v>
      </c>
      <c r="E3041" s="704" t="s">
        <v>824</v>
      </c>
      <c r="F3041" s="705">
        <v>1.3993331017006306E-2</v>
      </c>
      <c r="G3041" s="705">
        <v>52.919499204101001</v>
      </c>
    </row>
    <row r="3042" spans="2:7" ht="11.25" hidden="1" customHeight="1" outlineLevel="2" x14ac:dyDescent="0.25">
      <c r="B3042" s="704" t="s">
        <v>679</v>
      </c>
      <c r="C3042" s="704" t="s">
        <v>834</v>
      </c>
      <c r="D3042" s="704" t="s">
        <v>675</v>
      </c>
      <c r="E3042" s="704" t="s">
        <v>824</v>
      </c>
      <c r="F3042" s="705">
        <v>1.1355888048201503E-3</v>
      </c>
      <c r="G3042" s="705">
        <v>4.2945296749417174</v>
      </c>
    </row>
    <row r="3043" spans="2:7" ht="11.25" hidden="1" customHeight="1" outlineLevel="2" x14ac:dyDescent="0.25">
      <c r="B3043" s="704" t="s">
        <v>680</v>
      </c>
      <c r="C3043" s="704" t="s">
        <v>834</v>
      </c>
      <c r="D3043" s="704" t="s">
        <v>675</v>
      </c>
      <c r="E3043" s="704" t="s">
        <v>824</v>
      </c>
      <c r="F3043" s="705">
        <v>2.1047807196368826E-4</v>
      </c>
      <c r="G3043" s="705">
        <v>0.79597937712849631</v>
      </c>
    </row>
    <row r="3044" spans="2:7" ht="11.25" hidden="1" customHeight="1" outlineLevel="2" x14ac:dyDescent="0.25">
      <c r="B3044" s="704" t="s">
        <v>681</v>
      </c>
      <c r="C3044" s="704" t="s">
        <v>834</v>
      </c>
      <c r="D3044" s="704" t="s">
        <v>675</v>
      </c>
      <c r="E3044" s="704" t="s">
        <v>824</v>
      </c>
      <c r="F3044" s="705">
        <v>1.7753156980772492E-3</v>
      </c>
      <c r="G3044" s="705">
        <v>6.7138275554230757</v>
      </c>
    </row>
    <row r="3045" spans="2:7" ht="11.25" hidden="1" customHeight="1" outlineLevel="2" x14ac:dyDescent="0.25">
      <c r="B3045" s="704" t="s">
        <v>682</v>
      </c>
      <c r="C3045" s="704" t="s">
        <v>834</v>
      </c>
      <c r="D3045" s="704" t="s">
        <v>675</v>
      </c>
      <c r="E3045" s="704" t="s">
        <v>824</v>
      </c>
      <c r="F3045" s="705">
        <v>1.5584547704402592E-3</v>
      </c>
      <c r="G3045" s="705">
        <v>5.8937138081063516</v>
      </c>
    </row>
    <row r="3046" spans="2:7" ht="11.25" hidden="1" customHeight="1" outlineLevel="2" x14ac:dyDescent="0.25">
      <c r="B3046" s="704" t="s">
        <v>683</v>
      </c>
      <c r="C3046" s="704" t="s">
        <v>834</v>
      </c>
      <c r="D3046" s="704" t="s">
        <v>675</v>
      </c>
      <c r="E3046" s="704" t="s">
        <v>824</v>
      </c>
      <c r="F3046" s="705">
        <v>2.5882255354278214E-3</v>
      </c>
      <c r="G3046" s="705">
        <v>9.7880655307719273</v>
      </c>
    </row>
    <row r="3047" spans="2:7" ht="11.25" hidden="1" customHeight="1" outlineLevel="2" x14ac:dyDescent="0.25">
      <c r="B3047" s="704" t="s">
        <v>684</v>
      </c>
      <c r="C3047" s="704" t="s">
        <v>834</v>
      </c>
      <c r="D3047" s="704" t="s">
        <v>675</v>
      </c>
      <c r="E3047" s="704" t="s">
        <v>824</v>
      </c>
      <c r="F3047" s="705">
        <v>3.3784004127753256E-4</v>
      </c>
      <c r="G3047" s="705">
        <v>1.2776323886423049</v>
      </c>
    </row>
    <row r="3048" spans="2:7" ht="11.25" hidden="1" customHeight="1" outlineLevel="2" x14ac:dyDescent="0.25">
      <c r="B3048" s="704" t="s">
        <v>685</v>
      </c>
      <c r="C3048" s="704" t="s">
        <v>834</v>
      </c>
      <c r="D3048" s="704" t="s">
        <v>675</v>
      </c>
      <c r="E3048" s="704" t="s">
        <v>824</v>
      </c>
      <c r="F3048" s="705">
        <v>3.106110388361053E-3</v>
      </c>
      <c r="G3048" s="705">
        <v>11.746587015665447</v>
      </c>
    </row>
    <row r="3049" spans="2:7" ht="11.25" hidden="1" customHeight="1" outlineLevel="2" x14ac:dyDescent="0.25">
      <c r="B3049" s="704" t="s">
        <v>686</v>
      </c>
      <c r="C3049" s="704" t="s">
        <v>834</v>
      </c>
      <c r="D3049" s="704" t="s">
        <v>675</v>
      </c>
      <c r="E3049" s="704" t="s">
        <v>824</v>
      </c>
      <c r="F3049" s="705">
        <v>7.3027389725954979E-4</v>
      </c>
      <c r="G3049" s="705">
        <v>2.7617234846437051</v>
      </c>
    </row>
    <row r="3050" spans="2:7" ht="11.25" hidden="1" customHeight="1" outlineLevel="2" x14ac:dyDescent="0.25">
      <c r="B3050" s="704" t="s">
        <v>687</v>
      </c>
      <c r="C3050" s="704" t="s">
        <v>834</v>
      </c>
      <c r="D3050" s="704" t="s">
        <v>675</v>
      </c>
      <c r="E3050" s="704" t="s">
        <v>824</v>
      </c>
      <c r="F3050" s="705">
        <v>3.7407303370075124E-3</v>
      </c>
      <c r="G3050" s="705">
        <v>14.146565452900001</v>
      </c>
    </row>
    <row r="3051" spans="2:7" ht="11.25" hidden="1" customHeight="1" outlineLevel="2" x14ac:dyDescent="0.25">
      <c r="B3051" s="704" t="s">
        <v>688</v>
      </c>
      <c r="C3051" s="704" t="s">
        <v>834</v>
      </c>
      <c r="D3051" s="704" t="s">
        <v>675</v>
      </c>
      <c r="E3051" s="704" t="s">
        <v>824</v>
      </c>
      <c r="F3051" s="705">
        <v>2.6850381020046498E-3</v>
      </c>
      <c r="G3051" s="705">
        <v>10.154186140490271</v>
      </c>
    </row>
    <row r="3052" spans="2:7" ht="11.25" hidden="1" customHeight="1" outlineLevel="2" x14ac:dyDescent="0.25">
      <c r="B3052" s="704" t="s">
        <v>689</v>
      </c>
      <c r="C3052" s="704" t="s">
        <v>834</v>
      </c>
      <c r="D3052" s="704" t="s">
        <v>675</v>
      </c>
      <c r="E3052" s="704" t="s">
        <v>824</v>
      </c>
      <c r="F3052" s="705">
        <v>3.9697934003714741E-4</v>
      </c>
      <c r="G3052" s="705">
        <v>1.5012830079229338</v>
      </c>
    </row>
    <row r="3053" spans="2:7" ht="11.25" hidden="1" customHeight="1" outlineLevel="2" x14ac:dyDescent="0.25">
      <c r="B3053" s="704" t="s">
        <v>690</v>
      </c>
      <c r="C3053" s="704" t="s">
        <v>834</v>
      </c>
      <c r="D3053" s="704" t="s">
        <v>675</v>
      </c>
      <c r="E3053" s="704" t="s">
        <v>824</v>
      </c>
      <c r="F3053" s="705">
        <v>8.7401652128789222E-3</v>
      </c>
      <c r="G3053" s="705">
        <v>33.053253711468102</v>
      </c>
    </row>
    <row r="3054" spans="2:7" ht="11.25" hidden="1" customHeight="1" outlineLevel="2" x14ac:dyDescent="0.25">
      <c r="B3054" s="704" t="s">
        <v>691</v>
      </c>
      <c r="C3054" s="704" t="s">
        <v>834</v>
      </c>
      <c r="D3054" s="704" t="s">
        <v>675</v>
      </c>
      <c r="E3054" s="704" t="s">
        <v>824</v>
      </c>
      <c r="F3054" s="705">
        <v>9.9815440061412943E-3</v>
      </c>
      <c r="G3054" s="705">
        <v>37.747868040945349</v>
      </c>
    </row>
    <row r="3055" spans="2:7" ht="11.25" hidden="1" customHeight="1" outlineLevel="2" x14ac:dyDescent="0.25">
      <c r="B3055" s="704" t="s">
        <v>692</v>
      </c>
      <c r="C3055" s="704" t="s">
        <v>834</v>
      </c>
      <c r="D3055" s="704" t="s">
        <v>675</v>
      </c>
      <c r="E3055" s="704" t="s">
        <v>824</v>
      </c>
      <c r="F3055" s="705">
        <v>5.8369579392739319E-4</v>
      </c>
      <c r="G3055" s="705">
        <v>2.2074004973738268</v>
      </c>
    </row>
    <row r="3056" spans="2:7" ht="11.25" hidden="1" customHeight="1" outlineLevel="2" x14ac:dyDescent="0.25">
      <c r="B3056" s="704" t="s">
        <v>693</v>
      </c>
      <c r="C3056" s="704" t="s">
        <v>834</v>
      </c>
      <c r="D3056" s="704" t="s">
        <v>675</v>
      </c>
      <c r="E3056" s="704" t="s">
        <v>824</v>
      </c>
      <c r="F3056" s="705">
        <v>1.4570204596389416E-3</v>
      </c>
      <c r="G3056" s="705">
        <v>5.5101098572289331</v>
      </c>
    </row>
    <row r="3057" spans="2:7" ht="11.25" hidden="1" customHeight="1" outlineLevel="2" x14ac:dyDescent="0.25">
      <c r="B3057" s="704" t="s">
        <v>694</v>
      </c>
      <c r="C3057" s="704" t="s">
        <v>834</v>
      </c>
      <c r="D3057" s="704" t="s">
        <v>675</v>
      </c>
      <c r="E3057" s="704" t="s">
        <v>824</v>
      </c>
      <c r="F3057" s="705">
        <v>1.6334897825841179E-4</v>
      </c>
      <c r="G3057" s="705">
        <v>0.61774738012124719</v>
      </c>
    </row>
    <row r="3058" spans="2:7" ht="11.25" hidden="1" customHeight="1" outlineLevel="2" x14ac:dyDescent="0.25">
      <c r="B3058" s="704" t="s">
        <v>695</v>
      </c>
      <c r="C3058" s="704" t="s">
        <v>834</v>
      </c>
      <c r="D3058" s="704" t="s">
        <v>675</v>
      </c>
      <c r="E3058" s="704" t="s">
        <v>824</v>
      </c>
      <c r="F3058" s="705">
        <v>7.7481424533937075E-4</v>
      </c>
      <c r="G3058" s="705">
        <v>2.9301650864013449</v>
      </c>
    </row>
    <row r="3059" spans="2:7" ht="11.25" hidden="1" customHeight="1" outlineLevel="2" x14ac:dyDescent="0.25">
      <c r="B3059" s="704" t="s">
        <v>696</v>
      </c>
      <c r="C3059" s="704" t="s">
        <v>834</v>
      </c>
      <c r="D3059" s="704" t="s">
        <v>675</v>
      </c>
      <c r="E3059" s="704" t="s">
        <v>824</v>
      </c>
      <c r="F3059" s="705">
        <v>1.935905482471439E-3</v>
      </c>
      <c r="G3059" s="705">
        <v>7.3211354359169372</v>
      </c>
    </row>
    <row r="3060" spans="2:7" ht="11.25" hidden="1" customHeight="1" outlineLevel="2" x14ac:dyDescent="0.25">
      <c r="B3060" s="704" t="s">
        <v>697</v>
      </c>
      <c r="C3060" s="704" t="s">
        <v>834</v>
      </c>
      <c r="D3060" s="704" t="s">
        <v>675</v>
      </c>
      <c r="E3060" s="704" t="s">
        <v>824</v>
      </c>
      <c r="F3060" s="705">
        <v>1.0591903452740585E-3</v>
      </c>
      <c r="G3060" s="705">
        <v>4.0056111393972351</v>
      </c>
    </row>
    <row r="3061" spans="2:7" ht="11.25" hidden="1" customHeight="1" outlineLevel="2" x14ac:dyDescent="0.25">
      <c r="B3061" s="704" t="s">
        <v>698</v>
      </c>
      <c r="C3061" s="704" t="s">
        <v>834</v>
      </c>
      <c r="D3061" s="704" t="s">
        <v>675</v>
      </c>
      <c r="E3061" s="704" t="s">
        <v>824</v>
      </c>
      <c r="F3061" s="705">
        <v>1.2391286123747283E-3</v>
      </c>
      <c r="G3061" s="705">
        <v>4.3985117104174858</v>
      </c>
    </row>
    <row r="3062" spans="2:7" ht="11.25" hidden="1" customHeight="1" outlineLevel="2" x14ac:dyDescent="0.25">
      <c r="B3062" s="704" t="s">
        <v>699</v>
      </c>
      <c r="C3062" s="704" t="s">
        <v>834</v>
      </c>
      <c r="D3062" s="704" t="s">
        <v>675</v>
      </c>
      <c r="E3062" s="704" t="s">
        <v>824</v>
      </c>
      <c r="F3062" s="705">
        <v>3.4244957661155564E-35</v>
      </c>
      <c r="G3062" s="705">
        <v>1.2469494268793718E-31</v>
      </c>
    </row>
    <row r="3063" spans="2:7" ht="11.25" hidden="1" customHeight="1" outlineLevel="2" x14ac:dyDescent="0.25">
      <c r="B3063" s="704" t="s">
        <v>673</v>
      </c>
      <c r="C3063" s="704" t="s">
        <v>835</v>
      </c>
      <c r="D3063" s="704" t="s">
        <v>675</v>
      </c>
      <c r="E3063" s="704" t="s">
        <v>824</v>
      </c>
      <c r="F3063" s="705">
        <v>4.5658662558795338E-4</v>
      </c>
      <c r="G3063" s="705">
        <v>3.3523799833484489</v>
      </c>
    </row>
    <row r="3064" spans="2:7" ht="11.25" hidden="1" customHeight="1" outlineLevel="2" x14ac:dyDescent="0.25">
      <c r="B3064" s="704" t="s">
        <v>677</v>
      </c>
      <c r="C3064" s="704" t="s">
        <v>835</v>
      </c>
      <c r="D3064" s="704" t="s">
        <v>675</v>
      </c>
      <c r="E3064" s="704" t="s">
        <v>824</v>
      </c>
      <c r="F3064" s="705">
        <v>7.5769772877128973E-3</v>
      </c>
      <c r="G3064" s="705">
        <v>55.632209370459151</v>
      </c>
    </row>
    <row r="3065" spans="2:7" ht="11.25" hidden="1" customHeight="1" outlineLevel="2" x14ac:dyDescent="0.25">
      <c r="B3065" s="704" t="s">
        <v>678</v>
      </c>
      <c r="C3065" s="704" t="s">
        <v>835</v>
      </c>
      <c r="D3065" s="704" t="s">
        <v>675</v>
      </c>
      <c r="E3065" s="704" t="s">
        <v>824</v>
      </c>
      <c r="F3065" s="705">
        <v>1.7550667659350542E-2</v>
      </c>
      <c r="G3065" s="705">
        <v>128.86175975732479</v>
      </c>
    </row>
    <row r="3066" spans="2:7" ht="11.25" hidden="1" customHeight="1" outlineLevel="2" x14ac:dyDescent="0.25">
      <c r="B3066" s="704" t="s">
        <v>679</v>
      </c>
      <c r="C3066" s="704" t="s">
        <v>835</v>
      </c>
      <c r="D3066" s="704" t="s">
        <v>675</v>
      </c>
      <c r="E3066" s="704" t="s">
        <v>824</v>
      </c>
      <c r="F3066" s="706">
        <v>1.42427452557231E-3</v>
      </c>
      <c r="G3066" s="705">
        <v>10.457401306292217</v>
      </c>
    </row>
    <row r="3067" spans="2:7" ht="11.25" hidden="1" customHeight="1" outlineLevel="2" x14ac:dyDescent="0.25">
      <c r="B3067" s="704" t="s">
        <v>680</v>
      </c>
      <c r="C3067" s="704" t="s">
        <v>835</v>
      </c>
      <c r="D3067" s="704" t="s">
        <v>675</v>
      </c>
      <c r="E3067" s="704" t="s">
        <v>824</v>
      </c>
      <c r="F3067" s="706">
        <v>2.6398519366642957E-4</v>
      </c>
      <c r="G3067" s="705">
        <v>1.9382490063988145</v>
      </c>
    </row>
    <row r="3068" spans="2:7" ht="11.25" hidden="1" customHeight="1" outlineLevel="2" x14ac:dyDescent="0.25">
      <c r="B3068" s="704" t="s">
        <v>681</v>
      </c>
      <c r="C3068" s="704" t="s">
        <v>835</v>
      </c>
      <c r="D3068" s="704" t="s">
        <v>675</v>
      </c>
      <c r="E3068" s="704" t="s">
        <v>824</v>
      </c>
      <c r="F3068" s="706">
        <v>2.2266302933148115E-3</v>
      </c>
      <c r="G3068" s="705">
        <v>16.348522726070037</v>
      </c>
    </row>
    <row r="3069" spans="2:7" ht="11.25" hidden="1" customHeight="1" outlineLevel="2" x14ac:dyDescent="0.25">
      <c r="B3069" s="704" t="s">
        <v>682</v>
      </c>
      <c r="C3069" s="704" t="s">
        <v>835</v>
      </c>
      <c r="D3069" s="704" t="s">
        <v>675</v>
      </c>
      <c r="E3069" s="704" t="s">
        <v>824</v>
      </c>
      <c r="F3069" s="706">
        <v>1.9546397217534875E-3</v>
      </c>
      <c r="G3069" s="705">
        <v>14.351503685548487</v>
      </c>
    </row>
    <row r="3070" spans="2:7" ht="11.25" hidden="1" customHeight="1" outlineLevel="2" x14ac:dyDescent="0.25">
      <c r="B3070" s="704" t="s">
        <v>683</v>
      </c>
      <c r="C3070" s="704" t="s">
        <v>835</v>
      </c>
      <c r="D3070" s="704" t="s">
        <v>675</v>
      </c>
      <c r="E3070" s="704" t="s">
        <v>824</v>
      </c>
      <c r="F3070" s="706">
        <v>3.2461958749929595E-3</v>
      </c>
      <c r="G3070" s="705">
        <v>23.834447922980527</v>
      </c>
    </row>
    <row r="3071" spans="2:7" ht="11.25" hidden="1" customHeight="1" outlineLevel="2" x14ac:dyDescent="0.25">
      <c r="B3071" s="704" t="s">
        <v>684</v>
      </c>
      <c r="C3071" s="704" t="s">
        <v>835</v>
      </c>
      <c r="D3071" s="704" t="s">
        <v>675</v>
      </c>
      <c r="E3071" s="704" t="s">
        <v>824</v>
      </c>
      <c r="F3071" s="706">
        <v>4.2372463146505911E-4</v>
      </c>
      <c r="G3071" s="705">
        <v>3.111100461850655</v>
      </c>
    </row>
    <row r="3072" spans="2:7" ht="11.25" hidden="1" customHeight="1" outlineLevel="2" x14ac:dyDescent="0.25">
      <c r="B3072" s="704" t="s">
        <v>685</v>
      </c>
      <c r="C3072" s="704" t="s">
        <v>835</v>
      </c>
      <c r="D3072" s="704" t="s">
        <v>675</v>
      </c>
      <c r="E3072" s="704" t="s">
        <v>824</v>
      </c>
      <c r="F3072" s="706">
        <v>3.8957360662861765E-3</v>
      </c>
      <c r="G3072" s="705">
        <v>28.603542226911873</v>
      </c>
    </row>
    <row r="3073" spans="2:7" ht="11.25" hidden="1" customHeight="1" outlineLevel="2" x14ac:dyDescent="0.25">
      <c r="B3073" s="704" t="s">
        <v>686</v>
      </c>
      <c r="C3073" s="704" t="s">
        <v>835</v>
      </c>
      <c r="D3073" s="704" t="s">
        <v>675</v>
      </c>
      <c r="E3073" s="704" t="s">
        <v>824</v>
      </c>
      <c r="F3073" s="706">
        <v>9.1592141229117493E-4</v>
      </c>
      <c r="G3073" s="705">
        <v>6.7249405773358175</v>
      </c>
    </row>
    <row r="3074" spans="2:7" ht="11.25" hidden="1" customHeight="1" outlineLevel="2" x14ac:dyDescent="0.25">
      <c r="B3074" s="704" t="s">
        <v>687</v>
      </c>
      <c r="C3074" s="704" t="s">
        <v>835</v>
      </c>
      <c r="D3074" s="704" t="s">
        <v>675</v>
      </c>
      <c r="E3074" s="704" t="s">
        <v>824</v>
      </c>
      <c r="F3074" s="706">
        <v>4.6916856699225134E-3</v>
      </c>
      <c r="G3074" s="705">
        <v>34.447614323168551</v>
      </c>
    </row>
    <row r="3075" spans="2:7" ht="11.25" hidden="1" customHeight="1" outlineLevel="2" x14ac:dyDescent="0.25">
      <c r="B3075" s="704" t="s">
        <v>688</v>
      </c>
      <c r="C3075" s="704" t="s">
        <v>835</v>
      </c>
      <c r="D3075" s="704" t="s">
        <v>675</v>
      </c>
      <c r="E3075" s="704" t="s">
        <v>824</v>
      </c>
      <c r="F3075" s="706">
        <v>3.3676192295026049E-3</v>
      </c>
      <c r="G3075" s="705">
        <v>24.725970665304938</v>
      </c>
    </row>
    <row r="3076" spans="2:7" ht="11.25" hidden="1" customHeight="1" outlineLevel="2" x14ac:dyDescent="0.25">
      <c r="B3076" s="704" t="s">
        <v>689</v>
      </c>
      <c r="C3076" s="704" t="s">
        <v>835</v>
      </c>
      <c r="D3076" s="704" t="s">
        <v>675</v>
      </c>
      <c r="E3076" s="704" t="s">
        <v>824</v>
      </c>
      <c r="F3076" s="706">
        <v>4.9789813030910637E-4</v>
      </c>
      <c r="G3076" s="705">
        <v>3.6557021231478997</v>
      </c>
    </row>
    <row r="3077" spans="2:7" ht="11.25" hidden="1" customHeight="1" outlineLevel="2" x14ac:dyDescent="0.25">
      <c r="B3077" s="704" t="s">
        <v>690</v>
      </c>
      <c r="C3077" s="704" t="s">
        <v>835</v>
      </c>
      <c r="D3077" s="704" t="s">
        <v>675</v>
      </c>
      <c r="E3077" s="704" t="s">
        <v>824</v>
      </c>
      <c r="F3077" s="706">
        <v>1.0962060272839259E-2</v>
      </c>
      <c r="G3077" s="705">
        <v>80.486413875279922</v>
      </c>
    </row>
    <row r="3078" spans="2:7" ht="11.25" hidden="1" customHeight="1" outlineLevel="2" x14ac:dyDescent="0.25">
      <c r="B3078" s="704" t="s">
        <v>691</v>
      </c>
      <c r="C3078" s="704" t="s">
        <v>835</v>
      </c>
      <c r="D3078" s="704" t="s">
        <v>675</v>
      </c>
      <c r="E3078" s="704" t="s">
        <v>824</v>
      </c>
      <c r="F3078" s="706">
        <v>1.25190193133778E-2</v>
      </c>
      <c r="G3078" s="705">
        <v>91.917947081502746</v>
      </c>
    </row>
    <row r="3079" spans="2:7" ht="11.25" hidden="1" customHeight="1" outlineLevel="2" x14ac:dyDescent="0.25">
      <c r="B3079" s="704" t="s">
        <v>692</v>
      </c>
      <c r="C3079" s="704" t="s">
        <v>835</v>
      </c>
      <c r="D3079" s="704" t="s">
        <v>675</v>
      </c>
      <c r="E3079" s="704" t="s">
        <v>824</v>
      </c>
      <c r="F3079" s="706">
        <v>7.3208080467443968E-4</v>
      </c>
      <c r="G3079" s="705">
        <v>5.3751369460617378</v>
      </c>
    </row>
    <row r="3080" spans="2:7" ht="11.25" hidden="1" customHeight="1" outlineLevel="2" x14ac:dyDescent="0.25">
      <c r="B3080" s="704" t="s">
        <v>693</v>
      </c>
      <c r="C3080" s="704" t="s">
        <v>835</v>
      </c>
      <c r="D3080" s="704" t="s">
        <v>675</v>
      </c>
      <c r="E3080" s="704" t="s">
        <v>824</v>
      </c>
      <c r="F3080" s="706">
        <v>1.82741995925798E-3</v>
      </c>
      <c r="G3080" s="705">
        <v>13.417398739980204</v>
      </c>
    </row>
    <row r="3081" spans="2:7" ht="11.25" hidden="1" customHeight="1" outlineLevel="2" x14ac:dyDescent="0.25">
      <c r="B3081" s="704" t="s">
        <v>694</v>
      </c>
      <c r="C3081" s="704" t="s">
        <v>835</v>
      </c>
      <c r="D3081" s="704" t="s">
        <v>675</v>
      </c>
      <c r="E3081" s="704" t="s">
        <v>824</v>
      </c>
      <c r="F3081" s="706">
        <v>2.0487516742625676E-4</v>
      </c>
      <c r="G3081" s="705">
        <v>1.5042479826206698</v>
      </c>
    </row>
    <row r="3082" spans="2:7" ht="11.25" hidden="1" customHeight="1" outlineLevel="2" x14ac:dyDescent="0.25">
      <c r="B3082" s="704" t="s">
        <v>695</v>
      </c>
      <c r="C3082" s="704" t="s">
        <v>835</v>
      </c>
      <c r="D3082" s="704" t="s">
        <v>675</v>
      </c>
      <c r="E3082" s="704" t="s">
        <v>824</v>
      </c>
      <c r="F3082" s="706">
        <v>9.7178477804968279E-4</v>
      </c>
      <c r="G3082" s="705">
        <v>7.1351043069035081</v>
      </c>
    </row>
    <row r="3083" spans="2:7" ht="11.25" hidden="1" customHeight="1" outlineLevel="2" x14ac:dyDescent="0.25">
      <c r="B3083" s="704" t="s">
        <v>696</v>
      </c>
      <c r="C3083" s="704" t="s">
        <v>835</v>
      </c>
      <c r="D3083" s="704" t="s">
        <v>675</v>
      </c>
      <c r="E3083" s="704" t="s">
        <v>824</v>
      </c>
      <c r="F3083" s="706">
        <v>2.4280452171224483E-3</v>
      </c>
      <c r="G3083" s="705">
        <v>17.827356479308854</v>
      </c>
    </row>
    <row r="3084" spans="2:7" ht="11.25" hidden="1" customHeight="1" outlineLevel="2" x14ac:dyDescent="0.25">
      <c r="B3084" s="704" t="s">
        <v>697</v>
      </c>
      <c r="C3084" s="704" t="s">
        <v>835</v>
      </c>
      <c r="D3084" s="704" t="s">
        <v>675</v>
      </c>
      <c r="E3084" s="704" t="s">
        <v>824</v>
      </c>
      <c r="F3084" s="706">
        <v>1.3284539190730003E-3</v>
      </c>
      <c r="G3084" s="705">
        <v>9.7538638907069615</v>
      </c>
    </row>
    <row r="3085" spans="2:7" ht="11.25" hidden="1" customHeight="1" outlineLevel="2" x14ac:dyDescent="0.25">
      <c r="B3085" s="704" t="s">
        <v>698</v>
      </c>
      <c r="C3085" s="704" t="s">
        <v>835</v>
      </c>
      <c r="D3085" s="704" t="s">
        <v>675</v>
      </c>
      <c r="E3085" s="704" t="s">
        <v>824</v>
      </c>
      <c r="F3085" s="706">
        <v>1.4587596367087524E-3</v>
      </c>
      <c r="G3085" s="705">
        <v>10.710602175802613</v>
      </c>
    </row>
    <row r="3086" spans="2:7" ht="11.25" hidden="1" customHeight="1" outlineLevel="2" x14ac:dyDescent="0.25">
      <c r="B3086" s="704" t="s">
        <v>699</v>
      </c>
      <c r="C3086" s="704" t="s">
        <v>835</v>
      </c>
      <c r="D3086" s="704" t="s">
        <v>675</v>
      </c>
      <c r="E3086" s="704" t="s">
        <v>824</v>
      </c>
      <c r="F3086" s="706">
        <v>2.9678452413219394E-36</v>
      </c>
      <c r="G3086" s="705">
        <v>5.3996220933115452E-32</v>
      </c>
    </row>
    <row r="3087" spans="2:7" ht="11.25" hidden="1" customHeight="1" outlineLevel="2" x14ac:dyDescent="0.25">
      <c r="B3087" s="704" t="s">
        <v>673</v>
      </c>
      <c r="C3087" s="704" t="s">
        <v>836</v>
      </c>
      <c r="D3087" s="704" t="s">
        <v>675</v>
      </c>
      <c r="E3087" s="704" t="s">
        <v>824</v>
      </c>
      <c r="F3087" s="706">
        <v>3.1858397912640682E-5</v>
      </c>
      <c r="G3087" s="705">
        <v>0.35019436064044152</v>
      </c>
    </row>
    <row r="3088" spans="2:7" ht="11.25" hidden="1" customHeight="1" outlineLevel="2" x14ac:dyDescent="0.25">
      <c r="B3088" s="704" t="s">
        <v>677</v>
      </c>
      <c r="C3088" s="704" t="s">
        <v>836</v>
      </c>
      <c r="D3088" s="704" t="s">
        <v>675</v>
      </c>
      <c r="E3088" s="704" t="s">
        <v>824</v>
      </c>
      <c r="F3088" s="706">
        <v>5.2868502714368756E-4</v>
      </c>
      <c r="G3088" s="705">
        <v>5.8114202908787949</v>
      </c>
    </row>
    <row r="3089" spans="2:7" ht="11.25" hidden="1" customHeight="1" outlineLevel="2" x14ac:dyDescent="0.25">
      <c r="B3089" s="704" t="s">
        <v>678</v>
      </c>
      <c r="C3089" s="704" t="s">
        <v>836</v>
      </c>
      <c r="D3089" s="704" t="s">
        <v>675</v>
      </c>
      <c r="E3089" s="704" t="s">
        <v>824</v>
      </c>
      <c r="F3089" s="706">
        <v>1.2246009446005386E-3</v>
      </c>
      <c r="G3089" s="705">
        <v>13.461075001237262</v>
      </c>
    </row>
    <row r="3090" spans="2:7" ht="11.25" hidden="1" customHeight="1" outlineLevel="2" x14ac:dyDescent="0.25">
      <c r="B3090" s="704" t="s">
        <v>679</v>
      </c>
      <c r="C3090" s="704" t="s">
        <v>836</v>
      </c>
      <c r="D3090" s="704" t="s">
        <v>675</v>
      </c>
      <c r="E3090" s="704" t="s">
        <v>824</v>
      </c>
      <c r="F3090" s="706">
        <v>9.9378969178009504E-5</v>
      </c>
      <c r="G3090" s="705">
        <v>1.0923949375813187</v>
      </c>
    </row>
    <row r="3091" spans="2:7" ht="11.25" hidden="1" customHeight="1" outlineLevel="2" x14ac:dyDescent="0.25">
      <c r="B3091" s="704" t="s">
        <v>680</v>
      </c>
      <c r="C3091" s="704" t="s">
        <v>836</v>
      </c>
      <c r="D3091" s="704" t="s">
        <v>675</v>
      </c>
      <c r="E3091" s="704" t="s">
        <v>824</v>
      </c>
      <c r="F3091" s="705">
        <v>1.8419613563257453E-5</v>
      </c>
      <c r="G3091" s="705">
        <v>0.20247225907005181</v>
      </c>
    </row>
    <row r="3092" spans="2:7" ht="11.25" hidden="1" customHeight="1" outlineLevel="2" x14ac:dyDescent="0.25">
      <c r="B3092" s="704" t="s">
        <v>681</v>
      </c>
      <c r="C3092" s="704" t="s">
        <v>836</v>
      </c>
      <c r="D3092" s="704" t="s">
        <v>675</v>
      </c>
      <c r="E3092" s="704" t="s">
        <v>824</v>
      </c>
      <c r="F3092" s="705">
        <v>1.5536360707432535E-4</v>
      </c>
      <c r="G3092" s="705">
        <v>1.7077889604604892</v>
      </c>
    </row>
    <row r="3093" spans="2:7" ht="11.25" hidden="1" customHeight="1" outlineLevel="2" x14ac:dyDescent="0.25">
      <c r="B3093" s="704" t="s">
        <v>682</v>
      </c>
      <c r="C3093" s="704" t="s">
        <v>836</v>
      </c>
      <c r="D3093" s="704" t="s">
        <v>675</v>
      </c>
      <c r="E3093" s="704" t="s">
        <v>824</v>
      </c>
      <c r="F3093" s="705">
        <v>1.3638538311997505E-4</v>
      </c>
      <c r="G3093" s="705">
        <v>1.4991777156190711</v>
      </c>
    </row>
    <row r="3094" spans="2:7" ht="11.25" hidden="1" customHeight="1" outlineLevel="2" x14ac:dyDescent="0.25">
      <c r="B3094" s="704" t="s">
        <v>683</v>
      </c>
      <c r="C3094" s="704" t="s">
        <v>836</v>
      </c>
      <c r="D3094" s="704" t="s">
        <v>675</v>
      </c>
      <c r="E3094" s="704" t="s">
        <v>824</v>
      </c>
      <c r="F3094" s="705">
        <v>2.2650394227638056E-4</v>
      </c>
      <c r="G3094" s="705">
        <v>2.489780213601521</v>
      </c>
    </row>
    <row r="3095" spans="2:7" ht="11.25" hidden="1" customHeight="1" outlineLevel="2" x14ac:dyDescent="0.25">
      <c r="B3095" s="704" t="s">
        <v>684</v>
      </c>
      <c r="C3095" s="704" t="s">
        <v>836</v>
      </c>
      <c r="D3095" s="704" t="s">
        <v>675</v>
      </c>
      <c r="E3095" s="704" t="s">
        <v>824</v>
      </c>
      <c r="F3095" s="705">
        <v>2.9565467424393095E-5</v>
      </c>
      <c r="G3095" s="705">
        <v>0.32498986067897845</v>
      </c>
    </row>
    <row r="3096" spans="2:7" ht="11.25" hidden="1" customHeight="1" outlineLevel="2" x14ac:dyDescent="0.25">
      <c r="B3096" s="704" t="s">
        <v>685</v>
      </c>
      <c r="C3096" s="704" t="s">
        <v>836</v>
      </c>
      <c r="D3096" s="704" t="s">
        <v>675</v>
      </c>
      <c r="E3096" s="704" t="s">
        <v>824</v>
      </c>
      <c r="F3096" s="705">
        <v>2.7182573988675305E-4</v>
      </c>
      <c r="G3096" s="705">
        <v>2.9879665168966354</v>
      </c>
    </row>
    <row r="3097" spans="2:7" ht="11.25" hidden="1" customHeight="1" outlineLevel="2" x14ac:dyDescent="0.25">
      <c r="B3097" s="704" t="s">
        <v>686</v>
      </c>
      <c r="C3097" s="704" t="s">
        <v>836</v>
      </c>
      <c r="D3097" s="704" t="s">
        <v>675</v>
      </c>
      <c r="E3097" s="704" t="s">
        <v>824</v>
      </c>
      <c r="F3097" s="705">
        <v>6.3908601644696789E-5</v>
      </c>
      <c r="G3097" s="705">
        <v>0.70249692597257596</v>
      </c>
    </row>
    <row r="3098" spans="2:7" ht="11.25" hidden="1" customHeight="1" outlineLevel="2" x14ac:dyDescent="0.25">
      <c r="B3098" s="704" t="s">
        <v>687</v>
      </c>
      <c r="C3098" s="704" t="s">
        <v>836</v>
      </c>
      <c r="D3098" s="704" t="s">
        <v>675</v>
      </c>
      <c r="E3098" s="704" t="s">
        <v>824</v>
      </c>
      <c r="F3098" s="705">
        <v>3.2736315883036997E-4</v>
      </c>
      <c r="G3098" s="705">
        <v>3.5984452966113158</v>
      </c>
    </row>
    <row r="3099" spans="2:7" ht="11.25" hidden="1" customHeight="1" outlineLevel="2" x14ac:dyDescent="0.25">
      <c r="B3099" s="704" t="s">
        <v>688</v>
      </c>
      <c r="C3099" s="704" t="s">
        <v>836</v>
      </c>
      <c r="D3099" s="704" t="s">
        <v>675</v>
      </c>
      <c r="E3099" s="704" t="s">
        <v>824</v>
      </c>
      <c r="F3099" s="705">
        <v>2.3497622658381412E-4</v>
      </c>
      <c r="G3099" s="705">
        <v>2.5829094474643943</v>
      </c>
    </row>
    <row r="3100" spans="2:7" ht="11.25" hidden="1" customHeight="1" outlineLevel="2" x14ac:dyDescent="0.25">
      <c r="B3100" s="704" t="s">
        <v>689</v>
      </c>
      <c r="C3100" s="704" t="s">
        <v>836</v>
      </c>
      <c r="D3100" s="704" t="s">
        <v>675</v>
      </c>
      <c r="E3100" s="704" t="s">
        <v>824</v>
      </c>
      <c r="F3100" s="705">
        <v>3.4740957858142842E-5</v>
      </c>
      <c r="G3100" s="705">
        <v>0.38187981544007316</v>
      </c>
    </row>
    <row r="3101" spans="2:7" ht="11.25" hidden="1" customHeight="1" outlineLevel="2" x14ac:dyDescent="0.25">
      <c r="B3101" s="704" t="s">
        <v>690</v>
      </c>
      <c r="C3101" s="704" t="s">
        <v>836</v>
      </c>
      <c r="D3101" s="704" t="s">
        <v>675</v>
      </c>
      <c r="E3101" s="704" t="s">
        <v>824</v>
      </c>
      <c r="F3101" s="705">
        <v>7.6487970531827969E-4</v>
      </c>
      <c r="G3101" s="705">
        <v>8.4077184017403539</v>
      </c>
    </row>
    <row r="3102" spans="2:7" ht="11.25" hidden="1" customHeight="1" outlineLevel="2" x14ac:dyDescent="0.25">
      <c r="B3102" s="704" t="s">
        <v>691</v>
      </c>
      <c r="C3102" s="704" t="s">
        <v>836</v>
      </c>
      <c r="D3102" s="704" t="s">
        <v>675</v>
      </c>
      <c r="E3102" s="704" t="s">
        <v>824</v>
      </c>
      <c r="F3102" s="705">
        <v>8.7351680582700936E-4</v>
      </c>
      <c r="G3102" s="705">
        <v>9.6018810944133115</v>
      </c>
    </row>
    <row r="3103" spans="2:7" ht="11.25" hidden="1" customHeight="1" outlineLevel="2" x14ac:dyDescent="0.25">
      <c r="B3103" s="704" t="s">
        <v>692</v>
      </c>
      <c r="C3103" s="704" t="s">
        <v>836</v>
      </c>
      <c r="D3103" s="704" t="s">
        <v>675</v>
      </c>
      <c r="E3103" s="704" t="s">
        <v>824</v>
      </c>
      <c r="F3103" s="705">
        <v>5.1081081904668311E-5</v>
      </c>
      <c r="G3103" s="705">
        <v>0.56149434600610026</v>
      </c>
    </row>
    <row r="3104" spans="2:7" ht="11.25" hidden="1" customHeight="1" outlineLevel="2" x14ac:dyDescent="0.25">
      <c r="B3104" s="704" t="s">
        <v>693</v>
      </c>
      <c r="C3104" s="704" t="s">
        <v>836</v>
      </c>
      <c r="D3104" s="704" t="s">
        <v>675</v>
      </c>
      <c r="E3104" s="704" t="s">
        <v>824</v>
      </c>
      <c r="F3104" s="705">
        <v>1.2750850668305036E-4</v>
      </c>
      <c r="G3104" s="705">
        <v>1.4016000847357786</v>
      </c>
    </row>
    <row r="3105" spans="2:7" ht="11.25" hidden="1" customHeight="1" outlineLevel="2" x14ac:dyDescent="0.25">
      <c r="B3105" s="704" t="s">
        <v>694</v>
      </c>
      <c r="C3105" s="704" t="s">
        <v>836</v>
      </c>
      <c r="D3105" s="704" t="s">
        <v>675</v>
      </c>
      <c r="E3105" s="704" t="s">
        <v>824</v>
      </c>
      <c r="F3105" s="705">
        <v>1.4295194322069257E-5</v>
      </c>
      <c r="G3105" s="705">
        <v>0.15713582052495223</v>
      </c>
    </row>
    <row r="3106" spans="2:7" ht="11.25" hidden="1" customHeight="1" outlineLevel="2" x14ac:dyDescent="0.25">
      <c r="B3106" s="704" t="s">
        <v>695</v>
      </c>
      <c r="C3106" s="704" t="s">
        <v>836</v>
      </c>
      <c r="D3106" s="704" t="s">
        <v>675</v>
      </c>
      <c r="E3106" s="704" t="s">
        <v>824</v>
      </c>
      <c r="F3106" s="705">
        <v>6.7806459282625421E-5</v>
      </c>
      <c r="G3106" s="705">
        <v>0.74534304171379406</v>
      </c>
    </row>
    <row r="3107" spans="2:7" ht="11.25" hidden="1" customHeight="1" outlineLevel="2" x14ac:dyDescent="0.25">
      <c r="B3107" s="704" t="s">
        <v>696</v>
      </c>
      <c r="C3107" s="704" t="s">
        <v>836</v>
      </c>
      <c r="D3107" s="704" t="s">
        <v>675</v>
      </c>
      <c r="E3107" s="704" t="s">
        <v>824</v>
      </c>
      <c r="F3107" s="705">
        <v>1.6941724517277005E-4</v>
      </c>
      <c r="G3107" s="705">
        <v>1.8622701917411764</v>
      </c>
    </row>
    <row r="3108" spans="2:7" ht="11.25" hidden="1" customHeight="1" outlineLevel="2" x14ac:dyDescent="0.25">
      <c r="B3108" s="704" t="s">
        <v>697</v>
      </c>
      <c r="C3108" s="704" t="s">
        <v>836</v>
      </c>
      <c r="D3108" s="704" t="s">
        <v>675</v>
      </c>
      <c r="E3108" s="704" t="s">
        <v>824</v>
      </c>
      <c r="F3108" s="705">
        <v>9.2693154642369373E-5</v>
      </c>
      <c r="G3108" s="705">
        <v>1.0189024248582901</v>
      </c>
    </row>
    <row r="3109" spans="2:7" ht="11.25" hidden="1" customHeight="1" outlineLevel="2" x14ac:dyDescent="0.25">
      <c r="B3109" s="704" t="s">
        <v>698</v>
      </c>
      <c r="C3109" s="704" t="s">
        <v>836</v>
      </c>
      <c r="D3109" s="704" t="s">
        <v>675</v>
      </c>
      <c r="E3109" s="704" t="s">
        <v>824</v>
      </c>
      <c r="F3109" s="705">
        <v>1.017852299817551E-4</v>
      </c>
      <c r="G3109" s="705">
        <v>1.1188445865047394</v>
      </c>
    </row>
    <row r="3110" spans="2:7" ht="11.25" hidden="1" customHeight="1" outlineLevel="2" x14ac:dyDescent="0.25">
      <c r="B3110" s="704" t="s">
        <v>699</v>
      </c>
      <c r="C3110" s="704" t="s">
        <v>836</v>
      </c>
      <c r="D3110" s="704" t="s">
        <v>675</v>
      </c>
      <c r="E3110" s="704" t="s">
        <v>824</v>
      </c>
      <c r="F3110" s="705">
        <v>6.1973739076226069E-36</v>
      </c>
      <c r="G3110" s="705">
        <v>6.5262886993729976E-32</v>
      </c>
    </row>
    <row r="3111" spans="2:7" ht="11.25" hidden="1" customHeight="1" outlineLevel="2" x14ac:dyDescent="0.25">
      <c r="B3111" s="704" t="s">
        <v>673</v>
      </c>
      <c r="C3111" s="704" t="s">
        <v>837</v>
      </c>
      <c r="D3111" s="704" t="s">
        <v>675</v>
      </c>
      <c r="E3111" s="704" t="s">
        <v>824</v>
      </c>
      <c r="F3111" s="706">
        <v>1.0506606430807563E-3</v>
      </c>
      <c r="G3111" s="705">
        <v>2.9008818485955983</v>
      </c>
    </row>
    <row r="3112" spans="2:7" ht="11.25" hidden="1" customHeight="1" outlineLevel="2" x14ac:dyDescent="0.25">
      <c r="B3112" s="704" t="s">
        <v>677</v>
      </c>
      <c r="C3112" s="704" t="s">
        <v>837</v>
      </c>
      <c r="D3112" s="704" t="s">
        <v>675</v>
      </c>
      <c r="E3112" s="704" t="s">
        <v>824</v>
      </c>
      <c r="F3112" s="706">
        <v>1.7435543102257797E-2</v>
      </c>
      <c r="G3112" s="705">
        <v>48.139681210220779</v>
      </c>
    </row>
    <row r="3113" spans="2:7" ht="11.25" hidden="1" customHeight="1" outlineLevel="2" x14ac:dyDescent="0.25">
      <c r="B3113" s="704" t="s">
        <v>678</v>
      </c>
      <c r="C3113" s="704" t="s">
        <v>837</v>
      </c>
      <c r="D3113" s="704" t="s">
        <v>675</v>
      </c>
      <c r="E3113" s="704" t="s">
        <v>824</v>
      </c>
      <c r="F3113" s="706">
        <v>4.0386219545652649E-2</v>
      </c>
      <c r="G3113" s="705">
        <v>111.50667410764954</v>
      </c>
    </row>
    <row r="3114" spans="2:7" ht="11.25" hidden="1" customHeight="1" outlineLevel="2" x14ac:dyDescent="0.25">
      <c r="B3114" s="704" t="s">
        <v>679</v>
      </c>
      <c r="C3114" s="704" t="s">
        <v>837</v>
      </c>
      <c r="D3114" s="704" t="s">
        <v>675</v>
      </c>
      <c r="E3114" s="704" t="s">
        <v>824</v>
      </c>
      <c r="F3114" s="706">
        <v>3.2774270429408738E-3</v>
      </c>
      <c r="G3114" s="705">
        <v>9.0490032501563018</v>
      </c>
    </row>
    <row r="3115" spans="2:7" ht="11.25" hidden="1" customHeight="1" outlineLevel="2" x14ac:dyDescent="0.25">
      <c r="B3115" s="704" t="s">
        <v>680</v>
      </c>
      <c r="C3115" s="704" t="s">
        <v>837</v>
      </c>
      <c r="D3115" s="704" t="s">
        <v>675</v>
      </c>
      <c r="E3115" s="704" t="s">
        <v>824</v>
      </c>
      <c r="F3115" s="706">
        <v>6.0746175875626258E-4</v>
      </c>
      <c r="G3115" s="705">
        <v>1.6772065555300562</v>
      </c>
    </row>
    <row r="3116" spans="2:7" ht="11.25" hidden="1" customHeight="1" outlineLevel="2" x14ac:dyDescent="0.25">
      <c r="B3116" s="704" t="s">
        <v>681</v>
      </c>
      <c r="C3116" s="704" t="s">
        <v>837</v>
      </c>
      <c r="D3116" s="704" t="s">
        <v>675</v>
      </c>
      <c r="E3116" s="704" t="s">
        <v>824</v>
      </c>
      <c r="F3116" s="706">
        <v>5.1237465869072886E-3</v>
      </c>
      <c r="G3116" s="705">
        <v>14.146704860029178</v>
      </c>
    </row>
    <row r="3117" spans="2:7" ht="11.25" hidden="1" customHeight="1" outlineLevel="2" x14ac:dyDescent="0.25">
      <c r="B3117" s="704" t="s">
        <v>682</v>
      </c>
      <c r="C3117" s="704" t="s">
        <v>837</v>
      </c>
      <c r="D3117" s="704" t="s">
        <v>675</v>
      </c>
      <c r="E3117" s="704" t="s">
        <v>824</v>
      </c>
      <c r="F3117" s="706">
        <v>4.4978654958864623E-3</v>
      </c>
      <c r="G3117" s="705">
        <v>12.418642371629225</v>
      </c>
    </row>
    <row r="3118" spans="2:7" ht="11.25" hidden="1" customHeight="1" outlineLevel="2" x14ac:dyDescent="0.25">
      <c r="B3118" s="704" t="s">
        <v>683</v>
      </c>
      <c r="C3118" s="704" t="s">
        <v>837</v>
      </c>
      <c r="D3118" s="704" t="s">
        <v>675</v>
      </c>
      <c r="E3118" s="704" t="s">
        <v>824</v>
      </c>
      <c r="F3118" s="705">
        <v>7.4698920924879024E-3</v>
      </c>
      <c r="G3118" s="705">
        <v>20.62442563688138</v>
      </c>
    </row>
    <row r="3119" spans="2:7" ht="11.25" hidden="1" customHeight="1" outlineLevel="2" x14ac:dyDescent="0.25">
      <c r="B3119" s="704" t="s">
        <v>684</v>
      </c>
      <c r="C3119" s="704" t="s">
        <v>837</v>
      </c>
      <c r="D3119" s="704" t="s">
        <v>675</v>
      </c>
      <c r="E3119" s="704" t="s">
        <v>824</v>
      </c>
      <c r="F3119" s="705">
        <v>9.7504183512891194E-4</v>
      </c>
      <c r="G3119" s="705">
        <v>2.6920984114286202</v>
      </c>
    </row>
    <row r="3120" spans="2:7" ht="11.25" hidden="1" customHeight="1" outlineLevel="2" x14ac:dyDescent="0.25">
      <c r="B3120" s="704" t="s">
        <v>685</v>
      </c>
      <c r="C3120" s="704" t="s">
        <v>837</v>
      </c>
      <c r="D3120" s="704" t="s">
        <v>675</v>
      </c>
      <c r="E3120" s="704" t="s">
        <v>824</v>
      </c>
      <c r="F3120" s="705">
        <v>8.9645614501096867E-3</v>
      </c>
      <c r="G3120" s="705">
        <v>24.751223381194901</v>
      </c>
    </row>
    <row r="3121" spans="2:7" ht="11.25" hidden="1" customHeight="1" outlineLevel="2" x14ac:dyDescent="0.25">
      <c r="B3121" s="704" t="s">
        <v>686</v>
      </c>
      <c r="C3121" s="704" t="s">
        <v>837</v>
      </c>
      <c r="D3121" s="704" t="s">
        <v>675</v>
      </c>
      <c r="E3121" s="704" t="s">
        <v>824</v>
      </c>
      <c r="F3121" s="705">
        <v>2.1076457417873347E-3</v>
      </c>
      <c r="G3121" s="705">
        <v>5.8192276201211088</v>
      </c>
    </row>
    <row r="3122" spans="2:7" ht="11.25" hidden="1" customHeight="1" outlineLevel="2" x14ac:dyDescent="0.25">
      <c r="B3122" s="704" t="s">
        <v>687</v>
      </c>
      <c r="C3122" s="704" t="s">
        <v>837</v>
      </c>
      <c r="D3122" s="704" t="s">
        <v>675</v>
      </c>
      <c r="E3122" s="704" t="s">
        <v>824</v>
      </c>
      <c r="F3122" s="705">
        <v>1.0796137447477575E-2</v>
      </c>
      <c r="G3122" s="705">
        <v>29.808220795102628</v>
      </c>
    </row>
    <row r="3123" spans="2:7" ht="11.25" hidden="1" customHeight="1" outlineLevel="2" x14ac:dyDescent="0.25">
      <c r="B3123" s="704" t="s">
        <v>688</v>
      </c>
      <c r="C3123" s="704" t="s">
        <v>837</v>
      </c>
      <c r="D3123" s="704" t="s">
        <v>675</v>
      </c>
      <c r="E3123" s="704" t="s">
        <v>824</v>
      </c>
      <c r="F3123" s="705">
        <v>7.7493027594397173E-3</v>
      </c>
      <c r="G3123" s="705">
        <v>21.39588338591885</v>
      </c>
    </row>
    <row r="3124" spans="2:7" ht="11.25" hidden="1" customHeight="1" outlineLevel="2" x14ac:dyDescent="0.25">
      <c r="B3124" s="704" t="s">
        <v>689</v>
      </c>
      <c r="C3124" s="704" t="s">
        <v>837</v>
      </c>
      <c r="D3124" s="704" t="s">
        <v>675</v>
      </c>
      <c r="E3124" s="704" t="s">
        <v>824</v>
      </c>
      <c r="F3124" s="705">
        <v>1.1457240018577634E-3</v>
      </c>
      <c r="G3124" s="705">
        <v>3.1633539043877423</v>
      </c>
    </row>
    <row r="3125" spans="2:7" ht="11.25" hidden="1" customHeight="1" outlineLevel="2" x14ac:dyDescent="0.25">
      <c r="B3125" s="704" t="s">
        <v>690</v>
      </c>
      <c r="C3125" s="704" t="s">
        <v>837</v>
      </c>
      <c r="D3125" s="704" t="s">
        <v>675</v>
      </c>
      <c r="E3125" s="704" t="s">
        <v>824</v>
      </c>
      <c r="F3125" s="705">
        <v>2.5225029580156974E-2</v>
      </c>
      <c r="G3125" s="705">
        <v>69.646510712822348</v>
      </c>
    </row>
    <row r="3126" spans="2:7" ht="11.25" hidden="1" customHeight="1" outlineLevel="2" x14ac:dyDescent="0.25">
      <c r="B3126" s="704" t="s">
        <v>691</v>
      </c>
      <c r="C3126" s="704" t="s">
        <v>837</v>
      </c>
      <c r="D3126" s="704" t="s">
        <v>675</v>
      </c>
      <c r="E3126" s="704" t="s">
        <v>824</v>
      </c>
      <c r="F3126" s="705">
        <v>2.8807789416624648E-2</v>
      </c>
      <c r="G3126" s="705">
        <v>79.538491945031438</v>
      </c>
    </row>
    <row r="3127" spans="2:7" ht="11.25" hidden="1" customHeight="1" outlineLevel="2" x14ac:dyDescent="0.25">
      <c r="B3127" s="704" t="s">
        <v>692</v>
      </c>
      <c r="C3127" s="704" t="s">
        <v>837</v>
      </c>
      <c r="D3127" s="704" t="s">
        <v>675</v>
      </c>
      <c r="E3127" s="704" t="s">
        <v>824</v>
      </c>
      <c r="F3127" s="705">
        <v>1.6846074023102822E-3</v>
      </c>
      <c r="G3127" s="705">
        <v>4.6512135284501657</v>
      </c>
    </row>
    <row r="3128" spans="2:7" ht="11.25" hidden="1" customHeight="1" outlineLevel="2" x14ac:dyDescent="0.25">
      <c r="B3128" s="704" t="s">
        <v>693</v>
      </c>
      <c r="C3128" s="704" t="s">
        <v>837</v>
      </c>
      <c r="D3128" s="704" t="s">
        <v>675</v>
      </c>
      <c r="E3128" s="704" t="s">
        <v>824</v>
      </c>
      <c r="F3128" s="705">
        <v>4.2051133819282988E-3</v>
      </c>
      <c r="G3128" s="705">
        <v>11.610352354417277</v>
      </c>
    </row>
    <row r="3129" spans="2:7" ht="11.25" hidden="1" customHeight="1" outlineLevel="2" x14ac:dyDescent="0.25">
      <c r="B3129" s="704" t="s">
        <v>694</v>
      </c>
      <c r="C3129" s="704" t="s">
        <v>837</v>
      </c>
      <c r="D3129" s="704" t="s">
        <v>675</v>
      </c>
      <c r="E3129" s="704" t="s">
        <v>824</v>
      </c>
      <c r="F3129" s="705">
        <v>4.7144251071071805E-4</v>
      </c>
      <c r="G3129" s="705">
        <v>1.3016564443123093</v>
      </c>
    </row>
    <row r="3130" spans="2:7" ht="11.25" hidden="1" customHeight="1" outlineLevel="2" x14ac:dyDescent="0.25">
      <c r="B3130" s="704" t="s">
        <v>695</v>
      </c>
      <c r="C3130" s="704" t="s">
        <v>837</v>
      </c>
      <c r="D3130" s="704" t="s">
        <v>675</v>
      </c>
      <c r="E3130" s="704" t="s">
        <v>824</v>
      </c>
      <c r="F3130" s="705">
        <v>2.2361952610810082E-3</v>
      </c>
      <c r="G3130" s="705">
        <v>6.1741503179400006</v>
      </c>
    </row>
    <row r="3131" spans="2:7" ht="11.25" hidden="1" customHeight="1" outlineLevel="2" x14ac:dyDescent="0.25">
      <c r="B3131" s="704" t="s">
        <v>696</v>
      </c>
      <c r="C3131" s="704" t="s">
        <v>837</v>
      </c>
      <c r="D3131" s="704" t="s">
        <v>675</v>
      </c>
      <c r="E3131" s="704" t="s">
        <v>824</v>
      </c>
      <c r="F3131" s="705">
        <v>5.58722544955204E-3</v>
      </c>
      <c r="G3131" s="705">
        <v>15.42637097715399</v>
      </c>
    </row>
    <row r="3132" spans="2:7" ht="11.25" hidden="1" customHeight="1" outlineLevel="2" x14ac:dyDescent="0.25">
      <c r="B3132" s="704" t="s">
        <v>697</v>
      </c>
      <c r="C3132" s="704" t="s">
        <v>837</v>
      </c>
      <c r="D3132" s="704" t="s">
        <v>675</v>
      </c>
      <c r="E3132" s="704" t="s">
        <v>824</v>
      </c>
      <c r="F3132" s="705">
        <v>3.0569346889818289E-3</v>
      </c>
      <c r="G3132" s="705">
        <v>8.4402226135949192</v>
      </c>
    </row>
    <row r="3133" spans="2:7" ht="11.25" hidden="1" customHeight="1" outlineLevel="2" x14ac:dyDescent="0.25">
      <c r="B3133" s="704" t="s">
        <v>698</v>
      </c>
      <c r="C3133" s="704" t="s">
        <v>837</v>
      </c>
      <c r="D3133" s="704" t="s">
        <v>675</v>
      </c>
      <c r="E3133" s="704" t="s">
        <v>824</v>
      </c>
      <c r="F3133" s="705">
        <v>3.3567827987697934E-3</v>
      </c>
      <c r="G3133" s="705">
        <v>9.2681039280145487</v>
      </c>
    </row>
    <row r="3134" spans="2:7" ht="11.25" hidden="1" customHeight="1" outlineLevel="2" x14ac:dyDescent="0.25">
      <c r="B3134" s="704" t="s">
        <v>699</v>
      </c>
      <c r="C3134" s="704" t="s">
        <v>837</v>
      </c>
      <c r="D3134" s="704" t="s">
        <v>675</v>
      </c>
      <c r="E3134" s="704" t="s">
        <v>824</v>
      </c>
      <c r="F3134" s="705">
        <v>1.2247076726416674E-35</v>
      </c>
      <c r="G3134" s="705">
        <v>2.7481169934555332E-32</v>
      </c>
    </row>
    <row r="3135" spans="2:7" ht="11.25" hidden="1" customHeight="1" outlineLevel="2" x14ac:dyDescent="0.25">
      <c r="B3135" s="704" t="s">
        <v>673</v>
      </c>
      <c r="C3135" s="704" t="s">
        <v>838</v>
      </c>
      <c r="D3135" s="704" t="s">
        <v>675</v>
      </c>
      <c r="E3135" s="704" t="s">
        <v>824</v>
      </c>
      <c r="F3135" s="705">
        <v>5.419616215420781E-4</v>
      </c>
      <c r="G3135" s="705">
        <v>1.1996342157668611</v>
      </c>
    </row>
    <row r="3136" spans="2:7" ht="11.25" hidden="1" customHeight="1" outlineLevel="2" x14ac:dyDescent="0.25">
      <c r="B3136" s="704" t="s">
        <v>677</v>
      </c>
      <c r="C3136" s="704" t="s">
        <v>838</v>
      </c>
      <c r="D3136" s="704" t="s">
        <v>675</v>
      </c>
      <c r="E3136" s="704" t="s">
        <v>824</v>
      </c>
      <c r="F3136" s="705">
        <v>8.9937562856983125E-3</v>
      </c>
      <c r="G3136" s="705">
        <v>19.907754856203077</v>
      </c>
    </row>
    <row r="3137" spans="2:7" ht="11.25" hidden="1" customHeight="1" outlineLevel="2" x14ac:dyDescent="0.25">
      <c r="B3137" s="704" t="s">
        <v>678</v>
      </c>
      <c r="C3137" s="704" t="s">
        <v>838</v>
      </c>
      <c r="D3137" s="704" t="s">
        <v>675</v>
      </c>
      <c r="E3137" s="704" t="s">
        <v>824</v>
      </c>
      <c r="F3137" s="705">
        <v>2.0832367998534444E-2</v>
      </c>
      <c r="G3137" s="705">
        <v>46.112633988313753</v>
      </c>
    </row>
    <row r="3138" spans="2:7" ht="11.25" hidden="1" customHeight="1" outlineLevel="2" x14ac:dyDescent="0.25">
      <c r="B3138" s="704" t="s">
        <v>679</v>
      </c>
      <c r="C3138" s="704" t="s">
        <v>838</v>
      </c>
      <c r="D3138" s="704" t="s">
        <v>675</v>
      </c>
      <c r="E3138" s="704" t="s">
        <v>824</v>
      </c>
      <c r="F3138" s="705">
        <v>1.690591369785885E-3</v>
      </c>
      <c r="G3138" s="705">
        <v>3.7421391875076311</v>
      </c>
    </row>
    <row r="3139" spans="2:7" ht="11.25" hidden="1" customHeight="1" outlineLevel="2" x14ac:dyDescent="0.25">
      <c r="B3139" s="704" t="s">
        <v>680</v>
      </c>
      <c r="C3139" s="704" t="s">
        <v>838</v>
      </c>
      <c r="D3139" s="704" t="s">
        <v>675</v>
      </c>
      <c r="E3139" s="704" t="s">
        <v>824</v>
      </c>
      <c r="F3139" s="705">
        <v>3.1334633674544619E-4</v>
      </c>
      <c r="G3139" s="705">
        <v>0.69359496764939677</v>
      </c>
    </row>
    <row r="3140" spans="2:7" ht="11.25" hidden="1" customHeight="1" outlineLevel="2" x14ac:dyDescent="0.25">
      <c r="B3140" s="704" t="s">
        <v>681</v>
      </c>
      <c r="C3140" s="704" t="s">
        <v>838</v>
      </c>
      <c r="D3140" s="704" t="s">
        <v>675</v>
      </c>
      <c r="E3140" s="704" t="s">
        <v>824</v>
      </c>
      <c r="F3140" s="705">
        <v>2.6429767665317842E-3</v>
      </c>
      <c r="G3140" s="705">
        <v>5.8502511801540313</v>
      </c>
    </row>
    <row r="3141" spans="2:7" ht="11.25" hidden="1" customHeight="1" outlineLevel="2" x14ac:dyDescent="0.25">
      <c r="B3141" s="704" t="s">
        <v>682</v>
      </c>
      <c r="C3141" s="704" t="s">
        <v>838</v>
      </c>
      <c r="D3141" s="704" t="s">
        <v>675</v>
      </c>
      <c r="E3141" s="704" t="s">
        <v>824</v>
      </c>
      <c r="F3141" s="705">
        <v>2.3201289246222228E-3</v>
      </c>
      <c r="G3141" s="705">
        <v>5.1356241463332513</v>
      </c>
    </row>
    <row r="3142" spans="2:7" ht="11.25" hidden="1" customHeight="1" outlineLevel="2" x14ac:dyDescent="0.25">
      <c r="B3142" s="704" t="s">
        <v>683</v>
      </c>
      <c r="C3142" s="704" t="s">
        <v>838</v>
      </c>
      <c r="D3142" s="704" t="s">
        <v>675</v>
      </c>
      <c r="E3142" s="704" t="s">
        <v>824</v>
      </c>
      <c r="F3142" s="705">
        <v>3.8531867722628277E-3</v>
      </c>
      <c r="G3142" s="705">
        <v>8.5290622387662811</v>
      </c>
    </row>
    <row r="3143" spans="2:7" ht="11.25" hidden="1" customHeight="1" outlineLevel="2" x14ac:dyDescent="0.25">
      <c r="B3143" s="704" t="s">
        <v>684</v>
      </c>
      <c r="C3143" s="704" t="s">
        <v>838</v>
      </c>
      <c r="D3143" s="704" t="s">
        <v>675</v>
      </c>
      <c r="E3143" s="704" t="s">
        <v>824</v>
      </c>
      <c r="F3143" s="705">
        <v>5.0295461325746934E-4</v>
      </c>
      <c r="G3143" s="705">
        <v>1.1132944830208209</v>
      </c>
    </row>
    <row r="3144" spans="2:7" ht="11.25" hidden="1" customHeight="1" outlineLevel="2" x14ac:dyDescent="0.25">
      <c r="B3144" s="704" t="s">
        <v>685</v>
      </c>
      <c r="C3144" s="704" t="s">
        <v>838</v>
      </c>
      <c r="D3144" s="704" t="s">
        <v>675</v>
      </c>
      <c r="E3144" s="704" t="s">
        <v>824</v>
      </c>
      <c r="F3144" s="705">
        <v>4.6241793579882796E-3</v>
      </c>
      <c r="G3144" s="705">
        <v>10.235659276976234</v>
      </c>
    </row>
    <row r="3145" spans="2:7" ht="11.25" hidden="1" customHeight="1" outlineLevel="2" x14ac:dyDescent="0.25">
      <c r="B3145" s="704" t="s">
        <v>686</v>
      </c>
      <c r="C3145" s="704" t="s">
        <v>838</v>
      </c>
      <c r="D3145" s="704" t="s">
        <v>675</v>
      </c>
      <c r="E3145" s="704" t="s">
        <v>824</v>
      </c>
      <c r="F3145" s="705">
        <v>1.0871847357242694E-3</v>
      </c>
      <c r="G3145" s="705">
        <v>2.406493336467733</v>
      </c>
    </row>
    <row r="3146" spans="2:7" ht="11.25" hidden="1" customHeight="1" outlineLevel="2" x14ac:dyDescent="0.25">
      <c r="B3146" s="704" t="s">
        <v>687</v>
      </c>
      <c r="C3146" s="704" t="s">
        <v>838</v>
      </c>
      <c r="D3146" s="704" t="s">
        <v>675</v>
      </c>
      <c r="E3146" s="704" t="s">
        <v>824</v>
      </c>
      <c r="F3146" s="705">
        <v>5.5689581247559423E-3</v>
      </c>
      <c r="G3146" s="705">
        <v>12.326947350576637</v>
      </c>
    </row>
    <row r="3147" spans="2:7" ht="11.25" hidden="1" customHeight="1" outlineLevel="2" x14ac:dyDescent="0.25">
      <c r="B3147" s="704" t="s">
        <v>688</v>
      </c>
      <c r="C3147" s="704" t="s">
        <v>838</v>
      </c>
      <c r="D3147" s="704" t="s">
        <v>675</v>
      </c>
      <c r="E3147" s="704" t="s">
        <v>824</v>
      </c>
      <c r="F3147" s="705">
        <v>3.9973129307513833E-3</v>
      </c>
      <c r="G3147" s="705">
        <v>8.8480900073985023</v>
      </c>
    </row>
    <row r="3148" spans="2:7" ht="11.25" hidden="1" customHeight="1" outlineLevel="2" x14ac:dyDescent="0.25">
      <c r="B3148" s="704" t="s">
        <v>689</v>
      </c>
      <c r="C3148" s="704" t="s">
        <v>838</v>
      </c>
      <c r="D3148" s="704" t="s">
        <v>675</v>
      </c>
      <c r="E3148" s="704" t="s">
        <v>824</v>
      </c>
      <c r="F3148" s="705">
        <v>5.9099733279262289E-4</v>
      </c>
      <c r="G3148" s="705">
        <v>1.3081784705955768</v>
      </c>
    </row>
    <row r="3149" spans="2:7" ht="11.25" hidden="1" customHeight="1" outlineLevel="2" x14ac:dyDescent="0.25">
      <c r="B3149" s="704" t="s">
        <v>690</v>
      </c>
      <c r="C3149" s="704" t="s">
        <v>838</v>
      </c>
      <c r="D3149" s="704" t="s">
        <v>675</v>
      </c>
      <c r="E3149" s="704" t="s">
        <v>824</v>
      </c>
      <c r="F3149" s="705">
        <v>1.3011802293871118E-2</v>
      </c>
      <c r="G3149" s="705">
        <v>28.801723640383369</v>
      </c>
    </row>
    <row r="3150" spans="2:7" ht="11.25" hidden="1" customHeight="1" outlineLevel="2" x14ac:dyDescent="0.25">
      <c r="B3150" s="704" t="s">
        <v>691</v>
      </c>
      <c r="C3150" s="704" t="s">
        <v>838</v>
      </c>
      <c r="D3150" s="704" t="s">
        <v>675</v>
      </c>
      <c r="E3150" s="704" t="s">
        <v>824</v>
      </c>
      <c r="F3150" s="706">
        <v>1.4859883754257378E-2</v>
      </c>
      <c r="G3150" s="705">
        <v>32.892469063302165</v>
      </c>
    </row>
    <row r="3151" spans="2:7" ht="11.25" hidden="1" customHeight="1" outlineLevel="2" x14ac:dyDescent="0.25">
      <c r="B3151" s="704" t="s">
        <v>692</v>
      </c>
      <c r="C3151" s="704" t="s">
        <v>838</v>
      </c>
      <c r="D3151" s="704" t="s">
        <v>675</v>
      </c>
      <c r="E3151" s="704" t="s">
        <v>824</v>
      </c>
      <c r="F3151" s="706">
        <v>8.6896885393872411E-4</v>
      </c>
      <c r="G3151" s="705">
        <v>1.9234701997945758</v>
      </c>
    </row>
    <row r="3152" spans="2:7" ht="11.25" hidden="1" customHeight="1" outlineLevel="2" x14ac:dyDescent="0.25">
      <c r="B3152" s="704" t="s">
        <v>693</v>
      </c>
      <c r="C3152" s="704" t="s">
        <v>838</v>
      </c>
      <c r="D3152" s="704" t="s">
        <v>675</v>
      </c>
      <c r="E3152" s="704" t="s">
        <v>824</v>
      </c>
      <c r="F3152" s="706">
        <v>2.1691192027921409E-3</v>
      </c>
      <c r="G3152" s="705">
        <v>4.8013626000361374</v>
      </c>
    </row>
    <row r="3153" spans="2:7" ht="11.25" hidden="1" customHeight="1" outlineLevel="2" x14ac:dyDescent="0.25">
      <c r="B3153" s="704" t="s">
        <v>694</v>
      </c>
      <c r="C3153" s="704" t="s">
        <v>838</v>
      </c>
      <c r="D3153" s="704" t="s">
        <v>675</v>
      </c>
      <c r="E3153" s="704" t="s">
        <v>824</v>
      </c>
      <c r="F3153" s="706">
        <v>2.4318361933864369E-4</v>
      </c>
      <c r="G3153" s="705">
        <v>0.53828894085336332</v>
      </c>
    </row>
    <row r="3154" spans="2:7" ht="11.25" hidden="1" customHeight="1" outlineLevel="2" x14ac:dyDescent="0.25">
      <c r="B3154" s="704" t="s">
        <v>695</v>
      </c>
      <c r="C3154" s="704" t="s">
        <v>838</v>
      </c>
      <c r="D3154" s="704" t="s">
        <v>675</v>
      </c>
      <c r="E3154" s="704" t="s">
        <v>824</v>
      </c>
      <c r="F3154" s="706">
        <v>1.153494114234136E-3</v>
      </c>
      <c r="G3154" s="705">
        <v>2.5532688866615625</v>
      </c>
    </row>
    <row r="3155" spans="2:7" ht="11.25" hidden="1" customHeight="1" outlineLevel="2" x14ac:dyDescent="0.25">
      <c r="B3155" s="704" t="s">
        <v>696</v>
      </c>
      <c r="C3155" s="704" t="s">
        <v>838</v>
      </c>
      <c r="D3155" s="704" t="s">
        <v>675</v>
      </c>
      <c r="E3155" s="704" t="s">
        <v>824</v>
      </c>
      <c r="F3155" s="706">
        <v>2.882051126998574E-3</v>
      </c>
      <c r="G3155" s="705">
        <v>6.3794454850704918</v>
      </c>
    </row>
    <row r="3156" spans="2:7" ht="11.25" hidden="1" customHeight="1" outlineLevel="2" x14ac:dyDescent="0.25">
      <c r="B3156" s="704" t="s">
        <v>697</v>
      </c>
      <c r="C3156" s="704" t="s">
        <v>838</v>
      </c>
      <c r="D3156" s="704" t="s">
        <v>675</v>
      </c>
      <c r="E3156" s="704" t="s">
        <v>824</v>
      </c>
      <c r="F3156" s="706">
        <v>1.5768547756311142E-3</v>
      </c>
      <c r="G3156" s="705">
        <v>3.4903824005292177</v>
      </c>
    </row>
    <row r="3157" spans="2:7" ht="11.25" hidden="1" customHeight="1" outlineLevel="2" x14ac:dyDescent="0.25">
      <c r="B3157" s="704" t="s">
        <v>698</v>
      </c>
      <c r="C3157" s="704" t="s">
        <v>838</v>
      </c>
      <c r="D3157" s="704" t="s">
        <v>675</v>
      </c>
      <c r="E3157" s="704" t="s">
        <v>824</v>
      </c>
      <c r="F3157" s="705">
        <v>1.7315242288392547E-3</v>
      </c>
      <c r="G3157" s="705">
        <v>3.832745449839702</v>
      </c>
    </row>
    <row r="3158" spans="2:7" ht="11.25" hidden="1" customHeight="1" outlineLevel="2" x14ac:dyDescent="0.25">
      <c r="B3158" s="704" t="s">
        <v>699</v>
      </c>
      <c r="C3158" s="704" t="s">
        <v>838</v>
      </c>
      <c r="D3158" s="704" t="s">
        <v>675</v>
      </c>
      <c r="E3158" s="704" t="s">
        <v>824</v>
      </c>
      <c r="F3158" s="705">
        <v>7.4995456310312559E-34</v>
      </c>
      <c r="G3158" s="705">
        <v>1.6600302959676247E-30</v>
      </c>
    </row>
    <row r="3159" spans="2:7" ht="11.25" hidden="1" customHeight="1" outlineLevel="2" x14ac:dyDescent="0.25">
      <c r="B3159" s="704" t="s">
        <v>673</v>
      </c>
      <c r="C3159" s="704" t="s">
        <v>839</v>
      </c>
      <c r="D3159" s="704" t="s">
        <v>563</v>
      </c>
      <c r="E3159" s="704" t="s">
        <v>824</v>
      </c>
      <c r="F3159" s="705">
        <v>1.6829863942939813E-2</v>
      </c>
      <c r="G3159" s="705">
        <v>40.840492336706774</v>
      </c>
    </row>
    <row r="3160" spans="2:7" ht="11.25" hidden="1" customHeight="1" outlineLevel="2" x14ac:dyDescent="0.25">
      <c r="B3160" s="704" t="s">
        <v>677</v>
      </c>
      <c r="C3160" s="704" t="s">
        <v>839</v>
      </c>
      <c r="D3160" s="704" t="s">
        <v>563</v>
      </c>
      <c r="E3160" s="704" t="s">
        <v>824</v>
      </c>
      <c r="F3160" s="706">
        <v>7.1311467527524999E-2</v>
      </c>
      <c r="G3160" s="705">
        <v>173.04953761016941</v>
      </c>
    </row>
    <row r="3161" spans="2:7" ht="11.25" hidden="1" customHeight="1" outlineLevel="2" x14ac:dyDescent="0.25">
      <c r="B3161" s="704" t="s">
        <v>678</v>
      </c>
      <c r="C3161" s="704" t="s">
        <v>839</v>
      </c>
      <c r="D3161" s="704" t="s">
        <v>563</v>
      </c>
      <c r="E3161" s="704" t="s">
        <v>824</v>
      </c>
      <c r="F3161" s="705">
        <v>0.13050580945821066</v>
      </c>
      <c r="G3161" s="705">
        <v>316.69431884363593</v>
      </c>
    </row>
    <row r="3162" spans="2:7" ht="11.25" hidden="1" customHeight="1" outlineLevel="2" x14ac:dyDescent="0.25">
      <c r="B3162" s="704" t="s">
        <v>679</v>
      </c>
      <c r="C3162" s="704" t="s">
        <v>839</v>
      </c>
      <c r="D3162" s="704" t="s">
        <v>563</v>
      </c>
      <c r="E3162" s="704" t="s">
        <v>824</v>
      </c>
      <c r="F3162" s="705">
        <v>3.4921202048535734E-3</v>
      </c>
      <c r="G3162" s="705">
        <v>8.4742151460665447</v>
      </c>
    </row>
    <row r="3163" spans="2:7" ht="11.25" hidden="1" customHeight="1" outlineLevel="2" x14ac:dyDescent="0.25">
      <c r="B3163" s="704" t="s">
        <v>680</v>
      </c>
      <c r="C3163" s="704" t="s">
        <v>839</v>
      </c>
      <c r="D3163" s="704" t="s">
        <v>563</v>
      </c>
      <c r="E3163" s="704" t="s">
        <v>824</v>
      </c>
      <c r="F3163" s="706">
        <v>8.4610778910747357E-3</v>
      </c>
      <c r="G3163" s="705">
        <v>20.532238056335729</v>
      </c>
    </row>
    <row r="3164" spans="2:7" ht="11.25" hidden="1" customHeight="1" outlineLevel="2" x14ac:dyDescent="0.25">
      <c r="B3164" s="704" t="s">
        <v>681</v>
      </c>
      <c r="C3164" s="704" t="s">
        <v>839</v>
      </c>
      <c r="D3164" s="704" t="s">
        <v>563</v>
      </c>
      <c r="E3164" s="704" t="s">
        <v>824</v>
      </c>
      <c r="F3164" s="705">
        <v>1.8188770734358001E-2</v>
      </c>
      <c r="G3164" s="705">
        <v>44.138073361205642</v>
      </c>
    </row>
    <row r="3165" spans="2:7" ht="11.25" hidden="1" customHeight="1" outlineLevel="2" x14ac:dyDescent="0.25">
      <c r="B3165" s="704" t="s">
        <v>682</v>
      </c>
      <c r="C3165" s="704" t="s">
        <v>839</v>
      </c>
      <c r="D3165" s="704" t="s">
        <v>563</v>
      </c>
      <c r="E3165" s="704" t="s">
        <v>824</v>
      </c>
      <c r="F3165" s="705">
        <v>1.6588842660710541E-2</v>
      </c>
      <c r="G3165" s="705">
        <v>40.255614039022973</v>
      </c>
    </row>
    <row r="3166" spans="2:7" ht="11.25" hidden="1" customHeight="1" outlineLevel="2" x14ac:dyDescent="0.25">
      <c r="B3166" s="704" t="s">
        <v>683</v>
      </c>
      <c r="C3166" s="704" t="s">
        <v>839</v>
      </c>
      <c r="D3166" s="704" t="s">
        <v>563</v>
      </c>
      <c r="E3166" s="704" t="s">
        <v>824</v>
      </c>
      <c r="F3166" s="705">
        <v>5.7663558551410247E-3</v>
      </c>
      <c r="G3166" s="705">
        <v>13.993033509882629</v>
      </c>
    </row>
    <row r="3167" spans="2:7" ht="11.25" hidden="1" customHeight="1" outlineLevel="2" x14ac:dyDescent="0.25">
      <c r="B3167" s="704" t="s">
        <v>684</v>
      </c>
      <c r="C3167" s="704" t="s">
        <v>839</v>
      </c>
      <c r="D3167" s="704" t="s">
        <v>563</v>
      </c>
      <c r="E3167" s="704" t="s">
        <v>824</v>
      </c>
      <c r="F3167" s="706">
        <v>1.1669009559080155E-2</v>
      </c>
      <c r="G3167" s="705">
        <v>28.31680961693684</v>
      </c>
    </row>
    <row r="3168" spans="2:7" ht="11.25" hidden="1" customHeight="1" outlineLevel="2" x14ac:dyDescent="0.25">
      <c r="B3168" s="704" t="s">
        <v>685</v>
      </c>
      <c r="C3168" s="704" t="s">
        <v>839</v>
      </c>
      <c r="D3168" s="704" t="s">
        <v>563</v>
      </c>
      <c r="E3168" s="704" t="s">
        <v>824</v>
      </c>
      <c r="F3168" s="706">
        <v>4.4013011623678155E-2</v>
      </c>
      <c r="G3168" s="705">
        <v>106.80496310097892</v>
      </c>
    </row>
    <row r="3169" spans="2:7" ht="11.25" hidden="1" customHeight="1" outlineLevel="2" x14ac:dyDescent="0.25">
      <c r="B3169" s="704" t="s">
        <v>686</v>
      </c>
      <c r="C3169" s="704" t="s">
        <v>839</v>
      </c>
      <c r="D3169" s="704" t="s">
        <v>563</v>
      </c>
      <c r="E3169" s="704" t="s">
        <v>824</v>
      </c>
      <c r="F3169" s="706">
        <v>4.3254081799267013E-3</v>
      </c>
      <c r="G3169" s="705">
        <v>10.496336026259673</v>
      </c>
    </row>
    <row r="3170" spans="2:7" ht="11.25" hidden="1" customHeight="1" outlineLevel="2" x14ac:dyDescent="0.25">
      <c r="B3170" s="704" t="s">
        <v>687</v>
      </c>
      <c r="C3170" s="704" t="s">
        <v>839</v>
      </c>
      <c r="D3170" s="704" t="s">
        <v>563</v>
      </c>
      <c r="E3170" s="704" t="s">
        <v>824</v>
      </c>
      <c r="F3170" s="705">
        <v>2.9372781034484555E-2</v>
      </c>
      <c r="G3170" s="705">
        <v>71.277985785095211</v>
      </c>
    </row>
    <row r="3171" spans="2:7" ht="11.25" hidden="1" customHeight="1" outlineLevel="2" x14ac:dyDescent="0.25">
      <c r="B3171" s="704" t="s">
        <v>688</v>
      </c>
      <c r="C3171" s="704" t="s">
        <v>839</v>
      </c>
      <c r="D3171" s="704" t="s">
        <v>563</v>
      </c>
      <c r="E3171" s="704" t="s">
        <v>824</v>
      </c>
      <c r="F3171" s="705">
        <v>3.9892720446140041E-2</v>
      </c>
      <c r="G3171" s="705">
        <v>96.806416048824445</v>
      </c>
    </row>
    <row r="3172" spans="2:7" ht="11.25" hidden="1" customHeight="1" outlineLevel="2" x14ac:dyDescent="0.25">
      <c r="B3172" s="704" t="s">
        <v>689</v>
      </c>
      <c r="C3172" s="704" t="s">
        <v>839</v>
      </c>
      <c r="D3172" s="704" t="s">
        <v>563</v>
      </c>
      <c r="E3172" s="704" t="s">
        <v>824</v>
      </c>
      <c r="F3172" s="705">
        <v>5.3678450638991685E-3</v>
      </c>
      <c r="G3172" s="705">
        <v>13.0259819531119</v>
      </c>
    </row>
    <row r="3173" spans="2:7" ht="11.25" hidden="1" customHeight="1" outlineLevel="2" x14ac:dyDescent="0.25">
      <c r="B3173" s="704" t="s">
        <v>690</v>
      </c>
      <c r="C3173" s="704" t="s">
        <v>839</v>
      </c>
      <c r="D3173" s="704" t="s">
        <v>563</v>
      </c>
      <c r="E3173" s="704" t="s">
        <v>824</v>
      </c>
      <c r="F3173" s="705">
        <v>7.383971435484217E-2</v>
      </c>
      <c r="G3173" s="705">
        <v>179.18405288603662</v>
      </c>
    </row>
    <row r="3174" spans="2:7" ht="11.25" hidden="1" customHeight="1" outlineLevel="2" x14ac:dyDescent="0.25">
      <c r="B3174" s="704" t="s">
        <v>691</v>
      </c>
      <c r="C3174" s="704" t="s">
        <v>839</v>
      </c>
      <c r="D3174" s="704" t="s">
        <v>563</v>
      </c>
      <c r="E3174" s="704" t="s">
        <v>824</v>
      </c>
      <c r="F3174" s="705">
        <v>5.421501868855666E-2</v>
      </c>
      <c r="G3174" s="705">
        <v>131.56191213173574</v>
      </c>
    </row>
    <row r="3175" spans="2:7" ht="11.25" hidden="1" customHeight="1" outlineLevel="2" x14ac:dyDescent="0.25">
      <c r="B3175" s="704" t="s">
        <v>692</v>
      </c>
      <c r="C3175" s="704" t="s">
        <v>839</v>
      </c>
      <c r="D3175" s="704" t="s">
        <v>563</v>
      </c>
      <c r="E3175" s="704" t="s">
        <v>824</v>
      </c>
      <c r="F3175" s="705">
        <v>4.4407843579916126E-3</v>
      </c>
      <c r="G3175" s="705">
        <v>10.776319439406468</v>
      </c>
    </row>
    <row r="3176" spans="2:7" ht="11.25" hidden="1" customHeight="1" outlineLevel="2" x14ac:dyDescent="0.25">
      <c r="B3176" s="704" t="s">
        <v>693</v>
      </c>
      <c r="C3176" s="704" t="s">
        <v>839</v>
      </c>
      <c r="D3176" s="704" t="s">
        <v>563</v>
      </c>
      <c r="E3176" s="704" t="s">
        <v>824</v>
      </c>
      <c r="F3176" s="705">
        <v>2.3921796283224283E-3</v>
      </c>
      <c r="G3176" s="705">
        <v>5.8050236076506891</v>
      </c>
    </row>
    <row r="3177" spans="2:7" ht="11.25" hidden="1" customHeight="1" outlineLevel="2" x14ac:dyDescent="0.25">
      <c r="B3177" s="704" t="s">
        <v>694</v>
      </c>
      <c r="C3177" s="704" t="s">
        <v>839</v>
      </c>
      <c r="D3177" s="704" t="s">
        <v>563</v>
      </c>
      <c r="E3177" s="704" t="s">
        <v>824</v>
      </c>
      <c r="F3177" s="705">
        <v>1.6281175781729365E-3</v>
      </c>
      <c r="G3177" s="705">
        <v>3.9509019946379302</v>
      </c>
    </row>
    <row r="3178" spans="2:7" ht="11.25" hidden="1" customHeight="1" outlineLevel="2" x14ac:dyDescent="0.25">
      <c r="B3178" s="704" t="s">
        <v>695</v>
      </c>
      <c r="C3178" s="704" t="s">
        <v>839</v>
      </c>
      <c r="D3178" s="704" t="s">
        <v>563</v>
      </c>
      <c r="E3178" s="704" t="s">
        <v>824</v>
      </c>
      <c r="F3178" s="705">
        <v>1.1440405210910186E-2</v>
      </c>
      <c r="G3178" s="705">
        <v>27.762087493217734</v>
      </c>
    </row>
    <row r="3179" spans="2:7" ht="11.25" hidden="1" customHeight="1" outlineLevel="2" x14ac:dyDescent="0.25">
      <c r="B3179" s="704" t="s">
        <v>696</v>
      </c>
      <c r="C3179" s="704" t="s">
        <v>839</v>
      </c>
      <c r="D3179" s="704" t="s">
        <v>563</v>
      </c>
      <c r="E3179" s="704" t="s">
        <v>824</v>
      </c>
      <c r="F3179" s="705">
        <v>4.1074718861622048E-2</v>
      </c>
      <c r="G3179" s="705">
        <v>99.674694471250533</v>
      </c>
    </row>
    <row r="3180" spans="2:7" ht="11.25" hidden="1" customHeight="1" outlineLevel="2" x14ac:dyDescent="0.25">
      <c r="B3180" s="704" t="s">
        <v>697</v>
      </c>
      <c r="C3180" s="704" t="s">
        <v>839</v>
      </c>
      <c r="D3180" s="704" t="s">
        <v>563</v>
      </c>
      <c r="E3180" s="704" t="s">
        <v>824</v>
      </c>
      <c r="F3180" s="705">
        <v>2.0757850449514097E-2</v>
      </c>
      <c r="G3180" s="705">
        <v>50.372438933102387</v>
      </c>
    </row>
    <row r="3181" spans="2:7" ht="11.25" hidden="1" customHeight="1" outlineLevel="2" x14ac:dyDescent="0.25">
      <c r="B3181" s="704" t="s">
        <v>698</v>
      </c>
      <c r="C3181" s="704" t="s">
        <v>839</v>
      </c>
      <c r="D3181" s="704" t="s">
        <v>563</v>
      </c>
      <c r="E3181" s="704" t="s">
        <v>824</v>
      </c>
      <c r="F3181" s="706">
        <v>5.430477497400138E-3</v>
      </c>
      <c r="G3181" s="705">
        <v>13.177951153121224</v>
      </c>
    </row>
    <row r="3182" spans="2:7" ht="11.25" hidden="1" customHeight="1" outlineLevel="2" x14ac:dyDescent="0.25">
      <c r="B3182" s="704" t="s">
        <v>699</v>
      </c>
      <c r="C3182" s="704" t="s">
        <v>839</v>
      </c>
      <c r="D3182" s="704" t="s">
        <v>563</v>
      </c>
      <c r="E3182" s="704" t="s">
        <v>824</v>
      </c>
      <c r="F3182" s="706">
        <v>9.9017798106393398E-2</v>
      </c>
      <c r="G3182" s="705">
        <v>240.28327087222627</v>
      </c>
    </row>
    <row r="3183" spans="2:7" ht="11.25" hidden="1" customHeight="1" outlineLevel="2" x14ac:dyDescent="0.25">
      <c r="B3183" s="704" t="s">
        <v>673</v>
      </c>
      <c r="C3183" s="704" t="s">
        <v>840</v>
      </c>
      <c r="D3183" s="704" t="s">
        <v>563</v>
      </c>
      <c r="E3183" s="704" t="s">
        <v>824</v>
      </c>
      <c r="F3183" s="705">
        <v>0.49046167252809003</v>
      </c>
      <c r="G3183" s="705">
        <v>3610.9267438831225</v>
      </c>
    </row>
    <row r="3184" spans="2:7" ht="11.25" hidden="1" customHeight="1" outlineLevel="2" x14ac:dyDescent="0.25">
      <c r="B3184" s="704" t="s">
        <v>677</v>
      </c>
      <c r="C3184" s="704" t="s">
        <v>840</v>
      </c>
      <c r="D3184" s="704" t="s">
        <v>563</v>
      </c>
      <c r="E3184" s="704" t="s">
        <v>824</v>
      </c>
      <c r="F3184" s="705">
        <v>2.0781860740434253</v>
      </c>
      <c r="G3184" s="705">
        <v>15300.23373785902</v>
      </c>
    </row>
    <row r="3185" spans="2:7" ht="11.25" hidden="1" customHeight="1" outlineLevel="2" x14ac:dyDescent="0.25">
      <c r="B3185" s="704" t="s">
        <v>678</v>
      </c>
      <c r="C3185" s="704" t="s">
        <v>840</v>
      </c>
      <c r="D3185" s="704" t="s">
        <v>563</v>
      </c>
      <c r="E3185" s="704" t="s">
        <v>824</v>
      </c>
      <c r="F3185" s="705">
        <v>3.8032456814703237</v>
      </c>
      <c r="G3185" s="705">
        <v>28000.665075367171</v>
      </c>
    </row>
    <row r="3186" spans="2:7" ht="11.25" hidden="1" customHeight="1" outlineLevel="2" x14ac:dyDescent="0.25">
      <c r="B3186" s="704" t="s">
        <v>679</v>
      </c>
      <c r="C3186" s="704" t="s">
        <v>840</v>
      </c>
      <c r="D3186" s="704" t="s">
        <v>563</v>
      </c>
      <c r="E3186" s="704" t="s">
        <v>824</v>
      </c>
      <c r="F3186" s="705">
        <v>0.10176856754011748</v>
      </c>
      <c r="G3186" s="705">
        <v>749.25106335855753</v>
      </c>
    </row>
    <row r="3187" spans="2:7" ht="11.25" hidden="1" customHeight="1" outlineLevel="2" x14ac:dyDescent="0.25">
      <c r="B3187" s="704" t="s">
        <v>680</v>
      </c>
      <c r="C3187" s="704" t="s">
        <v>840</v>
      </c>
      <c r="D3187" s="704" t="s">
        <v>563</v>
      </c>
      <c r="E3187" s="704" t="s">
        <v>824</v>
      </c>
      <c r="F3187" s="705">
        <v>0.24657585295971471</v>
      </c>
      <c r="G3187" s="705">
        <v>1815.3658548215199</v>
      </c>
    </row>
    <row r="3188" spans="2:7" ht="11.25" hidden="1" customHeight="1" outlineLevel="2" x14ac:dyDescent="0.25">
      <c r="B3188" s="704" t="s">
        <v>681</v>
      </c>
      <c r="C3188" s="704" t="s">
        <v>840</v>
      </c>
      <c r="D3188" s="704" t="s">
        <v>563</v>
      </c>
      <c r="E3188" s="704" t="s">
        <v>824</v>
      </c>
      <c r="F3188" s="705">
        <v>0.53006343595363592</v>
      </c>
      <c r="G3188" s="705">
        <v>3902.487693211131</v>
      </c>
    </row>
    <row r="3189" spans="2:7" ht="11.25" hidden="1" customHeight="1" outlineLevel="2" x14ac:dyDescent="0.25">
      <c r="B3189" s="704" t="s">
        <v>682</v>
      </c>
      <c r="C3189" s="704" t="s">
        <v>840</v>
      </c>
      <c r="D3189" s="704" t="s">
        <v>563</v>
      </c>
      <c r="E3189" s="704" t="s">
        <v>824</v>
      </c>
      <c r="F3189" s="705">
        <v>0.48343816729823702</v>
      </c>
      <c r="G3189" s="705">
        <v>3559.2190575800587</v>
      </c>
    </row>
    <row r="3190" spans="2:7" ht="11.25" hidden="1" customHeight="1" outlineLevel="2" x14ac:dyDescent="0.25">
      <c r="B3190" s="704" t="s">
        <v>683</v>
      </c>
      <c r="C3190" s="704" t="s">
        <v>840</v>
      </c>
      <c r="D3190" s="704" t="s">
        <v>563</v>
      </c>
      <c r="E3190" s="704" t="s">
        <v>824</v>
      </c>
      <c r="F3190" s="705">
        <v>0.16804520000692319</v>
      </c>
      <c r="G3190" s="705">
        <v>1237.199990567354</v>
      </c>
    </row>
    <row r="3191" spans="2:7" ht="11.25" hidden="1" customHeight="1" outlineLevel="2" x14ac:dyDescent="0.25">
      <c r="B3191" s="704" t="s">
        <v>684</v>
      </c>
      <c r="C3191" s="704" t="s">
        <v>840</v>
      </c>
      <c r="D3191" s="704" t="s">
        <v>563</v>
      </c>
      <c r="E3191" s="704" t="s">
        <v>824</v>
      </c>
      <c r="F3191" s="705">
        <v>0.34006254006987363</v>
      </c>
      <c r="G3191" s="705">
        <v>2503.6424056226451</v>
      </c>
    </row>
    <row r="3192" spans="2:7" ht="11.25" hidden="1" customHeight="1" outlineLevel="2" x14ac:dyDescent="0.25">
      <c r="B3192" s="704" t="s">
        <v>685</v>
      </c>
      <c r="C3192" s="704" t="s">
        <v>840</v>
      </c>
      <c r="D3192" s="704" t="s">
        <v>563</v>
      </c>
      <c r="E3192" s="704" t="s">
        <v>824</v>
      </c>
      <c r="F3192" s="705">
        <v>1.2826429374488209</v>
      </c>
      <c r="G3192" s="705">
        <v>9443.204891356505</v>
      </c>
    </row>
    <row r="3193" spans="2:7" ht="11.25" hidden="1" customHeight="1" outlineLevel="2" x14ac:dyDescent="0.25">
      <c r="B3193" s="704" t="s">
        <v>686</v>
      </c>
      <c r="C3193" s="704" t="s">
        <v>840</v>
      </c>
      <c r="D3193" s="704" t="s">
        <v>563</v>
      </c>
      <c r="E3193" s="704" t="s">
        <v>824</v>
      </c>
      <c r="F3193" s="705">
        <v>0.12605253904340688</v>
      </c>
      <c r="G3193" s="705">
        <v>928.03727143853496</v>
      </c>
    </row>
    <row r="3194" spans="2:7" ht="11.25" hidden="1" customHeight="1" outlineLevel="2" x14ac:dyDescent="0.25">
      <c r="B3194" s="704" t="s">
        <v>687</v>
      </c>
      <c r="C3194" s="704" t="s">
        <v>840</v>
      </c>
      <c r="D3194" s="704" t="s">
        <v>563</v>
      </c>
      <c r="E3194" s="704" t="s">
        <v>824</v>
      </c>
      <c r="F3194" s="705">
        <v>0.85599163135381018</v>
      </c>
      <c r="G3194" s="705">
        <v>6302.0711690303615</v>
      </c>
    </row>
    <row r="3195" spans="2:7" ht="11.25" hidden="1" customHeight="1" outlineLevel="2" x14ac:dyDescent="0.25">
      <c r="B3195" s="704" t="s">
        <v>688</v>
      </c>
      <c r="C3195" s="704" t="s">
        <v>840</v>
      </c>
      <c r="D3195" s="704" t="s">
        <v>563</v>
      </c>
      <c r="E3195" s="704" t="s">
        <v>824</v>
      </c>
      <c r="F3195" s="705">
        <v>1.1625678232194829</v>
      </c>
      <c r="G3195" s="705">
        <v>8559.1757442013059</v>
      </c>
    </row>
    <row r="3196" spans="2:7" ht="11.25" hidden="1" customHeight="1" outlineLevel="2" x14ac:dyDescent="0.25">
      <c r="B3196" s="704" t="s">
        <v>689</v>
      </c>
      <c r="C3196" s="704" t="s">
        <v>840</v>
      </c>
      <c r="D3196" s="704" t="s">
        <v>563</v>
      </c>
      <c r="E3196" s="704" t="s">
        <v>824</v>
      </c>
      <c r="F3196" s="705">
        <v>0.15643161639613287</v>
      </c>
      <c r="G3196" s="705">
        <v>1151.6971029543286</v>
      </c>
    </row>
    <row r="3197" spans="2:7" ht="11.25" hidden="1" customHeight="1" outlineLevel="2" x14ac:dyDescent="0.25">
      <c r="B3197" s="704" t="s">
        <v>690</v>
      </c>
      <c r="C3197" s="704" t="s">
        <v>840</v>
      </c>
      <c r="D3197" s="704" t="s">
        <v>563</v>
      </c>
      <c r="E3197" s="704" t="s">
        <v>824</v>
      </c>
      <c r="F3197" s="705">
        <v>2.1518602007222092</v>
      </c>
      <c r="G3197" s="705">
        <v>15842.649600742825</v>
      </c>
    </row>
    <row r="3198" spans="2:7" ht="11.25" hidden="1" customHeight="1" outlineLevel="2" x14ac:dyDescent="0.25">
      <c r="B3198" s="704" t="s">
        <v>691</v>
      </c>
      <c r="C3198" s="704" t="s">
        <v>840</v>
      </c>
      <c r="D3198" s="704" t="s">
        <v>563</v>
      </c>
      <c r="E3198" s="704" t="s">
        <v>824</v>
      </c>
      <c r="F3198" s="706">
        <v>1.5799529286285863</v>
      </c>
      <c r="G3198" s="705">
        <v>11632.090134036021</v>
      </c>
    </row>
    <row r="3199" spans="2:7" ht="11.25" hidden="1" customHeight="1" outlineLevel="2" x14ac:dyDescent="0.25">
      <c r="B3199" s="704" t="s">
        <v>692</v>
      </c>
      <c r="C3199" s="704" t="s">
        <v>840</v>
      </c>
      <c r="D3199" s="704" t="s">
        <v>563</v>
      </c>
      <c r="E3199" s="704" t="s">
        <v>824</v>
      </c>
      <c r="F3199" s="706">
        <v>0.12941497346061553</v>
      </c>
      <c r="G3199" s="705">
        <v>952.79175273595547</v>
      </c>
    </row>
    <row r="3200" spans="2:7" ht="11.25" hidden="1" customHeight="1" outlineLevel="2" x14ac:dyDescent="0.25">
      <c r="B3200" s="704" t="s">
        <v>693</v>
      </c>
      <c r="C3200" s="704" t="s">
        <v>840</v>
      </c>
      <c r="D3200" s="704" t="s">
        <v>563</v>
      </c>
      <c r="E3200" s="704" t="s">
        <v>824</v>
      </c>
      <c r="F3200" s="706">
        <v>6.9713717234819214E-2</v>
      </c>
      <c r="G3200" s="705">
        <v>513.25351143596197</v>
      </c>
    </row>
    <row r="3201" spans="2:7" ht="11.25" hidden="1" customHeight="1" outlineLevel="2" x14ac:dyDescent="0.25">
      <c r="B3201" s="704" t="s">
        <v>694</v>
      </c>
      <c r="C3201" s="704" t="s">
        <v>840</v>
      </c>
      <c r="D3201" s="704" t="s">
        <v>563</v>
      </c>
      <c r="E3201" s="704" t="s">
        <v>824</v>
      </c>
      <c r="F3201" s="706">
        <v>4.7447162702092288E-2</v>
      </c>
      <c r="G3201" s="705">
        <v>349.3204265122759</v>
      </c>
    </row>
    <row r="3202" spans="2:7" ht="11.25" hidden="1" customHeight="1" outlineLevel="2" x14ac:dyDescent="0.25">
      <c r="B3202" s="704" t="s">
        <v>695</v>
      </c>
      <c r="C3202" s="704" t="s">
        <v>840</v>
      </c>
      <c r="D3202" s="704" t="s">
        <v>563</v>
      </c>
      <c r="E3202" s="704" t="s">
        <v>824</v>
      </c>
      <c r="F3202" s="706">
        <v>0.33340033149680687</v>
      </c>
      <c r="G3202" s="705">
        <v>2454.5966148854045</v>
      </c>
    </row>
    <row r="3203" spans="2:7" ht="11.25" hidden="1" customHeight="1" outlineLevel="2" x14ac:dyDescent="0.25">
      <c r="B3203" s="704" t="s">
        <v>696</v>
      </c>
      <c r="C3203" s="704" t="s">
        <v>840</v>
      </c>
      <c r="D3203" s="704" t="s">
        <v>563</v>
      </c>
      <c r="E3203" s="704" t="s">
        <v>824</v>
      </c>
      <c r="F3203" s="706">
        <v>1.1970137801713574</v>
      </c>
      <c r="G3203" s="705">
        <v>8812.7770496633439</v>
      </c>
    </row>
    <row r="3204" spans="2:7" ht="11.25" hidden="1" customHeight="1" outlineLevel="2" x14ac:dyDescent="0.25">
      <c r="B3204" s="704" t="s">
        <v>697</v>
      </c>
      <c r="C3204" s="704" t="s">
        <v>840</v>
      </c>
      <c r="D3204" s="704" t="s">
        <v>563</v>
      </c>
      <c r="E3204" s="704" t="s">
        <v>824</v>
      </c>
      <c r="F3204" s="706">
        <v>0.60493278448590626</v>
      </c>
      <c r="G3204" s="705">
        <v>4453.6990742271319</v>
      </c>
    </row>
    <row r="3205" spans="2:7" ht="11.25" hidden="1" customHeight="1" outlineLevel="2" x14ac:dyDescent="0.25">
      <c r="B3205" s="704" t="s">
        <v>698</v>
      </c>
      <c r="C3205" s="704" t="s">
        <v>840</v>
      </c>
      <c r="D3205" s="704" t="s">
        <v>563</v>
      </c>
      <c r="E3205" s="704" t="s">
        <v>824</v>
      </c>
      <c r="F3205" s="706">
        <v>0.15825684174835072</v>
      </c>
      <c r="G3205" s="705">
        <v>1165.1351279114042</v>
      </c>
    </row>
    <row r="3206" spans="2:7" ht="11.25" hidden="1" customHeight="1" outlineLevel="2" x14ac:dyDescent="0.25">
      <c r="B3206" s="704" t="s">
        <v>699</v>
      </c>
      <c r="C3206" s="704" t="s">
        <v>840</v>
      </c>
      <c r="D3206" s="704" t="s">
        <v>563</v>
      </c>
      <c r="E3206" s="704" t="s">
        <v>824</v>
      </c>
      <c r="F3206" s="706">
        <v>2.8856085524843293</v>
      </c>
      <c r="G3206" s="705">
        <v>21244.725851189654</v>
      </c>
    </row>
    <row r="3207" spans="2:7" ht="11.25" hidden="1" customHeight="1" outlineLevel="2" x14ac:dyDescent="0.25">
      <c r="B3207" s="704" t="s">
        <v>673</v>
      </c>
      <c r="C3207" s="704" t="s">
        <v>841</v>
      </c>
      <c r="D3207" s="704" t="s">
        <v>563</v>
      </c>
      <c r="E3207" s="704" t="s">
        <v>824</v>
      </c>
      <c r="F3207" s="706">
        <v>2.3855812318781494E-3</v>
      </c>
      <c r="G3207" s="705">
        <v>27.298695493587068</v>
      </c>
    </row>
    <row r="3208" spans="2:7" ht="11.25" hidden="1" customHeight="1" outlineLevel="2" x14ac:dyDescent="0.25">
      <c r="B3208" s="704" t="s">
        <v>677</v>
      </c>
      <c r="C3208" s="704" t="s">
        <v>841</v>
      </c>
      <c r="D3208" s="704" t="s">
        <v>563</v>
      </c>
      <c r="E3208" s="704" t="s">
        <v>824</v>
      </c>
      <c r="F3208" s="705">
        <v>1.0108175199944737E-2</v>
      </c>
      <c r="G3208" s="705">
        <v>115.670140503507</v>
      </c>
    </row>
    <row r="3209" spans="2:7" ht="11.25" hidden="1" customHeight="1" outlineLevel="2" x14ac:dyDescent="0.25">
      <c r="B3209" s="704" t="s">
        <v>678</v>
      </c>
      <c r="C3209" s="704" t="s">
        <v>841</v>
      </c>
      <c r="D3209" s="704" t="s">
        <v>563</v>
      </c>
      <c r="E3209" s="704" t="s">
        <v>824</v>
      </c>
      <c r="F3209" s="705">
        <v>1.8498777830948668E-2</v>
      </c>
      <c r="G3209" s="705">
        <v>211.68556849804608</v>
      </c>
    </row>
    <row r="3210" spans="2:7" ht="11.25" hidden="1" customHeight="1" outlineLevel="2" x14ac:dyDescent="0.25">
      <c r="B3210" s="704" t="s">
        <v>679</v>
      </c>
      <c r="C3210" s="704" t="s">
        <v>841</v>
      </c>
      <c r="D3210" s="704" t="s">
        <v>563</v>
      </c>
      <c r="E3210" s="704" t="s">
        <v>824</v>
      </c>
      <c r="F3210" s="706">
        <v>4.9499665603211767E-4</v>
      </c>
      <c r="G3210" s="705">
        <v>5.6643547122757489</v>
      </c>
    </row>
    <row r="3211" spans="2:7" ht="11.25" hidden="1" customHeight="1" outlineLevel="2" x14ac:dyDescent="0.25">
      <c r="B3211" s="704" t="s">
        <v>680</v>
      </c>
      <c r="C3211" s="704" t="s">
        <v>841</v>
      </c>
      <c r="D3211" s="704" t="s">
        <v>563</v>
      </c>
      <c r="E3211" s="704" t="s">
        <v>824</v>
      </c>
      <c r="F3211" s="705">
        <v>1.1993313133291236E-3</v>
      </c>
      <c r="G3211" s="705">
        <v>13.724196100194657</v>
      </c>
    </row>
    <row r="3212" spans="2:7" ht="11.25" hidden="1" customHeight="1" outlineLevel="2" x14ac:dyDescent="0.25">
      <c r="B3212" s="704" t="s">
        <v>681</v>
      </c>
      <c r="C3212" s="704" t="s">
        <v>841</v>
      </c>
      <c r="D3212" s="704" t="s">
        <v>563</v>
      </c>
      <c r="E3212" s="704" t="s">
        <v>824</v>
      </c>
      <c r="F3212" s="705">
        <v>2.5782013150601009E-3</v>
      </c>
      <c r="G3212" s="705">
        <v>29.502904387653061</v>
      </c>
    </row>
    <row r="3213" spans="2:7" ht="11.25" hidden="1" customHeight="1" outlineLevel="2" x14ac:dyDescent="0.25">
      <c r="B3213" s="704" t="s">
        <v>682</v>
      </c>
      <c r="C3213" s="704" t="s">
        <v>841</v>
      </c>
      <c r="D3213" s="704" t="s">
        <v>563</v>
      </c>
      <c r="E3213" s="704" t="s">
        <v>824</v>
      </c>
      <c r="F3213" s="705">
        <v>2.3514146227456012E-3</v>
      </c>
      <c r="G3213" s="705">
        <v>26.907772250030781</v>
      </c>
    </row>
    <row r="3214" spans="2:7" ht="11.25" hidden="1" customHeight="1" outlineLevel="2" x14ac:dyDescent="0.25">
      <c r="B3214" s="704" t="s">
        <v>683</v>
      </c>
      <c r="C3214" s="704" t="s">
        <v>841</v>
      </c>
      <c r="D3214" s="704" t="s">
        <v>563</v>
      </c>
      <c r="E3214" s="704" t="s">
        <v>824</v>
      </c>
      <c r="F3214" s="705">
        <v>8.173619197144969E-4</v>
      </c>
      <c r="G3214" s="705">
        <v>9.3532533369181419</v>
      </c>
    </row>
    <row r="3215" spans="2:7" ht="11.25" hidden="1" customHeight="1" outlineLevel="2" x14ac:dyDescent="0.25">
      <c r="B3215" s="704" t="s">
        <v>684</v>
      </c>
      <c r="C3215" s="704" t="s">
        <v>841</v>
      </c>
      <c r="D3215" s="704" t="s">
        <v>563</v>
      </c>
      <c r="E3215" s="704" t="s">
        <v>824</v>
      </c>
      <c r="F3215" s="705">
        <v>1.6757923809407552E-3</v>
      </c>
      <c r="G3215" s="705">
        <v>19.176478209783888</v>
      </c>
    </row>
    <row r="3216" spans="2:7" ht="11.25" hidden="1" customHeight="1" outlineLevel="2" x14ac:dyDescent="0.25">
      <c r="B3216" s="704" t="s">
        <v>685</v>
      </c>
      <c r="C3216" s="704" t="s">
        <v>841</v>
      </c>
      <c r="D3216" s="704" t="s">
        <v>563</v>
      </c>
      <c r="E3216" s="704" t="s">
        <v>824</v>
      </c>
      <c r="F3216" s="705">
        <v>6.2387013173175561E-3</v>
      </c>
      <c r="G3216" s="705">
        <v>71.390835777169869</v>
      </c>
    </row>
    <row r="3217" spans="2:7" ht="11.25" hidden="1" customHeight="1" outlineLevel="2" x14ac:dyDescent="0.25">
      <c r="B3217" s="704" t="s">
        <v>686</v>
      </c>
      <c r="C3217" s="704" t="s">
        <v>841</v>
      </c>
      <c r="D3217" s="704" t="s">
        <v>563</v>
      </c>
      <c r="E3217" s="704" t="s">
        <v>824</v>
      </c>
      <c r="F3217" s="705">
        <v>6.1311264292078331E-4</v>
      </c>
      <c r="G3217" s="705">
        <v>7.0159816734079632</v>
      </c>
    </row>
    <row r="3218" spans="2:7" ht="11.25" hidden="1" customHeight="1" outlineLevel="2" x14ac:dyDescent="0.25">
      <c r="B3218" s="704" t="s">
        <v>687</v>
      </c>
      <c r="C3218" s="704" t="s">
        <v>841</v>
      </c>
      <c r="D3218" s="704" t="s">
        <v>563</v>
      </c>
      <c r="E3218" s="704" t="s">
        <v>824</v>
      </c>
      <c r="F3218" s="705">
        <v>4.1634972241179251E-3</v>
      </c>
      <c r="G3218" s="705">
        <v>47.643789211216948</v>
      </c>
    </row>
    <row r="3219" spans="2:7" ht="11.25" hidden="1" customHeight="1" outlineLevel="2" x14ac:dyDescent="0.25">
      <c r="B3219" s="704" t="s">
        <v>688</v>
      </c>
      <c r="C3219" s="704" t="s">
        <v>841</v>
      </c>
      <c r="D3219" s="704" t="s">
        <v>563</v>
      </c>
      <c r="E3219" s="704" t="s">
        <v>824</v>
      </c>
      <c r="F3219" s="705">
        <v>5.6546630784697263E-3</v>
      </c>
      <c r="G3219" s="705">
        <v>64.707562138844494</v>
      </c>
    </row>
    <row r="3220" spans="2:7" ht="11.25" hidden="1" customHeight="1" outlineLevel="2" x14ac:dyDescent="0.25">
      <c r="B3220" s="704" t="s">
        <v>689</v>
      </c>
      <c r="C3220" s="704" t="s">
        <v>841</v>
      </c>
      <c r="D3220" s="704" t="s">
        <v>563</v>
      </c>
      <c r="E3220" s="704" t="s">
        <v>824</v>
      </c>
      <c r="F3220" s="705">
        <v>7.6087460770295678E-4</v>
      </c>
      <c r="G3220" s="705">
        <v>8.7068572931426154</v>
      </c>
    </row>
    <row r="3221" spans="2:7" ht="11.25" hidden="1" customHeight="1" outlineLevel="2" x14ac:dyDescent="0.25">
      <c r="B3221" s="704" t="s">
        <v>690</v>
      </c>
      <c r="C3221" s="704" t="s">
        <v>841</v>
      </c>
      <c r="D3221" s="704" t="s">
        <v>563</v>
      </c>
      <c r="E3221" s="704" t="s">
        <v>824</v>
      </c>
      <c r="F3221" s="705">
        <v>1.0466526282762678E-2</v>
      </c>
      <c r="G3221" s="705">
        <v>119.77074958424072</v>
      </c>
    </row>
    <row r="3222" spans="2:7" ht="11.25" hidden="1" customHeight="1" outlineLevel="2" x14ac:dyDescent="0.25">
      <c r="B3222" s="704" t="s">
        <v>691</v>
      </c>
      <c r="C3222" s="704" t="s">
        <v>841</v>
      </c>
      <c r="D3222" s="704" t="s">
        <v>563</v>
      </c>
      <c r="E3222" s="704" t="s">
        <v>824</v>
      </c>
      <c r="F3222" s="705">
        <v>7.684805720649379E-3</v>
      </c>
      <c r="G3222" s="705">
        <v>87.938894821083608</v>
      </c>
    </row>
    <row r="3223" spans="2:7" ht="11.25" hidden="1" customHeight="1" outlineLevel="2" x14ac:dyDescent="0.25">
      <c r="B3223" s="704" t="s">
        <v>692</v>
      </c>
      <c r="C3223" s="704" t="s">
        <v>841</v>
      </c>
      <c r="D3223" s="704" t="s">
        <v>563</v>
      </c>
      <c r="E3223" s="704" t="s">
        <v>824</v>
      </c>
      <c r="F3223" s="705">
        <v>6.2946669002454029E-4</v>
      </c>
      <c r="G3223" s="705">
        <v>7.2031293184143594</v>
      </c>
    </row>
    <row r="3224" spans="2:7" ht="11.25" hidden="1" customHeight="1" outlineLevel="2" x14ac:dyDescent="0.25">
      <c r="B3224" s="704" t="s">
        <v>693</v>
      </c>
      <c r="C3224" s="704" t="s">
        <v>841</v>
      </c>
      <c r="D3224" s="704" t="s">
        <v>563</v>
      </c>
      <c r="E3224" s="704" t="s">
        <v>824</v>
      </c>
      <c r="F3224" s="705">
        <v>3.3908342031709055E-4</v>
      </c>
      <c r="G3224" s="705">
        <v>3.8802086909968949</v>
      </c>
    </row>
    <row r="3225" spans="2:7" ht="11.25" hidden="1" customHeight="1" outlineLevel="2" x14ac:dyDescent="0.25">
      <c r="B3225" s="704" t="s">
        <v>694</v>
      </c>
      <c r="C3225" s="704" t="s">
        <v>841</v>
      </c>
      <c r="D3225" s="704" t="s">
        <v>563</v>
      </c>
      <c r="E3225" s="704" t="s">
        <v>824</v>
      </c>
      <c r="F3225" s="705">
        <v>2.3078033902864024E-4</v>
      </c>
      <c r="G3225" s="705">
        <v>2.6408710452683293</v>
      </c>
    </row>
    <row r="3226" spans="2:7" ht="11.25" hidden="1" customHeight="1" outlineLevel="2" x14ac:dyDescent="0.25">
      <c r="B3226" s="704" t="s">
        <v>695</v>
      </c>
      <c r="C3226" s="704" t="s">
        <v>841</v>
      </c>
      <c r="D3226" s="704" t="s">
        <v>563</v>
      </c>
      <c r="E3226" s="704" t="s">
        <v>824</v>
      </c>
      <c r="F3226" s="705">
        <v>1.6216409522084745E-3</v>
      </c>
      <c r="G3226" s="705">
        <v>18.556800159928262</v>
      </c>
    </row>
    <row r="3227" spans="2:7" ht="11.25" hidden="1" customHeight="1" outlineLevel="2" x14ac:dyDescent="0.25">
      <c r="B3227" s="704" t="s">
        <v>696</v>
      </c>
      <c r="C3227" s="704" t="s">
        <v>841</v>
      </c>
      <c r="D3227" s="704" t="s">
        <v>563</v>
      </c>
      <c r="E3227" s="704" t="s">
        <v>824</v>
      </c>
      <c r="F3227" s="705">
        <v>5.8222033510104852E-3</v>
      </c>
      <c r="G3227" s="705">
        <v>66.624785694858318</v>
      </c>
    </row>
    <row r="3228" spans="2:7" ht="11.25" hidden="1" customHeight="1" outlineLevel="2" x14ac:dyDescent="0.25">
      <c r="B3228" s="704" t="s">
        <v>697</v>
      </c>
      <c r="C3228" s="704" t="s">
        <v>841</v>
      </c>
      <c r="D3228" s="704" t="s">
        <v>563</v>
      </c>
      <c r="E3228" s="704" t="s">
        <v>824</v>
      </c>
      <c r="F3228" s="705">
        <v>2.942358987565636E-3</v>
      </c>
      <c r="G3228" s="705">
        <v>33.670065367858257</v>
      </c>
    </row>
    <row r="3229" spans="2:7" ht="11.25" hidden="1" customHeight="1" outlineLevel="2" x14ac:dyDescent="0.25">
      <c r="B3229" s="704" t="s">
        <v>698</v>
      </c>
      <c r="C3229" s="704" t="s">
        <v>841</v>
      </c>
      <c r="D3229" s="704" t="s">
        <v>563</v>
      </c>
      <c r="E3229" s="704" t="s">
        <v>824</v>
      </c>
      <c r="F3229" s="705">
        <v>7.697521687407273E-4</v>
      </c>
      <c r="G3229" s="705">
        <v>8.8084455105374921</v>
      </c>
    </row>
    <row r="3230" spans="2:7" ht="11.25" hidden="1" customHeight="1" outlineLevel="2" x14ac:dyDescent="0.25">
      <c r="B3230" s="704" t="s">
        <v>699</v>
      </c>
      <c r="C3230" s="704" t="s">
        <v>841</v>
      </c>
      <c r="D3230" s="704" t="s">
        <v>563</v>
      </c>
      <c r="E3230" s="704" t="s">
        <v>824</v>
      </c>
      <c r="F3230" s="705">
        <v>1.4035448353310087E-2</v>
      </c>
      <c r="G3230" s="705">
        <v>160.61064696722323</v>
      </c>
    </row>
    <row r="3231" spans="2:7" ht="11.25" hidden="1" customHeight="1" outlineLevel="2" x14ac:dyDescent="0.25">
      <c r="B3231" s="704" t="s">
        <v>673</v>
      </c>
      <c r="C3231" s="704" t="s">
        <v>842</v>
      </c>
      <c r="D3231" s="704" t="s">
        <v>563</v>
      </c>
      <c r="E3231" s="704" t="s">
        <v>824</v>
      </c>
      <c r="F3231" s="706">
        <v>8.6447508423933791E-4</v>
      </c>
      <c r="G3231" s="705">
        <v>8.4613329321624224</v>
      </c>
    </row>
    <row r="3232" spans="2:7" ht="11.25" hidden="1" customHeight="1" outlineLevel="2" x14ac:dyDescent="0.25">
      <c r="B3232" s="704" t="s">
        <v>677</v>
      </c>
      <c r="C3232" s="704" t="s">
        <v>842</v>
      </c>
      <c r="D3232" s="704" t="s">
        <v>563</v>
      </c>
      <c r="E3232" s="704" t="s">
        <v>824</v>
      </c>
      <c r="F3232" s="706">
        <v>3.6629580724601659E-3</v>
      </c>
      <c r="G3232" s="705">
        <v>35.852387243204284</v>
      </c>
    </row>
    <row r="3233" spans="2:7" ht="11.25" hidden="1" customHeight="1" outlineLevel="2" x14ac:dyDescent="0.25">
      <c r="B3233" s="704" t="s">
        <v>678</v>
      </c>
      <c r="C3233" s="704" t="s">
        <v>842</v>
      </c>
      <c r="D3233" s="704" t="s">
        <v>563</v>
      </c>
      <c r="E3233" s="704" t="s">
        <v>824</v>
      </c>
      <c r="F3233" s="706">
        <v>6.7035007594920364E-3</v>
      </c>
      <c r="G3233" s="705">
        <v>65.612711760304393</v>
      </c>
    </row>
    <row r="3234" spans="2:7" ht="11.25" hidden="1" customHeight="1" outlineLevel="2" x14ac:dyDescent="0.25">
      <c r="B3234" s="704" t="s">
        <v>679</v>
      </c>
      <c r="C3234" s="704" t="s">
        <v>842</v>
      </c>
      <c r="D3234" s="704" t="s">
        <v>563</v>
      </c>
      <c r="E3234" s="704" t="s">
        <v>824</v>
      </c>
      <c r="F3234" s="706">
        <v>1.7937462793672393E-4</v>
      </c>
      <c r="G3234" s="705">
        <v>1.7556900306118084</v>
      </c>
    </row>
    <row r="3235" spans="2:7" ht="11.25" hidden="1" customHeight="1" outlineLevel="2" x14ac:dyDescent="0.25">
      <c r="B3235" s="704" t="s">
        <v>680</v>
      </c>
      <c r="C3235" s="704" t="s">
        <v>842</v>
      </c>
      <c r="D3235" s="704" t="s">
        <v>563</v>
      </c>
      <c r="E3235" s="704" t="s">
        <v>824</v>
      </c>
      <c r="F3235" s="706">
        <v>4.3460826028303564E-4</v>
      </c>
      <c r="G3235" s="705">
        <v>4.2538685178079199</v>
      </c>
    </row>
    <row r="3236" spans="2:7" ht="11.25" hidden="1" customHeight="1" outlineLevel="2" x14ac:dyDescent="0.25">
      <c r="B3236" s="704" t="s">
        <v>681</v>
      </c>
      <c r="C3236" s="704" t="s">
        <v>842</v>
      </c>
      <c r="D3236" s="704" t="s">
        <v>563</v>
      </c>
      <c r="E3236" s="704" t="s">
        <v>824</v>
      </c>
      <c r="F3236" s="706">
        <v>9.3427560436663945E-4</v>
      </c>
      <c r="G3236" s="705">
        <v>9.1445300139070014</v>
      </c>
    </row>
    <row r="3237" spans="2:7" ht="11.25" hidden="1" customHeight="1" outlineLevel="2" x14ac:dyDescent="0.25">
      <c r="B3237" s="704" t="s">
        <v>682</v>
      </c>
      <c r="C3237" s="704" t="s">
        <v>842</v>
      </c>
      <c r="D3237" s="704" t="s">
        <v>563</v>
      </c>
      <c r="E3237" s="704" t="s">
        <v>824</v>
      </c>
      <c r="F3237" s="705">
        <v>8.5209500953712584E-4</v>
      </c>
      <c r="G3237" s="705">
        <v>8.3401602296176041</v>
      </c>
    </row>
    <row r="3238" spans="2:7" ht="11.25" hidden="1" customHeight="1" outlineLevel="2" x14ac:dyDescent="0.25">
      <c r="B3238" s="704" t="s">
        <v>683</v>
      </c>
      <c r="C3238" s="704" t="s">
        <v>842</v>
      </c>
      <c r="D3238" s="704" t="s">
        <v>563</v>
      </c>
      <c r="E3238" s="704" t="s">
        <v>824</v>
      </c>
      <c r="F3238" s="705">
        <v>2.9619177637818544E-4</v>
      </c>
      <c r="G3238" s="705">
        <v>2.8990767306870553</v>
      </c>
    </row>
    <row r="3239" spans="2:7" ht="11.25" hidden="1" customHeight="1" outlineLevel="2" x14ac:dyDescent="0.25">
      <c r="B3239" s="704" t="s">
        <v>684</v>
      </c>
      <c r="C3239" s="704" t="s">
        <v>842</v>
      </c>
      <c r="D3239" s="704" t="s">
        <v>563</v>
      </c>
      <c r="E3239" s="704" t="s">
        <v>824</v>
      </c>
      <c r="F3239" s="705">
        <v>6.0726603593287427E-4</v>
      </c>
      <c r="G3239" s="705">
        <v>5.9438144746150563</v>
      </c>
    </row>
    <row r="3240" spans="2:7" ht="11.25" hidden="1" customHeight="1" outlineLevel="2" x14ac:dyDescent="0.25">
      <c r="B3240" s="704" t="s">
        <v>685</v>
      </c>
      <c r="C3240" s="704" t="s">
        <v>842</v>
      </c>
      <c r="D3240" s="704" t="s">
        <v>563</v>
      </c>
      <c r="E3240" s="704" t="s">
        <v>824</v>
      </c>
      <c r="F3240" s="705">
        <v>2.2607525413261232E-3</v>
      </c>
      <c r="G3240" s="705">
        <v>22.127855621367129</v>
      </c>
    </row>
    <row r="3241" spans="2:7" ht="11.25" hidden="1" customHeight="1" outlineLevel="2" x14ac:dyDescent="0.25">
      <c r="B3241" s="704" t="s">
        <v>686</v>
      </c>
      <c r="C3241" s="704" t="s">
        <v>842</v>
      </c>
      <c r="D3241" s="704" t="s">
        <v>563</v>
      </c>
      <c r="E3241" s="704" t="s">
        <v>824</v>
      </c>
      <c r="F3241" s="705">
        <v>2.2217695737063707E-4</v>
      </c>
      <c r="G3241" s="705">
        <v>2.1746295248166079</v>
      </c>
    </row>
    <row r="3242" spans="2:7" ht="11.25" hidden="1" customHeight="1" outlineLevel="2" x14ac:dyDescent="0.25">
      <c r="B3242" s="704" t="s">
        <v>687</v>
      </c>
      <c r="C3242" s="704" t="s">
        <v>842</v>
      </c>
      <c r="D3242" s="704" t="s">
        <v>563</v>
      </c>
      <c r="E3242" s="704" t="s">
        <v>824</v>
      </c>
      <c r="F3242" s="705">
        <v>1.5087482904487047E-3</v>
      </c>
      <c r="G3242" s="705">
        <v>14.767377802840413</v>
      </c>
    </row>
    <row r="3243" spans="2:7" ht="11.25" hidden="1" customHeight="1" outlineLevel="2" x14ac:dyDescent="0.25">
      <c r="B3243" s="704" t="s">
        <v>688</v>
      </c>
      <c r="C3243" s="704" t="s">
        <v>842</v>
      </c>
      <c r="D3243" s="704" t="s">
        <v>563</v>
      </c>
      <c r="E3243" s="704" t="s">
        <v>824</v>
      </c>
      <c r="F3243" s="705">
        <v>2.0491119082669401E-3</v>
      </c>
      <c r="G3243" s="705">
        <v>20.056360963778129</v>
      </c>
    </row>
    <row r="3244" spans="2:7" ht="11.25" hidden="1" customHeight="1" outlineLevel="2" x14ac:dyDescent="0.25">
      <c r="B3244" s="704" t="s">
        <v>689</v>
      </c>
      <c r="C3244" s="704" t="s">
        <v>842</v>
      </c>
      <c r="D3244" s="704" t="s">
        <v>563</v>
      </c>
      <c r="E3244" s="704" t="s">
        <v>824</v>
      </c>
      <c r="F3244" s="705">
        <v>2.7572237382223326E-4</v>
      </c>
      <c r="G3244" s="705">
        <v>2.6987227778912408</v>
      </c>
    </row>
    <row r="3245" spans="2:7" ht="11.25" hidden="1" customHeight="1" outlineLevel="2" x14ac:dyDescent="0.25">
      <c r="B3245" s="704" t="s">
        <v>690</v>
      </c>
      <c r="C3245" s="704" t="s">
        <v>842</v>
      </c>
      <c r="D3245" s="704" t="s">
        <v>563</v>
      </c>
      <c r="E3245" s="704" t="s">
        <v>824</v>
      </c>
      <c r="F3245" s="705">
        <v>3.7928102515697205E-3</v>
      </c>
      <c r="G3245" s="705">
        <v>37.123385677538877</v>
      </c>
    </row>
    <row r="3246" spans="2:7" ht="11.25" hidden="1" customHeight="1" outlineLevel="2" x14ac:dyDescent="0.25">
      <c r="B3246" s="704" t="s">
        <v>691</v>
      </c>
      <c r="C3246" s="704" t="s">
        <v>842</v>
      </c>
      <c r="D3246" s="704" t="s">
        <v>563</v>
      </c>
      <c r="E3246" s="704" t="s">
        <v>824</v>
      </c>
      <c r="F3246" s="705">
        <v>2.7847852343186354E-3</v>
      </c>
      <c r="G3246" s="705">
        <v>27.25698604891722</v>
      </c>
    </row>
    <row r="3247" spans="2:7" ht="11.25" hidden="1" customHeight="1" outlineLevel="2" x14ac:dyDescent="0.25">
      <c r="B3247" s="704" t="s">
        <v>692</v>
      </c>
      <c r="C3247" s="704" t="s">
        <v>842</v>
      </c>
      <c r="D3247" s="704" t="s">
        <v>563</v>
      </c>
      <c r="E3247" s="704" t="s">
        <v>824</v>
      </c>
      <c r="F3247" s="705">
        <v>2.2810347171911124E-4</v>
      </c>
      <c r="G3247" s="705">
        <v>2.2326355767438679</v>
      </c>
    </row>
    <row r="3248" spans="2:7" ht="11.25" hidden="1" customHeight="1" outlineLevel="2" x14ac:dyDescent="0.25">
      <c r="B3248" s="704" t="s">
        <v>693</v>
      </c>
      <c r="C3248" s="704" t="s">
        <v>842</v>
      </c>
      <c r="D3248" s="704" t="s">
        <v>563</v>
      </c>
      <c r="E3248" s="704" t="s">
        <v>824</v>
      </c>
      <c r="F3248" s="705">
        <v>1.2287561143883253E-4</v>
      </c>
      <c r="G3248" s="705">
        <v>1.20268487491283</v>
      </c>
    </row>
    <row r="3249" spans="2:7" ht="11.25" hidden="1" customHeight="1" outlineLevel="2" x14ac:dyDescent="0.25">
      <c r="B3249" s="704" t="s">
        <v>694</v>
      </c>
      <c r="C3249" s="704" t="s">
        <v>842</v>
      </c>
      <c r="D3249" s="704" t="s">
        <v>563</v>
      </c>
      <c r="E3249" s="704" t="s">
        <v>824</v>
      </c>
      <c r="F3249" s="705">
        <v>8.3629162400639711E-5</v>
      </c>
      <c r="G3249" s="705">
        <v>0.81854761578141866</v>
      </c>
    </row>
    <row r="3250" spans="2:7" ht="11.25" hidden="1" customHeight="1" outlineLevel="2" x14ac:dyDescent="0.25">
      <c r="B3250" s="704" t="s">
        <v>695</v>
      </c>
      <c r="C3250" s="704" t="s">
        <v>842</v>
      </c>
      <c r="D3250" s="704" t="s">
        <v>563</v>
      </c>
      <c r="E3250" s="704" t="s">
        <v>824</v>
      </c>
      <c r="F3250" s="705">
        <v>5.8764279587918892E-4</v>
      </c>
      <c r="G3250" s="705">
        <v>5.7517445238085676</v>
      </c>
    </row>
    <row r="3251" spans="2:7" ht="11.25" hidden="1" customHeight="1" outlineLevel="2" x14ac:dyDescent="0.25">
      <c r="B3251" s="704" t="s">
        <v>696</v>
      </c>
      <c r="C3251" s="704" t="s">
        <v>842</v>
      </c>
      <c r="D3251" s="704" t="s">
        <v>563</v>
      </c>
      <c r="E3251" s="704" t="s">
        <v>824</v>
      </c>
      <c r="F3251" s="705">
        <v>2.109825372144145E-3</v>
      </c>
      <c r="G3251" s="705">
        <v>20.650585579218735</v>
      </c>
    </row>
    <row r="3252" spans="2:7" ht="11.25" hidden="1" customHeight="1" outlineLevel="2" x14ac:dyDescent="0.25">
      <c r="B3252" s="704" t="s">
        <v>697</v>
      </c>
      <c r="C3252" s="704" t="s">
        <v>842</v>
      </c>
      <c r="D3252" s="704" t="s">
        <v>563</v>
      </c>
      <c r="E3252" s="704" t="s">
        <v>824</v>
      </c>
      <c r="F3252" s="705">
        <v>1.0662384328488351E-3</v>
      </c>
      <c r="G3252" s="705">
        <v>10.436150251267705</v>
      </c>
    </row>
    <row r="3253" spans="2:7" ht="11.25" hidden="1" customHeight="1" outlineLevel="2" x14ac:dyDescent="0.25">
      <c r="B3253" s="704" t="s">
        <v>698</v>
      </c>
      <c r="C3253" s="704" t="s">
        <v>842</v>
      </c>
      <c r="D3253" s="704" t="s">
        <v>563</v>
      </c>
      <c r="E3253" s="704" t="s">
        <v>824</v>
      </c>
      <c r="F3253" s="705">
        <v>2.7893944456037096E-4</v>
      </c>
      <c r="G3253" s="705">
        <v>2.7302120800991432</v>
      </c>
    </row>
    <row r="3254" spans="2:7" ht="11.25" hidden="1" customHeight="1" outlineLevel="2" x14ac:dyDescent="0.25">
      <c r="B3254" s="704" t="s">
        <v>699</v>
      </c>
      <c r="C3254" s="704" t="s">
        <v>842</v>
      </c>
      <c r="D3254" s="704" t="s">
        <v>563</v>
      </c>
      <c r="E3254" s="704" t="s">
        <v>824</v>
      </c>
      <c r="F3254" s="705">
        <v>5.0861021733914075E-3</v>
      </c>
      <c r="G3254" s="705">
        <v>49.781881622611223</v>
      </c>
    </row>
    <row r="3255" spans="2:7" ht="11.25" hidden="1" customHeight="1" outlineLevel="2" x14ac:dyDescent="0.25">
      <c r="B3255" s="704" t="s">
        <v>673</v>
      </c>
      <c r="C3255" s="704" t="s">
        <v>843</v>
      </c>
      <c r="D3255" s="704" t="s">
        <v>563</v>
      </c>
      <c r="E3255" s="704" t="s">
        <v>824</v>
      </c>
      <c r="F3255" s="705">
        <v>8.3556376516019681E-4</v>
      </c>
      <c r="G3255" s="705">
        <v>2.1831714079490294</v>
      </c>
    </row>
    <row r="3256" spans="2:7" ht="11.25" hidden="1" customHeight="1" outlineLevel="2" x14ac:dyDescent="0.25">
      <c r="B3256" s="704" t="s">
        <v>677</v>
      </c>
      <c r="C3256" s="704" t="s">
        <v>843</v>
      </c>
      <c r="D3256" s="704" t="s">
        <v>563</v>
      </c>
      <c r="E3256" s="704" t="s">
        <v>824</v>
      </c>
      <c r="F3256" s="705">
        <v>3.5404539671011048E-3</v>
      </c>
      <c r="G3256" s="705">
        <v>9.2505299541467547</v>
      </c>
    </row>
    <row r="3257" spans="2:7" ht="11.25" hidden="1" customHeight="1" outlineLevel="2" x14ac:dyDescent="0.25">
      <c r="B3257" s="704" t="s">
        <v>678</v>
      </c>
      <c r="C3257" s="704" t="s">
        <v>843</v>
      </c>
      <c r="D3257" s="704" t="s">
        <v>563</v>
      </c>
      <c r="E3257" s="704" t="s">
        <v>824</v>
      </c>
      <c r="F3257" s="705">
        <v>6.4793189664884929E-3</v>
      </c>
      <c r="G3257" s="705">
        <v>16.929225060670852</v>
      </c>
    </row>
    <row r="3258" spans="2:7" ht="11.25" hidden="1" customHeight="1" outlineLevel="2" x14ac:dyDescent="0.25">
      <c r="B3258" s="704" t="s">
        <v>679</v>
      </c>
      <c r="C3258" s="704" t="s">
        <v>843</v>
      </c>
      <c r="D3258" s="704" t="s">
        <v>563</v>
      </c>
      <c r="E3258" s="704" t="s">
        <v>824</v>
      </c>
      <c r="F3258" s="705">
        <v>1.7337585258684089E-4</v>
      </c>
      <c r="G3258" s="705">
        <v>0.45299808414371145</v>
      </c>
    </row>
    <row r="3259" spans="2:7" ht="11.25" hidden="1" customHeight="1" outlineLevel="2" x14ac:dyDescent="0.25">
      <c r="B3259" s="704" t="s">
        <v>680</v>
      </c>
      <c r="C3259" s="704" t="s">
        <v>843</v>
      </c>
      <c r="D3259" s="704" t="s">
        <v>563</v>
      </c>
      <c r="E3259" s="704" t="s">
        <v>824</v>
      </c>
      <c r="F3259" s="705">
        <v>4.2007322837978663E-4</v>
      </c>
      <c r="G3259" s="705">
        <v>1.0975721291122125</v>
      </c>
    </row>
    <row r="3260" spans="2:7" ht="11.25" hidden="1" customHeight="1" outlineLevel="2" x14ac:dyDescent="0.25">
      <c r="B3260" s="704" t="s">
        <v>681</v>
      </c>
      <c r="C3260" s="704" t="s">
        <v>843</v>
      </c>
      <c r="D3260" s="704" t="s">
        <v>563</v>
      </c>
      <c r="E3260" s="704" t="s">
        <v>824</v>
      </c>
      <c r="F3260" s="705">
        <v>9.030310500776239E-4</v>
      </c>
      <c r="G3260" s="705">
        <v>2.3594475588055364</v>
      </c>
    </row>
    <row r="3261" spans="2:7" ht="11.25" hidden="1" customHeight="1" outlineLevel="2" x14ac:dyDescent="0.25">
      <c r="B3261" s="704" t="s">
        <v>682</v>
      </c>
      <c r="C3261" s="704" t="s">
        <v>843</v>
      </c>
      <c r="D3261" s="704" t="s">
        <v>563</v>
      </c>
      <c r="E3261" s="704" t="s">
        <v>824</v>
      </c>
      <c r="F3261" s="705">
        <v>8.2359878461067454E-4</v>
      </c>
      <c r="G3261" s="705">
        <v>2.1519070645942646</v>
      </c>
    </row>
    <row r="3262" spans="2:7" ht="11.25" hidden="1" customHeight="1" outlineLevel="2" x14ac:dyDescent="0.25">
      <c r="B3262" s="704" t="s">
        <v>683</v>
      </c>
      <c r="C3262" s="704" t="s">
        <v>843</v>
      </c>
      <c r="D3262" s="704" t="s">
        <v>563</v>
      </c>
      <c r="E3262" s="704" t="s">
        <v>824</v>
      </c>
      <c r="F3262" s="705">
        <v>2.8628641042086056E-4</v>
      </c>
      <c r="G3262" s="705">
        <v>0.74801187827796256</v>
      </c>
    </row>
    <row r="3263" spans="2:7" ht="11.25" hidden="1" customHeight="1" outlineLevel="2" x14ac:dyDescent="0.25">
      <c r="B3263" s="704" t="s">
        <v>684</v>
      </c>
      <c r="C3263" s="704" t="s">
        <v>843</v>
      </c>
      <c r="D3263" s="704" t="s">
        <v>563</v>
      </c>
      <c r="E3263" s="704" t="s">
        <v>824</v>
      </c>
      <c r="F3263" s="705">
        <v>5.8695671903938025E-4</v>
      </c>
      <c r="G3263" s="705">
        <v>1.5336071117364756</v>
      </c>
    </row>
    <row r="3264" spans="2:7" ht="11.25" hidden="1" customHeight="1" outlineLevel="2" x14ac:dyDescent="0.25">
      <c r="B3264" s="704" t="s">
        <v>685</v>
      </c>
      <c r="C3264" s="704" t="s">
        <v>843</v>
      </c>
      <c r="D3264" s="704" t="s">
        <v>563</v>
      </c>
      <c r="E3264" s="704" t="s">
        <v>824</v>
      </c>
      <c r="F3264" s="705">
        <v>2.1851440458377238E-3</v>
      </c>
      <c r="G3264" s="705">
        <v>5.7093725881125676</v>
      </c>
    </row>
    <row r="3265" spans="2:7" ht="11.25" hidden="1" customHeight="1" outlineLevel="2" x14ac:dyDescent="0.25">
      <c r="B3265" s="704" t="s">
        <v>686</v>
      </c>
      <c r="C3265" s="704" t="s">
        <v>843</v>
      </c>
      <c r="D3265" s="704" t="s">
        <v>563</v>
      </c>
      <c r="E3265" s="704" t="s">
        <v>824</v>
      </c>
      <c r="F3265" s="705">
        <v>2.147465100487325E-4</v>
      </c>
      <c r="G3265" s="705">
        <v>0.56109197482939177</v>
      </c>
    </row>
    <row r="3266" spans="2:7" ht="11.25" hidden="1" customHeight="1" outlineLevel="2" x14ac:dyDescent="0.25">
      <c r="B3266" s="704" t="s">
        <v>687</v>
      </c>
      <c r="C3266" s="704" t="s">
        <v>843</v>
      </c>
      <c r="D3266" s="704" t="s">
        <v>563</v>
      </c>
      <c r="E3266" s="704" t="s">
        <v>824</v>
      </c>
      <c r="F3266" s="705">
        <v>1.458291565600433E-3</v>
      </c>
      <c r="G3266" s="705">
        <v>3.8102376035363026</v>
      </c>
    </row>
    <row r="3267" spans="2:7" ht="11.25" hidden="1" customHeight="1" outlineLevel="2" x14ac:dyDescent="0.25">
      <c r="B3267" s="704" t="s">
        <v>688</v>
      </c>
      <c r="C3267" s="704" t="s">
        <v>843</v>
      </c>
      <c r="D3267" s="704" t="s">
        <v>563</v>
      </c>
      <c r="E3267" s="704" t="s">
        <v>824</v>
      </c>
      <c r="F3267" s="705">
        <v>1.9805825125255023E-3</v>
      </c>
      <c r="G3267" s="705">
        <v>5.1748873256766039</v>
      </c>
    </row>
    <row r="3268" spans="2:7" ht="11.25" hidden="1" customHeight="1" outlineLevel="2" x14ac:dyDescent="0.25">
      <c r="B3268" s="704" t="s">
        <v>689</v>
      </c>
      <c r="C3268" s="704" t="s">
        <v>843</v>
      </c>
      <c r="D3268" s="704" t="s">
        <v>563</v>
      </c>
      <c r="E3268" s="704" t="s">
        <v>824</v>
      </c>
      <c r="F3268" s="705">
        <v>2.665012082760456E-4</v>
      </c>
      <c r="G3268" s="705">
        <v>0.69631741617919218</v>
      </c>
    </row>
    <row r="3269" spans="2:7" ht="11.25" hidden="1" customHeight="1" outlineLevel="2" x14ac:dyDescent="0.25">
      <c r="B3269" s="704" t="s">
        <v>690</v>
      </c>
      <c r="C3269" s="704" t="s">
        <v>843</v>
      </c>
      <c r="D3269" s="704" t="s">
        <v>563</v>
      </c>
      <c r="E3269" s="704" t="s">
        <v>824</v>
      </c>
      <c r="F3269" s="705">
        <v>3.6659667181837227E-3</v>
      </c>
      <c r="G3269" s="705">
        <v>9.5784707315886557</v>
      </c>
    </row>
    <row r="3270" spans="2:7" ht="11.25" hidden="1" customHeight="1" outlineLevel="2" x14ac:dyDescent="0.25">
      <c r="B3270" s="704" t="s">
        <v>691</v>
      </c>
      <c r="C3270" s="704" t="s">
        <v>843</v>
      </c>
      <c r="D3270" s="704" t="s">
        <v>563</v>
      </c>
      <c r="E3270" s="704" t="s">
        <v>824</v>
      </c>
      <c r="F3270" s="705">
        <v>2.6916525583095237E-3</v>
      </c>
      <c r="G3270" s="705">
        <v>7.0327739100111133</v>
      </c>
    </row>
    <row r="3271" spans="2:7" ht="11.25" hidden="1" customHeight="1" outlineLevel="2" x14ac:dyDescent="0.25">
      <c r="B3271" s="704" t="s">
        <v>692</v>
      </c>
      <c r="C3271" s="704" t="s">
        <v>843</v>
      </c>
      <c r="D3271" s="704" t="s">
        <v>563</v>
      </c>
      <c r="E3271" s="704" t="s">
        <v>824</v>
      </c>
      <c r="F3271" s="705">
        <v>2.2047488340397068E-4</v>
      </c>
      <c r="G3271" s="705">
        <v>0.57605920607223693</v>
      </c>
    </row>
    <row r="3272" spans="2:7" ht="11.25" hidden="1" customHeight="1" outlineLevel="2" x14ac:dyDescent="0.25">
      <c r="B3272" s="704" t="s">
        <v>693</v>
      </c>
      <c r="C3272" s="704" t="s">
        <v>843</v>
      </c>
      <c r="D3272" s="704" t="s">
        <v>563</v>
      </c>
      <c r="E3272" s="704" t="s">
        <v>824</v>
      </c>
      <c r="F3272" s="705">
        <v>1.1876614662717914E-4</v>
      </c>
      <c r="G3272" s="705">
        <v>0.31031367642869695</v>
      </c>
    </row>
    <row r="3273" spans="2:7" ht="11.25" hidden="1" customHeight="1" outlineLevel="2" x14ac:dyDescent="0.25">
      <c r="B3273" s="704" t="s">
        <v>694</v>
      </c>
      <c r="C3273" s="704" t="s">
        <v>843</v>
      </c>
      <c r="D3273" s="704" t="s">
        <v>563</v>
      </c>
      <c r="E3273" s="704" t="s">
        <v>824</v>
      </c>
      <c r="F3273" s="705">
        <v>8.0832332657727443E-5</v>
      </c>
      <c r="G3273" s="705">
        <v>0.21119951820666127</v>
      </c>
    </row>
    <row r="3274" spans="2:7" ht="11.25" hidden="1" customHeight="1" outlineLevel="2" x14ac:dyDescent="0.25">
      <c r="B3274" s="704" t="s">
        <v>695</v>
      </c>
      <c r="C3274" s="704" t="s">
        <v>843</v>
      </c>
      <c r="D3274" s="704" t="s">
        <v>563</v>
      </c>
      <c r="E3274" s="704" t="s">
        <v>824</v>
      </c>
      <c r="F3274" s="705">
        <v>5.6798995501084913E-4</v>
      </c>
      <c r="G3274" s="705">
        <v>1.4840508491727102</v>
      </c>
    </row>
    <row r="3275" spans="2:7" ht="11.25" hidden="1" customHeight="1" outlineLevel="2" x14ac:dyDescent="0.25">
      <c r="B3275" s="704" t="s">
        <v>696</v>
      </c>
      <c r="C3275" s="704" t="s">
        <v>843</v>
      </c>
      <c r="D3275" s="704" t="s">
        <v>563</v>
      </c>
      <c r="E3275" s="704" t="s">
        <v>824</v>
      </c>
      <c r="F3275" s="705">
        <v>2.0392649800155963E-3</v>
      </c>
      <c r="G3275" s="705">
        <v>5.3282136735405174</v>
      </c>
    </row>
    <row r="3276" spans="2:7" ht="11.25" hidden="1" customHeight="1" outlineLevel="2" x14ac:dyDescent="0.25">
      <c r="B3276" s="704" t="s">
        <v>697</v>
      </c>
      <c r="C3276" s="704" t="s">
        <v>843</v>
      </c>
      <c r="D3276" s="704" t="s">
        <v>563</v>
      </c>
      <c r="E3276" s="704" t="s">
        <v>824</v>
      </c>
      <c r="F3276" s="705">
        <v>1.0305792095386104E-3</v>
      </c>
      <c r="G3276" s="705">
        <v>2.6927094504721389</v>
      </c>
    </row>
    <row r="3277" spans="2:7" ht="11.25" hidden="1" customHeight="1" outlineLevel="2" x14ac:dyDescent="0.25">
      <c r="B3277" s="704" t="s">
        <v>698</v>
      </c>
      <c r="C3277" s="704" t="s">
        <v>843</v>
      </c>
      <c r="D3277" s="704" t="s">
        <v>563</v>
      </c>
      <c r="E3277" s="704" t="s">
        <v>824</v>
      </c>
      <c r="F3277" s="706">
        <v>2.6961060665974147E-4</v>
      </c>
      <c r="G3277" s="705">
        <v>0.70444145363307997</v>
      </c>
    </row>
    <row r="3278" spans="2:7" ht="11.25" hidden="1" customHeight="1" outlineLevel="2" x14ac:dyDescent="0.25">
      <c r="B3278" s="704" t="s">
        <v>699</v>
      </c>
      <c r="C3278" s="704" t="s">
        <v>843</v>
      </c>
      <c r="D3278" s="704" t="s">
        <v>563</v>
      </c>
      <c r="E3278" s="704" t="s">
        <v>824</v>
      </c>
      <c r="F3278" s="706">
        <v>4.9160022537162468E-3</v>
      </c>
      <c r="G3278" s="705">
        <v>12.844593144114262</v>
      </c>
    </row>
    <row r="3279" spans="2:7" ht="11.25" hidden="1" customHeight="1" outlineLevel="2" x14ac:dyDescent="0.25">
      <c r="B3279" s="704" t="s">
        <v>673</v>
      </c>
      <c r="C3279" s="704" t="s">
        <v>844</v>
      </c>
      <c r="D3279" s="704" t="s">
        <v>563</v>
      </c>
      <c r="E3279" s="704" t="s">
        <v>824</v>
      </c>
      <c r="F3279" s="706">
        <v>8.3559984622763183E-4</v>
      </c>
      <c r="G3279" s="705">
        <v>16.605585697720802</v>
      </c>
    </row>
    <row r="3280" spans="2:7" ht="11.25" hidden="1" customHeight="1" outlineLevel="2" x14ac:dyDescent="0.25">
      <c r="B3280" s="704" t="s">
        <v>677</v>
      </c>
      <c r="C3280" s="704" t="s">
        <v>844</v>
      </c>
      <c r="D3280" s="704" t="s">
        <v>563</v>
      </c>
      <c r="E3280" s="704" t="s">
        <v>824</v>
      </c>
      <c r="F3280" s="706">
        <v>3.5406029461706331E-3</v>
      </c>
      <c r="G3280" s="705">
        <v>70.361152539809495</v>
      </c>
    </row>
    <row r="3281" spans="2:7" ht="11.25" hidden="1" customHeight="1" outlineLevel="2" x14ac:dyDescent="0.25">
      <c r="B3281" s="704" t="s">
        <v>678</v>
      </c>
      <c r="C3281" s="704" t="s">
        <v>844</v>
      </c>
      <c r="D3281" s="704" t="s">
        <v>563</v>
      </c>
      <c r="E3281" s="704" t="s">
        <v>824</v>
      </c>
      <c r="F3281" s="706">
        <v>6.479582503000493E-3</v>
      </c>
      <c r="G3281" s="705">
        <v>128.7666317040202</v>
      </c>
    </row>
    <row r="3282" spans="2:7" ht="11.25" hidden="1" customHeight="1" outlineLevel="2" x14ac:dyDescent="0.25">
      <c r="B3282" s="704" t="s">
        <v>679</v>
      </c>
      <c r="C3282" s="704" t="s">
        <v>844</v>
      </c>
      <c r="D3282" s="704" t="s">
        <v>563</v>
      </c>
      <c r="E3282" s="704" t="s">
        <v>824</v>
      </c>
      <c r="F3282" s="706">
        <v>1.73383005560219E-4</v>
      </c>
      <c r="G3282" s="705">
        <v>3.445584400442137</v>
      </c>
    </row>
    <row r="3283" spans="2:7" ht="11.25" hidden="1" customHeight="1" outlineLevel="2" x14ac:dyDescent="0.25">
      <c r="B3283" s="704" t="s">
        <v>680</v>
      </c>
      <c r="C3283" s="704" t="s">
        <v>844</v>
      </c>
      <c r="D3283" s="704" t="s">
        <v>563</v>
      </c>
      <c r="E3283" s="704" t="s">
        <v>824</v>
      </c>
      <c r="F3283" s="706">
        <v>4.2009106658982831E-4</v>
      </c>
      <c r="G3283" s="705">
        <v>8.3483364993602152</v>
      </c>
    </row>
    <row r="3284" spans="2:7" ht="11.25" hidden="1" customHeight="1" outlineLevel="2" x14ac:dyDescent="0.25">
      <c r="B3284" s="704" t="s">
        <v>681</v>
      </c>
      <c r="C3284" s="704" t="s">
        <v>844</v>
      </c>
      <c r="D3284" s="704" t="s">
        <v>563</v>
      </c>
      <c r="E3284" s="704" t="s">
        <v>824</v>
      </c>
      <c r="F3284" s="706">
        <v>9.0306810289146437E-4</v>
      </c>
      <c r="G3284" s="705">
        <v>17.946383973518046</v>
      </c>
    </row>
    <row r="3285" spans="2:7" ht="11.25" hidden="1" customHeight="1" outlineLevel="2" x14ac:dyDescent="0.25">
      <c r="B3285" s="704" t="s">
        <v>682</v>
      </c>
      <c r="C3285" s="704" t="s">
        <v>844</v>
      </c>
      <c r="D3285" s="704" t="s">
        <v>563</v>
      </c>
      <c r="E3285" s="704" t="s">
        <v>824</v>
      </c>
      <c r="F3285" s="706">
        <v>8.2363361179773774E-4</v>
      </c>
      <c r="G3285" s="705">
        <v>16.367795561529388</v>
      </c>
    </row>
    <row r="3286" spans="2:7" ht="11.25" hidden="1" customHeight="1" outlineLevel="2" x14ac:dyDescent="0.25">
      <c r="B3286" s="704" t="s">
        <v>683</v>
      </c>
      <c r="C3286" s="704" t="s">
        <v>844</v>
      </c>
      <c r="D3286" s="704" t="s">
        <v>563</v>
      </c>
      <c r="E3286" s="704" t="s">
        <v>824</v>
      </c>
      <c r="F3286" s="706">
        <v>2.8629844213809441E-4</v>
      </c>
      <c r="G3286" s="705">
        <v>5.6895262571402343</v>
      </c>
    </row>
    <row r="3287" spans="2:7" ht="11.25" hidden="1" customHeight="1" outlineLevel="2" x14ac:dyDescent="0.25">
      <c r="B3287" s="704" t="s">
        <v>684</v>
      </c>
      <c r="C3287" s="704" t="s">
        <v>844</v>
      </c>
      <c r="D3287" s="704" t="s">
        <v>563</v>
      </c>
      <c r="E3287" s="704" t="s">
        <v>824</v>
      </c>
      <c r="F3287" s="706">
        <v>5.8698158685239056E-4</v>
      </c>
      <c r="G3287" s="705">
        <v>11.664898398821192</v>
      </c>
    </row>
    <row r="3288" spans="2:7" ht="11.25" hidden="1" customHeight="1" outlineLevel="2" x14ac:dyDescent="0.25">
      <c r="B3288" s="704" t="s">
        <v>685</v>
      </c>
      <c r="C3288" s="704" t="s">
        <v>844</v>
      </c>
      <c r="D3288" s="704" t="s">
        <v>563</v>
      </c>
      <c r="E3288" s="704" t="s">
        <v>824</v>
      </c>
      <c r="F3288" s="706">
        <v>2.1852365845793603E-3</v>
      </c>
      <c r="G3288" s="705">
        <v>43.426483639736063</v>
      </c>
    </row>
    <row r="3289" spans="2:7" ht="11.25" hidden="1" customHeight="1" outlineLevel="2" x14ac:dyDescent="0.25">
      <c r="B3289" s="704" t="s">
        <v>686</v>
      </c>
      <c r="C3289" s="704" t="s">
        <v>844</v>
      </c>
      <c r="D3289" s="704" t="s">
        <v>563</v>
      </c>
      <c r="E3289" s="704" t="s">
        <v>824</v>
      </c>
      <c r="F3289" s="706">
        <v>2.1475557877762697E-4</v>
      </c>
      <c r="G3289" s="705">
        <v>4.2677682937306862</v>
      </c>
    </row>
    <row r="3290" spans="2:7" ht="11.25" hidden="1" customHeight="1" outlineLevel="2" x14ac:dyDescent="0.25">
      <c r="B3290" s="704" t="s">
        <v>687</v>
      </c>
      <c r="C3290" s="704" t="s">
        <v>844</v>
      </c>
      <c r="D3290" s="704" t="s">
        <v>563</v>
      </c>
      <c r="E3290" s="704" t="s">
        <v>824</v>
      </c>
      <c r="F3290" s="706">
        <v>1.4583524987696963E-3</v>
      </c>
      <c r="G3290" s="705">
        <v>28.981351014036559</v>
      </c>
    </row>
    <row r="3291" spans="2:7" ht="11.25" hidden="1" customHeight="1" outlineLevel="2" x14ac:dyDescent="0.25">
      <c r="B3291" s="704" t="s">
        <v>688</v>
      </c>
      <c r="C3291" s="704" t="s">
        <v>844</v>
      </c>
      <c r="D3291" s="704" t="s">
        <v>563</v>
      </c>
      <c r="E3291" s="704" t="s">
        <v>824</v>
      </c>
      <c r="F3291" s="706">
        <v>1.9806658834387939E-3</v>
      </c>
      <c r="G3291" s="705">
        <v>39.361114778316342</v>
      </c>
    </row>
    <row r="3292" spans="2:7" ht="11.25" hidden="1" customHeight="1" outlineLevel="2" x14ac:dyDescent="0.25">
      <c r="B3292" s="704" t="s">
        <v>689</v>
      </c>
      <c r="C3292" s="704" t="s">
        <v>844</v>
      </c>
      <c r="D3292" s="704" t="s">
        <v>563</v>
      </c>
      <c r="E3292" s="704" t="s">
        <v>824</v>
      </c>
      <c r="F3292" s="706">
        <v>2.6651233010419544E-4</v>
      </c>
      <c r="G3292" s="705">
        <v>5.296313532383536</v>
      </c>
    </row>
    <row r="3293" spans="2:7" ht="11.25" hidden="1" customHeight="1" outlineLevel="2" x14ac:dyDescent="0.25">
      <c r="B3293" s="704" t="s">
        <v>690</v>
      </c>
      <c r="C3293" s="704" t="s">
        <v>844</v>
      </c>
      <c r="D3293" s="704" t="s">
        <v>563</v>
      </c>
      <c r="E3293" s="704" t="s">
        <v>824</v>
      </c>
      <c r="F3293" s="706">
        <v>3.6661205804965286E-3</v>
      </c>
      <c r="G3293" s="705">
        <v>72.85558480367358</v>
      </c>
    </row>
    <row r="3294" spans="2:7" ht="11.25" hidden="1" customHeight="1" outlineLevel="2" x14ac:dyDescent="0.25">
      <c r="B3294" s="704" t="s">
        <v>691</v>
      </c>
      <c r="C3294" s="704" t="s">
        <v>844</v>
      </c>
      <c r="D3294" s="704" t="s">
        <v>563</v>
      </c>
      <c r="E3294" s="704" t="s">
        <v>824</v>
      </c>
      <c r="F3294" s="706">
        <v>2.6917663638550385E-3</v>
      </c>
      <c r="G3294" s="705">
        <v>53.492551777725268</v>
      </c>
    </row>
    <row r="3295" spans="2:7" ht="11.25" hidden="1" customHeight="1" outlineLevel="2" x14ac:dyDescent="0.25">
      <c r="B3295" s="704" t="s">
        <v>692</v>
      </c>
      <c r="C3295" s="704" t="s">
        <v>844</v>
      </c>
      <c r="D3295" s="704" t="s">
        <v>563</v>
      </c>
      <c r="E3295" s="704" t="s">
        <v>824</v>
      </c>
      <c r="F3295" s="706">
        <v>2.2048398618481523E-4</v>
      </c>
      <c r="G3295" s="705">
        <v>4.3816096456382851</v>
      </c>
    </row>
    <row r="3296" spans="2:7" ht="11.25" hidden="1" customHeight="1" outlineLevel="2" x14ac:dyDescent="0.25">
      <c r="B3296" s="704" t="s">
        <v>693</v>
      </c>
      <c r="C3296" s="704" t="s">
        <v>844</v>
      </c>
      <c r="D3296" s="704" t="s">
        <v>563</v>
      </c>
      <c r="E3296" s="704" t="s">
        <v>824</v>
      </c>
      <c r="F3296" s="706">
        <v>1.1877130025177118E-4</v>
      </c>
      <c r="G3296" s="705">
        <v>2.3603020027921948</v>
      </c>
    </row>
    <row r="3297" spans="2:7" ht="11.25" hidden="1" customHeight="1" outlineLevel="2" x14ac:dyDescent="0.25">
      <c r="B3297" s="704" t="s">
        <v>694</v>
      </c>
      <c r="C3297" s="704" t="s">
        <v>844</v>
      </c>
      <c r="D3297" s="704" t="s">
        <v>563</v>
      </c>
      <c r="E3297" s="704" t="s">
        <v>824</v>
      </c>
      <c r="F3297" s="706">
        <v>8.083580417739863E-5</v>
      </c>
      <c r="G3297" s="705">
        <v>1.6064218137294011</v>
      </c>
    </row>
    <row r="3298" spans="2:7" ht="11.25" hidden="1" customHeight="1" outlineLevel="2" x14ac:dyDescent="0.25">
      <c r="B3298" s="704" t="s">
        <v>695</v>
      </c>
      <c r="C3298" s="704" t="s">
        <v>844</v>
      </c>
      <c r="D3298" s="704" t="s">
        <v>563</v>
      </c>
      <c r="E3298" s="704" t="s">
        <v>824</v>
      </c>
      <c r="F3298" s="706">
        <v>5.6801381199147625E-4</v>
      </c>
      <c r="G3298" s="705">
        <v>11.287946581725585</v>
      </c>
    </row>
    <row r="3299" spans="2:7" ht="11.25" hidden="1" customHeight="1" outlineLevel="2" x14ac:dyDescent="0.25">
      <c r="B3299" s="704" t="s">
        <v>696</v>
      </c>
      <c r="C3299" s="704" t="s">
        <v>844</v>
      </c>
      <c r="D3299" s="704" t="s">
        <v>563</v>
      </c>
      <c r="E3299" s="704" t="s">
        <v>824</v>
      </c>
      <c r="F3299" s="706">
        <v>2.0393528706509146E-3</v>
      </c>
      <c r="G3299" s="705">
        <v>40.527353437117327</v>
      </c>
    </row>
    <row r="3300" spans="2:7" ht="11.25" hidden="1" customHeight="1" outlineLevel="2" x14ac:dyDescent="0.25">
      <c r="B3300" s="704" t="s">
        <v>697</v>
      </c>
      <c r="C3300" s="704" t="s">
        <v>844</v>
      </c>
      <c r="D3300" s="704" t="s">
        <v>563</v>
      </c>
      <c r="E3300" s="704" t="s">
        <v>824</v>
      </c>
      <c r="F3300" s="706">
        <v>1.0306241170174892E-3</v>
      </c>
      <c r="G3300" s="705">
        <v>20.481235834305252</v>
      </c>
    </row>
    <row r="3301" spans="2:7" ht="11.25" hidden="1" customHeight="1" outlineLevel="2" x14ac:dyDescent="0.25">
      <c r="B3301" s="704" t="s">
        <v>698</v>
      </c>
      <c r="C3301" s="704" t="s">
        <v>844</v>
      </c>
      <c r="D3301" s="704" t="s">
        <v>563</v>
      </c>
      <c r="E3301" s="704" t="s">
        <v>824</v>
      </c>
      <c r="F3301" s="706">
        <v>2.696222580665207E-4</v>
      </c>
      <c r="G3301" s="705">
        <v>5.3581181204252273</v>
      </c>
    </row>
    <row r="3302" spans="2:7" ht="11.25" hidden="1" customHeight="1" outlineLevel="2" x14ac:dyDescent="0.25">
      <c r="B3302" s="704" t="s">
        <v>699</v>
      </c>
      <c r="C3302" s="704" t="s">
        <v>844</v>
      </c>
      <c r="D3302" s="704" t="s">
        <v>563</v>
      </c>
      <c r="E3302" s="704" t="s">
        <v>824</v>
      </c>
      <c r="F3302" s="705">
        <v>4.9162112424242189E-3</v>
      </c>
      <c r="G3302" s="705">
        <v>97.698289714413747</v>
      </c>
    </row>
    <row r="3303" spans="2:7" ht="11.25" hidden="1" customHeight="1" outlineLevel="2" x14ac:dyDescent="0.25">
      <c r="B3303" s="704" t="s">
        <v>673</v>
      </c>
      <c r="C3303" s="704" t="s">
        <v>845</v>
      </c>
      <c r="D3303" s="704" t="s">
        <v>728</v>
      </c>
      <c r="E3303" s="704" t="s">
        <v>824</v>
      </c>
      <c r="F3303" s="705">
        <v>8.6526136381401774E-4</v>
      </c>
      <c r="G3303" s="705">
        <v>7.7184874589368766</v>
      </c>
    </row>
    <row r="3304" spans="2:7" ht="11.25" hidden="1" customHeight="1" outlineLevel="2" x14ac:dyDescent="0.25">
      <c r="B3304" s="704" t="s">
        <v>677</v>
      </c>
      <c r="C3304" s="704" t="s">
        <v>845</v>
      </c>
      <c r="D3304" s="704" t="s">
        <v>728</v>
      </c>
      <c r="E3304" s="704" t="s">
        <v>824</v>
      </c>
      <c r="F3304" s="705">
        <v>4.1463315534896593E-2</v>
      </c>
      <c r="G3304" s="705">
        <v>369.87012422605295</v>
      </c>
    </row>
    <row r="3305" spans="2:7" ht="11.25" hidden="1" customHeight="1" outlineLevel="2" x14ac:dyDescent="0.25">
      <c r="B3305" s="704" t="s">
        <v>678</v>
      </c>
      <c r="C3305" s="704" t="s">
        <v>845</v>
      </c>
      <c r="D3305" s="704" t="s">
        <v>728</v>
      </c>
      <c r="E3305" s="704" t="s">
        <v>824</v>
      </c>
      <c r="F3305" s="705">
        <v>4.9839041146873563E-2</v>
      </c>
      <c r="G3305" s="705">
        <v>444.58523967530004</v>
      </c>
    </row>
    <row r="3306" spans="2:7" ht="11.25" hidden="1" customHeight="1" outlineLevel="2" x14ac:dyDescent="0.25">
      <c r="B3306" s="704" t="s">
        <v>679</v>
      </c>
      <c r="C3306" s="704" t="s">
        <v>845</v>
      </c>
      <c r="D3306" s="704" t="s">
        <v>728</v>
      </c>
      <c r="E3306" s="704" t="s">
        <v>824</v>
      </c>
      <c r="F3306" s="705">
        <v>2.9764980927591265E-3</v>
      </c>
      <c r="G3306" s="705">
        <v>26.551612620636263</v>
      </c>
    </row>
    <row r="3307" spans="2:7" ht="11.25" hidden="1" customHeight="1" outlineLevel="2" x14ac:dyDescent="0.25">
      <c r="B3307" s="704" t="s">
        <v>680</v>
      </c>
      <c r="C3307" s="704" t="s">
        <v>845</v>
      </c>
      <c r="D3307" s="704" t="s">
        <v>728</v>
      </c>
      <c r="E3307" s="704" t="s">
        <v>824</v>
      </c>
      <c r="F3307" s="705">
        <v>9.3448200465380722E-4</v>
      </c>
      <c r="G3307" s="705">
        <v>8.3359664074292024</v>
      </c>
    </row>
    <row r="3308" spans="2:7" ht="11.25" hidden="1" customHeight="1" outlineLevel="2" x14ac:dyDescent="0.25">
      <c r="B3308" s="704" t="s">
        <v>681</v>
      </c>
      <c r="C3308" s="704" t="s">
        <v>845</v>
      </c>
      <c r="D3308" s="704" t="s">
        <v>728</v>
      </c>
      <c r="E3308" s="704" t="s">
        <v>824</v>
      </c>
      <c r="F3308" s="705">
        <v>1.5713145969454233E-2</v>
      </c>
      <c r="G3308" s="705">
        <v>140.16785539119991</v>
      </c>
    </row>
    <row r="3309" spans="2:7" ht="11.25" hidden="1" customHeight="1" outlineLevel="2" x14ac:dyDescent="0.25">
      <c r="B3309" s="704" t="s">
        <v>682</v>
      </c>
      <c r="C3309" s="704" t="s">
        <v>845</v>
      </c>
      <c r="D3309" s="704" t="s">
        <v>728</v>
      </c>
      <c r="E3309" s="704" t="s">
        <v>824</v>
      </c>
      <c r="F3309" s="705">
        <v>2.0420170342443163E-3</v>
      </c>
      <c r="G3309" s="705">
        <v>18.215633151079398</v>
      </c>
    </row>
    <row r="3310" spans="2:7" ht="11.25" hidden="1" customHeight="1" outlineLevel="2" x14ac:dyDescent="0.25">
      <c r="B3310" s="704" t="s">
        <v>683</v>
      </c>
      <c r="C3310" s="704" t="s">
        <v>845</v>
      </c>
      <c r="D3310" s="704" t="s">
        <v>728</v>
      </c>
      <c r="E3310" s="704" t="s">
        <v>824</v>
      </c>
      <c r="F3310" s="705">
        <v>4.2916945898793203E-3</v>
      </c>
      <c r="G3310" s="705">
        <v>38.28371170919128</v>
      </c>
    </row>
    <row r="3311" spans="2:7" ht="11.25" hidden="1" customHeight="1" outlineLevel="2" x14ac:dyDescent="0.25">
      <c r="B3311" s="704" t="s">
        <v>684</v>
      </c>
      <c r="C3311" s="704" t="s">
        <v>845</v>
      </c>
      <c r="D3311" s="704" t="s">
        <v>728</v>
      </c>
      <c r="E3311" s="704" t="s">
        <v>824</v>
      </c>
      <c r="F3311" s="705">
        <v>5.5376705961839787E-3</v>
      </c>
      <c r="G3311" s="705">
        <v>49.398333068900506</v>
      </c>
    </row>
    <row r="3312" spans="2:7" ht="11.25" hidden="1" customHeight="1" outlineLevel="2" x14ac:dyDescent="0.25">
      <c r="B3312" s="704" t="s">
        <v>685</v>
      </c>
      <c r="C3312" s="704" t="s">
        <v>845</v>
      </c>
      <c r="D3312" s="704" t="s">
        <v>728</v>
      </c>
      <c r="E3312" s="704" t="s">
        <v>824</v>
      </c>
      <c r="F3312" s="705">
        <v>2.6096272259928648E-2</v>
      </c>
      <c r="G3312" s="705">
        <v>232.78971354233801</v>
      </c>
    </row>
    <row r="3313" spans="2:7" ht="11.25" hidden="1" customHeight="1" outlineLevel="2" x14ac:dyDescent="0.25">
      <c r="B3313" s="704" t="s">
        <v>686</v>
      </c>
      <c r="C3313" s="704" t="s">
        <v>845</v>
      </c>
      <c r="D3313" s="704" t="s">
        <v>728</v>
      </c>
      <c r="E3313" s="704" t="s">
        <v>824</v>
      </c>
      <c r="F3313" s="705">
        <v>5.5722816769299107E-3</v>
      </c>
      <c r="G3313" s="705">
        <v>49.707055612193848</v>
      </c>
    </row>
    <row r="3314" spans="2:7" ht="11.25" hidden="1" customHeight="1" outlineLevel="2" x14ac:dyDescent="0.25">
      <c r="B3314" s="704" t="s">
        <v>687</v>
      </c>
      <c r="C3314" s="704" t="s">
        <v>845</v>
      </c>
      <c r="D3314" s="704" t="s">
        <v>728</v>
      </c>
      <c r="E3314" s="704" t="s">
        <v>824</v>
      </c>
      <c r="F3314" s="705">
        <v>1.1456055584795809E-2</v>
      </c>
      <c r="G3314" s="705">
        <v>102.19286779150525</v>
      </c>
    </row>
    <row r="3315" spans="2:7" ht="11.25" hidden="1" customHeight="1" outlineLevel="2" x14ac:dyDescent="0.25">
      <c r="B3315" s="704" t="s">
        <v>688</v>
      </c>
      <c r="C3315" s="704" t="s">
        <v>845</v>
      </c>
      <c r="D3315" s="704" t="s">
        <v>728</v>
      </c>
      <c r="E3315" s="704" t="s">
        <v>824</v>
      </c>
      <c r="F3315" s="705">
        <v>3.371058099467561E-2</v>
      </c>
      <c r="G3315" s="705">
        <v>300.71238130741926</v>
      </c>
    </row>
    <row r="3316" spans="2:7" ht="11.25" hidden="1" customHeight="1" outlineLevel="2" x14ac:dyDescent="0.25">
      <c r="B3316" s="704" t="s">
        <v>689</v>
      </c>
      <c r="C3316" s="704" t="s">
        <v>845</v>
      </c>
      <c r="D3316" s="704" t="s">
        <v>728</v>
      </c>
      <c r="E3316" s="704" t="s">
        <v>824</v>
      </c>
      <c r="F3316" s="705">
        <v>3.2813211253798135E-3</v>
      </c>
      <c r="G3316" s="705">
        <v>29.270757806807662</v>
      </c>
    </row>
    <row r="3317" spans="2:7" ht="11.25" hidden="1" customHeight="1" outlineLevel="2" x14ac:dyDescent="0.25">
      <c r="B3317" s="704" t="s">
        <v>690</v>
      </c>
      <c r="C3317" s="704" t="s">
        <v>845</v>
      </c>
      <c r="D3317" s="704" t="s">
        <v>728</v>
      </c>
      <c r="E3317" s="704" t="s">
        <v>824</v>
      </c>
      <c r="F3317" s="705">
        <v>0.1030699066162611</v>
      </c>
      <c r="G3317" s="705">
        <v>919.42611444259853</v>
      </c>
    </row>
    <row r="3318" spans="2:7" ht="11.25" hidden="1" customHeight="1" outlineLevel="2" x14ac:dyDescent="0.25">
      <c r="B3318" s="704" t="s">
        <v>691</v>
      </c>
      <c r="C3318" s="704" t="s">
        <v>845</v>
      </c>
      <c r="D3318" s="704" t="s">
        <v>728</v>
      </c>
      <c r="E3318" s="704" t="s">
        <v>824</v>
      </c>
      <c r="F3318" s="705">
        <v>5.0358208299942739E-2</v>
      </c>
      <c r="G3318" s="705">
        <v>449.21642301512151</v>
      </c>
    </row>
    <row r="3319" spans="2:7" ht="11.25" hidden="1" customHeight="1" outlineLevel="2" x14ac:dyDescent="0.25">
      <c r="B3319" s="704" t="s">
        <v>692</v>
      </c>
      <c r="C3319" s="704" t="s">
        <v>845</v>
      </c>
      <c r="D3319" s="704" t="s">
        <v>728</v>
      </c>
      <c r="E3319" s="704" t="s">
        <v>824</v>
      </c>
      <c r="F3319" s="705">
        <v>3.287993114765281E-3</v>
      </c>
      <c r="G3319" s="705">
        <v>29.330259726344813</v>
      </c>
    </row>
    <row r="3320" spans="2:7" ht="11.25" hidden="1" customHeight="1" outlineLevel="2" x14ac:dyDescent="0.25">
      <c r="B3320" s="704" t="s">
        <v>693</v>
      </c>
      <c r="C3320" s="704" t="s">
        <v>845</v>
      </c>
      <c r="D3320" s="704" t="s">
        <v>728</v>
      </c>
      <c r="E3320" s="704" t="s">
        <v>824</v>
      </c>
      <c r="F3320" s="705">
        <v>2.5265622469998025E-3</v>
      </c>
      <c r="G3320" s="705">
        <v>22.537989176750798</v>
      </c>
    </row>
    <row r="3321" spans="2:7" ht="11.25" hidden="1" customHeight="1" outlineLevel="2" x14ac:dyDescent="0.25">
      <c r="B3321" s="704" t="s">
        <v>694</v>
      </c>
      <c r="C3321" s="704" t="s">
        <v>845</v>
      </c>
      <c r="D3321" s="704" t="s">
        <v>728</v>
      </c>
      <c r="E3321" s="704" t="s">
        <v>824</v>
      </c>
      <c r="F3321" s="705">
        <v>5.5722816769299107E-3</v>
      </c>
      <c r="G3321" s="705">
        <v>49.707055612193848</v>
      </c>
    </row>
    <row r="3322" spans="2:7" ht="11.25" hidden="1" customHeight="1" outlineLevel="2" x14ac:dyDescent="0.25">
      <c r="B3322" s="704" t="s">
        <v>695</v>
      </c>
      <c r="C3322" s="704" t="s">
        <v>845</v>
      </c>
      <c r="D3322" s="704" t="s">
        <v>728</v>
      </c>
      <c r="E3322" s="704" t="s">
        <v>824</v>
      </c>
      <c r="F3322" s="706">
        <v>5.4684516624579748E-3</v>
      </c>
      <c r="G3322" s="705">
        <v>48.780843279390872</v>
      </c>
    </row>
    <row r="3323" spans="2:7" ht="11.25" hidden="1" customHeight="1" outlineLevel="2" x14ac:dyDescent="0.25">
      <c r="B3323" s="704" t="s">
        <v>696</v>
      </c>
      <c r="C3323" s="704" t="s">
        <v>845</v>
      </c>
      <c r="D3323" s="704" t="s">
        <v>728</v>
      </c>
      <c r="E3323" s="704" t="s">
        <v>824</v>
      </c>
      <c r="F3323" s="706">
        <v>7.8219610733166467E-3</v>
      </c>
      <c r="G3323" s="705">
        <v>69.775162967066436</v>
      </c>
    </row>
    <row r="3324" spans="2:7" ht="11.25" hidden="1" customHeight="1" outlineLevel="2" x14ac:dyDescent="0.25">
      <c r="B3324" s="704" t="s">
        <v>697</v>
      </c>
      <c r="C3324" s="704" t="s">
        <v>845</v>
      </c>
      <c r="D3324" s="704" t="s">
        <v>728</v>
      </c>
      <c r="E3324" s="704" t="s">
        <v>824</v>
      </c>
      <c r="F3324" s="706">
        <v>3.5302662366687829E-3</v>
      </c>
      <c r="G3324" s="705">
        <v>31.491437030172097</v>
      </c>
    </row>
    <row r="3325" spans="2:7" ht="11.25" hidden="1" customHeight="1" outlineLevel="2" x14ac:dyDescent="0.25">
      <c r="B3325" s="704" t="s">
        <v>698</v>
      </c>
      <c r="C3325" s="704" t="s">
        <v>845</v>
      </c>
      <c r="D3325" s="704" t="s">
        <v>728</v>
      </c>
      <c r="E3325" s="704" t="s">
        <v>824</v>
      </c>
      <c r="F3325" s="706">
        <v>5.5722816767997405E-3</v>
      </c>
      <c r="G3325" s="705">
        <v>49.707055611986291</v>
      </c>
    </row>
    <row r="3326" spans="2:7" ht="11.25" hidden="1" customHeight="1" outlineLevel="2" x14ac:dyDescent="0.25">
      <c r="B3326" s="704" t="s">
        <v>699</v>
      </c>
      <c r="C3326" s="704" t="s">
        <v>845</v>
      </c>
      <c r="D3326" s="704" t="s">
        <v>728</v>
      </c>
      <c r="E3326" s="704" t="s">
        <v>824</v>
      </c>
      <c r="F3326" s="706">
        <v>6.2644926523129814E-3</v>
      </c>
      <c r="G3326" s="705">
        <v>55.881843944831445</v>
      </c>
    </row>
    <row r="3327" spans="2:7" ht="11.25" hidden="1" customHeight="1" outlineLevel="2" x14ac:dyDescent="0.25">
      <c r="B3327" s="704" t="s">
        <v>673</v>
      </c>
      <c r="C3327" s="704" t="s">
        <v>846</v>
      </c>
      <c r="D3327" s="704" t="s">
        <v>44</v>
      </c>
      <c r="E3327" s="704" t="s">
        <v>824</v>
      </c>
      <c r="F3327" s="706">
        <v>1.0778537831336322E-5</v>
      </c>
      <c r="G3327" s="705">
        <v>1.7126596845799324E-2</v>
      </c>
    </row>
    <row r="3328" spans="2:7" ht="11.25" hidden="1" customHeight="1" outlineLevel="2" x14ac:dyDescent="0.25">
      <c r="B3328" s="704" t="s">
        <v>677</v>
      </c>
      <c r="C3328" s="704" t="s">
        <v>846</v>
      </c>
      <c r="D3328" s="704" t="s">
        <v>44</v>
      </c>
      <c r="E3328" s="704" t="s">
        <v>824</v>
      </c>
      <c r="F3328" s="706">
        <v>2.0035527617092391E-5</v>
      </c>
      <c r="G3328" s="705">
        <v>3.1835549585027788E-2</v>
      </c>
    </row>
    <row r="3329" spans="2:7" ht="11.25" hidden="1" customHeight="1" outlineLevel="2" x14ac:dyDescent="0.25">
      <c r="B3329" s="704" t="s">
        <v>678</v>
      </c>
      <c r="C3329" s="704" t="s">
        <v>846</v>
      </c>
      <c r="D3329" s="704" t="s">
        <v>44</v>
      </c>
      <c r="E3329" s="704" t="s">
        <v>824</v>
      </c>
      <c r="F3329" s="705">
        <v>4.0987819283817823E-5</v>
      </c>
      <c r="G3329" s="705">
        <v>6.5127728430840665E-2</v>
      </c>
    </row>
    <row r="3330" spans="2:7" ht="11.25" hidden="1" customHeight="1" outlineLevel="2" x14ac:dyDescent="0.25">
      <c r="B3330" s="704" t="s">
        <v>679</v>
      </c>
      <c r="C3330" s="704" t="s">
        <v>846</v>
      </c>
      <c r="D3330" s="704" t="s">
        <v>44</v>
      </c>
      <c r="E3330" s="704" t="s">
        <v>824</v>
      </c>
      <c r="F3330" s="705">
        <v>1.4423199867423419E-5</v>
      </c>
      <c r="G3330" s="705">
        <v>2.2917797965404999E-2</v>
      </c>
    </row>
    <row r="3331" spans="2:7" ht="11.25" hidden="1" customHeight="1" outlineLevel="2" x14ac:dyDescent="0.25">
      <c r="B3331" s="704" t="s">
        <v>680</v>
      </c>
      <c r="C3331" s="704" t="s">
        <v>846</v>
      </c>
      <c r="D3331" s="704" t="s">
        <v>44</v>
      </c>
      <c r="E3331" s="704" t="s">
        <v>824</v>
      </c>
      <c r="F3331" s="705">
        <v>9.3883907498955901E-5</v>
      </c>
      <c r="G3331" s="705">
        <v>0.14917718069827599</v>
      </c>
    </row>
    <row r="3332" spans="2:7" ht="11.25" hidden="1" customHeight="1" outlineLevel="2" x14ac:dyDescent="0.25">
      <c r="B3332" s="704" t="s">
        <v>681</v>
      </c>
      <c r="C3332" s="704" t="s">
        <v>846</v>
      </c>
      <c r="D3332" s="704" t="s">
        <v>44</v>
      </c>
      <c r="E3332" s="704" t="s">
        <v>824</v>
      </c>
      <c r="F3332" s="705">
        <v>1.0625201362252415E-4</v>
      </c>
      <c r="G3332" s="705">
        <v>0.16882978743079097</v>
      </c>
    </row>
    <row r="3333" spans="2:7" ht="11.25" hidden="1" customHeight="1" outlineLevel="2" x14ac:dyDescent="0.25">
      <c r="B3333" s="704" t="s">
        <v>682</v>
      </c>
      <c r="C3333" s="704" t="s">
        <v>846</v>
      </c>
      <c r="D3333" s="704" t="s">
        <v>44</v>
      </c>
      <c r="E3333" s="704" t="s">
        <v>824</v>
      </c>
      <c r="F3333" s="705">
        <v>5.1667371275658477E-5</v>
      </c>
      <c r="G3333" s="705">
        <v>8.2097071419455964E-2</v>
      </c>
    </row>
    <row r="3334" spans="2:7" ht="11.25" hidden="1" customHeight="1" outlineLevel="2" x14ac:dyDescent="0.25">
      <c r="B3334" s="704" t="s">
        <v>683</v>
      </c>
      <c r="C3334" s="704" t="s">
        <v>846</v>
      </c>
      <c r="D3334" s="704" t="s">
        <v>44</v>
      </c>
      <c r="E3334" s="704" t="s">
        <v>824</v>
      </c>
      <c r="F3334" s="705">
        <v>2.4287110741290029E-5</v>
      </c>
      <c r="G3334" s="705">
        <v>3.8591106505006342E-2</v>
      </c>
    </row>
    <row r="3335" spans="2:7" ht="11.25" hidden="1" customHeight="1" outlineLevel="2" x14ac:dyDescent="0.25">
      <c r="B3335" s="704" t="s">
        <v>684</v>
      </c>
      <c r="C3335" s="704" t="s">
        <v>846</v>
      </c>
      <c r="D3335" s="704" t="s">
        <v>44</v>
      </c>
      <c r="E3335" s="704" t="s">
        <v>824</v>
      </c>
      <c r="F3335" s="705">
        <v>8.4723838298198404E-5</v>
      </c>
      <c r="G3335" s="705">
        <v>0.13462218976607512</v>
      </c>
    </row>
    <row r="3336" spans="2:7" ht="11.25" hidden="1" customHeight="1" outlineLevel="2" x14ac:dyDescent="0.25">
      <c r="B3336" s="704" t="s">
        <v>685</v>
      </c>
      <c r="C3336" s="704" t="s">
        <v>846</v>
      </c>
      <c r="D3336" s="704" t="s">
        <v>44</v>
      </c>
      <c r="E3336" s="704" t="s">
        <v>824</v>
      </c>
      <c r="F3336" s="705">
        <v>1.292732924574455E-4</v>
      </c>
      <c r="G3336" s="705">
        <v>0.20540928011448684</v>
      </c>
    </row>
    <row r="3337" spans="2:7" ht="11.25" hidden="1" customHeight="1" outlineLevel="2" x14ac:dyDescent="0.25">
      <c r="B3337" s="704" t="s">
        <v>686</v>
      </c>
      <c r="C3337" s="704" t="s">
        <v>846</v>
      </c>
      <c r="D3337" s="704" t="s">
        <v>44</v>
      </c>
      <c r="E3337" s="704" t="s">
        <v>824</v>
      </c>
      <c r="F3337" s="705">
        <v>3.9540837300622429E-5</v>
      </c>
      <c r="G3337" s="705">
        <v>6.282856885325952E-2</v>
      </c>
    </row>
    <row r="3338" spans="2:7" ht="11.25" hidden="1" customHeight="1" outlineLevel="2" x14ac:dyDescent="0.25">
      <c r="B3338" s="704" t="s">
        <v>687</v>
      </c>
      <c r="C3338" s="704" t="s">
        <v>846</v>
      </c>
      <c r="D3338" s="704" t="s">
        <v>44</v>
      </c>
      <c r="E3338" s="704" t="s">
        <v>824</v>
      </c>
      <c r="F3338" s="705">
        <v>4.8400662451561153E-5</v>
      </c>
      <c r="G3338" s="705">
        <v>7.690645260499239E-2</v>
      </c>
    </row>
    <row r="3339" spans="2:7" ht="11.25" hidden="1" customHeight="1" outlineLevel="2" x14ac:dyDescent="0.25">
      <c r="B3339" s="704" t="s">
        <v>688</v>
      </c>
      <c r="C3339" s="704" t="s">
        <v>846</v>
      </c>
      <c r="D3339" s="704" t="s">
        <v>44</v>
      </c>
      <c r="E3339" s="704" t="s">
        <v>824</v>
      </c>
      <c r="F3339" s="705">
        <v>2.1956358547836675E-5</v>
      </c>
      <c r="G3339" s="705">
        <v>3.4887629233067527E-2</v>
      </c>
    </row>
    <row r="3340" spans="2:7" ht="11.25" hidden="1" customHeight="1" outlineLevel="2" x14ac:dyDescent="0.25">
      <c r="B3340" s="704" t="s">
        <v>689</v>
      </c>
      <c r="C3340" s="704" t="s">
        <v>846</v>
      </c>
      <c r="D3340" s="704" t="s">
        <v>44</v>
      </c>
      <c r="E3340" s="704" t="s">
        <v>824</v>
      </c>
      <c r="F3340" s="705">
        <v>1.0724999399532801E-4</v>
      </c>
      <c r="G3340" s="705">
        <v>0.17041544184496119</v>
      </c>
    </row>
    <row r="3341" spans="2:7" ht="11.25" hidden="1" customHeight="1" outlineLevel="2" x14ac:dyDescent="0.25">
      <c r="B3341" s="704" t="s">
        <v>690</v>
      </c>
      <c r="C3341" s="704" t="s">
        <v>846</v>
      </c>
      <c r="D3341" s="704" t="s">
        <v>44</v>
      </c>
      <c r="E3341" s="704" t="s">
        <v>824</v>
      </c>
      <c r="F3341" s="705">
        <v>4.7020708348263922E-5</v>
      </c>
      <c r="G3341" s="705">
        <v>7.4713799260217359E-2</v>
      </c>
    </row>
    <row r="3342" spans="2:7" ht="11.25" hidden="1" customHeight="1" outlineLevel="2" x14ac:dyDescent="0.25">
      <c r="B3342" s="704" t="s">
        <v>691</v>
      </c>
      <c r="C3342" s="704" t="s">
        <v>846</v>
      </c>
      <c r="D3342" s="704" t="s">
        <v>44</v>
      </c>
      <c r="E3342" s="704" t="s">
        <v>824</v>
      </c>
      <c r="F3342" s="705">
        <v>1.8384088485587773E-5</v>
      </c>
      <c r="G3342" s="705">
        <v>2.9211487241755617E-2</v>
      </c>
    </row>
    <row r="3343" spans="2:7" ht="11.25" hidden="1" customHeight="1" outlineLevel="2" x14ac:dyDescent="0.25">
      <c r="B3343" s="704" t="s">
        <v>692</v>
      </c>
      <c r="C3343" s="704" t="s">
        <v>846</v>
      </c>
      <c r="D3343" s="704" t="s">
        <v>44</v>
      </c>
      <c r="E3343" s="704" t="s">
        <v>824</v>
      </c>
      <c r="F3343" s="705">
        <v>1.325250323798442E-4</v>
      </c>
      <c r="G3343" s="705">
        <v>0.21057622520236288</v>
      </c>
    </row>
    <row r="3344" spans="2:7" ht="11.25" hidden="1" customHeight="1" outlineLevel="2" x14ac:dyDescent="0.25">
      <c r="B3344" s="704" t="s">
        <v>693</v>
      </c>
      <c r="C3344" s="704" t="s">
        <v>846</v>
      </c>
      <c r="D3344" s="704" t="s">
        <v>44</v>
      </c>
      <c r="E3344" s="704" t="s">
        <v>824</v>
      </c>
      <c r="F3344" s="705">
        <v>3.6344404156566337E-5</v>
      </c>
      <c r="G3344" s="705">
        <v>5.7749651134125418E-2</v>
      </c>
    </row>
    <row r="3345" spans="2:7" ht="11.25" hidden="1" customHeight="1" outlineLevel="2" x14ac:dyDescent="0.25">
      <c r="B3345" s="704" t="s">
        <v>694</v>
      </c>
      <c r="C3345" s="704" t="s">
        <v>846</v>
      </c>
      <c r="D3345" s="704" t="s">
        <v>44</v>
      </c>
      <c r="E3345" s="704" t="s">
        <v>824</v>
      </c>
      <c r="F3345" s="705">
        <v>3.2758398066284498E-5</v>
      </c>
      <c r="G3345" s="705">
        <v>5.2051636989664904E-2</v>
      </c>
    </row>
    <row r="3346" spans="2:7" ht="11.25" hidden="1" customHeight="1" outlineLevel="2" x14ac:dyDescent="0.25">
      <c r="B3346" s="704" t="s">
        <v>695</v>
      </c>
      <c r="C3346" s="704" t="s">
        <v>846</v>
      </c>
      <c r="D3346" s="704" t="s">
        <v>44</v>
      </c>
      <c r="E3346" s="704" t="s">
        <v>824</v>
      </c>
      <c r="F3346" s="705">
        <v>8.5413733794647472E-5</v>
      </c>
      <c r="G3346" s="705">
        <v>0.13571859051337171</v>
      </c>
    </row>
    <row r="3347" spans="2:7" ht="11.25" hidden="1" customHeight="1" outlineLevel="2" x14ac:dyDescent="0.25">
      <c r="B3347" s="704" t="s">
        <v>696</v>
      </c>
      <c r="C3347" s="704" t="s">
        <v>846</v>
      </c>
      <c r="D3347" s="704" t="s">
        <v>44</v>
      </c>
      <c r="E3347" s="704" t="s">
        <v>824</v>
      </c>
      <c r="F3347" s="705">
        <v>7.8057308710230124E-5</v>
      </c>
      <c r="G3347" s="705">
        <v>0.12402961119902271</v>
      </c>
    </row>
    <row r="3348" spans="2:7" ht="11.25" hidden="1" customHeight="1" outlineLevel="2" x14ac:dyDescent="0.25">
      <c r="B3348" s="704" t="s">
        <v>697</v>
      </c>
      <c r="C3348" s="704" t="s">
        <v>846</v>
      </c>
      <c r="D3348" s="704" t="s">
        <v>44</v>
      </c>
      <c r="E3348" s="704" t="s">
        <v>824</v>
      </c>
      <c r="F3348" s="705">
        <v>5.9957536615459128E-5</v>
      </c>
      <c r="G3348" s="705">
        <v>9.5269860378409635E-2</v>
      </c>
    </row>
    <row r="3349" spans="2:7" ht="11.25" hidden="1" customHeight="1" outlineLevel="2" x14ac:dyDescent="0.25">
      <c r="B3349" s="704" t="s">
        <v>698</v>
      </c>
      <c r="C3349" s="704" t="s">
        <v>846</v>
      </c>
      <c r="D3349" s="704" t="s">
        <v>44</v>
      </c>
      <c r="E3349" s="704" t="s">
        <v>824</v>
      </c>
      <c r="F3349" s="705">
        <v>9.1152803749606744E-5</v>
      </c>
      <c r="G3349" s="705">
        <v>0.14483764705943181</v>
      </c>
    </row>
    <row r="3350" spans="2:7" ht="11.25" hidden="1" customHeight="1" outlineLevel="2" x14ac:dyDescent="0.25">
      <c r="B3350" s="704" t="s">
        <v>699</v>
      </c>
      <c r="C3350" s="704" t="s">
        <v>846</v>
      </c>
      <c r="D3350" s="704" t="s">
        <v>44</v>
      </c>
      <c r="E3350" s="704" t="s">
        <v>824</v>
      </c>
      <c r="F3350" s="705">
        <v>2.6379085957552315E-36</v>
      </c>
      <c r="G3350" s="705">
        <v>4.1915162723227706E-33</v>
      </c>
    </row>
    <row r="3351" spans="2:7" ht="11.25" hidden="1" customHeight="1" outlineLevel="2" x14ac:dyDescent="0.25">
      <c r="B3351" s="704" t="s">
        <v>673</v>
      </c>
      <c r="C3351" s="704" t="s">
        <v>847</v>
      </c>
      <c r="D3351" s="704" t="s">
        <v>44</v>
      </c>
      <c r="E3351" s="704" t="s">
        <v>824</v>
      </c>
      <c r="F3351" s="705">
        <v>2.2117353562977091E-6</v>
      </c>
      <c r="G3351" s="705">
        <v>2.3309109073780084E-2</v>
      </c>
    </row>
    <row r="3352" spans="2:7" ht="11.25" hidden="1" customHeight="1" outlineLevel="2" x14ac:dyDescent="0.25">
      <c r="B3352" s="704" t="s">
        <v>677</v>
      </c>
      <c r="C3352" s="704" t="s">
        <v>847</v>
      </c>
      <c r="D3352" s="704" t="s">
        <v>44</v>
      </c>
      <c r="E3352" s="704" t="s">
        <v>824</v>
      </c>
      <c r="F3352" s="705">
        <v>4.1112562073365846E-6</v>
      </c>
      <c r="G3352" s="705">
        <v>4.3327890813225987E-2</v>
      </c>
    </row>
    <row r="3353" spans="2:7" ht="11.25" hidden="1" customHeight="1" outlineLevel="2" x14ac:dyDescent="0.25">
      <c r="B3353" s="704" t="s">
        <v>678</v>
      </c>
      <c r="C3353" s="704" t="s">
        <v>847</v>
      </c>
      <c r="D3353" s="704" t="s">
        <v>44</v>
      </c>
      <c r="E3353" s="704" t="s">
        <v>824</v>
      </c>
      <c r="F3353" s="705">
        <v>8.4106333985163646E-6</v>
      </c>
      <c r="G3353" s="705">
        <v>8.8638182920546149E-2</v>
      </c>
    </row>
    <row r="3354" spans="2:7" ht="11.25" hidden="1" customHeight="1" outlineLevel="2" x14ac:dyDescent="0.25">
      <c r="B3354" s="704" t="s">
        <v>679</v>
      </c>
      <c r="C3354" s="704" t="s">
        <v>847</v>
      </c>
      <c r="D3354" s="704" t="s">
        <v>44</v>
      </c>
      <c r="E3354" s="704" t="s">
        <v>824</v>
      </c>
      <c r="F3354" s="705">
        <v>2.9596149071792842E-6</v>
      </c>
      <c r="G3354" s="705">
        <v>3.119087996620195E-2</v>
      </c>
    </row>
    <row r="3355" spans="2:7" ht="11.25" hidden="1" customHeight="1" outlineLevel="2" x14ac:dyDescent="0.25">
      <c r="B3355" s="704" t="s">
        <v>680</v>
      </c>
      <c r="C3355" s="704" t="s">
        <v>847</v>
      </c>
      <c r="D3355" s="704" t="s">
        <v>44</v>
      </c>
      <c r="E3355" s="704" t="s">
        <v>824</v>
      </c>
      <c r="F3355" s="705">
        <v>1.9264806027455372E-5</v>
      </c>
      <c r="G3355" s="705">
        <v>0.20302842350956091</v>
      </c>
    </row>
    <row r="3356" spans="2:7" ht="11.25" hidden="1" customHeight="1" outlineLevel="2" x14ac:dyDescent="0.25">
      <c r="B3356" s="704" t="s">
        <v>681</v>
      </c>
      <c r="C3356" s="704" t="s">
        <v>847</v>
      </c>
      <c r="D3356" s="704" t="s">
        <v>44</v>
      </c>
      <c r="E3356" s="704" t="s">
        <v>824</v>
      </c>
      <c r="F3356" s="705">
        <v>2.1802737004946369E-5</v>
      </c>
      <c r="G3356" s="705">
        <v>0.22977529123826573</v>
      </c>
    </row>
    <row r="3357" spans="2:7" ht="11.25" hidden="1" customHeight="1" outlineLevel="2" x14ac:dyDescent="0.25">
      <c r="B3357" s="704" t="s">
        <v>682</v>
      </c>
      <c r="C3357" s="704" t="s">
        <v>847</v>
      </c>
      <c r="D3357" s="704" t="s">
        <v>44</v>
      </c>
      <c r="E3357" s="704" t="s">
        <v>824</v>
      </c>
      <c r="F3357" s="705">
        <v>1.0602038102517792E-5</v>
      </c>
      <c r="G3357" s="705">
        <v>0.11173309818955129</v>
      </c>
    </row>
    <row r="3358" spans="2:7" ht="11.25" hidden="1" customHeight="1" outlineLevel="2" x14ac:dyDescent="0.25">
      <c r="B3358" s="704" t="s">
        <v>683</v>
      </c>
      <c r="C3358" s="704" t="s">
        <v>847</v>
      </c>
      <c r="D3358" s="704" t="s">
        <v>44</v>
      </c>
      <c r="E3358" s="704" t="s">
        <v>824</v>
      </c>
      <c r="F3358" s="705">
        <v>4.9836683889197731E-6</v>
      </c>
      <c r="G3358" s="705">
        <v>5.2522071439770647E-2</v>
      </c>
    </row>
    <row r="3359" spans="2:7" ht="11.25" hidden="1" customHeight="1" outlineLevel="2" x14ac:dyDescent="0.25">
      <c r="B3359" s="704" t="s">
        <v>684</v>
      </c>
      <c r="C3359" s="704" t="s">
        <v>847</v>
      </c>
      <c r="D3359" s="704" t="s">
        <v>44</v>
      </c>
      <c r="E3359" s="704" t="s">
        <v>824</v>
      </c>
      <c r="F3359" s="705">
        <v>1.7385166571569018E-5</v>
      </c>
      <c r="G3359" s="705">
        <v>0.18321925637187497</v>
      </c>
    </row>
    <row r="3360" spans="2:7" ht="11.25" hidden="1" customHeight="1" outlineLevel="2" x14ac:dyDescent="0.25">
      <c r="B3360" s="704" t="s">
        <v>685</v>
      </c>
      <c r="C3360" s="704" t="s">
        <v>847</v>
      </c>
      <c r="D3360" s="704" t="s">
        <v>44</v>
      </c>
      <c r="E3360" s="704" t="s">
        <v>824</v>
      </c>
      <c r="F3360" s="705">
        <v>2.6526633712871366E-5</v>
      </c>
      <c r="G3360" s="705">
        <v>0.27955997862242954</v>
      </c>
    </row>
    <row r="3361" spans="2:7" ht="11.25" hidden="1" customHeight="1" outlineLevel="2" x14ac:dyDescent="0.25">
      <c r="B3361" s="704" t="s">
        <v>686</v>
      </c>
      <c r="C3361" s="704" t="s">
        <v>847</v>
      </c>
      <c r="D3361" s="704" t="s">
        <v>44</v>
      </c>
      <c r="E3361" s="704" t="s">
        <v>824</v>
      </c>
      <c r="F3361" s="706">
        <v>8.1137048188707239E-6</v>
      </c>
      <c r="G3361" s="705">
        <v>8.5508910053561121E-2</v>
      </c>
    </row>
    <row r="3362" spans="2:7" ht="11.25" hidden="1" customHeight="1" outlineLevel="2" x14ac:dyDescent="0.25">
      <c r="B3362" s="704" t="s">
        <v>687</v>
      </c>
      <c r="C3362" s="704" t="s">
        <v>847</v>
      </c>
      <c r="D3362" s="704" t="s">
        <v>44</v>
      </c>
      <c r="E3362" s="704" t="s">
        <v>824</v>
      </c>
      <c r="F3362" s="706">
        <v>9.9317332196545104E-6</v>
      </c>
      <c r="G3362" s="705">
        <v>0.10466876257594039</v>
      </c>
    </row>
    <row r="3363" spans="2:7" ht="11.25" hidden="1" customHeight="1" outlineLevel="2" x14ac:dyDescent="0.25">
      <c r="B3363" s="704" t="s">
        <v>688</v>
      </c>
      <c r="C3363" s="704" t="s">
        <v>847</v>
      </c>
      <c r="D3363" s="704" t="s">
        <v>44</v>
      </c>
      <c r="E3363" s="704" t="s">
        <v>824</v>
      </c>
      <c r="F3363" s="706">
        <v>4.5054049639941511E-6</v>
      </c>
      <c r="G3363" s="705">
        <v>4.7481713655202692E-2</v>
      </c>
    </row>
    <row r="3364" spans="2:7" ht="11.25" hidden="1" customHeight="1" outlineLevel="2" x14ac:dyDescent="0.25">
      <c r="B3364" s="704" t="s">
        <v>689</v>
      </c>
      <c r="C3364" s="704" t="s">
        <v>847</v>
      </c>
      <c r="D3364" s="704" t="s">
        <v>44</v>
      </c>
      <c r="E3364" s="704" t="s">
        <v>824</v>
      </c>
      <c r="F3364" s="706">
        <v>2.2007516875862574E-5</v>
      </c>
      <c r="G3364" s="705">
        <v>0.23193319920997141</v>
      </c>
    </row>
    <row r="3365" spans="2:7" ht="11.25" hidden="1" customHeight="1" outlineLevel="2" x14ac:dyDescent="0.25">
      <c r="B3365" s="704" t="s">
        <v>690</v>
      </c>
      <c r="C3365" s="704" t="s">
        <v>847</v>
      </c>
      <c r="D3365" s="704" t="s">
        <v>44</v>
      </c>
      <c r="E3365" s="704" t="s">
        <v>824</v>
      </c>
      <c r="F3365" s="706">
        <v>9.6485695744154724E-6</v>
      </c>
      <c r="G3365" s="705">
        <v>0.10168459749628934</v>
      </c>
    </row>
    <row r="3366" spans="2:7" ht="11.25" hidden="1" customHeight="1" outlineLevel="2" x14ac:dyDescent="0.25">
      <c r="B3366" s="704" t="s">
        <v>691</v>
      </c>
      <c r="C3366" s="704" t="s">
        <v>847</v>
      </c>
      <c r="D3366" s="704" t="s">
        <v>44</v>
      </c>
      <c r="E3366" s="704" t="s">
        <v>824</v>
      </c>
      <c r="F3366" s="706">
        <v>3.7723839916919854E-6</v>
      </c>
      <c r="G3366" s="705">
        <v>3.9756516203079545E-2</v>
      </c>
    </row>
    <row r="3367" spans="2:7" ht="11.25" hidden="1" customHeight="1" outlineLevel="2" x14ac:dyDescent="0.25">
      <c r="B3367" s="704" t="s">
        <v>692</v>
      </c>
      <c r="C3367" s="704" t="s">
        <v>847</v>
      </c>
      <c r="D3367" s="704" t="s">
        <v>44</v>
      </c>
      <c r="E3367" s="704" t="s">
        <v>824</v>
      </c>
      <c r="F3367" s="706">
        <v>2.7193898241967984E-5</v>
      </c>
      <c r="G3367" s="705">
        <v>0.28659183016845224</v>
      </c>
    </row>
    <row r="3368" spans="2:7" ht="11.25" hidden="1" customHeight="1" outlineLevel="2" x14ac:dyDescent="0.25">
      <c r="B3368" s="704" t="s">
        <v>693</v>
      </c>
      <c r="C3368" s="704" t="s">
        <v>847</v>
      </c>
      <c r="D3368" s="704" t="s">
        <v>44</v>
      </c>
      <c r="E3368" s="704" t="s">
        <v>824</v>
      </c>
      <c r="F3368" s="705">
        <v>7.4578058965349057E-6</v>
      </c>
      <c r="G3368" s="705">
        <v>7.8596529243642604E-2</v>
      </c>
    </row>
    <row r="3369" spans="2:7" ht="11.25" hidden="1" customHeight="1" outlineLevel="2" x14ac:dyDescent="0.25">
      <c r="B3369" s="704" t="s">
        <v>694</v>
      </c>
      <c r="C3369" s="704" t="s">
        <v>847</v>
      </c>
      <c r="D3369" s="704" t="s">
        <v>44</v>
      </c>
      <c r="E3369" s="704" t="s">
        <v>824</v>
      </c>
      <c r="F3369" s="705">
        <v>6.7219719942700706E-6</v>
      </c>
      <c r="G3369" s="705">
        <v>7.0841620650953466E-2</v>
      </c>
    </row>
    <row r="3370" spans="2:7" ht="11.25" hidden="1" customHeight="1" outlineLevel="2" x14ac:dyDescent="0.25">
      <c r="B3370" s="704" t="s">
        <v>695</v>
      </c>
      <c r="C3370" s="704" t="s">
        <v>847</v>
      </c>
      <c r="D3370" s="704" t="s">
        <v>44</v>
      </c>
      <c r="E3370" s="704" t="s">
        <v>824</v>
      </c>
      <c r="F3370" s="705">
        <v>1.7526742416485278E-5</v>
      </c>
      <c r="G3370" s="705">
        <v>0.18471137064050053</v>
      </c>
    </row>
    <row r="3371" spans="2:7" ht="11.25" hidden="1" customHeight="1" outlineLevel="2" x14ac:dyDescent="0.25">
      <c r="B3371" s="704" t="s">
        <v>696</v>
      </c>
      <c r="C3371" s="704" t="s">
        <v>847</v>
      </c>
      <c r="D3371" s="704" t="s">
        <v>44</v>
      </c>
      <c r="E3371" s="704" t="s">
        <v>824</v>
      </c>
      <c r="F3371" s="706">
        <v>1.6017228626518981E-5</v>
      </c>
      <c r="G3371" s="705">
        <v>0.16880273382675445</v>
      </c>
    </row>
    <row r="3372" spans="2:7" ht="11.25" hidden="1" customHeight="1" outlineLevel="2" x14ac:dyDescent="0.25">
      <c r="B3372" s="704" t="s">
        <v>697</v>
      </c>
      <c r="C3372" s="704" t="s">
        <v>847</v>
      </c>
      <c r="D3372" s="704" t="s">
        <v>44</v>
      </c>
      <c r="E3372" s="704" t="s">
        <v>824</v>
      </c>
      <c r="F3372" s="705">
        <v>1.230318479061639E-5</v>
      </c>
      <c r="G3372" s="705">
        <v>0.1296610794423034</v>
      </c>
    </row>
    <row r="3373" spans="2:7" ht="11.25" hidden="1" customHeight="1" outlineLevel="2" x14ac:dyDescent="0.25">
      <c r="B3373" s="704" t="s">
        <v>698</v>
      </c>
      <c r="C3373" s="704" t="s">
        <v>847</v>
      </c>
      <c r="D3373" s="704" t="s">
        <v>44</v>
      </c>
      <c r="E3373" s="704" t="s">
        <v>824</v>
      </c>
      <c r="F3373" s="705">
        <v>1.8704381526942318E-5</v>
      </c>
      <c r="G3373" s="705">
        <v>0.19712227797568085</v>
      </c>
    </row>
    <row r="3374" spans="2:7" ht="11.25" hidden="1" customHeight="1" outlineLevel="2" x14ac:dyDescent="0.25">
      <c r="B3374" s="704" t="s">
        <v>699</v>
      </c>
      <c r="C3374" s="704" t="s">
        <v>847</v>
      </c>
      <c r="D3374" s="704" t="s">
        <v>44</v>
      </c>
      <c r="E3374" s="704" t="s">
        <v>824</v>
      </c>
      <c r="F3374" s="706">
        <v>5.5019376952036936E-37</v>
      </c>
      <c r="G3374" s="705">
        <v>5.7984014727762259E-33</v>
      </c>
    </row>
    <row r="3375" spans="2:7" ht="11.25" hidden="1" customHeight="1" outlineLevel="2" x14ac:dyDescent="0.25">
      <c r="B3375" s="704" t="s">
        <v>673</v>
      </c>
      <c r="C3375" s="704" t="s">
        <v>848</v>
      </c>
      <c r="D3375" s="704" t="s">
        <v>562</v>
      </c>
      <c r="E3375" s="704" t="s">
        <v>824</v>
      </c>
      <c r="F3375" s="705">
        <v>3.6384345763566771E-2</v>
      </c>
      <c r="G3375" s="705">
        <v>100.02805363405341</v>
      </c>
    </row>
    <row r="3376" spans="2:7" ht="11.25" hidden="1" customHeight="1" outlineLevel="2" x14ac:dyDescent="0.25">
      <c r="B3376" s="704" t="s">
        <v>677</v>
      </c>
      <c r="C3376" s="704" t="s">
        <v>848</v>
      </c>
      <c r="D3376" s="704" t="s">
        <v>562</v>
      </c>
      <c r="E3376" s="704" t="s">
        <v>824</v>
      </c>
      <c r="F3376" s="705">
        <v>0.36888139860577845</v>
      </c>
      <c r="G3376" s="705">
        <v>1014.1306600621522</v>
      </c>
    </row>
    <row r="3377" spans="2:7" ht="11.25" hidden="1" customHeight="1" outlineLevel="2" x14ac:dyDescent="0.25">
      <c r="B3377" s="704" t="s">
        <v>678</v>
      </c>
      <c r="C3377" s="704" t="s">
        <v>848</v>
      </c>
      <c r="D3377" s="704" t="s">
        <v>562</v>
      </c>
      <c r="E3377" s="704" t="s">
        <v>824</v>
      </c>
      <c r="F3377" s="705">
        <v>0.56423763009244987</v>
      </c>
      <c r="G3377" s="705">
        <v>1551.2045324630681</v>
      </c>
    </row>
    <row r="3378" spans="2:7" ht="11.25" hidden="1" customHeight="1" outlineLevel="2" x14ac:dyDescent="0.25">
      <c r="B3378" s="704" t="s">
        <v>679</v>
      </c>
      <c r="C3378" s="704" t="s">
        <v>848</v>
      </c>
      <c r="D3378" s="704" t="s">
        <v>562</v>
      </c>
      <c r="E3378" s="704" t="s">
        <v>824</v>
      </c>
      <c r="F3378" s="706">
        <v>2.0711105499173436E-2</v>
      </c>
      <c r="G3378" s="705">
        <v>56.939053722583722</v>
      </c>
    </row>
    <row r="3379" spans="2:7" ht="11.25" hidden="1" customHeight="1" outlineLevel="2" x14ac:dyDescent="0.25">
      <c r="B3379" s="704" t="s">
        <v>680</v>
      </c>
      <c r="C3379" s="704" t="s">
        <v>848</v>
      </c>
      <c r="D3379" s="704" t="s">
        <v>562</v>
      </c>
      <c r="E3379" s="704" t="s">
        <v>824</v>
      </c>
      <c r="F3379" s="706">
        <v>1.4553745318781888E-2</v>
      </c>
      <c r="G3379" s="705">
        <v>40.011209914967608</v>
      </c>
    </row>
    <row r="3380" spans="2:7" ht="11.25" hidden="1" customHeight="1" outlineLevel="2" x14ac:dyDescent="0.25">
      <c r="B3380" s="704" t="s">
        <v>681</v>
      </c>
      <c r="C3380" s="704" t="s">
        <v>848</v>
      </c>
      <c r="D3380" s="704" t="s">
        <v>562</v>
      </c>
      <c r="E3380" s="704" t="s">
        <v>824</v>
      </c>
      <c r="F3380" s="706">
        <v>9.2920050415449526E-2</v>
      </c>
      <c r="G3380" s="705">
        <v>255.45624991930327</v>
      </c>
    </row>
    <row r="3381" spans="2:7" ht="11.25" hidden="1" customHeight="1" outlineLevel="2" x14ac:dyDescent="0.25">
      <c r="B3381" s="704" t="s">
        <v>682</v>
      </c>
      <c r="C3381" s="704" t="s">
        <v>848</v>
      </c>
      <c r="D3381" s="704" t="s">
        <v>562</v>
      </c>
      <c r="E3381" s="704" t="s">
        <v>824</v>
      </c>
      <c r="F3381" s="705">
        <v>3.5824613663857634E-2</v>
      </c>
      <c r="G3381" s="705">
        <v>98.489164482617952</v>
      </c>
    </row>
    <row r="3382" spans="2:7" ht="11.25" hidden="1" customHeight="1" outlineLevel="2" x14ac:dyDescent="0.25">
      <c r="B3382" s="704" t="s">
        <v>683</v>
      </c>
      <c r="C3382" s="704" t="s">
        <v>848</v>
      </c>
      <c r="D3382" s="704" t="s">
        <v>562</v>
      </c>
      <c r="E3382" s="704" t="s">
        <v>824</v>
      </c>
      <c r="F3382" s="705">
        <v>4.254172054770132E-2</v>
      </c>
      <c r="G3382" s="705">
        <v>116.95588002359445</v>
      </c>
    </row>
    <row r="3383" spans="2:7" ht="11.25" hidden="1" customHeight="1" outlineLevel="2" x14ac:dyDescent="0.25">
      <c r="B3383" s="704" t="s">
        <v>684</v>
      </c>
      <c r="C3383" s="704" t="s">
        <v>848</v>
      </c>
      <c r="D3383" s="704" t="s">
        <v>562</v>
      </c>
      <c r="E3383" s="704" t="s">
        <v>824</v>
      </c>
      <c r="F3383" s="705">
        <v>2.6308709422878548E-2</v>
      </c>
      <c r="G3383" s="705">
        <v>72.327962091847823</v>
      </c>
    </row>
    <row r="3384" spans="2:7" ht="11.25" hidden="1" customHeight="1" outlineLevel="2" x14ac:dyDescent="0.25">
      <c r="B3384" s="704" t="s">
        <v>685</v>
      </c>
      <c r="C3384" s="704" t="s">
        <v>848</v>
      </c>
      <c r="D3384" s="704" t="s">
        <v>562</v>
      </c>
      <c r="E3384" s="704" t="s">
        <v>824</v>
      </c>
      <c r="F3384" s="705">
        <v>0.13098369234738819</v>
      </c>
      <c r="G3384" s="705">
        <v>360.10105081448398</v>
      </c>
    </row>
    <row r="3385" spans="2:7" ht="11.25" hidden="1" customHeight="1" outlineLevel="2" x14ac:dyDescent="0.25">
      <c r="B3385" s="704" t="s">
        <v>686</v>
      </c>
      <c r="C3385" s="704" t="s">
        <v>848</v>
      </c>
      <c r="D3385" s="704" t="s">
        <v>562</v>
      </c>
      <c r="E3385" s="704" t="s">
        <v>824</v>
      </c>
      <c r="F3385" s="705">
        <v>1.9591568265605448E-2</v>
      </c>
      <c r="G3385" s="705">
        <v>53.861272720595693</v>
      </c>
    </row>
    <row r="3386" spans="2:7" ht="11.25" hidden="1" customHeight="1" outlineLevel="2" x14ac:dyDescent="0.25">
      <c r="B3386" s="704" t="s">
        <v>687</v>
      </c>
      <c r="C3386" s="704" t="s">
        <v>848</v>
      </c>
      <c r="D3386" s="704" t="s">
        <v>562</v>
      </c>
      <c r="E3386" s="704" t="s">
        <v>824</v>
      </c>
      <c r="F3386" s="705">
        <v>0.12594586760984561</v>
      </c>
      <c r="G3386" s="705">
        <v>346.25099284528926</v>
      </c>
    </row>
    <row r="3387" spans="2:7" ht="11.25" hidden="1" customHeight="1" outlineLevel="2" x14ac:dyDescent="0.25">
      <c r="B3387" s="704" t="s">
        <v>688</v>
      </c>
      <c r="C3387" s="704" t="s">
        <v>848</v>
      </c>
      <c r="D3387" s="704" t="s">
        <v>562</v>
      </c>
      <c r="E3387" s="704" t="s">
        <v>824</v>
      </c>
      <c r="F3387" s="705">
        <v>0.33473606048260102</v>
      </c>
      <c r="G3387" s="705">
        <v>920.25825443787141</v>
      </c>
    </row>
    <row r="3388" spans="2:7" ht="11.25" hidden="1" customHeight="1" outlineLevel="2" x14ac:dyDescent="0.25">
      <c r="B3388" s="704" t="s">
        <v>689</v>
      </c>
      <c r="C3388" s="704" t="s">
        <v>848</v>
      </c>
      <c r="D3388" s="704" t="s">
        <v>562</v>
      </c>
      <c r="E3388" s="704" t="s">
        <v>824</v>
      </c>
      <c r="F3388" s="705">
        <v>2.0723793907664347E-2</v>
      </c>
      <c r="G3388" s="705">
        <v>56.97393433347353</v>
      </c>
    </row>
    <row r="3389" spans="2:7" ht="11.25" hidden="1" customHeight="1" outlineLevel="2" x14ac:dyDescent="0.25">
      <c r="B3389" s="704" t="s">
        <v>690</v>
      </c>
      <c r="C3389" s="704" t="s">
        <v>848</v>
      </c>
      <c r="D3389" s="704" t="s">
        <v>562</v>
      </c>
      <c r="E3389" s="704" t="s">
        <v>824</v>
      </c>
      <c r="F3389" s="705">
        <v>0.49314833898858085</v>
      </c>
      <c r="G3389" s="705">
        <v>1355.7645752086828</v>
      </c>
    </row>
    <row r="3390" spans="2:7" ht="11.25" hidden="1" customHeight="1" outlineLevel="2" x14ac:dyDescent="0.25">
      <c r="B3390" s="704" t="s">
        <v>691</v>
      </c>
      <c r="C3390" s="704" t="s">
        <v>848</v>
      </c>
      <c r="D3390" s="704" t="s">
        <v>562</v>
      </c>
      <c r="E3390" s="704" t="s">
        <v>824</v>
      </c>
      <c r="F3390" s="705">
        <v>0.37671817912642153</v>
      </c>
      <c r="G3390" s="705">
        <v>1035.6750464783363</v>
      </c>
    </row>
    <row r="3391" spans="2:7" ht="11.25" hidden="1" customHeight="1" outlineLevel="2" x14ac:dyDescent="0.25">
      <c r="B3391" s="704" t="s">
        <v>692</v>
      </c>
      <c r="C3391" s="704" t="s">
        <v>848</v>
      </c>
      <c r="D3391" s="704" t="s">
        <v>562</v>
      </c>
      <c r="E3391" s="704" t="s">
        <v>824</v>
      </c>
      <c r="F3391" s="705">
        <v>4.4220978668541813E-2</v>
      </c>
      <c r="G3391" s="705">
        <v>121.57258981697566</v>
      </c>
    </row>
    <row r="3392" spans="2:7" ht="11.25" hidden="1" customHeight="1" outlineLevel="2" x14ac:dyDescent="0.25">
      <c r="B3392" s="704" t="s">
        <v>693</v>
      </c>
      <c r="C3392" s="704" t="s">
        <v>848</v>
      </c>
      <c r="D3392" s="704" t="s">
        <v>562</v>
      </c>
      <c r="E3392" s="704" t="s">
        <v>824</v>
      </c>
      <c r="F3392" s="706">
        <v>2.0151327485214001E-2</v>
      </c>
      <c r="G3392" s="705">
        <v>55.4001698586885</v>
      </c>
    </row>
    <row r="3393" spans="2:7" ht="11.25" hidden="1" customHeight="1" outlineLevel="2" x14ac:dyDescent="0.25">
      <c r="B3393" s="704" t="s">
        <v>694</v>
      </c>
      <c r="C3393" s="704" t="s">
        <v>848</v>
      </c>
      <c r="D3393" s="704" t="s">
        <v>562</v>
      </c>
      <c r="E3393" s="704" t="s">
        <v>824</v>
      </c>
      <c r="F3393" s="706">
        <v>8.3963916579327495E-3</v>
      </c>
      <c r="G3393" s="705">
        <v>23.083395945186712</v>
      </c>
    </row>
    <row r="3394" spans="2:7" ht="11.25" hidden="1" customHeight="1" outlineLevel="2" x14ac:dyDescent="0.25">
      <c r="B3394" s="704" t="s">
        <v>695</v>
      </c>
      <c r="C3394" s="704" t="s">
        <v>848</v>
      </c>
      <c r="D3394" s="704" t="s">
        <v>562</v>
      </c>
      <c r="E3394" s="704" t="s">
        <v>824</v>
      </c>
      <c r="F3394" s="705">
        <v>3.7503867800615341E-2</v>
      </c>
      <c r="G3394" s="705">
        <v>103.10582481057411</v>
      </c>
    </row>
    <row r="3395" spans="2:7" ht="11.25" hidden="1" customHeight="1" outlineLevel="2" x14ac:dyDescent="0.25">
      <c r="B3395" s="704" t="s">
        <v>696</v>
      </c>
      <c r="C3395" s="704" t="s">
        <v>848</v>
      </c>
      <c r="D3395" s="704" t="s">
        <v>562</v>
      </c>
      <c r="E3395" s="704" t="s">
        <v>824</v>
      </c>
      <c r="F3395" s="705">
        <v>8.4523655447193355E-2</v>
      </c>
      <c r="G3395" s="705">
        <v>232.37286231548134</v>
      </c>
    </row>
    <row r="3396" spans="2:7" ht="11.25" hidden="1" customHeight="1" outlineLevel="2" x14ac:dyDescent="0.25">
      <c r="B3396" s="704" t="s">
        <v>697</v>
      </c>
      <c r="C3396" s="704" t="s">
        <v>848</v>
      </c>
      <c r="D3396" s="704" t="s">
        <v>562</v>
      </c>
      <c r="E3396" s="704" t="s">
        <v>824</v>
      </c>
      <c r="F3396" s="705">
        <v>7.3328489510338019E-2</v>
      </c>
      <c r="G3396" s="705">
        <v>201.59500627913744</v>
      </c>
    </row>
    <row r="3397" spans="2:7" ht="11.25" hidden="1" customHeight="1" outlineLevel="2" x14ac:dyDescent="0.25">
      <c r="B3397" s="704" t="s">
        <v>698</v>
      </c>
      <c r="C3397" s="704" t="s">
        <v>848</v>
      </c>
      <c r="D3397" s="704" t="s">
        <v>562</v>
      </c>
      <c r="E3397" s="704" t="s">
        <v>824</v>
      </c>
      <c r="F3397" s="705">
        <v>4.5900270086638446E-2</v>
      </c>
      <c r="G3397" s="705">
        <v>126.18924529489709</v>
      </c>
    </row>
    <row r="3398" spans="2:7" ht="11.25" hidden="1" customHeight="1" outlineLevel="2" x14ac:dyDescent="0.25">
      <c r="B3398" s="704" t="s">
        <v>699</v>
      </c>
      <c r="C3398" s="704" t="s">
        <v>848</v>
      </c>
      <c r="D3398" s="704" t="s">
        <v>562</v>
      </c>
      <c r="E3398" s="704" t="s">
        <v>824</v>
      </c>
      <c r="F3398" s="705">
        <v>0.35600685864437548</v>
      </c>
      <c r="G3398" s="705">
        <v>978.73633851137288</v>
      </c>
    </row>
    <row r="3399" spans="2:7" ht="11.25" hidden="1" customHeight="1" outlineLevel="2" x14ac:dyDescent="0.25">
      <c r="B3399" s="704" t="s">
        <v>673</v>
      </c>
      <c r="C3399" s="704" t="s">
        <v>849</v>
      </c>
      <c r="D3399" s="704" t="s">
        <v>562</v>
      </c>
      <c r="E3399" s="704" t="s">
        <v>824</v>
      </c>
      <c r="F3399" s="705">
        <v>5.2826159052379472E-3</v>
      </c>
      <c r="G3399" s="705">
        <v>22.279737619328749</v>
      </c>
    </row>
    <row r="3400" spans="2:7" ht="11.25" hidden="1" customHeight="1" outlineLevel="2" x14ac:dyDescent="0.25">
      <c r="B3400" s="704" t="s">
        <v>677</v>
      </c>
      <c r="C3400" s="704" t="s">
        <v>849</v>
      </c>
      <c r="D3400" s="704" t="s">
        <v>562</v>
      </c>
      <c r="E3400" s="704" t="s">
        <v>824</v>
      </c>
      <c r="F3400" s="705">
        <v>5.3557592745492585E-2</v>
      </c>
      <c r="G3400" s="705">
        <v>225.8820426583093</v>
      </c>
    </row>
    <row r="3401" spans="2:7" ht="11.25" hidden="1" customHeight="1" outlineLevel="2" x14ac:dyDescent="0.25">
      <c r="B3401" s="704" t="s">
        <v>678</v>
      </c>
      <c r="C3401" s="704" t="s">
        <v>849</v>
      </c>
      <c r="D3401" s="704" t="s">
        <v>562</v>
      </c>
      <c r="E3401" s="704" t="s">
        <v>824</v>
      </c>
      <c r="F3401" s="705">
        <v>8.1921207419282785E-2</v>
      </c>
      <c r="G3401" s="705">
        <v>345.50706750717495</v>
      </c>
    </row>
    <row r="3402" spans="2:7" ht="11.25" hidden="1" customHeight="1" outlineLevel="2" x14ac:dyDescent="0.25">
      <c r="B3402" s="704" t="s">
        <v>679</v>
      </c>
      <c r="C3402" s="704" t="s">
        <v>849</v>
      </c>
      <c r="D3402" s="704" t="s">
        <v>562</v>
      </c>
      <c r="E3402" s="704" t="s">
        <v>824</v>
      </c>
      <c r="F3402" s="705">
        <v>3.0070277089293339E-3</v>
      </c>
      <c r="G3402" s="705">
        <v>12.682313951704058</v>
      </c>
    </row>
    <row r="3403" spans="2:7" ht="11.25" hidden="1" customHeight="1" outlineLevel="2" x14ac:dyDescent="0.25">
      <c r="B3403" s="704" t="s">
        <v>680</v>
      </c>
      <c r="C3403" s="704" t="s">
        <v>849</v>
      </c>
      <c r="D3403" s="704" t="s">
        <v>562</v>
      </c>
      <c r="E3403" s="704" t="s">
        <v>824</v>
      </c>
      <c r="F3403" s="705">
        <v>2.1130471702491172E-3</v>
      </c>
      <c r="G3403" s="705">
        <v>8.9118919024822016</v>
      </c>
    </row>
    <row r="3404" spans="2:7" ht="11.25" hidden="1" customHeight="1" outlineLevel="2" x14ac:dyDescent="0.25">
      <c r="B3404" s="704" t="s">
        <v>681</v>
      </c>
      <c r="C3404" s="704" t="s">
        <v>849</v>
      </c>
      <c r="D3404" s="704" t="s">
        <v>562</v>
      </c>
      <c r="E3404" s="704" t="s">
        <v>824</v>
      </c>
      <c r="F3404" s="705">
        <v>1.3490991423886631E-2</v>
      </c>
      <c r="G3404" s="705">
        <v>56.899007257791723</v>
      </c>
    </row>
    <row r="3405" spans="2:7" ht="11.25" hidden="1" customHeight="1" outlineLevel="2" x14ac:dyDescent="0.25">
      <c r="B3405" s="704" t="s">
        <v>682</v>
      </c>
      <c r="C3405" s="704" t="s">
        <v>849</v>
      </c>
      <c r="D3405" s="704" t="s">
        <v>562</v>
      </c>
      <c r="E3405" s="704" t="s">
        <v>824</v>
      </c>
      <c r="F3405" s="705">
        <v>5.2013488495035688E-3</v>
      </c>
      <c r="G3405" s="705">
        <v>21.936985538788534</v>
      </c>
    </row>
    <row r="3406" spans="2:7" ht="11.25" hidden="1" customHeight="1" outlineLevel="2" x14ac:dyDescent="0.25">
      <c r="B3406" s="704" t="s">
        <v>683</v>
      </c>
      <c r="C3406" s="704" t="s">
        <v>849</v>
      </c>
      <c r="D3406" s="704" t="s">
        <v>562</v>
      </c>
      <c r="E3406" s="704" t="s">
        <v>824</v>
      </c>
      <c r="F3406" s="705">
        <v>6.1766014019330219E-3</v>
      </c>
      <c r="G3406" s="705">
        <v>26.050135857066277</v>
      </c>
    </row>
    <row r="3407" spans="2:7" ht="11.25" hidden="1" customHeight="1" outlineLevel="2" x14ac:dyDescent="0.25">
      <c r="B3407" s="704" t="s">
        <v>684</v>
      </c>
      <c r="C3407" s="704" t="s">
        <v>849</v>
      </c>
      <c r="D3407" s="704" t="s">
        <v>562</v>
      </c>
      <c r="E3407" s="704" t="s">
        <v>824</v>
      </c>
      <c r="F3407" s="705">
        <v>3.8197387245930015E-3</v>
      </c>
      <c r="G3407" s="705">
        <v>16.109958528361226</v>
      </c>
    </row>
    <row r="3408" spans="2:7" ht="11.25" hidden="1" customHeight="1" outlineLevel="2" x14ac:dyDescent="0.25">
      <c r="B3408" s="704" t="s">
        <v>685</v>
      </c>
      <c r="C3408" s="704" t="s">
        <v>849</v>
      </c>
      <c r="D3408" s="704" t="s">
        <v>562</v>
      </c>
      <c r="E3408" s="704" t="s">
        <v>824</v>
      </c>
      <c r="F3408" s="705">
        <v>1.9017429874520476E-2</v>
      </c>
      <c r="G3408" s="705">
        <v>80.207008365566054</v>
      </c>
    </row>
    <row r="3409" spans="2:7" ht="11.25" hidden="1" customHeight="1" outlineLevel="2" x14ac:dyDescent="0.25">
      <c r="B3409" s="704" t="s">
        <v>686</v>
      </c>
      <c r="C3409" s="704" t="s">
        <v>849</v>
      </c>
      <c r="D3409" s="704" t="s">
        <v>562</v>
      </c>
      <c r="E3409" s="704" t="s">
        <v>824</v>
      </c>
      <c r="F3409" s="706">
        <v>2.8444862441340305E-3</v>
      </c>
      <c r="G3409" s="705">
        <v>11.996764677313619</v>
      </c>
    </row>
    <row r="3410" spans="2:7" ht="11.25" hidden="1" customHeight="1" outlineLevel="2" x14ac:dyDescent="0.25">
      <c r="B3410" s="704" t="s">
        <v>687</v>
      </c>
      <c r="C3410" s="704" t="s">
        <v>849</v>
      </c>
      <c r="D3410" s="704" t="s">
        <v>562</v>
      </c>
      <c r="E3410" s="704" t="s">
        <v>824</v>
      </c>
      <c r="F3410" s="706">
        <v>1.8285988177867463E-2</v>
      </c>
      <c r="G3410" s="705">
        <v>77.12215228113547</v>
      </c>
    </row>
    <row r="3411" spans="2:7" ht="11.25" hidden="1" customHeight="1" outlineLevel="2" x14ac:dyDescent="0.25">
      <c r="B3411" s="704" t="s">
        <v>688</v>
      </c>
      <c r="C3411" s="704" t="s">
        <v>849</v>
      </c>
      <c r="D3411" s="704" t="s">
        <v>562</v>
      </c>
      <c r="E3411" s="704" t="s">
        <v>824</v>
      </c>
      <c r="F3411" s="706">
        <v>4.8600102456009361E-2</v>
      </c>
      <c r="G3411" s="705">
        <v>204.97350177503944</v>
      </c>
    </row>
    <row r="3412" spans="2:7" ht="11.25" hidden="1" customHeight="1" outlineLevel="2" x14ac:dyDescent="0.25">
      <c r="B3412" s="704" t="s">
        <v>689</v>
      </c>
      <c r="C3412" s="704" t="s">
        <v>849</v>
      </c>
      <c r="D3412" s="704" t="s">
        <v>562</v>
      </c>
      <c r="E3412" s="704" t="s">
        <v>824</v>
      </c>
      <c r="F3412" s="706">
        <v>3.0088713522519964E-3</v>
      </c>
      <c r="G3412" s="705">
        <v>12.690075819586045</v>
      </c>
    </row>
    <row r="3413" spans="2:7" ht="11.25" hidden="1" customHeight="1" outlineLevel="2" x14ac:dyDescent="0.25">
      <c r="B3413" s="704" t="s">
        <v>690</v>
      </c>
      <c r="C3413" s="704" t="s">
        <v>849</v>
      </c>
      <c r="D3413" s="704" t="s">
        <v>562</v>
      </c>
      <c r="E3413" s="704" t="s">
        <v>824</v>
      </c>
      <c r="F3413" s="706">
        <v>7.1599807122564599E-2</v>
      </c>
      <c r="G3413" s="705">
        <v>301.97601047400155</v>
      </c>
    </row>
    <row r="3414" spans="2:7" ht="11.25" hidden="1" customHeight="1" outlineLevel="2" x14ac:dyDescent="0.25">
      <c r="B3414" s="704" t="s">
        <v>691</v>
      </c>
      <c r="C3414" s="704" t="s">
        <v>849</v>
      </c>
      <c r="D3414" s="704" t="s">
        <v>562</v>
      </c>
      <c r="E3414" s="704" t="s">
        <v>824</v>
      </c>
      <c r="F3414" s="706">
        <v>5.4695411285579656E-2</v>
      </c>
      <c r="G3414" s="705">
        <v>230.68085301253305</v>
      </c>
    </row>
    <row r="3415" spans="2:7" ht="11.25" hidden="1" customHeight="1" outlineLevel="2" x14ac:dyDescent="0.25">
      <c r="B3415" s="704" t="s">
        <v>692</v>
      </c>
      <c r="C3415" s="704" t="s">
        <v>849</v>
      </c>
      <c r="D3415" s="704" t="s">
        <v>562</v>
      </c>
      <c r="E3415" s="704" t="s">
        <v>824</v>
      </c>
      <c r="F3415" s="706">
        <v>6.4204122836250856E-3</v>
      </c>
      <c r="G3415" s="705">
        <v>27.07844479771374</v>
      </c>
    </row>
    <row r="3416" spans="2:7" ht="11.25" hidden="1" customHeight="1" outlineLevel="2" x14ac:dyDescent="0.25">
      <c r="B3416" s="704" t="s">
        <v>693</v>
      </c>
      <c r="C3416" s="704" t="s">
        <v>849</v>
      </c>
      <c r="D3416" s="704" t="s">
        <v>562</v>
      </c>
      <c r="E3416" s="704" t="s">
        <v>824</v>
      </c>
      <c r="F3416" s="706">
        <v>2.9257580851434297E-3</v>
      </c>
      <c r="G3416" s="705">
        <v>12.339536683638533</v>
      </c>
    </row>
    <row r="3417" spans="2:7" ht="11.25" hidden="1" customHeight="1" outlineLevel="2" x14ac:dyDescent="0.25">
      <c r="B3417" s="704" t="s">
        <v>694</v>
      </c>
      <c r="C3417" s="704" t="s">
        <v>849</v>
      </c>
      <c r="D3417" s="704" t="s">
        <v>562</v>
      </c>
      <c r="E3417" s="704" t="s">
        <v>824</v>
      </c>
      <c r="F3417" s="706">
        <v>1.219064613819287E-3</v>
      </c>
      <c r="G3417" s="705">
        <v>5.141476151490683</v>
      </c>
    </row>
    <row r="3418" spans="2:7" ht="11.25" hidden="1" customHeight="1" outlineLevel="2" x14ac:dyDescent="0.25">
      <c r="B3418" s="704" t="s">
        <v>695</v>
      </c>
      <c r="C3418" s="704" t="s">
        <v>849</v>
      </c>
      <c r="D3418" s="704" t="s">
        <v>562</v>
      </c>
      <c r="E3418" s="704" t="s">
        <v>824</v>
      </c>
      <c r="F3418" s="706">
        <v>5.4451602495098712E-3</v>
      </c>
      <c r="G3418" s="705">
        <v>22.965261052412146</v>
      </c>
    </row>
    <row r="3419" spans="2:7" ht="11.25" hidden="1" customHeight="1" outlineLevel="2" x14ac:dyDescent="0.25">
      <c r="B3419" s="704" t="s">
        <v>696</v>
      </c>
      <c r="C3419" s="704" t="s">
        <v>849</v>
      </c>
      <c r="D3419" s="704" t="s">
        <v>562</v>
      </c>
      <c r="E3419" s="704" t="s">
        <v>824</v>
      </c>
      <c r="F3419" s="705">
        <v>1.2271918174877128E-2</v>
      </c>
      <c r="G3419" s="705">
        <v>51.75753682288606</v>
      </c>
    </row>
    <row r="3420" spans="2:7" ht="11.25" hidden="1" customHeight="1" outlineLevel="2" x14ac:dyDescent="0.25">
      <c r="B3420" s="704" t="s">
        <v>697</v>
      </c>
      <c r="C3420" s="704" t="s">
        <v>849</v>
      </c>
      <c r="D3420" s="704" t="s">
        <v>562</v>
      </c>
      <c r="E3420" s="704" t="s">
        <v>824</v>
      </c>
      <c r="F3420" s="705">
        <v>1.06465150052929E-2</v>
      </c>
      <c r="G3420" s="705">
        <v>44.902228597148998</v>
      </c>
    </row>
    <row r="3421" spans="2:7" ht="11.25" hidden="1" customHeight="1" outlineLevel="2" x14ac:dyDescent="0.25">
      <c r="B3421" s="704" t="s">
        <v>698</v>
      </c>
      <c r="C3421" s="704" t="s">
        <v>849</v>
      </c>
      <c r="D3421" s="704" t="s">
        <v>562</v>
      </c>
      <c r="E3421" s="704" t="s">
        <v>824</v>
      </c>
      <c r="F3421" s="706">
        <v>6.664224954197418E-3</v>
      </c>
      <c r="G3421" s="705">
        <v>28.106729435282233</v>
      </c>
    </row>
    <row r="3422" spans="2:7" ht="11.25" hidden="1" customHeight="1" outlineLevel="2" x14ac:dyDescent="0.25">
      <c r="B3422" s="704" t="s">
        <v>699</v>
      </c>
      <c r="C3422" s="704" t="s">
        <v>849</v>
      </c>
      <c r="D3422" s="704" t="s">
        <v>562</v>
      </c>
      <c r="E3422" s="704" t="s">
        <v>824</v>
      </c>
      <c r="F3422" s="705">
        <v>5.1688382856910568E-2</v>
      </c>
      <c r="G3422" s="705">
        <v>217.9985297460419</v>
      </c>
    </row>
    <row r="3423" spans="2:7" ht="11.25" hidden="1" customHeight="1" outlineLevel="2" x14ac:dyDescent="0.25">
      <c r="B3423" s="704" t="s">
        <v>673</v>
      </c>
      <c r="C3423" s="704" t="s">
        <v>850</v>
      </c>
      <c r="D3423" s="704" t="s">
        <v>562</v>
      </c>
      <c r="E3423" s="704" t="s">
        <v>824</v>
      </c>
      <c r="F3423" s="705">
        <v>3.9081835497185545E-3</v>
      </c>
      <c r="G3423" s="705">
        <v>26.115864471802386</v>
      </c>
    </row>
    <row r="3424" spans="2:7" ht="11.25" hidden="1" customHeight="1" outlineLevel="2" x14ac:dyDescent="0.25">
      <c r="B3424" s="704" t="s">
        <v>677</v>
      </c>
      <c r="C3424" s="704" t="s">
        <v>850</v>
      </c>
      <c r="D3424" s="704" t="s">
        <v>562</v>
      </c>
      <c r="E3424" s="704" t="s">
        <v>824</v>
      </c>
      <c r="F3424" s="705">
        <v>3.9622987548885796E-2</v>
      </c>
      <c r="G3424" s="705">
        <v>264.77450172930423</v>
      </c>
    </row>
    <row r="3425" spans="2:7" ht="11.25" hidden="1" customHeight="1" outlineLevel="2" x14ac:dyDescent="0.25">
      <c r="B3425" s="704" t="s">
        <v>678</v>
      </c>
      <c r="C3425" s="704" t="s">
        <v>850</v>
      </c>
      <c r="D3425" s="704" t="s">
        <v>562</v>
      </c>
      <c r="E3425" s="704" t="s">
        <v>824</v>
      </c>
      <c r="F3425" s="705">
        <v>6.0606933308219903E-2</v>
      </c>
      <c r="G3425" s="705">
        <v>404.99647378806412</v>
      </c>
    </row>
    <row r="3426" spans="2:7" ht="11.25" hidden="1" customHeight="1" outlineLevel="2" x14ac:dyDescent="0.25">
      <c r="B3426" s="704" t="s">
        <v>679</v>
      </c>
      <c r="C3426" s="704" t="s">
        <v>850</v>
      </c>
      <c r="D3426" s="704" t="s">
        <v>562</v>
      </c>
      <c r="E3426" s="704" t="s">
        <v>824</v>
      </c>
      <c r="F3426" s="705">
        <v>2.2246598962176361E-3</v>
      </c>
      <c r="G3426" s="705">
        <v>14.865940653694253</v>
      </c>
    </row>
    <row r="3427" spans="2:7" ht="11.25" hidden="1" customHeight="1" outlineLevel="2" x14ac:dyDescent="0.25">
      <c r="B3427" s="704" t="s">
        <v>680</v>
      </c>
      <c r="C3427" s="704" t="s">
        <v>850</v>
      </c>
      <c r="D3427" s="704" t="s">
        <v>562</v>
      </c>
      <c r="E3427" s="704" t="s">
        <v>824</v>
      </c>
      <c r="F3427" s="705">
        <v>1.5632741809808526E-3</v>
      </c>
      <c r="G3427" s="705">
        <v>10.446335719315398</v>
      </c>
    </row>
    <row r="3428" spans="2:7" ht="11.25" hidden="1" customHeight="1" outlineLevel="2" x14ac:dyDescent="0.25">
      <c r="B3428" s="704" t="s">
        <v>681</v>
      </c>
      <c r="C3428" s="704" t="s">
        <v>850</v>
      </c>
      <c r="D3428" s="704" t="s">
        <v>562</v>
      </c>
      <c r="E3428" s="704" t="s">
        <v>824</v>
      </c>
      <c r="F3428" s="705">
        <v>9.9809027847814029E-3</v>
      </c>
      <c r="G3428" s="705">
        <v>66.695846589803509</v>
      </c>
    </row>
    <row r="3429" spans="2:7" ht="11.25" hidden="1" customHeight="1" outlineLevel="2" x14ac:dyDescent="0.25">
      <c r="B3429" s="704" t="s">
        <v>682</v>
      </c>
      <c r="C3429" s="704" t="s">
        <v>850</v>
      </c>
      <c r="D3429" s="704" t="s">
        <v>562</v>
      </c>
      <c r="E3429" s="704" t="s">
        <v>824</v>
      </c>
      <c r="F3429" s="705">
        <v>3.8480600808703091E-3</v>
      </c>
      <c r="G3429" s="705">
        <v>25.714071218799624</v>
      </c>
    </row>
    <row r="3430" spans="2:7" ht="11.25" hidden="1" customHeight="1" outlineLevel="2" x14ac:dyDescent="0.25">
      <c r="B3430" s="704" t="s">
        <v>683</v>
      </c>
      <c r="C3430" s="704" t="s">
        <v>850</v>
      </c>
      <c r="D3430" s="704" t="s">
        <v>562</v>
      </c>
      <c r="E3430" s="704" t="s">
        <v>824</v>
      </c>
      <c r="F3430" s="705">
        <v>4.5695691928592371E-3</v>
      </c>
      <c r="G3430" s="705">
        <v>30.535455912716497</v>
      </c>
    </row>
    <row r="3431" spans="2:7" ht="11.25" hidden="1" customHeight="1" outlineLevel="2" x14ac:dyDescent="0.25">
      <c r="B3431" s="704" t="s">
        <v>684</v>
      </c>
      <c r="C3431" s="704" t="s">
        <v>850</v>
      </c>
      <c r="D3431" s="704" t="s">
        <v>562</v>
      </c>
      <c r="E3431" s="704" t="s">
        <v>824</v>
      </c>
      <c r="F3431" s="705">
        <v>2.8259171894739529E-3</v>
      </c>
      <c r="G3431" s="705">
        <v>18.883761940652953</v>
      </c>
    </row>
    <row r="3432" spans="2:7" ht="11.25" hidden="1" customHeight="1" outlineLevel="2" x14ac:dyDescent="0.25">
      <c r="B3432" s="704" t="s">
        <v>685</v>
      </c>
      <c r="C3432" s="704" t="s">
        <v>850</v>
      </c>
      <c r="D3432" s="704" t="s">
        <v>562</v>
      </c>
      <c r="E3432" s="704" t="s">
        <v>824</v>
      </c>
      <c r="F3432" s="705">
        <v>1.4069465547469446E-2</v>
      </c>
      <c r="G3432" s="705">
        <v>94.016956601532954</v>
      </c>
    </row>
    <row r="3433" spans="2:7" ht="11.25" hidden="1" customHeight="1" outlineLevel="2" x14ac:dyDescent="0.25">
      <c r="B3433" s="704" t="s">
        <v>686</v>
      </c>
      <c r="C3433" s="704" t="s">
        <v>850</v>
      </c>
      <c r="D3433" s="704" t="s">
        <v>562</v>
      </c>
      <c r="E3433" s="704" t="s">
        <v>824</v>
      </c>
      <c r="F3433" s="705">
        <v>2.1044068912638215E-3</v>
      </c>
      <c r="G3433" s="705">
        <v>14.062372371045388</v>
      </c>
    </row>
    <row r="3434" spans="2:7" ht="11.25" hidden="1" customHeight="1" outlineLevel="2" x14ac:dyDescent="0.25">
      <c r="B3434" s="704" t="s">
        <v>687</v>
      </c>
      <c r="C3434" s="704" t="s">
        <v>850</v>
      </c>
      <c r="D3434" s="704" t="s">
        <v>562</v>
      </c>
      <c r="E3434" s="704" t="s">
        <v>824</v>
      </c>
      <c r="F3434" s="705">
        <v>1.3528335643395643E-2</v>
      </c>
      <c r="G3434" s="705">
        <v>90.401026543620958</v>
      </c>
    </row>
    <row r="3435" spans="2:7" ht="11.25" hidden="1" customHeight="1" outlineLevel="2" x14ac:dyDescent="0.25">
      <c r="B3435" s="704" t="s">
        <v>688</v>
      </c>
      <c r="C3435" s="704" t="s">
        <v>850</v>
      </c>
      <c r="D3435" s="704" t="s">
        <v>562</v>
      </c>
      <c r="E3435" s="704" t="s">
        <v>824</v>
      </c>
      <c r="F3435" s="705">
        <v>3.5955287988522461E-2</v>
      </c>
      <c r="G3435" s="705">
        <v>240.26573656140948</v>
      </c>
    </row>
    <row r="3436" spans="2:7" ht="11.25" hidden="1" customHeight="1" outlineLevel="2" x14ac:dyDescent="0.25">
      <c r="B3436" s="704" t="s">
        <v>689</v>
      </c>
      <c r="C3436" s="704" t="s">
        <v>850</v>
      </c>
      <c r="D3436" s="704" t="s">
        <v>562</v>
      </c>
      <c r="E3436" s="704" t="s">
        <v>824</v>
      </c>
      <c r="F3436" s="705">
        <v>2.2260233424271467E-3</v>
      </c>
      <c r="G3436" s="705">
        <v>14.875046195226567</v>
      </c>
    </row>
    <row r="3437" spans="2:7" ht="11.25" hidden="1" customHeight="1" outlineLevel="2" x14ac:dyDescent="0.25">
      <c r="B3437" s="704" t="s">
        <v>690</v>
      </c>
      <c r="C3437" s="704" t="s">
        <v>850</v>
      </c>
      <c r="D3437" s="704" t="s">
        <v>562</v>
      </c>
      <c r="E3437" s="704" t="s">
        <v>824</v>
      </c>
      <c r="F3437" s="705">
        <v>5.2970946551511126E-2</v>
      </c>
      <c r="G3437" s="705">
        <v>353.97037231175739</v>
      </c>
    </row>
    <row r="3438" spans="2:7" ht="11.25" hidden="1" customHeight="1" outlineLevel="2" x14ac:dyDescent="0.25">
      <c r="B3438" s="704" t="s">
        <v>691</v>
      </c>
      <c r="C3438" s="704" t="s">
        <v>850</v>
      </c>
      <c r="D3438" s="704" t="s">
        <v>562</v>
      </c>
      <c r="E3438" s="704" t="s">
        <v>824</v>
      </c>
      <c r="F3438" s="705">
        <v>4.046472867951504E-2</v>
      </c>
      <c r="G3438" s="705">
        <v>270.39956327360318</v>
      </c>
    </row>
    <row r="3439" spans="2:7" ht="11.25" hidden="1" customHeight="1" outlineLevel="2" x14ac:dyDescent="0.25">
      <c r="B3439" s="704" t="s">
        <v>692</v>
      </c>
      <c r="C3439" s="704" t="s">
        <v>850</v>
      </c>
      <c r="D3439" s="704" t="s">
        <v>562</v>
      </c>
      <c r="E3439" s="704" t="s">
        <v>824</v>
      </c>
      <c r="F3439" s="705">
        <v>4.7499463464159217E-3</v>
      </c>
      <c r="G3439" s="705">
        <v>31.740795516228921</v>
      </c>
    </row>
    <row r="3440" spans="2:7" ht="11.25" hidden="1" customHeight="1" outlineLevel="2" x14ac:dyDescent="0.25">
      <c r="B3440" s="704" t="s">
        <v>693</v>
      </c>
      <c r="C3440" s="704" t="s">
        <v>850</v>
      </c>
      <c r="D3440" s="704" t="s">
        <v>562</v>
      </c>
      <c r="E3440" s="704" t="s">
        <v>824</v>
      </c>
      <c r="F3440" s="705">
        <v>2.1645316467214298E-3</v>
      </c>
      <c r="G3440" s="705">
        <v>14.464162998338544</v>
      </c>
    </row>
    <row r="3441" spans="2:7" ht="11.25" hidden="1" customHeight="1" outlineLevel="2" x14ac:dyDescent="0.25">
      <c r="B3441" s="704" t="s">
        <v>694</v>
      </c>
      <c r="C3441" s="704" t="s">
        <v>850</v>
      </c>
      <c r="D3441" s="704" t="s">
        <v>562</v>
      </c>
      <c r="E3441" s="704" t="s">
        <v>824</v>
      </c>
      <c r="F3441" s="705">
        <v>9.0188886595263186E-4</v>
      </c>
      <c r="G3441" s="705">
        <v>6.0267338502080481</v>
      </c>
    </row>
    <row r="3442" spans="2:7" ht="11.25" hidden="1" customHeight="1" outlineLevel="2" x14ac:dyDescent="0.25">
      <c r="B3442" s="704" t="s">
        <v>695</v>
      </c>
      <c r="C3442" s="704" t="s">
        <v>850</v>
      </c>
      <c r="D3442" s="704" t="s">
        <v>562</v>
      </c>
      <c r="E3442" s="704" t="s">
        <v>824</v>
      </c>
      <c r="F3442" s="706">
        <v>4.0284377748685705E-3</v>
      </c>
      <c r="G3442" s="705">
        <v>26.919403110879923</v>
      </c>
    </row>
    <row r="3443" spans="2:7" ht="11.25" hidden="1" customHeight="1" outlineLevel="2" x14ac:dyDescent="0.25">
      <c r="B3443" s="704" t="s">
        <v>696</v>
      </c>
      <c r="C3443" s="704" t="s">
        <v>850</v>
      </c>
      <c r="D3443" s="704" t="s">
        <v>562</v>
      </c>
      <c r="E3443" s="704" t="s">
        <v>824</v>
      </c>
      <c r="F3443" s="706">
        <v>9.0790144571183187E-3</v>
      </c>
      <c r="G3443" s="705">
        <v>60.669131917008968</v>
      </c>
    </row>
    <row r="3444" spans="2:7" ht="11.25" hidden="1" customHeight="1" outlineLevel="2" x14ac:dyDescent="0.25">
      <c r="B3444" s="704" t="s">
        <v>697</v>
      </c>
      <c r="C3444" s="704" t="s">
        <v>850</v>
      </c>
      <c r="D3444" s="704" t="s">
        <v>562</v>
      </c>
      <c r="E3444" s="704" t="s">
        <v>824</v>
      </c>
      <c r="F3444" s="706">
        <v>7.8764943278680898E-3</v>
      </c>
      <c r="G3444" s="705">
        <v>52.633471673695801</v>
      </c>
    </row>
    <row r="3445" spans="2:7" ht="11.25" hidden="1" customHeight="1" outlineLevel="2" x14ac:dyDescent="0.25">
      <c r="B3445" s="704" t="s">
        <v>698</v>
      </c>
      <c r="C3445" s="704" t="s">
        <v>850</v>
      </c>
      <c r="D3445" s="704" t="s">
        <v>562</v>
      </c>
      <c r="E3445" s="704" t="s">
        <v>824</v>
      </c>
      <c r="F3445" s="706">
        <v>4.9303266896477292E-3</v>
      </c>
      <c r="G3445" s="705">
        <v>32.946152561838986</v>
      </c>
    </row>
    <row r="3446" spans="2:7" ht="11.25" hidden="1" customHeight="1" outlineLevel="2" x14ac:dyDescent="0.25">
      <c r="B3446" s="704" t="s">
        <v>699</v>
      </c>
      <c r="C3446" s="704" t="s">
        <v>850</v>
      </c>
      <c r="D3446" s="704" t="s">
        <v>562</v>
      </c>
      <c r="E3446" s="704" t="s">
        <v>824</v>
      </c>
      <c r="F3446" s="706">
        <v>3.8240056055927264E-2</v>
      </c>
      <c r="G3446" s="705">
        <v>255.53358683384806</v>
      </c>
    </row>
    <row r="3447" spans="2:7" ht="11.25" hidden="1" customHeight="1" outlineLevel="2" x14ac:dyDescent="0.25">
      <c r="B3447" s="704" t="s">
        <v>673</v>
      </c>
      <c r="C3447" s="704" t="s">
        <v>851</v>
      </c>
      <c r="D3447" s="704" t="s">
        <v>562</v>
      </c>
      <c r="E3447" s="704" t="s">
        <v>824</v>
      </c>
      <c r="F3447" s="706">
        <v>6.8456794077263764E-3</v>
      </c>
      <c r="G3447" s="705">
        <v>32.442423705899067</v>
      </c>
    </row>
    <row r="3448" spans="2:7" ht="11.25" hidden="1" customHeight="1" outlineLevel="2" x14ac:dyDescent="0.25">
      <c r="B3448" s="704" t="s">
        <v>677</v>
      </c>
      <c r="C3448" s="704" t="s">
        <v>851</v>
      </c>
      <c r="D3448" s="704" t="s">
        <v>562</v>
      </c>
      <c r="E3448" s="704" t="s">
        <v>824</v>
      </c>
      <c r="F3448" s="705">
        <v>6.940462645987458E-2</v>
      </c>
      <c r="G3448" s="705">
        <v>328.91617569000817</v>
      </c>
    </row>
    <row r="3449" spans="2:7" ht="11.25" hidden="1" customHeight="1" outlineLevel="2" x14ac:dyDescent="0.25">
      <c r="B3449" s="704" t="s">
        <v>678</v>
      </c>
      <c r="C3449" s="704" t="s">
        <v>851</v>
      </c>
      <c r="D3449" s="704" t="s">
        <v>562</v>
      </c>
      <c r="E3449" s="704" t="s">
        <v>824</v>
      </c>
      <c r="F3449" s="705">
        <v>0.10616070306572964</v>
      </c>
      <c r="G3449" s="705">
        <v>503.10715499542187</v>
      </c>
    </row>
    <row r="3450" spans="2:7" ht="11.25" hidden="1" customHeight="1" outlineLevel="2" x14ac:dyDescent="0.25">
      <c r="B3450" s="704" t="s">
        <v>679</v>
      </c>
      <c r="C3450" s="704" t="s">
        <v>851</v>
      </c>
      <c r="D3450" s="704" t="s">
        <v>562</v>
      </c>
      <c r="E3450" s="704" t="s">
        <v>824</v>
      </c>
      <c r="F3450" s="705">
        <v>3.8967695134035389E-3</v>
      </c>
      <c r="G3450" s="705">
        <v>18.467233775082786</v>
      </c>
    </row>
    <row r="3451" spans="2:7" ht="11.25" hidden="1" customHeight="1" outlineLevel="2" x14ac:dyDescent="0.25">
      <c r="B3451" s="704" t="s">
        <v>680</v>
      </c>
      <c r="C3451" s="704" t="s">
        <v>851</v>
      </c>
      <c r="D3451" s="704" t="s">
        <v>562</v>
      </c>
      <c r="E3451" s="704" t="s">
        <v>824</v>
      </c>
      <c r="F3451" s="705">
        <v>2.7382725438853317E-3</v>
      </c>
      <c r="G3451" s="705">
        <v>12.976966865629823</v>
      </c>
    </row>
    <row r="3452" spans="2:7" ht="11.25" hidden="1" customHeight="1" outlineLevel="2" x14ac:dyDescent="0.25">
      <c r="B3452" s="704" t="s">
        <v>681</v>
      </c>
      <c r="C3452" s="704" t="s">
        <v>851</v>
      </c>
      <c r="D3452" s="704" t="s">
        <v>562</v>
      </c>
      <c r="E3452" s="704" t="s">
        <v>824</v>
      </c>
      <c r="F3452" s="705">
        <v>1.7482808254073539E-2</v>
      </c>
      <c r="G3452" s="705">
        <v>82.85299930405678</v>
      </c>
    </row>
    <row r="3453" spans="2:7" ht="11.25" hidden="1" customHeight="1" outlineLevel="2" x14ac:dyDescent="0.25">
      <c r="B3453" s="704" t="s">
        <v>682</v>
      </c>
      <c r="C3453" s="704" t="s">
        <v>851</v>
      </c>
      <c r="D3453" s="704" t="s">
        <v>562</v>
      </c>
      <c r="E3453" s="704" t="s">
        <v>824</v>
      </c>
      <c r="F3453" s="705">
        <v>6.7403599914786401E-3</v>
      </c>
      <c r="G3453" s="705">
        <v>31.94330560274031</v>
      </c>
    </row>
    <row r="3454" spans="2:7" ht="11.25" hidden="1" customHeight="1" outlineLevel="2" x14ac:dyDescent="0.25">
      <c r="B3454" s="704" t="s">
        <v>683</v>
      </c>
      <c r="C3454" s="704" t="s">
        <v>851</v>
      </c>
      <c r="D3454" s="704" t="s">
        <v>562</v>
      </c>
      <c r="E3454" s="704" t="s">
        <v>824</v>
      </c>
      <c r="F3454" s="705">
        <v>8.0041797070417534E-3</v>
      </c>
      <c r="G3454" s="705">
        <v>37.932690867465752</v>
      </c>
    </row>
    <row r="3455" spans="2:7" ht="11.25" hidden="1" customHeight="1" outlineLevel="2" x14ac:dyDescent="0.25">
      <c r="B3455" s="704" t="s">
        <v>684</v>
      </c>
      <c r="C3455" s="704" t="s">
        <v>851</v>
      </c>
      <c r="D3455" s="704" t="s">
        <v>562</v>
      </c>
      <c r="E3455" s="704" t="s">
        <v>824</v>
      </c>
      <c r="F3455" s="705">
        <v>4.9499528738813367E-3</v>
      </c>
      <c r="G3455" s="705">
        <v>23.458376829344239</v>
      </c>
    </row>
    <row r="3456" spans="2:7" ht="11.25" hidden="1" customHeight="1" outlineLevel="2" x14ac:dyDescent="0.25">
      <c r="B3456" s="704" t="s">
        <v>685</v>
      </c>
      <c r="C3456" s="704" t="s">
        <v>851</v>
      </c>
      <c r="D3456" s="704" t="s">
        <v>562</v>
      </c>
      <c r="E3456" s="704" t="s">
        <v>824</v>
      </c>
      <c r="F3456" s="705">
        <v>2.4644418818184098E-2</v>
      </c>
      <c r="G3456" s="705">
        <v>116.79278747660922</v>
      </c>
    </row>
    <row r="3457" spans="2:7" ht="11.25" hidden="1" customHeight="1" outlineLevel="2" x14ac:dyDescent="0.25">
      <c r="B3457" s="704" t="s">
        <v>686</v>
      </c>
      <c r="C3457" s="704" t="s">
        <v>851</v>
      </c>
      <c r="D3457" s="704" t="s">
        <v>562</v>
      </c>
      <c r="E3457" s="704" t="s">
        <v>824</v>
      </c>
      <c r="F3457" s="705">
        <v>3.6861342594498594E-3</v>
      </c>
      <c r="G3457" s="705">
        <v>17.468984397627455</v>
      </c>
    </row>
    <row r="3458" spans="2:7" ht="11.25" hidden="1" customHeight="1" outlineLevel="2" x14ac:dyDescent="0.25">
      <c r="B3458" s="704" t="s">
        <v>687</v>
      </c>
      <c r="C3458" s="704" t="s">
        <v>851</v>
      </c>
      <c r="D3458" s="704" t="s">
        <v>562</v>
      </c>
      <c r="E3458" s="704" t="s">
        <v>824</v>
      </c>
      <c r="F3458" s="705">
        <v>2.3696574642381348E-2</v>
      </c>
      <c r="G3458" s="705">
        <v>112.30064206016809</v>
      </c>
    </row>
    <row r="3459" spans="2:7" ht="11.25" hidden="1" customHeight="1" outlineLevel="2" x14ac:dyDescent="0.25">
      <c r="B3459" s="704" t="s">
        <v>688</v>
      </c>
      <c r="C3459" s="704" t="s">
        <v>851</v>
      </c>
      <c r="D3459" s="704" t="s">
        <v>562</v>
      </c>
      <c r="E3459" s="704" t="s">
        <v>824</v>
      </c>
      <c r="F3459" s="705">
        <v>6.2980223819647158E-2</v>
      </c>
      <c r="G3459" s="705">
        <v>298.47021150601103</v>
      </c>
    </row>
    <row r="3460" spans="2:7" ht="11.25" hidden="1" customHeight="1" outlineLevel="2" x14ac:dyDescent="0.25">
      <c r="B3460" s="704" t="s">
        <v>689</v>
      </c>
      <c r="C3460" s="704" t="s">
        <v>851</v>
      </c>
      <c r="D3460" s="704" t="s">
        <v>562</v>
      </c>
      <c r="E3460" s="704" t="s">
        <v>824</v>
      </c>
      <c r="F3460" s="705">
        <v>3.8991571239832762E-3</v>
      </c>
      <c r="G3460" s="705">
        <v>18.478544330353166</v>
      </c>
    </row>
    <row r="3461" spans="2:7" ht="11.25" hidden="1" customHeight="1" outlineLevel="2" x14ac:dyDescent="0.25">
      <c r="B3461" s="704" t="s">
        <v>690</v>
      </c>
      <c r="C3461" s="704" t="s">
        <v>851</v>
      </c>
      <c r="D3461" s="704" t="s">
        <v>562</v>
      </c>
      <c r="E3461" s="704" t="s">
        <v>824</v>
      </c>
      <c r="F3461" s="705">
        <v>9.2785227636794421E-2</v>
      </c>
      <c r="G3461" s="705">
        <v>439.71943080230926</v>
      </c>
    </row>
    <row r="3462" spans="2:7" ht="11.25" hidden="1" customHeight="1" outlineLevel="2" x14ac:dyDescent="0.25">
      <c r="B3462" s="704" t="s">
        <v>691</v>
      </c>
      <c r="C3462" s="704" t="s">
        <v>851</v>
      </c>
      <c r="D3462" s="704" t="s">
        <v>562</v>
      </c>
      <c r="E3462" s="704" t="s">
        <v>824</v>
      </c>
      <c r="F3462" s="705">
        <v>7.0879094562371708E-2</v>
      </c>
      <c r="G3462" s="705">
        <v>335.90399297824308</v>
      </c>
    </row>
    <row r="3463" spans="2:7" ht="11.25" hidden="1" customHeight="1" outlineLevel="2" x14ac:dyDescent="0.25">
      <c r="B3463" s="704" t="s">
        <v>692</v>
      </c>
      <c r="C3463" s="704" t="s">
        <v>851</v>
      </c>
      <c r="D3463" s="704" t="s">
        <v>562</v>
      </c>
      <c r="E3463" s="704" t="s">
        <v>824</v>
      </c>
      <c r="F3463" s="705">
        <v>8.3201323583173697E-3</v>
      </c>
      <c r="G3463" s="705">
        <v>39.430046143649669</v>
      </c>
    </row>
    <row r="3464" spans="2:7" ht="11.25" hidden="1" customHeight="1" outlineLevel="2" x14ac:dyDescent="0.25">
      <c r="B3464" s="704" t="s">
        <v>693</v>
      </c>
      <c r="C3464" s="704" t="s">
        <v>851</v>
      </c>
      <c r="D3464" s="704" t="s">
        <v>562</v>
      </c>
      <c r="E3464" s="704" t="s">
        <v>824</v>
      </c>
      <c r="F3464" s="705">
        <v>3.7914516929596844E-3</v>
      </c>
      <c r="G3464" s="705">
        <v>17.968112415058503</v>
      </c>
    </row>
    <row r="3465" spans="2:7" ht="11.25" hidden="1" customHeight="1" outlineLevel="2" x14ac:dyDescent="0.25">
      <c r="B3465" s="704" t="s">
        <v>694</v>
      </c>
      <c r="C3465" s="704" t="s">
        <v>851</v>
      </c>
      <c r="D3465" s="704" t="s">
        <v>562</v>
      </c>
      <c r="E3465" s="704" t="s">
        <v>824</v>
      </c>
      <c r="F3465" s="705">
        <v>1.5797708556097678E-3</v>
      </c>
      <c r="G3465" s="705">
        <v>7.4867087962662477</v>
      </c>
    </row>
    <row r="3466" spans="2:7" ht="11.25" hidden="1" customHeight="1" outlineLevel="2" x14ac:dyDescent="0.25">
      <c r="B3466" s="704" t="s">
        <v>695</v>
      </c>
      <c r="C3466" s="704" t="s">
        <v>851</v>
      </c>
      <c r="D3466" s="704" t="s">
        <v>562</v>
      </c>
      <c r="E3466" s="704" t="s">
        <v>824</v>
      </c>
      <c r="F3466" s="705">
        <v>7.0563124194715377E-3</v>
      </c>
      <c r="G3466" s="705">
        <v>33.440652983807361</v>
      </c>
    </row>
    <row r="3467" spans="2:7" ht="11.25" hidden="1" customHeight="1" outlineLevel="2" x14ac:dyDescent="0.25">
      <c r="B3467" s="704" t="s">
        <v>696</v>
      </c>
      <c r="C3467" s="704" t="s">
        <v>851</v>
      </c>
      <c r="D3467" s="704" t="s">
        <v>562</v>
      </c>
      <c r="E3467" s="704" t="s">
        <v>824</v>
      </c>
      <c r="F3467" s="705">
        <v>1.590301931897304E-2</v>
      </c>
      <c r="G3467" s="705">
        <v>75.366171073811458</v>
      </c>
    </row>
    <row r="3468" spans="2:7" ht="11.25" hidden="1" customHeight="1" outlineLevel="2" x14ac:dyDescent="0.25">
      <c r="B3468" s="704" t="s">
        <v>697</v>
      </c>
      <c r="C3468" s="704" t="s">
        <v>851</v>
      </c>
      <c r="D3468" s="704" t="s">
        <v>562</v>
      </c>
      <c r="E3468" s="704" t="s">
        <v>824</v>
      </c>
      <c r="F3468" s="705">
        <v>1.3796667924116789E-2</v>
      </c>
      <c r="G3468" s="705">
        <v>65.383949421575181</v>
      </c>
    </row>
    <row r="3469" spans="2:7" ht="11.25" hidden="1" customHeight="1" outlineLevel="2" x14ac:dyDescent="0.25">
      <c r="B3469" s="704" t="s">
        <v>698</v>
      </c>
      <c r="C3469" s="704" t="s">
        <v>851</v>
      </c>
      <c r="D3469" s="704" t="s">
        <v>562</v>
      </c>
      <c r="E3469" s="704" t="s">
        <v>824</v>
      </c>
      <c r="F3469" s="705">
        <v>8.6360862335731047E-3</v>
      </c>
      <c r="G3469" s="705">
        <v>40.927352772197814</v>
      </c>
    </row>
    <row r="3470" spans="2:7" ht="11.25" hidden="1" customHeight="1" outlineLevel="2" x14ac:dyDescent="0.25">
      <c r="B3470" s="704" t="s">
        <v>699</v>
      </c>
      <c r="C3470" s="704" t="s">
        <v>851</v>
      </c>
      <c r="D3470" s="704" t="s">
        <v>562</v>
      </c>
      <c r="E3470" s="704" t="s">
        <v>824</v>
      </c>
      <c r="F3470" s="705">
        <v>6.6982327101831968E-2</v>
      </c>
      <c r="G3470" s="705">
        <v>317.436795686994</v>
      </c>
    </row>
    <row r="3471" spans="2:7" ht="11.25" hidden="1" customHeight="1" outlineLevel="2" x14ac:dyDescent="0.25">
      <c r="B3471" s="704" t="s">
        <v>673</v>
      </c>
      <c r="C3471" s="704" t="s">
        <v>852</v>
      </c>
      <c r="D3471" s="704" t="s">
        <v>562</v>
      </c>
      <c r="E3471" s="704" t="s">
        <v>824</v>
      </c>
      <c r="F3471" s="705">
        <v>1.709327559185819E-4</v>
      </c>
      <c r="G3471" s="705">
        <v>0.4385482812485953</v>
      </c>
    </row>
    <row r="3472" spans="2:7" ht="11.25" hidden="1" customHeight="1" outlineLevel="2" x14ac:dyDescent="0.25">
      <c r="B3472" s="704" t="s">
        <v>677</v>
      </c>
      <c r="C3472" s="704" t="s">
        <v>852</v>
      </c>
      <c r="D3472" s="704" t="s">
        <v>562</v>
      </c>
      <c r="E3472" s="704" t="s">
        <v>824</v>
      </c>
      <c r="F3472" s="705">
        <v>1.7329953949131356E-3</v>
      </c>
      <c r="G3472" s="705">
        <v>4.4462087468212346</v>
      </c>
    </row>
    <row r="3473" spans="2:7" ht="11.25" hidden="1" customHeight="1" outlineLevel="2" x14ac:dyDescent="0.25">
      <c r="B3473" s="704" t="s">
        <v>678</v>
      </c>
      <c r="C3473" s="704" t="s">
        <v>852</v>
      </c>
      <c r="D3473" s="704" t="s">
        <v>562</v>
      </c>
      <c r="E3473" s="704" t="s">
        <v>824</v>
      </c>
      <c r="F3473" s="705">
        <v>2.6507734895127254E-3</v>
      </c>
      <c r="G3473" s="705">
        <v>6.8008713755718073</v>
      </c>
    </row>
    <row r="3474" spans="2:7" ht="11.25" hidden="1" customHeight="1" outlineLevel="2" x14ac:dyDescent="0.25">
      <c r="B3474" s="704" t="s">
        <v>679</v>
      </c>
      <c r="C3474" s="704" t="s">
        <v>852</v>
      </c>
      <c r="D3474" s="704" t="s">
        <v>562</v>
      </c>
      <c r="E3474" s="704" t="s">
        <v>824</v>
      </c>
      <c r="F3474" s="705">
        <v>9.7300164900953034E-5</v>
      </c>
      <c r="G3474" s="705">
        <v>0.24963536801554007</v>
      </c>
    </row>
    <row r="3475" spans="2:7" ht="11.25" hidden="1" customHeight="1" outlineLevel="2" x14ac:dyDescent="0.25">
      <c r="B3475" s="704" t="s">
        <v>680</v>
      </c>
      <c r="C3475" s="704" t="s">
        <v>852</v>
      </c>
      <c r="D3475" s="704" t="s">
        <v>562</v>
      </c>
      <c r="E3475" s="704" t="s">
        <v>824</v>
      </c>
      <c r="F3475" s="705">
        <v>6.8373170706200536E-5</v>
      </c>
      <c r="G3475" s="705">
        <v>0.17541944146135918</v>
      </c>
    </row>
    <row r="3476" spans="2:7" ht="11.25" hidden="1" customHeight="1" outlineLevel="2" x14ac:dyDescent="0.25">
      <c r="B3476" s="704" t="s">
        <v>681</v>
      </c>
      <c r="C3476" s="704" t="s">
        <v>852</v>
      </c>
      <c r="D3476" s="704" t="s">
        <v>562</v>
      </c>
      <c r="E3476" s="704" t="s">
        <v>824</v>
      </c>
      <c r="F3476" s="705">
        <v>4.3653590037097157E-4</v>
      </c>
      <c r="G3476" s="705">
        <v>1.1199843820419029</v>
      </c>
    </row>
    <row r="3477" spans="2:7" ht="11.25" hidden="1" customHeight="1" outlineLevel="2" x14ac:dyDescent="0.25">
      <c r="B3477" s="704" t="s">
        <v>682</v>
      </c>
      <c r="C3477" s="704" t="s">
        <v>852</v>
      </c>
      <c r="D3477" s="704" t="s">
        <v>562</v>
      </c>
      <c r="E3477" s="704" t="s">
        <v>824</v>
      </c>
      <c r="F3477" s="705">
        <v>1.683031077866119E-4</v>
      </c>
      <c r="G3477" s="705">
        <v>0.43180151628413532</v>
      </c>
    </row>
    <row r="3478" spans="2:7" ht="11.25" hidden="1" customHeight="1" outlineLevel="2" x14ac:dyDescent="0.25">
      <c r="B3478" s="704" t="s">
        <v>683</v>
      </c>
      <c r="C3478" s="704" t="s">
        <v>852</v>
      </c>
      <c r="D3478" s="704" t="s">
        <v>562</v>
      </c>
      <c r="E3478" s="704" t="s">
        <v>824</v>
      </c>
      <c r="F3478" s="705">
        <v>1.9985973673732941E-4</v>
      </c>
      <c r="G3478" s="705">
        <v>0.51276428174759381</v>
      </c>
    </row>
    <row r="3479" spans="2:7" ht="11.25" hidden="1" customHeight="1" outlineLevel="2" x14ac:dyDescent="0.25">
      <c r="B3479" s="704" t="s">
        <v>684</v>
      </c>
      <c r="C3479" s="704" t="s">
        <v>852</v>
      </c>
      <c r="D3479" s="704" t="s">
        <v>562</v>
      </c>
      <c r="E3479" s="704" t="s">
        <v>824</v>
      </c>
      <c r="F3479" s="705">
        <v>1.2359750964284618E-4</v>
      </c>
      <c r="G3479" s="705">
        <v>0.31710418957673447</v>
      </c>
    </row>
    <row r="3480" spans="2:7" ht="11.25" hidden="1" customHeight="1" outlineLevel="2" x14ac:dyDescent="0.25">
      <c r="B3480" s="704" t="s">
        <v>685</v>
      </c>
      <c r="C3480" s="704" t="s">
        <v>852</v>
      </c>
      <c r="D3480" s="704" t="s">
        <v>562</v>
      </c>
      <c r="E3480" s="704" t="s">
        <v>824</v>
      </c>
      <c r="F3480" s="705">
        <v>6.153578796533755E-4</v>
      </c>
      <c r="G3480" s="705">
        <v>1.5787762698812735</v>
      </c>
    </row>
    <row r="3481" spans="2:7" ht="11.25" hidden="1" customHeight="1" outlineLevel="2" x14ac:dyDescent="0.25">
      <c r="B3481" s="704" t="s">
        <v>686</v>
      </c>
      <c r="C3481" s="704" t="s">
        <v>852</v>
      </c>
      <c r="D3481" s="704" t="s">
        <v>562</v>
      </c>
      <c r="E3481" s="704" t="s">
        <v>824</v>
      </c>
      <c r="F3481" s="705">
        <v>9.2040668484160272E-5</v>
      </c>
      <c r="G3481" s="705">
        <v>0.23614155974119244</v>
      </c>
    </row>
    <row r="3482" spans="2:7" ht="11.25" hidden="1" customHeight="1" outlineLevel="2" x14ac:dyDescent="0.25">
      <c r="B3482" s="704" t="s">
        <v>687</v>
      </c>
      <c r="C3482" s="704" t="s">
        <v>852</v>
      </c>
      <c r="D3482" s="704" t="s">
        <v>562</v>
      </c>
      <c r="E3482" s="704" t="s">
        <v>824</v>
      </c>
      <c r="F3482" s="705">
        <v>5.9169028018920666E-4</v>
      </c>
      <c r="G3482" s="705">
        <v>1.518051074964208</v>
      </c>
    </row>
    <row r="3483" spans="2:7" ht="11.25" hidden="1" customHeight="1" outlineLevel="2" x14ac:dyDescent="0.25">
      <c r="B3483" s="704" t="s">
        <v>688</v>
      </c>
      <c r="C3483" s="704" t="s">
        <v>852</v>
      </c>
      <c r="D3483" s="704" t="s">
        <v>562</v>
      </c>
      <c r="E3483" s="704" t="s">
        <v>824</v>
      </c>
      <c r="F3483" s="705">
        <v>1.5725802603472057E-3</v>
      </c>
      <c r="G3483" s="705">
        <v>4.0346453919292884</v>
      </c>
    </row>
    <row r="3484" spans="2:7" ht="11.25" hidden="1" customHeight="1" outlineLevel="2" x14ac:dyDescent="0.25">
      <c r="B3484" s="704" t="s">
        <v>689</v>
      </c>
      <c r="C3484" s="704" t="s">
        <v>852</v>
      </c>
      <c r="D3484" s="704" t="s">
        <v>562</v>
      </c>
      <c r="E3484" s="704" t="s">
        <v>824</v>
      </c>
      <c r="F3484" s="705">
        <v>9.7359802268702847E-5</v>
      </c>
      <c r="G3484" s="705">
        <v>0.24978815433121657</v>
      </c>
    </row>
    <row r="3485" spans="2:7" ht="11.25" hidden="1" customHeight="1" outlineLevel="2" x14ac:dyDescent="0.25">
      <c r="B3485" s="704" t="s">
        <v>690</v>
      </c>
      <c r="C3485" s="704" t="s">
        <v>852</v>
      </c>
      <c r="D3485" s="704" t="s">
        <v>562</v>
      </c>
      <c r="E3485" s="704" t="s">
        <v>824</v>
      </c>
      <c r="F3485" s="705">
        <v>2.3167965407913447E-3</v>
      </c>
      <c r="G3485" s="705">
        <v>5.9440179160602913</v>
      </c>
    </row>
    <row r="3486" spans="2:7" ht="11.25" hidden="1" customHeight="1" outlineLevel="2" x14ac:dyDescent="0.25">
      <c r="B3486" s="704" t="s">
        <v>691</v>
      </c>
      <c r="C3486" s="704" t="s">
        <v>852</v>
      </c>
      <c r="D3486" s="704" t="s">
        <v>562</v>
      </c>
      <c r="E3486" s="704" t="s">
        <v>824</v>
      </c>
      <c r="F3486" s="705">
        <v>1.7698105964725312E-3</v>
      </c>
      <c r="G3486" s="705">
        <v>4.5406645073565439</v>
      </c>
    </row>
    <row r="3487" spans="2:7" ht="11.25" hidden="1" customHeight="1" outlineLevel="2" x14ac:dyDescent="0.25">
      <c r="B3487" s="704" t="s">
        <v>692</v>
      </c>
      <c r="C3487" s="704" t="s">
        <v>852</v>
      </c>
      <c r="D3487" s="704" t="s">
        <v>562</v>
      </c>
      <c r="E3487" s="704" t="s">
        <v>824</v>
      </c>
      <c r="F3487" s="705">
        <v>2.0774890753981262E-4</v>
      </c>
      <c r="G3487" s="705">
        <v>0.5330049369897959</v>
      </c>
    </row>
    <row r="3488" spans="2:7" ht="11.25" hidden="1" customHeight="1" outlineLevel="2" x14ac:dyDescent="0.25">
      <c r="B3488" s="704" t="s">
        <v>693</v>
      </c>
      <c r="C3488" s="704" t="s">
        <v>852</v>
      </c>
      <c r="D3488" s="704" t="s">
        <v>562</v>
      </c>
      <c r="E3488" s="704" t="s">
        <v>824</v>
      </c>
      <c r="F3488" s="706">
        <v>9.4670453843990885E-5</v>
      </c>
      <c r="G3488" s="705">
        <v>0.2428882636025779</v>
      </c>
    </row>
    <row r="3489" spans="2:7" ht="11.25" hidden="1" customHeight="1" outlineLevel="2" x14ac:dyDescent="0.25">
      <c r="B3489" s="704" t="s">
        <v>694</v>
      </c>
      <c r="C3489" s="704" t="s">
        <v>852</v>
      </c>
      <c r="D3489" s="704" t="s">
        <v>562</v>
      </c>
      <c r="E3489" s="704" t="s">
        <v>824</v>
      </c>
      <c r="F3489" s="706">
        <v>3.9445992812686384E-5</v>
      </c>
      <c r="G3489" s="705">
        <v>0.10120357786648831</v>
      </c>
    </row>
    <row r="3490" spans="2:7" ht="11.25" hidden="1" customHeight="1" outlineLevel="2" x14ac:dyDescent="0.25">
      <c r="B3490" s="704" t="s">
        <v>695</v>
      </c>
      <c r="C3490" s="704" t="s">
        <v>852</v>
      </c>
      <c r="D3490" s="704" t="s">
        <v>562</v>
      </c>
      <c r="E3490" s="704" t="s">
        <v>824</v>
      </c>
      <c r="F3490" s="706">
        <v>1.761922099466127E-4</v>
      </c>
      <c r="G3490" s="705">
        <v>0.45204233599147631</v>
      </c>
    </row>
    <row r="3491" spans="2:7" ht="11.25" hidden="1" customHeight="1" outlineLevel="2" x14ac:dyDescent="0.25">
      <c r="B3491" s="704" t="s">
        <v>696</v>
      </c>
      <c r="C3491" s="704" t="s">
        <v>852</v>
      </c>
      <c r="D3491" s="704" t="s">
        <v>562</v>
      </c>
      <c r="E3491" s="704" t="s">
        <v>824</v>
      </c>
      <c r="F3491" s="706">
        <v>3.9708976179666405E-4</v>
      </c>
      <c r="G3491" s="705">
        <v>1.0187823755726289</v>
      </c>
    </row>
    <row r="3492" spans="2:7" ht="11.25" hidden="1" customHeight="1" outlineLevel="2" x14ac:dyDescent="0.25">
      <c r="B3492" s="704" t="s">
        <v>697</v>
      </c>
      <c r="C3492" s="704" t="s">
        <v>852</v>
      </c>
      <c r="D3492" s="704" t="s">
        <v>562</v>
      </c>
      <c r="E3492" s="704" t="s">
        <v>824</v>
      </c>
      <c r="F3492" s="706">
        <v>3.4449533463809984E-4</v>
      </c>
      <c r="G3492" s="705">
        <v>0.88384441559019666</v>
      </c>
    </row>
    <row r="3493" spans="2:7" ht="11.25" hidden="1" customHeight="1" outlineLevel="2" x14ac:dyDescent="0.25">
      <c r="B3493" s="704" t="s">
        <v>698</v>
      </c>
      <c r="C3493" s="704" t="s">
        <v>852</v>
      </c>
      <c r="D3493" s="704" t="s">
        <v>562</v>
      </c>
      <c r="E3493" s="704" t="s">
        <v>824</v>
      </c>
      <c r="F3493" s="706">
        <v>2.156382602380132E-4</v>
      </c>
      <c r="G3493" s="705">
        <v>0.55324594012796635</v>
      </c>
    </row>
    <row r="3494" spans="2:7" ht="11.25" hidden="1" customHeight="1" outlineLevel="2" x14ac:dyDescent="0.25">
      <c r="B3494" s="704" t="s">
        <v>699</v>
      </c>
      <c r="C3494" s="704" t="s">
        <v>852</v>
      </c>
      <c r="D3494" s="704" t="s">
        <v>562</v>
      </c>
      <c r="E3494" s="704" t="s">
        <v>824</v>
      </c>
      <c r="F3494" s="706">
        <v>1.6725092037238058E-3</v>
      </c>
      <c r="G3494" s="705">
        <v>4.291028803047328</v>
      </c>
    </row>
    <row r="3495" spans="2:7" ht="11.25" hidden="1" customHeight="1" outlineLevel="2" x14ac:dyDescent="0.25">
      <c r="B3495" s="704" t="s">
        <v>673</v>
      </c>
      <c r="C3495" s="704" t="s">
        <v>853</v>
      </c>
      <c r="D3495" s="704" t="s">
        <v>562</v>
      </c>
      <c r="E3495" s="704" t="s">
        <v>824</v>
      </c>
      <c r="F3495" s="706">
        <v>4.9869833710106336E-5</v>
      </c>
      <c r="G3495" s="705">
        <v>0.40735357326601507</v>
      </c>
    </row>
    <row r="3496" spans="2:7" ht="11.25" hidden="1" customHeight="1" outlineLevel="2" x14ac:dyDescent="0.25">
      <c r="B3496" s="704" t="s">
        <v>677</v>
      </c>
      <c r="C3496" s="704" t="s">
        <v>853</v>
      </c>
      <c r="D3496" s="704" t="s">
        <v>562</v>
      </c>
      <c r="E3496" s="704" t="s">
        <v>824</v>
      </c>
      <c r="F3496" s="706">
        <v>5.0560314801938156E-4</v>
      </c>
      <c r="G3496" s="705">
        <v>4.1299417230520508</v>
      </c>
    </row>
    <row r="3497" spans="2:7" ht="11.25" hidden="1" customHeight="1" outlineLevel="2" x14ac:dyDescent="0.25">
      <c r="B3497" s="704" t="s">
        <v>678</v>
      </c>
      <c r="C3497" s="704" t="s">
        <v>853</v>
      </c>
      <c r="D3497" s="704" t="s">
        <v>562</v>
      </c>
      <c r="E3497" s="704" t="s">
        <v>824</v>
      </c>
      <c r="F3497" s="706">
        <v>7.7336572515426881E-4</v>
      </c>
      <c r="G3497" s="705">
        <v>6.3171143407926156</v>
      </c>
    </row>
    <row r="3498" spans="2:7" ht="11.25" hidden="1" customHeight="1" outlineLevel="2" x14ac:dyDescent="0.25">
      <c r="B3498" s="704" t="s">
        <v>679</v>
      </c>
      <c r="C3498" s="704" t="s">
        <v>853</v>
      </c>
      <c r="D3498" s="704" t="s">
        <v>562</v>
      </c>
      <c r="E3498" s="704" t="s">
        <v>824</v>
      </c>
      <c r="F3498" s="706">
        <v>2.8387459149993452E-5</v>
      </c>
      <c r="G3498" s="705">
        <v>0.23187822629461491</v>
      </c>
    </row>
    <row r="3499" spans="2:7" ht="11.25" hidden="1" customHeight="1" outlineLevel="2" x14ac:dyDescent="0.25">
      <c r="B3499" s="704" t="s">
        <v>680</v>
      </c>
      <c r="C3499" s="704" t="s">
        <v>853</v>
      </c>
      <c r="D3499" s="704" t="s">
        <v>562</v>
      </c>
      <c r="E3499" s="704" t="s">
        <v>824</v>
      </c>
      <c r="F3499" s="706">
        <v>1.9947915176651401E-5</v>
      </c>
      <c r="G3499" s="705">
        <v>0.16294150789387843</v>
      </c>
    </row>
    <row r="3500" spans="2:7" ht="11.25" hidden="1" customHeight="1" outlineLevel="2" x14ac:dyDescent="0.25">
      <c r="B3500" s="704" t="s">
        <v>681</v>
      </c>
      <c r="C3500" s="704" t="s">
        <v>853</v>
      </c>
      <c r="D3500" s="704" t="s">
        <v>562</v>
      </c>
      <c r="E3500" s="704" t="s">
        <v>824</v>
      </c>
      <c r="F3500" s="706">
        <v>1.2735993078527062E-4</v>
      </c>
      <c r="G3500" s="705">
        <v>1.0403176422910887</v>
      </c>
    </row>
    <row r="3501" spans="2:7" ht="11.25" hidden="1" customHeight="1" outlineLevel="2" x14ac:dyDescent="0.25">
      <c r="B3501" s="704" t="s">
        <v>682</v>
      </c>
      <c r="C3501" s="704" t="s">
        <v>853</v>
      </c>
      <c r="D3501" s="704" t="s">
        <v>562</v>
      </c>
      <c r="E3501" s="704" t="s">
        <v>824</v>
      </c>
      <c r="F3501" s="706">
        <v>4.9102618847407216E-5</v>
      </c>
      <c r="G3501" s="705">
        <v>0.40108673210333123</v>
      </c>
    </row>
    <row r="3502" spans="2:7" ht="11.25" hidden="1" customHeight="1" outlineLevel="2" x14ac:dyDescent="0.25">
      <c r="B3502" s="704" t="s">
        <v>683</v>
      </c>
      <c r="C3502" s="704" t="s">
        <v>853</v>
      </c>
      <c r="D3502" s="704" t="s">
        <v>562</v>
      </c>
      <c r="E3502" s="704" t="s">
        <v>824</v>
      </c>
      <c r="F3502" s="706">
        <v>5.8309334389929612E-5</v>
      </c>
      <c r="G3502" s="705">
        <v>0.47629031802753474</v>
      </c>
    </row>
    <row r="3503" spans="2:7" ht="11.25" hidden="1" customHeight="1" outlineLevel="2" x14ac:dyDescent="0.25">
      <c r="B3503" s="704" t="s">
        <v>684</v>
      </c>
      <c r="C3503" s="704" t="s">
        <v>853</v>
      </c>
      <c r="D3503" s="704" t="s">
        <v>562</v>
      </c>
      <c r="E3503" s="704" t="s">
        <v>824</v>
      </c>
      <c r="F3503" s="706">
        <v>3.6059739073114789E-5</v>
      </c>
      <c r="G3503" s="705">
        <v>0.29454797516755449</v>
      </c>
    </row>
    <row r="3504" spans="2:7" ht="11.25" hidden="1" customHeight="1" outlineLevel="2" x14ac:dyDescent="0.25">
      <c r="B3504" s="704" t="s">
        <v>685</v>
      </c>
      <c r="C3504" s="704" t="s">
        <v>853</v>
      </c>
      <c r="D3504" s="704" t="s">
        <v>562</v>
      </c>
      <c r="E3504" s="704" t="s">
        <v>824</v>
      </c>
      <c r="F3504" s="706">
        <v>1.7953141964670663E-4</v>
      </c>
      <c r="G3504" s="705">
        <v>1.4664735264849904</v>
      </c>
    </row>
    <row r="3505" spans="2:7" ht="11.25" hidden="1" customHeight="1" outlineLevel="2" x14ac:dyDescent="0.25">
      <c r="B3505" s="704" t="s">
        <v>686</v>
      </c>
      <c r="C3505" s="704" t="s">
        <v>853</v>
      </c>
      <c r="D3505" s="704" t="s">
        <v>562</v>
      </c>
      <c r="E3505" s="704" t="s">
        <v>824</v>
      </c>
      <c r="F3505" s="706">
        <v>2.6852991774017796E-5</v>
      </c>
      <c r="G3505" s="705">
        <v>0.21934441288145931</v>
      </c>
    </row>
    <row r="3506" spans="2:7" ht="11.25" hidden="1" customHeight="1" outlineLevel="2" x14ac:dyDescent="0.25">
      <c r="B3506" s="704" t="s">
        <v>687</v>
      </c>
      <c r="C3506" s="704" t="s">
        <v>853</v>
      </c>
      <c r="D3506" s="704" t="s">
        <v>562</v>
      </c>
      <c r="E3506" s="704" t="s">
        <v>824</v>
      </c>
      <c r="F3506" s="706">
        <v>1.7262627052776994E-4</v>
      </c>
      <c r="G3506" s="705">
        <v>1.410071292642699</v>
      </c>
    </row>
    <row r="3507" spans="2:7" ht="11.25" hidden="1" customHeight="1" outlineLevel="2" x14ac:dyDescent="0.25">
      <c r="B3507" s="704" t="s">
        <v>688</v>
      </c>
      <c r="C3507" s="704" t="s">
        <v>853</v>
      </c>
      <c r="D3507" s="704" t="s">
        <v>562</v>
      </c>
      <c r="E3507" s="704" t="s">
        <v>824</v>
      </c>
      <c r="F3507" s="706">
        <v>4.5880242657735657E-4</v>
      </c>
      <c r="G3507" s="705">
        <v>3.7476537851210465</v>
      </c>
    </row>
    <row r="3508" spans="2:7" ht="11.25" hidden="1" customHeight="1" outlineLevel="2" x14ac:dyDescent="0.25">
      <c r="B3508" s="704" t="s">
        <v>689</v>
      </c>
      <c r="C3508" s="704" t="s">
        <v>853</v>
      </c>
      <c r="D3508" s="704" t="s">
        <v>562</v>
      </c>
      <c r="E3508" s="704" t="s">
        <v>824</v>
      </c>
      <c r="F3508" s="706">
        <v>2.8404828565524986E-5</v>
      </c>
      <c r="G3508" s="705">
        <v>0.23202026388569311</v>
      </c>
    </row>
    <row r="3509" spans="2:7" ht="11.25" hidden="1" customHeight="1" outlineLevel="2" x14ac:dyDescent="0.25">
      <c r="B3509" s="704" t="s">
        <v>690</v>
      </c>
      <c r="C3509" s="704" t="s">
        <v>853</v>
      </c>
      <c r="D3509" s="704" t="s">
        <v>562</v>
      </c>
      <c r="E3509" s="704" t="s">
        <v>824</v>
      </c>
      <c r="F3509" s="706">
        <v>6.7592773308463227E-4</v>
      </c>
      <c r="G3509" s="705">
        <v>5.5212063938054987</v>
      </c>
    </row>
    <row r="3510" spans="2:7" ht="11.25" hidden="1" customHeight="1" outlineLevel="2" x14ac:dyDescent="0.25">
      <c r="B3510" s="704" t="s">
        <v>691</v>
      </c>
      <c r="C3510" s="704" t="s">
        <v>853</v>
      </c>
      <c r="D3510" s="704" t="s">
        <v>562</v>
      </c>
      <c r="E3510" s="704" t="s">
        <v>824</v>
      </c>
      <c r="F3510" s="706">
        <v>5.1634473004307858E-4</v>
      </c>
      <c r="G3510" s="705">
        <v>4.2176769212382297</v>
      </c>
    </row>
    <row r="3511" spans="2:7" ht="11.25" hidden="1" customHeight="1" outlineLevel="2" x14ac:dyDescent="0.25">
      <c r="B3511" s="704" t="s">
        <v>692</v>
      </c>
      <c r="C3511" s="704" t="s">
        <v>853</v>
      </c>
      <c r="D3511" s="704" t="s">
        <v>562</v>
      </c>
      <c r="E3511" s="704" t="s">
        <v>824</v>
      </c>
      <c r="F3511" s="706">
        <v>6.061101700046418E-5</v>
      </c>
      <c r="G3511" s="705">
        <v>0.49509134192358573</v>
      </c>
    </row>
    <row r="3512" spans="2:7" ht="11.25" hidden="1" customHeight="1" outlineLevel="2" x14ac:dyDescent="0.25">
      <c r="B3512" s="704" t="s">
        <v>693</v>
      </c>
      <c r="C3512" s="704" t="s">
        <v>853</v>
      </c>
      <c r="D3512" s="704" t="s">
        <v>562</v>
      </c>
      <c r="E3512" s="704" t="s">
        <v>824</v>
      </c>
      <c r="F3512" s="706">
        <v>2.7620205128656482E-5</v>
      </c>
      <c r="G3512" s="705">
        <v>0.22561112058680091</v>
      </c>
    </row>
    <row r="3513" spans="2:7" ht="11.25" hidden="1" customHeight="1" outlineLevel="2" x14ac:dyDescent="0.25">
      <c r="B3513" s="704" t="s">
        <v>694</v>
      </c>
      <c r="C3513" s="704" t="s">
        <v>853</v>
      </c>
      <c r="D3513" s="704" t="s">
        <v>562</v>
      </c>
      <c r="E3513" s="704" t="s">
        <v>824</v>
      </c>
      <c r="F3513" s="705">
        <v>1.1508418664877356E-5</v>
      </c>
      <c r="G3513" s="705">
        <v>9.4004700970541172E-2</v>
      </c>
    </row>
    <row r="3514" spans="2:7" ht="11.25" hidden="1" customHeight="1" outlineLevel="2" x14ac:dyDescent="0.25">
      <c r="B3514" s="704" t="s">
        <v>695</v>
      </c>
      <c r="C3514" s="704" t="s">
        <v>853</v>
      </c>
      <c r="D3514" s="704" t="s">
        <v>562</v>
      </c>
      <c r="E3514" s="704" t="s">
        <v>824</v>
      </c>
      <c r="F3514" s="705">
        <v>5.1404283913450805E-5</v>
      </c>
      <c r="G3514" s="705">
        <v>0.41988754857894145</v>
      </c>
    </row>
    <row r="3515" spans="2:7" ht="11.25" hidden="1" customHeight="1" outlineLevel="2" x14ac:dyDescent="0.25">
      <c r="B3515" s="704" t="s">
        <v>696</v>
      </c>
      <c r="C3515" s="704" t="s">
        <v>853</v>
      </c>
      <c r="D3515" s="704" t="s">
        <v>562</v>
      </c>
      <c r="E3515" s="704" t="s">
        <v>824</v>
      </c>
      <c r="F3515" s="705">
        <v>1.1585141332680361E-4</v>
      </c>
      <c r="G3515" s="705">
        <v>0.94631345768927633</v>
      </c>
    </row>
    <row r="3516" spans="2:7" ht="11.25" hidden="1" customHeight="1" outlineLevel="2" x14ac:dyDescent="0.25">
      <c r="B3516" s="704" t="s">
        <v>697</v>
      </c>
      <c r="C3516" s="704" t="s">
        <v>853</v>
      </c>
      <c r="D3516" s="704" t="s">
        <v>562</v>
      </c>
      <c r="E3516" s="704" t="s">
        <v>824</v>
      </c>
      <c r="F3516" s="705">
        <v>1.0050694786151339E-4</v>
      </c>
      <c r="G3516" s="705">
        <v>0.82097404928424733</v>
      </c>
    </row>
    <row r="3517" spans="2:7" ht="11.25" hidden="1" customHeight="1" outlineLevel="2" x14ac:dyDescent="0.25">
      <c r="B3517" s="704" t="s">
        <v>698</v>
      </c>
      <c r="C3517" s="704" t="s">
        <v>853</v>
      </c>
      <c r="D3517" s="704" t="s">
        <v>562</v>
      </c>
      <c r="E3517" s="704" t="s">
        <v>824</v>
      </c>
      <c r="F3517" s="705">
        <v>6.2912714788697737E-5</v>
      </c>
      <c r="G3517" s="705">
        <v>0.51389227736357357</v>
      </c>
    </row>
    <row r="3518" spans="2:7" ht="11.25" hidden="1" customHeight="1" outlineLevel="2" x14ac:dyDescent="0.25">
      <c r="B3518" s="704" t="s">
        <v>699</v>
      </c>
      <c r="C3518" s="704" t="s">
        <v>853</v>
      </c>
      <c r="D3518" s="704" t="s">
        <v>562</v>
      </c>
      <c r="E3518" s="704" t="s">
        <v>824</v>
      </c>
      <c r="F3518" s="705">
        <v>4.8795706147164149E-4</v>
      </c>
      <c r="G3518" s="705">
        <v>3.9857984037881882</v>
      </c>
    </row>
    <row r="3519" spans="2:7" ht="11.25" hidden="1" customHeight="1" outlineLevel="2" x14ac:dyDescent="0.25">
      <c r="B3519" s="704" t="s">
        <v>673</v>
      </c>
      <c r="C3519" s="704" t="s">
        <v>854</v>
      </c>
      <c r="D3519" s="704" t="s">
        <v>815</v>
      </c>
      <c r="E3519" s="704" t="s">
        <v>824</v>
      </c>
      <c r="F3519" s="705">
        <v>1.6645027218787266E-36</v>
      </c>
      <c r="G3519" s="705">
        <v>2.4044512537756401E-32</v>
      </c>
    </row>
    <row r="3520" spans="2:7" ht="11.25" hidden="1" customHeight="1" outlineLevel="2" x14ac:dyDescent="0.25">
      <c r="B3520" s="704" t="s">
        <v>677</v>
      </c>
      <c r="C3520" s="704" t="s">
        <v>854</v>
      </c>
      <c r="D3520" s="704" t="s">
        <v>815</v>
      </c>
      <c r="E3520" s="704" t="s">
        <v>824</v>
      </c>
      <c r="F3520" s="705">
        <v>3.0204867505814241E-2</v>
      </c>
      <c r="G3520" s="705">
        <v>277.51855549860068</v>
      </c>
    </row>
    <row r="3521" spans="2:7" ht="11.25" hidden="1" customHeight="1" outlineLevel="2" x14ac:dyDescent="0.25">
      <c r="B3521" s="704" t="s">
        <v>678</v>
      </c>
      <c r="C3521" s="704" t="s">
        <v>854</v>
      </c>
      <c r="D3521" s="704" t="s">
        <v>815</v>
      </c>
      <c r="E3521" s="704" t="s">
        <v>824</v>
      </c>
      <c r="F3521" s="705">
        <v>2.1687760857036613E-5</v>
      </c>
      <c r="G3521" s="705">
        <v>0.19926444626918161</v>
      </c>
    </row>
    <row r="3522" spans="2:7" ht="11.25" hidden="1" customHeight="1" outlineLevel="2" x14ac:dyDescent="0.25">
      <c r="B3522" s="704" t="s">
        <v>679</v>
      </c>
      <c r="C3522" s="704" t="s">
        <v>854</v>
      </c>
      <c r="D3522" s="704" t="s">
        <v>815</v>
      </c>
      <c r="E3522" s="704" t="s">
        <v>824</v>
      </c>
      <c r="F3522" s="705">
        <v>1.6645027218787266E-36</v>
      </c>
      <c r="G3522" s="705">
        <v>2.4044512537756401E-32</v>
      </c>
    </row>
    <row r="3523" spans="2:7" ht="11.25" hidden="1" customHeight="1" outlineLevel="2" x14ac:dyDescent="0.25">
      <c r="B3523" s="704" t="s">
        <v>680</v>
      </c>
      <c r="C3523" s="704" t="s">
        <v>854</v>
      </c>
      <c r="D3523" s="704" t="s">
        <v>815</v>
      </c>
      <c r="E3523" s="704" t="s">
        <v>824</v>
      </c>
      <c r="F3523" s="705">
        <v>1.6645027218787266E-36</v>
      </c>
      <c r="G3523" s="705">
        <v>2.4044512537756401E-32</v>
      </c>
    </row>
    <row r="3524" spans="2:7" ht="11.25" hidden="1" customHeight="1" outlineLevel="2" x14ac:dyDescent="0.25">
      <c r="B3524" s="704" t="s">
        <v>681</v>
      </c>
      <c r="C3524" s="704" t="s">
        <v>854</v>
      </c>
      <c r="D3524" s="704" t="s">
        <v>815</v>
      </c>
      <c r="E3524" s="704" t="s">
        <v>824</v>
      </c>
      <c r="F3524" s="705">
        <v>8.1845449905951178E-6</v>
      </c>
      <c r="G3524" s="705">
        <v>7.5198570808169996E-2</v>
      </c>
    </row>
    <row r="3525" spans="2:7" ht="11.25" hidden="1" customHeight="1" outlineLevel="2" x14ac:dyDescent="0.25">
      <c r="B3525" s="704" t="s">
        <v>682</v>
      </c>
      <c r="C3525" s="704" t="s">
        <v>854</v>
      </c>
      <c r="D3525" s="704" t="s">
        <v>815</v>
      </c>
      <c r="E3525" s="704" t="s">
        <v>824</v>
      </c>
      <c r="F3525" s="705">
        <v>1.6645027218787266E-36</v>
      </c>
      <c r="G3525" s="705">
        <v>2.4044512537756401E-32</v>
      </c>
    </row>
    <row r="3526" spans="2:7" ht="11.25" hidden="1" customHeight="1" outlineLevel="2" x14ac:dyDescent="0.25">
      <c r="B3526" s="704" t="s">
        <v>683</v>
      </c>
      <c r="C3526" s="704" t="s">
        <v>854</v>
      </c>
      <c r="D3526" s="704" t="s">
        <v>815</v>
      </c>
      <c r="E3526" s="704" t="s">
        <v>824</v>
      </c>
      <c r="F3526" s="705">
        <v>1.6645027218787266E-36</v>
      </c>
      <c r="G3526" s="705">
        <v>2.4044512537756401E-32</v>
      </c>
    </row>
    <row r="3527" spans="2:7" ht="11.25" hidden="1" customHeight="1" outlineLevel="2" x14ac:dyDescent="0.25">
      <c r="B3527" s="704" t="s">
        <v>684</v>
      </c>
      <c r="C3527" s="704" t="s">
        <v>854</v>
      </c>
      <c r="D3527" s="704" t="s">
        <v>815</v>
      </c>
      <c r="E3527" s="704" t="s">
        <v>824</v>
      </c>
      <c r="F3527" s="705">
        <v>6.9710630690081591E-7</v>
      </c>
      <c r="G3527" s="705">
        <v>6.4049429622625486E-3</v>
      </c>
    </row>
    <row r="3528" spans="2:7" ht="11.25" hidden="1" customHeight="1" outlineLevel="2" x14ac:dyDescent="0.25">
      <c r="B3528" s="704" t="s">
        <v>685</v>
      </c>
      <c r="C3528" s="704" t="s">
        <v>854</v>
      </c>
      <c r="D3528" s="704" t="s">
        <v>815</v>
      </c>
      <c r="E3528" s="704" t="s">
        <v>824</v>
      </c>
      <c r="F3528" s="705">
        <v>8.7783771228476728E-6</v>
      </c>
      <c r="G3528" s="705">
        <v>8.0654710859250106E-2</v>
      </c>
    </row>
    <row r="3529" spans="2:7" ht="11.25" hidden="1" customHeight="1" outlineLevel="2" x14ac:dyDescent="0.25">
      <c r="B3529" s="704" t="s">
        <v>686</v>
      </c>
      <c r="C3529" s="704" t="s">
        <v>854</v>
      </c>
      <c r="D3529" s="704" t="s">
        <v>815</v>
      </c>
      <c r="E3529" s="704" t="s">
        <v>824</v>
      </c>
      <c r="F3529" s="705">
        <v>5.16374994401465E-7</v>
      </c>
      <c r="G3529" s="705">
        <v>4.7443911325303094E-3</v>
      </c>
    </row>
    <row r="3530" spans="2:7" ht="11.25" hidden="1" customHeight="1" outlineLevel="2" x14ac:dyDescent="0.25">
      <c r="B3530" s="704" t="s">
        <v>687</v>
      </c>
      <c r="C3530" s="704" t="s">
        <v>854</v>
      </c>
      <c r="D3530" s="704" t="s">
        <v>815</v>
      </c>
      <c r="E3530" s="704" t="s">
        <v>824</v>
      </c>
      <c r="F3530" s="705">
        <v>1.6645027218787266E-36</v>
      </c>
      <c r="G3530" s="705">
        <v>2.4044512537756401E-32</v>
      </c>
    </row>
    <row r="3531" spans="2:7" ht="11.25" hidden="1" customHeight="1" outlineLevel="2" x14ac:dyDescent="0.25">
      <c r="B3531" s="704" t="s">
        <v>688</v>
      </c>
      <c r="C3531" s="704" t="s">
        <v>854</v>
      </c>
      <c r="D3531" s="704" t="s">
        <v>815</v>
      </c>
      <c r="E3531" s="704" t="s">
        <v>824</v>
      </c>
      <c r="F3531" s="705">
        <v>1.6645027218787266E-36</v>
      </c>
      <c r="G3531" s="705">
        <v>2.4044512537756401E-32</v>
      </c>
    </row>
    <row r="3532" spans="2:7" ht="11.25" hidden="1" customHeight="1" outlineLevel="2" x14ac:dyDescent="0.25">
      <c r="B3532" s="704" t="s">
        <v>689</v>
      </c>
      <c r="C3532" s="704" t="s">
        <v>854</v>
      </c>
      <c r="D3532" s="704" t="s">
        <v>815</v>
      </c>
      <c r="E3532" s="704" t="s">
        <v>824</v>
      </c>
      <c r="F3532" s="705">
        <v>2.2753543115041698E-36</v>
      </c>
      <c r="G3532" s="705">
        <v>3.2868550119145637E-32</v>
      </c>
    </row>
    <row r="3533" spans="2:7" ht="11.25" hidden="1" customHeight="1" outlineLevel="2" x14ac:dyDescent="0.25">
      <c r="B3533" s="704" t="s">
        <v>690</v>
      </c>
      <c r="C3533" s="704" t="s">
        <v>854</v>
      </c>
      <c r="D3533" s="704" t="s">
        <v>815</v>
      </c>
      <c r="E3533" s="704" t="s">
        <v>824</v>
      </c>
      <c r="F3533" s="706">
        <v>1.8073128042055411E-5</v>
      </c>
      <c r="G3533" s="705">
        <v>0.16605366253637927</v>
      </c>
    </row>
    <row r="3534" spans="2:7" ht="11.25" hidden="1" customHeight="1" outlineLevel="2" x14ac:dyDescent="0.25">
      <c r="B3534" s="704" t="s">
        <v>691</v>
      </c>
      <c r="C3534" s="704" t="s">
        <v>854</v>
      </c>
      <c r="D3534" s="704" t="s">
        <v>815</v>
      </c>
      <c r="E3534" s="704" t="s">
        <v>824</v>
      </c>
      <c r="F3534" s="706">
        <v>1.1876625467322E-6</v>
      </c>
      <c r="G3534" s="705">
        <v>1.0912109511452375E-2</v>
      </c>
    </row>
    <row r="3535" spans="2:7" ht="11.25" hidden="1" customHeight="1" outlineLevel="2" x14ac:dyDescent="0.25">
      <c r="B3535" s="704" t="s">
        <v>692</v>
      </c>
      <c r="C3535" s="704" t="s">
        <v>854</v>
      </c>
      <c r="D3535" s="704" t="s">
        <v>815</v>
      </c>
      <c r="E3535" s="704" t="s">
        <v>824</v>
      </c>
      <c r="F3535" s="706">
        <v>1.9105900215015999E-6</v>
      </c>
      <c r="G3535" s="705">
        <v>1.7554250384832895E-2</v>
      </c>
    </row>
    <row r="3536" spans="2:7" ht="11.25" hidden="1" customHeight="1" outlineLevel="2" x14ac:dyDescent="0.25">
      <c r="B3536" s="704" t="s">
        <v>693</v>
      </c>
      <c r="C3536" s="704" t="s">
        <v>854</v>
      </c>
      <c r="D3536" s="704" t="s">
        <v>815</v>
      </c>
      <c r="E3536" s="704" t="s">
        <v>824</v>
      </c>
      <c r="F3536" s="706">
        <v>4.1568208108736294E-6</v>
      </c>
      <c r="G3536" s="705">
        <v>3.8192345126437918E-2</v>
      </c>
    </row>
    <row r="3537" spans="2:7" ht="11.25" hidden="1" customHeight="1" outlineLevel="2" x14ac:dyDescent="0.25">
      <c r="B3537" s="704" t="s">
        <v>694</v>
      </c>
      <c r="C3537" s="704" t="s">
        <v>854</v>
      </c>
      <c r="D3537" s="704" t="s">
        <v>815</v>
      </c>
      <c r="E3537" s="704" t="s">
        <v>824</v>
      </c>
      <c r="F3537" s="706">
        <v>1.6645027218787266E-36</v>
      </c>
      <c r="G3537" s="705">
        <v>2.4044512537756401E-32</v>
      </c>
    </row>
    <row r="3538" spans="2:7" ht="11.25" hidden="1" customHeight="1" outlineLevel="2" x14ac:dyDescent="0.25">
      <c r="B3538" s="704" t="s">
        <v>695</v>
      </c>
      <c r="C3538" s="704" t="s">
        <v>854</v>
      </c>
      <c r="D3538" s="704" t="s">
        <v>815</v>
      </c>
      <c r="E3538" s="704" t="s">
        <v>824</v>
      </c>
      <c r="F3538" s="706">
        <v>2.581873384638362E-5</v>
      </c>
      <c r="G3538" s="705">
        <v>0.23721979531086068</v>
      </c>
    </row>
    <row r="3539" spans="2:7" ht="11.25" hidden="1" customHeight="1" outlineLevel="2" x14ac:dyDescent="0.25">
      <c r="B3539" s="704" t="s">
        <v>696</v>
      </c>
      <c r="C3539" s="704" t="s">
        <v>854</v>
      </c>
      <c r="D3539" s="704" t="s">
        <v>815</v>
      </c>
      <c r="E3539" s="704" t="s">
        <v>824</v>
      </c>
      <c r="F3539" s="706">
        <v>1.5078150994127124E-4</v>
      </c>
      <c r="G3539" s="705">
        <v>1.3853630655264242</v>
      </c>
    </row>
    <row r="3540" spans="2:7" ht="11.25" hidden="1" customHeight="1" outlineLevel="2" x14ac:dyDescent="0.25">
      <c r="B3540" s="704" t="s">
        <v>697</v>
      </c>
      <c r="C3540" s="704" t="s">
        <v>854</v>
      </c>
      <c r="D3540" s="704" t="s">
        <v>815</v>
      </c>
      <c r="E3540" s="704" t="s">
        <v>824</v>
      </c>
      <c r="F3540" s="705">
        <v>6.1861745624093448E-4</v>
      </c>
      <c r="G3540" s="705">
        <v>5.6837809053225747</v>
      </c>
    </row>
    <row r="3541" spans="2:7" ht="11.25" hidden="1" customHeight="1" outlineLevel="2" x14ac:dyDescent="0.25">
      <c r="B3541" s="704" t="s">
        <v>698</v>
      </c>
      <c r="C3541" s="704" t="s">
        <v>854</v>
      </c>
      <c r="D3541" s="704" t="s">
        <v>815</v>
      </c>
      <c r="E3541" s="704" t="s">
        <v>824</v>
      </c>
      <c r="F3541" s="705">
        <v>1.6632094204000005E-36</v>
      </c>
      <c r="G3541" s="705">
        <v>2.4051963276000003E-32</v>
      </c>
    </row>
    <row r="3542" spans="2:7" ht="11.25" hidden="1" customHeight="1" outlineLevel="2" x14ac:dyDescent="0.25">
      <c r="B3542" s="704" t="s">
        <v>699</v>
      </c>
      <c r="C3542" s="704" t="s">
        <v>854</v>
      </c>
      <c r="D3542" s="704" t="s">
        <v>815</v>
      </c>
      <c r="E3542" s="704" t="s">
        <v>824</v>
      </c>
      <c r="F3542" s="705">
        <v>1.6645027218787266E-36</v>
      </c>
      <c r="G3542" s="705">
        <v>2.4044512537756401E-32</v>
      </c>
    </row>
    <row r="3543" spans="2:7" ht="11.25" hidden="1" customHeight="1" outlineLevel="2" x14ac:dyDescent="0.25">
      <c r="B3543" s="704" t="s">
        <v>673</v>
      </c>
      <c r="C3543" s="704" t="s">
        <v>855</v>
      </c>
      <c r="D3543" s="704" t="s">
        <v>822</v>
      </c>
      <c r="E3543" s="704" t="s">
        <v>824</v>
      </c>
      <c r="F3543" s="705">
        <v>6.3325962534209286E-5</v>
      </c>
      <c r="G3543" s="705">
        <v>0.18330393030722936</v>
      </c>
    </row>
    <row r="3544" spans="2:7" ht="11.25" hidden="1" customHeight="1" outlineLevel="2" x14ac:dyDescent="0.25">
      <c r="B3544" s="704" t="s">
        <v>677</v>
      </c>
      <c r="C3544" s="704" t="s">
        <v>855</v>
      </c>
      <c r="D3544" s="704" t="s">
        <v>822</v>
      </c>
      <c r="E3544" s="704" t="s">
        <v>824</v>
      </c>
      <c r="F3544" s="705">
        <v>7.8530826325251803E-5</v>
      </c>
      <c r="G3544" s="705">
        <v>0.22731608768854003</v>
      </c>
    </row>
    <row r="3545" spans="2:7" ht="11.25" hidden="1" customHeight="1" outlineLevel="2" x14ac:dyDescent="0.25">
      <c r="B3545" s="704" t="s">
        <v>678</v>
      </c>
      <c r="C3545" s="704" t="s">
        <v>855</v>
      </c>
      <c r="D3545" s="704" t="s">
        <v>822</v>
      </c>
      <c r="E3545" s="704" t="s">
        <v>824</v>
      </c>
      <c r="F3545" s="705">
        <v>1.5163850278431337E-4</v>
      </c>
      <c r="G3545" s="705">
        <v>0.43893398205908468</v>
      </c>
    </row>
    <row r="3546" spans="2:7" ht="11.25" hidden="1" customHeight="1" outlineLevel="2" x14ac:dyDescent="0.25">
      <c r="B3546" s="704" t="s">
        <v>679</v>
      </c>
      <c r="C3546" s="704" t="s">
        <v>855</v>
      </c>
      <c r="D3546" s="704" t="s">
        <v>822</v>
      </c>
      <c r="E3546" s="704" t="s">
        <v>824</v>
      </c>
      <c r="F3546" s="705">
        <v>1.3212207888560816E-40</v>
      </c>
      <c r="G3546" s="705">
        <v>3.8274928299855921E-37</v>
      </c>
    </row>
    <row r="3547" spans="2:7" ht="11.25" hidden="1" customHeight="1" outlineLevel="2" x14ac:dyDescent="0.25">
      <c r="B3547" s="704" t="s">
        <v>680</v>
      </c>
      <c r="C3547" s="704" t="s">
        <v>855</v>
      </c>
      <c r="D3547" s="704" t="s">
        <v>822</v>
      </c>
      <c r="E3547" s="704" t="s">
        <v>824</v>
      </c>
      <c r="F3547" s="705">
        <v>1.3212207888560816E-40</v>
      </c>
      <c r="G3547" s="705">
        <v>3.8274928299855921E-37</v>
      </c>
    </row>
    <row r="3548" spans="2:7" ht="11.25" hidden="1" customHeight="1" outlineLevel="2" x14ac:dyDescent="0.25">
      <c r="B3548" s="704" t="s">
        <v>681</v>
      </c>
      <c r="C3548" s="704" t="s">
        <v>855</v>
      </c>
      <c r="D3548" s="704" t="s">
        <v>822</v>
      </c>
      <c r="E3548" s="704" t="s">
        <v>824</v>
      </c>
      <c r="F3548" s="705">
        <v>4.3478347593036507E-5</v>
      </c>
      <c r="G3548" s="705">
        <v>0.12585274377322919</v>
      </c>
    </row>
    <row r="3549" spans="2:7" ht="11.25" hidden="1" customHeight="1" outlineLevel="2" x14ac:dyDescent="0.25">
      <c r="B3549" s="704" t="s">
        <v>682</v>
      </c>
      <c r="C3549" s="704" t="s">
        <v>855</v>
      </c>
      <c r="D3549" s="704" t="s">
        <v>822</v>
      </c>
      <c r="E3549" s="704" t="s">
        <v>824</v>
      </c>
      <c r="F3549" s="705">
        <v>7.8722026819418156E-5</v>
      </c>
      <c r="G3549" s="705">
        <v>0.22786960514242463</v>
      </c>
    </row>
    <row r="3550" spans="2:7" ht="11.25" hidden="1" customHeight="1" outlineLevel="2" x14ac:dyDescent="0.25">
      <c r="B3550" s="704" t="s">
        <v>683</v>
      </c>
      <c r="C3550" s="704" t="s">
        <v>855</v>
      </c>
      <c r="D3550" s="704" t="s">
        <v>822</v>
      </c>
      <c r="E3550" s="704" t="s">
        <v>824</v>
      </c>
      <c r="F3550" s="705">
        <v>1.7992556344046129E-6</v>
      </c>
      <c r="G3550" s="705">
        <v>5.2081411352396245E-3</v>
      </c>
    </row>
    <row r="3551" spans="2:7" ht="11.25" hidden="1" customHeight="1" outlineLevel="2" x14ac:dyDescent="0.25">
      <c r="B3551" s="704" t="s">
        <v>684</v>
      </c>
      <c r="C3551" s="704" t="s">
        <v>855</v>
      </c>
      <c r="D3551" s="704" t="s">
        <v>822</v>
      </c>
      <c r="E3551" s="704" t="s">
        <v>824</v>
      </c>
      <c r="F3551" s="705">
        <v>1.3212207888560816E-40</v>
      </c>
      <c r="G3551" s="705">
        <v>3.8274928299855921E-37</v>
      </c>
    </row>
    <row r="3552" spans="2:7" ht="11.25" hidden="1" customHeight="1" outlineLevel="2" x14ac:dyDescent="0.25">
      <c r="B3552" s="704" t="s">
        <v>685</v>
      </c>
      <c r="C3552" s="704" t="s">
        <v>855</v>
      </c>
      <c r="D3552" s="704" t="s">
        <v>822</v>
      </c>
      <c r="E3552" s="704" t="s">
        <v>824</v>
      </c>
      <c r="F3552" s="705">
        <v>1.8290120817266112E-4</v>
      </c>
      <c r="G3552" s="705">
        <v>0.52942731005747823</v>
      </c>
    </row>
    <row r="3553" spans="2:7" ht="11.25" hidden="1" customHeight="1" outlineLevel="2" x14ac:dyDescent="0.25">
      <c r="B3553" s="704" t="s">
        <v>686</v>
      </c>
      <c r="C3553" s="704" t="s">
        <v>855</v>
      </c>
      <c r="D3553" s="704" t="s">
        <v>822</v>
      </c>
      <c r="E3553" s="704" t="s">
        <v>824</v>
      </c>
      <c r="F3553" s="705">
        <v>9.8612117992862046E-6</v>
      </c>
      <c r="G3553" s="705">
        <v>2.8544329065728707E-2</v>
      </c>
    </row>
    <row r="3554" spans="2:7" ht="11.25" hidden="1" customHeight="1" outlineLevel="2" x14ac:dyDescent="0.25">
      <c r="B3554" s="704" t="s">
        <v>687</v>
      </c>
      <c r="C3554" s="704" t="s">
        <v>855</v>
      </c>
      <c r="D3554" s="704" t="s">
        <v>822</v>
      </c>
      <c r="E3554" s="704" t="s">
        <v>824</v>
      </c>
      <c r="F3554" s="705">
        <v>7.9368761745345176E-5</v>
      </c>
      <c r="G3554" s="705">
        <v>0.22974137420610094</v>
      </c>
    </row>
    <row r="3555" spans="2:7" ht="11.25" hidden="1" customHeight="1" outlineLevel="2" x14ac:dyDescent="0.25">
      <c r="B3555" s="704" t="s">
        <v>688</v>
      </c>
      <c r="C3555" s="704" t="s">
        <v>855</v>
      </c>
      <c r="D3555" s="704" t="s">
        <v>822</v>
      </c>
      <c r="E3555" s="704" t="s">
        <v>824</v>
      </c>
      <c r="F3555" s="705">
        <v>9.9666658217980884E-5</v>
      </c>
      <c r="G3555" s="705">
        <v>0.28849559203544334</v>
      </c>
    </row>
    <row r="3556" spans="2:7" ht="11.25" hidden="1" customHeight="1" outlineLevel="2" x14ac:dyDescent="0.25">
      <c r="B3556" s="704" t="s">
        <v>689</v>
      </c>
      <c r="C3556" s="704" t="s">
        <v>855</v>
      </c>
      <c r="D3556" s="704" t="s">
        <v>822</v>
      </c>
      <c r="E3556" s="704" t="s">
        <v>824</v>
      </c>
      <c r="F3556" s="705">
        <v>1.4499303466871991E-40</v>
      </c>
      <c r="G3556" s="705">
        <v>4.201807518678484E-37</v>
      </c>
    </row>
    <row r="3557" spans="2:7" ht="11.25" hidden="1" customHeight="1" outlineLevel="2" x14ac:dyDescent="0.25">
      <c r="B3557" s="704" t="s">
        <v>690</v>
      </c>
      <c r="C3557" s="704" t="s">
        <v>855</v>
      </c>
      <c r="D3557" s="704" t="s">
        <v>822</v>
      </c>
      <c r="E3557" s="704" t="s">
        <v>824</v>
      </c>
      <c r="F3557" s="705">
        <v>1.1908781446108619E-4</v>
      </c>
      <c r="G3557" s="705">
        <v>0.34471234949977914</v>
      </c>
    </row>
    <row r="3558" spans="2:7" ht="11.25" hidden="1" customHeight="1" outlineLevel="2" x14ac:dyDescent="0.25">
      <c r="B3558" s="704" t="s">
        <v>691</v>
      </c>
      <c r="C3558" s="704" t="s">
        <v>855</v>
      </c>
      <c r="D3558" s="704" t="s">
        <v>822</v>
      </c>
      <c r="E3558" s="704" t="s">
        <v>824</v>
      </c>
      <c r="F3558" s="705">
        <v>7.7926602703024382E-5</v>
      </c>
      <c r="G3558" s="705">
        <v>0.22556683544568845</v>
      </c>
    </row>
    <row r="3559" spans="2:7" ht="11.25" hidden="1" customHeight="1" outlineLevel="2" x14ac:dyDescent="0.25">
      <c r="B3559" s="704" t="s">
        <v>692</v>
      </c>
      <c r="C3559" s="704" t="s">
        <v>855</v>
      </c>
      <c r="D3559" s="704" t="s">
        <v>822</v>
      </c>
      <c r="E3559" s="704" t="s">
        <v>824</v>
      </c>
      <c r="F3559" s="705">
        <v>1.32122078885608E-40</v>
      </c>
      <c r="G3559" s="705">
        <v>3.8274928299855871E-37</v>
      </c>
    </row>
    <row r="3560" spans="2:7" ht="11.25" hidden="1" customHeight="1" outlineLevel="2" x14ac:dyDescent="0.25">
      <c r="B3560" s="704" t="s">
        <v>693</v>
      </c>
      <c r="C3560" s="704" t="s">
        <v>855</v>
      </c>
      <c r="D3560" s="704" t="s">
        <v>822</v>
      </c>
      <c r="E3560" s="704" t="s">
        <v>824</v>
      </c>
      <c r="F3560" s="705">
        <v>1.3212207888560816E-40</v>
      </c>
      <c r="G3560" s="705">
        <v>3.8274928299855921E-37</v>
      </c>
    </row>
    <row r="3561" spans="2:7" ht="11.25" hidden="1" customHeight="1" outlineLevel="2" x14ac:dyDescent="0.25">
      <c r="B3561" s="704" t="s">
        <v>694</v>
      </c>
      <c r="C3561" s="704" t="s">
        <v>855</v>
      </c>
      <c r="D3561" s="704" t="s">
        <v>822</v>
      </c>
      <c r="E3561" s="704" t="s">
        <v>824</v>
      </c>
      <c r="F3561" s="705">
        <v>9.1570708988094493E-7</v>
      </c>
      <c r="G3561" s="705">
        <v>2.6506157893599865E-3</v>
      </c>
    </row>
    <row r="3562" spans="2:7" ht="11.25" hidden="1" customHeight="1" outlineLevel="2" x14ac:dyDescent="0.25">
      <c r="B3562" s="704" t="s">
        <v>695</v>
      </c>
      <c r="C3562" s="704" t="s">
        <v>855</v>
      </c>
      <c r="D3562" s="704" t="s">
        <v>822</v>
      </c>
      <c r="E3562" s="704" t="s">
        <v>824</v>
      </c>
      <c r="F3562" s="705">
        <v>1.3212207888560816E-40</v>
      </c>
      <c r="G3562" s="705">
        <v>3.8274928299855921E-37</v>
      </c>
    </row>
    <row r="3563" spans="2:7" ht="11.25" hidden="1" customHeight="1" outlineLevel="2" x14ac:dyDescent="0.25">
      <c r="B3563" s="704" t="s">
        <v>696</v>
      </c>
      <c r="C3563" s="704" t="s">
        <v>855</v>
      </c>
      <c r="D3563" s="704" t="s">
        <v>822</v>
      </c>
      <c r="E3563" s="704" t="s">
        <v>824</v>
      </c>
      <c r="F3563" s="705">
        <v>9.2051486309579456E-5</v>
      </c>
      <c r="G3563" s="705">
        <v>0.26645300607187544</v>
      </c>
    </row>
    <row r="3564" spans="2:7" ht="11.25" hidden="1" customHeight="1" outlineLevel="2" x14ac:dyDescent="0.25">
      <c r="B3564" s="704" t="s">
        <v>697</v>
      </c>
      <c r="C3564" s="704" t="s">
        <v>855</v>
      </c>
      <c r="D3564" s="704" t="s">
        <v>822</v>
      </c>
      <c r="E3564" s="704" t="s">
        <v>824</v>
      </c>
      <c r="F3564" s="705">
        <v>1.9837532846788799E-6</v>
      </c>
      <c r="G3564" s="705">
        <v>5.7421875522407576E-3</v>
      </c>
    </row>
    <row r="3565" spans="2:7" ht="11.25" hidden="1" customHeight="1" outlineLevel="2" x14ac:dyDescent="0.25">
      <c r="B3565" s="704" t="s">
        <v>698</v>
      </c>
      <c r="C3565" s="704" t="s">
        <v>855</v>
      </c>
      <c r="D3565" s="704" t="s">
        <v>822</v>
      </c>
      <c r="E3565" s="704" t="s">
        <v>824</v>
      </c>
      <c r="F3565" s="705">
        <v>9.1570708747803962E-7</v>
      </c>
      <c r="G3565" s="705">
        <v>2.650615789343802E-3</v>
      </c>
    </row>
    <row r="3566" spans="2:7" ht="11.25" hidden="1" customHeight="1" outlineLevel="2" x14ac:dyDescent="0.25">
      <c r="B3566" s="704" t="s">
        <v>699</v>
      </c>
      <c r="C3566" s="704" t="s">
        <v>855</v>
      </c>
      <c r="D3566" s="704" t="s">
        <v>822</v>
      </c>
      <c r="E3566" s="704" t="s">
        <v>824</v>
      </c>
      <c r="F3566" s="705">
        <v>7.7249555640880236E-5</v>
      </c>
      <c r="G3566" s="705">
        <v>0.22360691391480741</v>
      </c>
    </row>
    <row r="3567" spans="2:7" ht="11.25" hidden="1" customHeight="1" outlineLevel="1" x14ac:dyDescent="0.25">
      <c r="B3567" s="704"/>
      <c r="C3567" s="704"/>
      <c r="D3567" s="704"/>
      <c r="E3567" s="707" t="s">
        <v>856</v>
      </c>
      <c r="F3567" s="705">
        <f t="shared" ref="F3567:G3567" si="10">SUBTOTAL(9,F2799:F3566)</f>
        <v>28.073934767737196</v>
      </c>
      <c r="G3567" s="705">
        <f t="shared" si="10"/>
        <v>182467.48142821679</v>
      </c>
    </row>
    <row r="3568" spans="2:7" ht="11.25" hidden="1" customHeight="1" outlineLevel="2" x14ac:dyDescent="0.25">
      <c r="B3568" s="704" t="s">
        <v>673</v>
      </c>
      <c r="C3568" s="704" t="s">
        <v>857</v>
      </c>
      <c r="D3568" s="704" t="s">
        <v>818</v>
      </c>
      <c r="E3568" s="704" t="s">
        <v>664</v>
      </c>
      <c r="F3568" s="708"/>
      <c r="G3568" s="705">
        <v>185.72005232980598</v>
      </c>
    </row>
    <row r="3569" spans="2:7" ht="11.25" hidden="1" customHeight="1" outlineLevel="2" x14ac:dyDescent="0.25">
      <c r="B3569" s="704" t="s">
        <v>677</v>
      </c>
      <c r="C3569" s="704" t="s">
        <v>857</v>
      </c>
      <c r="D3569" s="704" t="s">
        <v>818</v>
      </c>
      <c r="E3569" s="704" t="s">
        <v>664</v>
      </c>
      <c r="F3569" s="705">
        <v>0.14117151128875055</v>
      </c>
      <c r="G3569" s="705">
        <v>5453.4156672570853</v>
      </c>
    </row>
    <row r="3570" spans="2:7" ht="11.25" hidden="1" customHeight="1" outlineLevel="2" x14ac:dyDescent="0.25">
      <c r="B3570" s="704" t="s">
        <v>678</v>
      </c>
      <c r="C3570" s="704" t="s">
        <v>857</v>
      </c>
      <c r="D3570" s="704" t="s">
        <v>818</v>
      </c>
      <c r="E3570" s="704" t="s">
        <v>664</v>
      </c>
      <c r="F3570" s="708"/>
      <c r="G3570" s="705">
        <v>3123.4728403055401</v>
      </c>
    </row>
    <row r="3571" spans="2:7" ht="11.25" hidden="1" customHeight="1" outlineLevel="2" x14ac:dyDescent="0.25">
      <c r="B3571" s="704" t="s">
        <v>679</v>
      </c>
      <c r="C3571" s="704" t="s">
        <v>857</v>
      </c>
      <c r="D3571" s="704" t="s">
        <v>818</v>
      </c>
      <c r="E3571" s="704" t="s">
        <v>664</v>
      </c>
      <c r="F3571" s="708"/>
      <c r="G3571" s="705">
        <v>3815.703905995189</v>
      </c>
    </row>
    <row r="3572" spans="2:7" ht="11.25" hidden="1" customHeight="1" outlineLevel="2" x14ac:dyDescent="0.25">
      <c r="B3572" s="704" t="s">
        <v>680</v>
      </c>
      <c r="C3572" s="704" t="s">
        <v>857</v>
      </c>
      <c r="D3572" s="704" t="s">
        <v>818</v>
      </c>
      <c r="E3572" s="704" t="s">
        <v>664</v>
      </c>
      <c r="F3572" s="708"/>
      <c r="G3572" s="705">
        <v>253.25465115089568</v>
      </c>
    </row>
    <row r="3573" spans="2:7" ht="11.25" hidden="1" customHeight="1" outlineLevel="2" x14ac:dyDescent="0.25">
      <c r="B3573" s="704" t="s">
        <v>681</v>
      </c>
      <c r="C3573" s="704" t="s">
        <v>857</v>
      </c>
      <c r="D3573" s="704" t="s">
        <v>818</v>
      </c>
      <c r="E3573" s="704" t="s">
        <v>664</v>
      </c>
      <c r="F3573" s="709"/>
      <c r="G3573" s="705">
        <v>135.06915569845131</v>
      </c>
    </row>
    <row r="3574" spans="2:7" ht="11.25" hidden="1" customHeight="1" outlineLevel="2" x14ac:dyDescent="0.25">
      <c r="B3574" s="704" t="s">
        <v>682</v>
      </c>
      <c r="C3574" s="704" t="s">
        <v>857</v>
      </c>
      <c r="D3574" s="704" t="s">
        <v>818</v>
      </c>
      <c r="E3574" s="704" t="s">
        <v>664</v>
      </c>
      <c r="F3574" s="709"/>
      <c r="G3574" s="705">
        <v>2937.753932042579</v>
      </c>
    </row>
    <row r="3575" spans="2:7" ht="11.25" hidden="1" customHeight="1" outlineLevel="2" x14ac:dyDescent="0.25">
      <c r="B3575" s="704" t="s">
        <v>683</v>
      </c>
      <c r="C3575" s="704" t="s">
        <v>857</v>
      </c>
      <c r="D3575" s="704" t="s">
        <v>818</v>
      </c>
      <c r="E3575" s="704" t="s">
        <v>664</v>
      </c>
      <c r="F3575" s="709"/>
      <c r="G3575" s="705">
        <v>5048.2065171874438</v>
      </c>
    </row>
    <row r="3576" spans="2:7" ht="11.25" hidden="1" customHeight="1" outlineLevel="2" x14ac:dyDescent="0.25">
      <c r="B3576" s="704" t="s">
        <v>684</v>
      </c>
      <c r="C3576" s="704" t="s">
        <v>857</v>
      </c>
      <c r="D3576" s="704" t="s">
        <v>818</v>
      </c>
      <c r="E3576" s="704" t="s">
        <v>664</v>
      </c>
      <c r="F3576" s="709"/>
      <c r="G3576" s="705">
        <v>13000.404044962432</v>
      </c>
    </row>
    <row r="3577" spans="2:7" ht="11.25" hidden="1" customHeight="1" outlineLevel="2" x14ac:dyDescent="0.25">
      <c r="B3577" s="704" t="s">
        <v>685</v>
      </c>
      <c r="C3577" s="704" t="s">
        <v>857</v>
      </c>
      <c r="D3577" s="704" t="s">
        <v>818</v>
      </c>
      <c r="E3577" s="704" t="s">
        <v>664</v>
      </c>
      <c r="F3577" s="709"/>
      <c r="G3577" s="705">
        <v>202.60371446705682</v>
      </c>
    </row>
    <row r="3578" spans="2:7" ht="11.25" hidden="1" customHeight="1" outlineLevel="2" x14ac:dyDescent="0.25">
      <c r="B3578" s="704" t="s">
        <v>686</v>
      </c>
      <c r="C3578" s="704" t="s">
        <v>857</v>
      </c>
      <c r="D3578" s="704" t="s">
        <v>818</v>
      </c>
      <c r="E3578" s="704" t="s">
        <v>664</v>
      </c>
      <c r="F3578" s="709"/>
      <c r="G3578" s="705">
        <v>354.55638444842185</v>
      </c>
    </row>
    <row r="3579" spans="2:7" ht="11.25" hidden="1" customHeight="1" outlineLevel="2" x14ac:dyDescent="0.25">
      <c r="B3579" s="704" t="s">
        <v>687</v>
      </c>
      <c r="C3579" s="704" t="s">
        <v>857</v>
      </c>
      <c r="D3579" s="704" t="s">
        <v>818</v>
      </c>
      <c r="E3579" s="704" t="s">
        <v>664</v>
      </c>
      <c r="F3579" s="709"/>
      <c r="G3579" s="705">
        <v>2819.5677720888239</v>
      </c>
    </row>
    <row r="3580" spans="2:7" ht="11.25" hidden="1" customHeight="1" outlineLevel="2" x14ac:dyDescent="0.25">
      <c r="B3580" s="704" t="s">
        <v>688</v>
      </c>
      <c r="C3580" s="704" t="s">
        <v>857</v>
      </c>
      <c r="D3580" s="704" t="s">
        <v>818</v>
      </c>
      <c r="E3580" s="704" t="s">
        <v>664</v>
      </c>
      <c r="F3580" s="708"/>
      <c r="G3580" s="705">
        <v>67.534550959000569</v>
      </c>
    </row>
    <row r="3581" spans="2:7" ht="11.25" hidden="1" customHeight="1" outlineLevel="2" x14ac:dyDescent="0.25">
      <c r="B3581" s="704" t="s">
        <v>689</v>
      </c>
      <c r="C3581" s="704" t="s">
        <v>857</v>
      </c>
      <c r="D3581" s="704" t="s">
        <v>818</v>
      </c>
      <c r="E3581" s="704" t="s">
        <v>664</v>
      </c>
      <c r="F3581" s="708"/>
      <c r="G3581" s="705">
        <v>7037.0479932610751</v>
      </c>
    </row>
    <row r="3582" spans="2:7" ht="11.25" hidden="1" customHeight="1" outlineLevel="2" x14ac:dyDescent="0.25">
      <c r="B3582" s="704" t="s">
        <v>690</v>
      </c>
      <c r="C3582" s="704" t="s">
        <v>857</v>
      </c>
      <c r="D3582" s="704" t="s">
        <v>818</v>
      </c>
      <c r="E3582" s="704" t="s">
        <v>664</v>
      </c>
      <c r="F3582" s="708"/>
      <c r="G3582" s="705">
        <v>506.50924310003296</v>
      </c>
    </row>
    <row r="3583" spans="2:7" ht="11.25" hidden="1" customHeight="1" outlineLevel="2" x14ac:dyDescent="0.25">
      <c r="B3583" s="704" t="s">
        <v>691</v>
      </c>
      <c r="C3583" s="704" t="s">
        <v>857</v>
      </c>
      <c r="D3583" s="704" t="s">
        <v>818</v>
      </c>
      <c r="E3583" s="704" t="s">
        <v>664</v>
      </c>
      <c r="F3583" s="709"/>
      <c r="G3583" s="705">
        <v>574.04376572272133</v>
      </c>
    </row>
    <row r="3584" spans="2:7" ht="11.25" hidden="1" customHeight="1" outlineLevel="2" x14ac:dyDescent="0.25">
      <c r="B3584" s="704" t="s">
        <v>692</v>
      </c>
      <c r="C3584" s="704" t="s">
        <v>857</v>
      </c>
      <c r="D3584" s="704" t="s">
        <v>818</v>
      </c>
      <c r="E3584" s="704" t="s">
        <v>664</v>
      </c>
      <c r="F3584" s="708"/>
      <c r="G3584" s="705">
        <v>4237.7929754077741</v>
      </c>
    </row>
    <row r="3585" spans="2:7" ht="11.25" hidden="1" customHeight="1" outlineLevel="2" x14ac:dyDescent="0.25">
      <c r="B3585" s="704" t="s">
        <v>693</v>
      </c>
      <c r="C3585" s="704" t="s">
        <v>857</v>
      </c>
      <c r="D3585" s="704" t="s">
        <v>818</v>
      </c>
      <c r="E3585" s="704" t="s">
        <v>664</v>
      </c>
      <c r="F3585" s="708"/>
      <c r="G3585" s="705">
        <v>11025.016065112439</v>
      </c>
    </row>
    <row r="3586" spans="2:7" ht="11.25" hidden="1" customHeight="1" outlineLevel="2" x14ac:dyDescent="0.25">
      <c r="B3586" s="704" t="s">
        <v>694</v>
      </c>
      <c r="C3586" s="704" t="s">
        <v>857</v>
      </c>
      <c r="D3586" s="704" t="s">
        <v>818</v>
      </c>
      <c r="E3586" s="704" t="s">
        <v>664</v>
      </c>
      <c r="F3586" s="709"/>
      <c r="G3586" s="705">
        <v>8256.0997184940643</v>
      </c>
    </row>
    <row r="3587" spans="2:7" ht="11.25" hidden="1" customHeight="1" outlineLevel="2" x14ac:dyDescent="0.25">
      <c r="B3587" s="704" t="s">
        <v>695</v>
      </c>
      <c r="C3587" s="704" t="s">
        <v>857</v>
      </c>
      <c r="D3587" s="704" t="s">
        <v>818</v>
      </c>
      <c r="E3587" s="704" t="s">
        <v>664</v>
      </c>
      <c r="F3587" s="708"/>
      <c r="G3587" s="705">
        <v>7108.0143685411367</v>
      </c>
    </row>
    <row r="3588" spans="2:7" ht="11.25" hidden="1" customHeight="1" outlineLevel="2" x14ac:dyDescent="0.25">
      <c r="B3588" s="704" t="s">
        <v>696</v>
      </c>
      <c r="C3588" s="704" t="s">
        <v>857</v>
      </c>
      <c r="D3588" s="704" t="s">
        <v>818</v>
      </c>
      <c r="E3588" s="704" t="s">
        <v>664</v>
      </c>
      <c r="F3588" s="708"/>
      <c r="G3588" s="705">
        <v>405.20748273856896</v>
      </c>
    </row>
    <row r="3589" spans="2:7" ht="11.25" hidden="1" customHeight="1" outlineLevel="2" x14ac:dyDescent="0.25">
      <c r="B3589" s="704" t="s">
        <v>697</v>
      </c>
      <c r="C3589" s="704" t="s">
        <v>857</v>
      </c>
      <c r="D3589" s="704" t="s">
        <v>818</v>
      </c>
      <c r="E3589" s="704" t="s">
        <v>664</v>
      </c>
      <c r="F3589" s="708"/>
      <c r="G3589" s="705">
        <v>1046.7858984729598</v>
      </c>
    </row>
    <row r="3590" spans="2:7" ht="11.25" hidden="1" customHeight="1" outlineLevel="2" x14ac:dyDescent="0.25">
      <c r="B3590" s="704" t="s">
        <v>698</v>
      </c>
      <c r="C3590" s="704" t="s">
        <v>857</v>
      </c>
      <c r="D3590" s="704" t="s">
        <v>818</v>
      </c>
      <c r="E3590" s="704" t="s">
        <v>664</v>
      </c>
      <c r="F3590" s="709"/>
      <c r="G3590" s="705">
        <v>9674.3279153801304</v>
      </c>
    </row>
    <row r="3591" spans="2:7" ht="11.25" hidden="1" customHeight="1" outlineLevel="2" x14ac:dyDescent="0.25">
      <c r="B3591" s="704" t="s">
        <v>699</v>
      </c>
      <c r="C3591" s="704" t="s">
        <v>857</v>
      </c>
      <c r="D3591" s="704" t="s">
        <v>818</v>
      </c>
      <c r="E3591" s="704" t="s">
        <v>664</v>
      </c>
      <c r="F3591" s="709"/>
      <c r="G3591" s="705">
        <v>776.64753516773828</v>
      </c>
    </row>
    <row r="3592" spans="2:7" ht="11.25" hidden="1" customHeight="1" outlineLevel="2" x14ac:dyDescent="0.25">
      <c r="B3592" s="704" t="s">
        <v>673</v>
      </c>
      <c r="C3592" s="704" t="s">
        <v>858</v>
      </c>
      <c r="D3592" s="704" t="s">
        <v>818</v>
      </c>
      <c r="E3592" s="704" t="s">
        <v>664</v>
      </c>
      <c r="F3592" s="709"/>
      <c r="G3592" s="705">
        <v>1.5508319177792766</v>
      </c>
    </row>
    <row r="3593" spans="2:7" ht="11.25" hidden="1" customHeight="1" outlineLevel="2" x14ac:dyDescent="0.25">
      <c r="B3593" s="704" t="s">
        <v>677</v>
      </c>
      <c r="C3593" s="704" t="s">
        <v>858</v>
      </c>
      <c r="D3593" s="704" t="s">
        <v>818</v>
      </c>
      <c r="E3593" s="704" t="s">
        <v>664</v>
      </c>
      <c r="F3593" s="705">
        <v>9.0249721766475876E-4</v>
      </c>
      <c r="G3593" s="705">
        <v>17.76407549991692</v>
      </c>
    </row>
    <row r="3594" spans="2:7" ht="11.25" hidden="1" customHeight="1" outlineLevel="2" x14ac:dyDescent="0.25">
      <c r="B3594" s="704" t="s">
        <v>678</v>
      </c>
      <c r="C3594" s="704" t="s">
        <v>858</v>
      </c>
      <c r="D3594" s="704" t="s">
        <v>818</v>
      </c>
      <c r="E3594" s="704" t="s">
        <v>664</v>
      </c>
      <c r="F3594" s="708"/>
      <c r="G3594" s="705">
        <v>13.675519738258888</v>
      </c>
    </row>
    <row r="3595" spans="2:7" ht="11.25" hidden="1" customHeight="1" outlineLevel="2" x14ac:dyDescent="0.25">
      <c r="B3595" s="704" t="s">
        <v>679</v>
      </c>
      <c r="C3595" s="704" t="s">
        <v>858</v>
      </c>
      <c r="D3595" s="704" t="s">
        <v>818</v>
      </c>
      <c r="E3595" s="704" t="s">
        <v>664</v>
      </c>
      <c r="F3595" s="708"/>
      <c r="G3595" s="705">
        <v>11.983703832650402</v>
      </c>
    </row>
    <row r="3596" spans="2:7" ht="11.25" hidden="1" customHeight="1" outlineLevel="2" x14ac:dyDescent="0.25">
      <c r="B3596" s="704" t="s">
        <v>680</v>
      </c>
      <c r="C3596" s="704" t="s">
        <v>858</v>
      </c>
      <c r="D3596" s="704" t="s">
        <v>818</v>
      </c>
      <c r="E3596" s="704" t="s">
        <v>664</v>
      </c>
      <c r="F3596" s="708"/>
      <c r="G3596" s="705">
        <v>2.1147708257498046</v>
      </c>
    </row>
    <row r="3597" spans="2:7" ht="11.25" hidden="1" customHeight="1" outlineLevel="2" x14ac:dyDescent="0.25">
      <c r="B3597" s="704" t="s">
        <v>681</v>
      </c>
      <c r="C3597" s="704" t="s">
        <v>858</v>
      </c>
      <c r="D3597" s="704" t="s">
        <v>818</v>
      </c>
      <c r="E3597" s="704" t="s">
        <v>664</v>
      </c>
      <c r="F3597" s="708"/>
      <c r="G3597" s="705">
        <v>1.1278778647508745</v>
      </c>
    </row>
    <row r="3598" spans="2:7" ht="11.25" hidden="1" customHeight="1" outlineLevel="2" x14ac:dyDescent="0.25">
      <c r="B3598" s="704" t="s">
        <v>682</v>
      </c>
      <c r="C3598" s="704" t="s">
        <v>858</v>
      </c>
      <c r="D3598" s="704" t="s">
        <v>818</v>
      </c>
      <c r="E3598" s="704" t="s">
        <v>664</v>
      </c>
      <c r="F3598" s="708"/>
      <c r="G3598" s="705">
        <v>13.534536794501248</v>
      </c>
    </row>
    <row r="3599" spans="2:7" ht="11.25" hidden="1" customHeight="1" outlineLevel="2" x14ac:dyDescent="0.25">
      <c r="B3599" s="704" t="s">
        <v>683</v>
      </c>
      <c r="C3599" s="704" t="s">
        <v>858</v>
      </c>
      <c r="D3599" s="704" t="s">
        <v>818</v>
      </c>
      <c r="E3599" s="704" t="s">
        <v>664</v>
      </c>
      <c r="F3599" s="708"/>
      <c r="G3599" s="705">
        <v>14.098472474098665</v>
      </c>
    </row>
    <row r="3600" spans="2:7" ht="11.25" hidden="1" customHeight="1" outlineLevel="2" x14ac:dyDescent="0.25">
      <c r="B3600" s="704" t="s">
        <v>684</v>
      </c>
      <c r="C3600" s="704" t="s">
        <v>858</v>
      </c>
      <c r="D3600" s="704" t="s">
        <v>818</v>
      </c>
      <c r="E3600" s="704" t="s">
        <v>664</v>
      </c>
      <c r="F3600" s="708"/>
      <c r="G3600" s="705">
        <v>44.269196335862809</v>
      </c>
    </row>
    <row r="3601" spans="2:7" ht="11.25" hidden="1" customHeight="1" outlineLevel="2" x14ac:dyDescent="0.25">
      <c r="B3601" s="704" t="s">
        <v>685</v>
      </c>
      <c r="C3601" s="704" t="s">
        <v>858</v>
      </c>
      <c r="D3601" s="704" t="s">
        <v>818</v>
      </c>
      <c r="E3601" s="704" t="s">
        <v>664</v>
      </c>
      <c r="F3601" s="708"/>
      <c r="G3601" s="705">
        <v>1.6918163883910575</v>
      </c>
    </row>
    <row r="3602" spans="2:7" ht="11.25" hidden="1" customHeight="1" outlineLevel="2" x14ac:dyDescent="0.25">
      <c r="B3602" s="704" t="s">
        <v>686</v>
      </c>
      <c r="C3602" s="704" t="s">
        <v>858</v>
      </c>
      <c r="D3602" s="704" t="s">
        <v>818</v>
      </c>
      <c r="E3602" s="704" t="s">
        <v>664</v>
      </c>
      <c r="F3602" s="708"/>
      <c r="G3602" s="705">
        <v>2.9606800407310416</v>
      </c>
    </row>
    <row r="3603" spans="2:7" ht="11.25" hidden="1" customHeight="1" outlineLevel="2" x14ac:dyDescent="0.25">
      <c r="B3603" s="704" t="s">
        <v>687</v>
      </c>
      <c r="C3603" s="704" t="s">
        <v>858</v>
      </c>
      <c r="D3603" s="704" t="s">
        <v>818</v>
      </c>
      <c r="E3603" s="704" t="s">
        <v>664</v>
      </c>
      <c r="F3603" s="708"/>
      <c r="G3603" s="705">
        <v>10.432872683380964</v>
      </c>
    </row>
    <row r="3604" spans="2:7" ht="11.25" hidden="1" customHeight="1" outlineLevel="2" x14ac:dyDescent="0.25">
      <c r="B3604" s="704" t="s">
        <v>688</v>
      </c>
      <c r="C3604" s="704" t="s">
        <v>858</v>
      </c>
      <c r="D3604" s="704" t="s">
        <v>818</v>
      </c>
      <c r="E3604" s="704" t="s">
        <v>664</v>
      </c>
      <c r="F3604" s="709"/>
      <c r="G3604" s="705">
        <v>0.56393903865207484</v>
      </c>
    </row>
    <row r="3605" spans="2:7" ht="11.25" hidden="1" customHeight="1" outlineLevel="2" x14ac:dyDescent="0.25">
      <c r="B3605" s="704" t="s">
        <v>689</v>
      </c>
      <c r="C3605" s="704" t="s">
        <v>858</v>
      </c>
      <c r="D3605" s="704" t="s">
        <v>818</v>
      </c>
      <c r="E3605" s="704" t="s">
        <v>664</v>
      </c>
      <c r="F3605" s="709"/>
      <c r="G3605" s="705">
        <v>20.859242342606091</v>
      </c>
    </row>
    <row r="3606" spans="2:7" ht="11.25" hidden="1" customHeight="1" outlineLevel="2" x14ac:dyDescent="0.25">
      <c r="B3606" s="704" t="s">
        <v>690</v>
      </c>
      <c r="C3606" s="704" t="s">
        <v>858</v>
      </c>
      <c r="D3606" s="704" t="s">
        <v>818</v>
      </c>
      <c r="E3606" s="704" t="s">
        <v>664</v>
      </c>
      <c r="F3606" s="708"/>
      <c r="G3606" s="705">
        <v>4.2295396937791532</v>
      </c>
    </row>
    <row r="3607" spans="2:7" ht="11.25" hidden="1" customHeight="1" outlineLevel="2" x14ac:dyDescent="0.25">
      <c r="B3607" s="704" t="s">
        <v>691</v>
      </c>
      <c r="C3607" s="704" t="s">
        <v>858</v>
      </c>
      <c r="D3607" s="704" t="s">
        <v>818</v>
      </c>
      <c r="E3607" s="704" t="s">
        <v>664</v>
      </c>
      <c r="F3607" s="708"/>
      <c r="G3607" s="705">
        <v>4.7934830138798947</v>
      </c>
    </row>
    <row r="3608" spans="2:7" ht="11.25" hidden="1" customHeight="1" outlineLevel="2" x14ac:dyDescent="0.25">
      <c r="B3608" s="704" t="s">
        <v>692</v>
      </c>
      <c r="C3608" s="704" t="s">
        <v>858</v>
      </c>
      <c r="D3608" s="704" t="s">
        <v>818</v>
      </c>
      <c r="E3608" s="704" t="s">
        <v>664</v>
      </c>
      <c r="F3608" s="708"/>
      <c r="G3608" s="705">
        <v>13.252565271885237</v>
      </c>
    </row>
    <row r="3609" spans="2:7" ht="11.25" hidden="1" customHeight="1" outlineLevel="2" x14ac:dyDescent="0.25">
      <c r="B3609" s="704" t="s">
        <v>693</v>
      </c>
      <c r="C3609" s="704" t="s">
        <v>858</v>
      </c>
      <c r="D3609" s="704" t="s">
        <v>818</v>
      </c>
      <c r="E3609" s="704" t="s">
        <v>664</v>
      </c>
      <c r="F3609" s="708"/>
      <c r="G3609" s="705">
        <v>28.055968688724672</v>
      </c>
    </row>
    <row r="3610" spans="2:7" ht="11.25" hidden="1" customHeight="1" outlineLevel="2" x14ac:dyDescent="0.25">
      <c r="B3610" s="704" t="s">
        <v>694</v>
      </c>
      <c r="C3610" s="704" t="s">
        <v>858</v>
      </c>
      <c r="D3610" s="704" t="s">
        <v>818</v>
      </c>
      <c r="E3610" s="704" t="s">
        <v>664</v>
      </c>
      <c r="F3610" s="708"/>
      <c r="G3610" s="705">
        <v>22.698542669726024</v>
      </c>
    </row>
    <row r="3611" spans="2:7" ht="11.25" hidden="1" customHeight="1" outlineLevel="2" x14ac:dyDescent="0.25">
      <c r="B3611" s="704" t="s">
        <v>695</v>
      </c>
      <c r="C3611" s="704" t="s">
        <v>858</v>
      </c>
      <c r="D3611" s="704" t="s">
        <v>818</v>
      </c>
      <c r="E3611" s="704" t="s">
        <v>664</v>
      </c>
      <c r="F3611" s="708"/>
      <c r="G3611" s="705">
        <v>25.659218919550813</v>
      </c>
    </row>
    <row r="3612" spans="2:7" ht="11.25" hidden="1" customHeight="1" outlineLevel="2" x14ac:dyDescent="0.25">
      <c r="B3612" s="704" t="s">
        <v>696</v>
      </c>
      <c r="C3612" s="704" t="s">
        <v>858</v>
      </c>
      <c r="D3612" s="704" t="s">
        <v>818</v>
      </c>
      <c r="E3612" s="704" t="s">
        <v>664</v>
      </c>
      <c r="F3612" s="708"/>
      <c r="G3612" s="705">
        <v>3.3836346703051579</v>
      </c>
    </row>
    <row r="3613" spans="2:7" ht="11.25" hidden="1" customHeight="1" outlineLevel="2" x14ac:dyDescent="0.25">
      <c r="B3613" s="704" t="s">
        <v>697</v>
      </c>
      <c r="C3613" s="704" t="s">
        <v>858</v>
      </c>
      <c r="D3613" s="704" t="s">
        <v>818</v>
      </c>
      <c r="E3613" s="704" t="s">
        <v>664</v>
      </c>
      <c r="F3613" s="708"/>
      <c r="G3613" s="705">
        <v>6.2033293173438553</v>
      </c>
    </row>
    <row r="3614" spans="2:7" ht="11.25" hidden="1" customHeight="1" outlineLevel="2" x14ac:dyDescent="0.25">
      <c r="B3614" s="704" t="s">
        <v>698</v>
      </c>
      <c r="C3614" s="704" t="s">
        <v>858</v>
      </c>
      <c r="D3614" s="704" t="s">
        <v>818</v>
      </c>
      <c r="E3614" s="704" t="s">
        <v>664</v>
      </c>
      <c r="F3614" s="708"/>
      <c r="G3614" s="705">
        <v>45.679042856475512</v>
      </c>
    </row>
    <row r="3615" spans="2:7" ht="11.25" hidden="1" customHeight="1" outlineLevel="2" x14ac:dyDescent="0.25">
      <c r="B3615" s="704" t="s">
        <v>699</v>
      </c>
      <c r="C3615" s="704" t="s">
        <v>858</v>
      </c>
      <c r="D3615" s="704" t="s">
        <v>818</v>
      </c>
      <c r="E3615" s="704" t="s">
        <v>664</v>
      </c>
      <c r="F3615" s="708"/>
      <c r="G3615" s="705">
        <v>4.3705261112404701</v>
      </c>
    </row>
    <row r="3616" spans="2:7" ht="11.25" hidden="1" customHeight="1" outlineLevel="1" x14ac:dyDescent="0.25">
      <c r="B3616" s="704"/>
      <c r="C3616" s="704"/>
      <c r="D3616" s="704"/>
      <c r="E3616" s="707" t="s">
        <v>859</v>
      </c>
      <c r="F3616" s="708">
        <f t="shared" ref="F3616:G3616" si="11">SUBTOTAL(9,F3568:F3615)</f>
        <v>0.1420740085064153</v>
      </c>
      <c r="G3616" s="705">
        <f t="shared" si="11"/>
        <v>88359.709537281567</v>
      </c>
    </row>
    <row r="3617" spans="2:7" ht="11.25" hidden="1" customHeight="1" outlineLevel="2" x14ac:dyDescent="0.25">
      <c r="B3617" s="704" t="s">
        <v>673</v>
      </c>
      <c r="C3617" s="704" t="s">
        <v>860</v>
      </c>
      <c r="D3617" s="704" t="s">
        <v>715</v>
      </c>
      <c r="E3617" s="704" t="s">
        <v>861</v>
      </c>
      <c r="F3617" s="708"/>
      <c r="G3617" s="705">
        <v>142.09373670000505</v>
      </c>
    </row>
    <row r="3618" spans="2:7" ht="11.25" hidden="1" customHeight="1" outlineLevel="2" x14ac:dyDescent="0.25">
      <c r="B3618" s="704" t="s">
        <v>677</v>
      </c>
      <c r="C3618" s="704" t="s">
        <v>860</v>
      </c>
      <c r="D3618" s="704" t="s">
        <v>715</v>
      </c>
      <c r="E3618" s="704" t="s">
        <v>861</v>
      </c>
      <c r="F3618" s="705">
        <v>1.2237064805864962E-2</v>
      </c>
      <c r="G3618" s="705">
        <v>284.18749510955115</v>
      </c>
    </row>
    <row r="3619" spans="2:7" ht="11.25" hidden="1" customHeight="1" outlineLevel="2" x14ac:dyDescent="0.25">
      <c r="B3619" s="704" t="s">
        <v>678</v>
      </c>
      <c r="C3619" s="704" t="s">
        <v>860</v>
      </c>
      <c r="D3619" s="704" t="s">
        <v>715</v>
      </c>
      <c r="E3619" s="704" t="s">
        <v>861</v>
      </c>
      <c r="F3619" s="708"/>
      <c r="G3619" s="705">
        <v>142.09373670000505</v>
      </c>
    </row>
    <row r="3620" spans="2:7" ht="11.25" hidden="1" customHeight="1" outlineLevel="2" x14ac:dyDescent="0.25">
      <c r="B3620" s="704" t="s">
        <v>679</v>
      </c>
      <c r="C3620" s="704" t="s">
        <v>860</v>
      </c>
      <c r="D3620" s="704" t="s">
        <v>715</v>
      </c>
      <c r="E3620" s="704" t="s">
        <v>861</v>
      </c>
      <c r="F3620" s="708"/>
      <c r="G3620" s="705">
        <v>3.9412429149442822E-29</v>
      </c>
    </row>
    <row r="3621" spans="2:7" ht="11.25" hidden="1" customHeight="1" outlineLevel="2" x14ac:dyDescent="0.25">
      <c r="B3621" s="704" t="s">
        <v>680</v>
      </c>
      <c r="C3621" s="704" t="s">
        <v>860</v>
      </c>
      <c r="D3621" s="704" t="s">
        <v>715</v>
      </c>
      <c r="E3621" s="704" t="s">
        <v>861</v>
      </c>
      <c r="F3621" s="708"/>
      <c r="G3621" s="705">
        <v>142.09373670000505</v>
      </c>
    </row>
    <row r="3622" spans="2:7" ht="11.25" hidden="1" customHeight="1" outlineLevel="2" x14ac:dyDescent="0.25">
      <c r="B3622" s="704" t="s">
        <v>681</v>
      </c>
      <c r="C3622" s="704" t="s">
        <v>860</v>
      </c>
      <c r="D3622" s="704" t="s">
        <v>715</v>
      </c>
      <c r="E3622" s="704" t="s">
        <v>861</v>
      </c>
      <c r="F3622" s="709"/>
      <c r="G3622" s="705">
        <v>142.09373670000505</v>
      </c>
    </row>
    <row r="3623" spans="2:7" ht="11.25" hidden="1" customHeight="1" outlineLevel="2" x14ac:dyDescent="0.25">
      <c r="B3623" s="704" t="s">
        <v>682</v>
      </c>
      <c r="C3623" s="704" t="s">
        <v>860</v>
      </c>
      <c r="D3623" s="704" t="s">
        <v>715</v>
      </c>
      <c r="E3623" s="704" t="s">
        <v>861</v>
      </c>
      <c r="F3623" s="709"/>
      <c r="G3623" s="705">
        <v>378.91666585936753</v>
      </c>
    </row>
    <row r="3624" spans="2:7" ht="11.25" hidden="1" customHeight="1" outlineLevel="2" x14ac:dyDescent="0.25">
      <c r="B3624" s="704" t="s">
        <v>683</v>
      </c>
      <c r="C3624" s="704" t="s">
        <v>860</v>
      </c>
      <c r="D3624" s="704" t="s">
        <v>715</v>
      </c>
      <c r="E3624" s="704" t="s">
        <v>861</v>
      </c>
      <c r="F3624" s="709"/>
      <c r="G3624" s="705">
        <v>142.09373670000505</v>
      </c>
    </row>
    <row r="3625" spans="2:7" ht="11.25" hidden="1" customHeight="1" outlineLevel="2" x14ac:dyDescent="0.25">
      <c r="B3625" s="704" t="s">
        <v>684</v>
      </c>
      <c r="C3625" s="704" t="s">
        <v>860</v>
      </c>
      <c r="D3625" s="704" t="s">
        <v>715</v>
      </c>
      <c r="E3625" s="704" t="s">
        <v>861</v>
      </c>
      <c r="F3625" s="709"/>
      <c r="G3625" s="705">
        <v>47.364569184419921</v>
      </c>
    </row>
    <row r="3626" spans="2:7" ht="11.25" hidden="1" customHeight="1" outlineLevel="2" x14ac:dyDescent="0.25">
      <c r="B3626" s="704" t="s">
        <v>685</v>
      </c>
      <c r="C3626" s="704" t="s">
        <v>860</v>
      </c>
      <c r="D3626" s="704" t="s">
        <v>715</v>
      </c>
      <c r="E3626" s="704" t="s">
        <v>861</v>
      </c>
      <c r="F3626" s="709"/>
      <c r="G3626" s="705">
        <v>142.09373670000505</v>
      </c>
    </row>
    <row r="3627" spans="2:7" ht="11.25" hidden="1" customHeight="1" outlineLevel="2" x14ac:dyDescent="0.25">
      <c r="B3627" s="704" t="s">
        <v>686</v>
      </c>
      <c r="C3627" s="704" t="s">
        <v>860</v>
      </c>
      <c r="D3627" s="704" t="s">
        <v>715</v>
      </c>
      <c r="E3627" s="704" t="s">
        <v>861</v>
      </c>
      <c r="F3627" s="709"/>
      <c r="G3627" s="705">
        <v>142.09373670000505</v>
      </c>
    </row>
    <row r="3628" spans="2:7" ht="11.25" hidden="1" customHeight="1" outlineLevel="2" x14ac:dyDescent="0.25">
      <c r="B3628" s="704" t="s">
        <v>687</v>
      </c>
      <c r="C3628" s="704" t="s">
        <v>860</v>
      </c>
      <c r="D3628" s="704" t="s">
        <v>715</v>
      </c>
      <c r="E3628" s="704" t="s">
        <v>861</v>
      </c>
      <c r="F3628" s="709"/>
      <c r="G3628" s="705">
        <v>236.8229042114578</v>
      </c>
    </row>
    <row r="3629" spans="2:7" ht="11.25" hidden="1" customHeight="1" outlineLevel="2" x14ac:dyDescent="0.25">
      <c r="B3629" s="704" t="s">
        <v>688</v>
      </c>
      <c r="C3629" s="704" t="s">
        <v>860</v>
      </c>
      <c r="D3629" s="704" t="s">
        <v>715</v>
      </c>
      <c r="E3629" s="704" t="s">
        <v>861</v>
      </c>
      <c r="F3629" s="709"/>
      <c r="G3629" s="705">
        <v>50.400983409862945</v>
      </c>
    </row>
    <row r="3630" spans="2:7" ht="11.25" hidden="1" customHeight="1" outlineLevel="2" x14ac:dyDescent="0.25">
      <c r="B3630" s="704" t="s">
        <v>689</v>
      </c>
      <c r="C3630" s="704" t="s">
        <v>860</v>
      </c>
      <c r="D3630" s="704" t="s">
        <v>715</v>
      </c>
      <c r="E3630" s="704" t="s">
        <v>861</v>
      </c>
      <c r="F3630" s="709"/>
      <c r="G3630" s="705">
        <v>218.07082168546077</v>
      </c>
    </row>
    <row r="3631" spans="2:7" ht="11.25" hidden="1" customHeight="1" outlineLevel="2" x14ac:dyDescent="0.25">
      <c r="B3631" s="704" t="s">
        <v>690</v>
      </c>
      <c r="C3631" s="704" t="s">
        <v>860</v>
      </c>
      <c r="D3631" s="704" t="s">
        <v>715</v>
      </c>
      <c r="E3631" s="704" t="s">
        <v>861</v>
      </c>
      <c r="F3631" s="709"/>
      <c r="G3631" s="705">
        <v>284.18749510955115</v>
      </c>
    </row>
    <row r="3632" spans="2:7" ht="11.25" hidden="1" customHeight="1" outlineLevel="2" x14ac:dyDescent="0.25">
      <c r="B3632" s="704" t="s">
        <v>691</v>
      </c>
      <c r="C3632" s="704" t="s">
        <v>860</v>
      </c>
      <c r="D3632" s="704" t="s">
        <v>715</v>
      </c>
      <c r="E3632" s="704" t="s">
        <v>861</v>
      </c>
      <c r="F3632" s="708"/>
      <c r="G3632" s="705">
        <v>142.09373670146664</v>
      </c>
    </row>
    <row r="3633" spans="2:7" ht="11.25" hidden="1" customHeight="1" outlineLevel="2" x14ac:dyDescent="0.25">
      <c r="B3633" s="704" t="s">
        <v>692</v>
      </c>
      <c r="C3633" s="704" t="s">
        <v>860</v>
      </c>
      <c r="D3633" s="704" t="s">
        <v>715</v>
      </c>
      <c r="E3633" s="704" t="s">
        <v>861</v>
      </c>
      <c r="F3633" s="708"/>
      <c r="G3633" s="705">
        <v>94.729131698517364</v>
      </c>
    </row>
    <row r="3634" spans="2:7" ht="11.25" hidden="1" customHeight="1" outlineLevel="2" x14ac:dyDescent="0.25">
      <c r="B3634" s="704" t="s">
        <v>693</v>
      </c>
      <c r="C3634" s="704" t="s">
        <v>860</v>
      </c>
      <c r="D3634" s="704" t="s">
        <v>715</v>
      </c>
      <c r="E3634" s="704" t="s">
        <v>861</v>
      </c>
      <c r="F3634" s="709"/>
      <c r="G3634" s="705">
        <v>94.729131698517477</v>
      </c>
    </row>
    <row r="3635" spans="2:7" ht="11.25" hidden="1" customHeight="1" outlineLevel="2" x14ac:dyDescent="0.25">
      <c r="B3635" s="704" t="s">
        <v>694</v>
      </c>
      <c r="C3635" s="704" t="s">
        <v>860</v>
      </c>
      <c r="D3635" s="704" t="s">
        <v>715</v>
      </c>
      <c r="E3635" s="704" t="s">
        <v>861</v>
      </c>
      <c r="F3635" s="708"/>
      <c r="G3635" s="705">
        <v>3.9412429149442822E-29</v>
      </c>
    </row>
    <row r="3636" spans="2:7" ht="11.25" hidden="1" customHeight="1" outlineLevel="2" x14ac:dyDescent="0.25">
      <c r="B3636" s="704" t="s">
        <v>695</v>
      </c>
      <c r="C3636" s="704" t="s">
        <v>860</v>
      </c>
      <c r="D3636" s="704" t="s">
        <v>715</v>
      </c>
      <c r="E3636" s="704" t="s">
        <v>861</v>
      </c>
      <c r="F3636" s="708"/>
      <c r="G3636" s="705">
        <v>3.9412429149442822E-29</v>
      </c>
    </row>
    <row r="3637" spans="2:7" ht="11.25" hidden="1" customHeight="1" outlineLevel="2" x14ac:dyDescent="0.25">
      <c r="B3637" s="704" t="s">
        <v>696</v>
      </c>
      <c r="C3637" s="704" t="s">
        <v>860</v>
      </c>
      <c r="D3637" s="704" t="s">
        <v>715</v>
      </c>
      <c r="E3637" s="704" t="s">
        <v>861</v>
      </c>
      <c r="F3637" s="708"/>
      <c r="G3637" s="705">
        <v>142.09373670000505</v>
      </c>
    </row>
    <row r="3638" spans="2:7" ht="11.25" hidden="1" customHeight="1" outlineLevel="2" x14ac:dyDescent="0.25">
      <c r="B3638" s="704" t="s">
        <v>697</v>
      </c>
      <c r="C3638" s="704" t="s">
        <v>860</v>
      </c>
      <c r="D3638" s="704" t="s">
        <v>715</v>
      </c>
      <c r="E3638" s="704" t="s">
        <v>861</v>
      </c>
      <c r="F3638" s="708"/>
      <c r="G3638" s="705">
        <v>142.09373670146664</v>
      </c>
    </row>
    <row r="3639" spans="2:7" ht="11.25" hidden="1" customHeight="1" outlineLevel="2" x14ac:dyDescent="0.25">
      <c r="B3639" s="704" t="s">
        <v>698</v>
      </c>
      <c r="C3639" s="704" t="s">
        <v>860</v>
      </c>
      <c r="D3639" s="704" t="s">
        <v>715</v>
      </c>
      <c r="E3639" s="704" t="s">
        <v>861</v>
      </c>
      <c r="F3639" s="708"/>
      <c r="G3639" s="705">
        <v>189.45830064831205</v>
      </c>
    </row>
    <row r="3640" spans="2:7" ht="11.25" hidden="1" customHeight="1" outlineLevel="2" x14ac:dyDescent="0.25">
      <c r="B3640" s="704" t="s">
        <v>699</v>
      </c>
      <c r="C3640" s="704" t="s">
        <v>860</v>
      </c>
      <c r="D3640" s="704" t="s">
        <v>715</v>
      </c>
      <c r="E3640" s="704" t="s">
        <v>861</v>
      </c>
      <c r="F3640" s="708"/>
      <c r="G3640" s="705">
        <v>3.9412429149442822E-29</v>
      </c>
    </row>
    <row r="3641" spans="2:7" ht="11.25" hidden="1" customHeight="1" outlineLevel="2" x14ac:dyDescent="0.25">
      <c r="B3641" s="704" t="s">
        <v>673</v>
      </c>
      <c r="C3641" s="704" t="s">
        <v>862</v>
      </c>
      <c r="D3641" s="704" t="s">
        <v>675</v>
      </c>
      <c r="E3641" s="704" t="s">
        <v>861</v>
      </c>
      <c r="F3641" s="708"/>
      <c r="G3641" s="705">
        <v>112.92892940228325</v>
      </c>
    </row>
    <row r="3642" spans="2:7" ht="11.25" hidden="1" customHeight="1" outlineLevel="2" x14ac:dyDescent="0.25">
      <c r="B3642" s="704" t="s">
        <v>677</v>
      </c>
      <c r="C3642" s="704" t="s">
        <v>862</v>
      </c>
      <c r="D3642" s="704" t="s">
        <v>675</v>
      </c>
      <c r="E3642" s="704" t="s">
        <v>861</v>
      </c>
      <c r="F3642" s="705">
        <v>6.2063333535991375E-2</v>
      </c>
      <c r="G3642" s="705">
        <v>1874.0373568088044</v>
      </c>
    </row>
    <row r="3643" spans="2:7" ht="11.25" hidden="1" customHeight="1" outlineLevel="2" x14ac:dyDescent="0.25">
      <c r="B3643" s="704" t="s">
        <v>678</v>
      </c>
      <c r="C3643" s="704" t="s">
        <v>862</v>
      </c>
      <c r="D3643" s="704" t="s">
        <v>675</v>
      </c>
      <c r="E3643" s="704" t="s">
        <v>861</v>
      </c>
      <c r="F3643" s="708"/>
      <c r="G3643" s="705">
        <v>4340.8615878848386</v>
      </c>
    </row>
    <row r="3644" spans="2:7" ht="11.25" hidden="1" customHeight="1" outlineLevel="2" x14ac:dyDescent="0.25">
      <c r="B3644" s="704" t="s">
        <v>679</v>
      </c>
      <c r="C3644" s="704" t="s">
        <v>862</v>
      </c>
      <c r="D3644" s="704" t="s">
        <v>675</v>
      </c>
      <c r="E3644" s="704" t="s">
        <v>861</v>
      </c>
      <c r="F3644" s="708"/>
      <c r="G3644" s="705">
        <v>352.2702525046123</v>
      </c>
    </row>
    <row r="3645" spans="2:7" ht="11.25" hidden="1" customHeight="1" outlineLevel="2" x14ac:dyDescent="0.25">
      <c r="B3645" s="704" t="s">
        <v>680</v>
      </c>
      <c r="C3645" s="704" t="s">
        <v>862</v>
      </c>
      <c r="D3645" s="704" t="s">
        <v>675</v>
      </c>
      <c r="E3645" s="704" t="s">
        <v>861</v>
      </c>
      <c r="F3645" s="708"/>
      <c r="G3645" s="705">
        <v>65.292257428933468</v>
      </c>
    </row>
    <row r="3646" spans="2:7" ht="11.25" hidden="1" customHeight="1" outlineLevel="2" x14ac:dyDescent="0.25">
      <c r="B3646" s="704" t="s">
        <v>681</v>
      </c>
      <c r="C3646" s="704" t="s">
        <v>862</v>
      </c>
      <c r="D3646" s="704" t="s">
        <v>675</v>
      </c>
      <c r="E3646" s="704" t="s">
        <v>861</v>
      </c>
      <c r="F3646" s="708"/>
      <c r="G3646" s="705">
        <v>550.71955907221923</v>
      </c>
    </row>
    <row r="3647" spans="2:7" ht="11.25" hidden="1" customHeight="1" outlineLevel="2" x14ac:dyDescent="0.25">
      <c r="B3647" s="704" t="s">
        <v>682</v>
      </c>
      <c r="C3647" s="704" t="s">
        <v>862</v>
      </c>
      <c r="D3647" s="704" t="s">
        <v>675</v>
      </c>
      <c r="E3647" s="704" t="s">
        <v>861</v>
      </c>
      <c r="F3647" s="708"/>
      <c r="G3647" s="705">
        <v>483.44729608395437</v>
      </c>
    </row>
    <row r="3648" spans="2:7" ht="11.25" hidden="1" customHeight="1" outlineLevel="2" x14ac:dyDescent="0.25">
      <c r="B3648" s="704" t="s">
        <v>683</v>
      </c>
      <c r="C3648" s="704" t="s">
        <v>862</v>
      </c>
      <c r="D3648" s="704" t="s">
        <v>675</v>
      </c>
      <c r="E3648" s="704" t="s">
        <v>861</v>
      </c>
      <c r="F3648" s="708"/>
      <c r="G3648" s="705">
        <v>802.89173118326619</v>
      </c>
    </row>
    <row r="3649" spans="2:7" ht="11.25" hidden="1" customHeight="1" outlineLevel="2" x14ac:dyDescent="0.25">
      <c r="B3649" s="704" t="s">
        <v>684</v>
      </c>
      <c r="C3649" s="704" t="s">
        <v>862</v>
      </c>
      <c r="D3649" s="704" t="s">
        <v>675</v>
      </c>
      <c r="E3649" s="704" t="s">
        <v>861</v>
      </c>
      <c r="F3649" s="708"/>
      <c r="G3649" s="705">
        <v>104.8011144571137</v>
      </c>
    </row>
    <row r="3650" spans="2:7" ht="11.25" hidden="1" customHeight="1" outlineLevel="2" x14ac:dyDescent="0.25">
      <c r="B3650" s="704" t="s">
        <v>685</v>
      </c>
      <c r="C3650" s="704" t="s">
        <v>862</v>
      </c>
      <c r="D3650" s="704" t="s">
        <v>675</v>
      </c>
      <c r="E3650" s="704" t="s">
        <v>861</v>
      </c>
      <c r="F3650" s="708"/>
      <c r="G3650" s="705">
        <v>963.54446895641991</v>
      </c>
    </row>
    <row r="3651" spans="2:7" ht="11.25" hidden="1" customHeight="1" outlineLevel="2" x14ac:dyDescent="0.25">
      <c r="B3651" s="704" t="s">
        <v>686</v>
      </c>
      <c r="C3651" s="704" t="s">
        <v>862</v>
      </c>
      <c r="D3651" s="704" t="s">
        <v>675</v>
      </c>
      <c r="E3651" s="704" t="s">
        <v>861</v>
      </c>
      <c r="F3651" s="708"/>
      <c r="G3651" s="705">
        <v>226.53770376503471</v>
      </c>
    </row>
    <row r="3652" spans="2:7" ht="11.25" hidden="1" customHeight="1" outlineLevel="2" x14ac:dyDescent="0.25">
      <c r="B3652" s="704" t="s">
        <v>687</v>
      </c>
      <c r="C3652" s="704" t="s">
        <v>862</v>
      </c>
      <c r="D3652" s="704" t="s">
        <v>675</v>
      </c>
      <c r="E3652" s="704" t="s">
        <v>861</v>
      </c>
      <c r="F3652" s="708"/>
      <c r="G3652" s="705">
        <v>1160.40916776105</v>
      </c>
    </row>
    <row r="3653" spans="2:7" ht="11.25" hidden="1" customHeight="1" outlineLevel="2" x14ac:dyDescent="0.25">
      <c r="B3653" s="704" t="s">
        <v>688</v>
      </c>
      <c r="C3653" s="704" t="s">
        <v>862</v>
      </c>
      <c r="D3653" s="704" t="s">
        <v>675</v>
      </c>
      <c r="E3653" s="704" t="s">
        <v>861</v>
      </c>
      <c r="F3653" s="708"/>
      <c r="G3653" s="705">
        <v>832.92381542593853</v>
      </c>
    </row>
    <row r="3654" spans="2:7" ht="11.25" hidden="1" customHeight="1" outlineLevel="2" x14ac:dyDescent="0.25">
      <c r="B3654" s="704" t="s">
        <v>689</v>
      </c>
      <c r="C3654" s="704" t="s">
        <v>862</v>
      </c>
      <c r="D3654" s="704" t="s">
        <v>675</v>
      </c>
      <c r="E3654" s="704" t="s">
        <v>861</v>
      </c>
      <c r="F3654" s="708"/>
      <c r="G3654" s="705">
        <v>123.14668351426195</v>
      </c>
    </row>
    <row r="3655" spans="2:7" ht="11.25" hidden="1" customHeight="1" outlineLevel="2" x14ac:dyDescent="0.25">
      <c r="B3655" s="704" t="s">
        <v>690</v>
      </c>
      <c r="C3655" s="704" t="s">
        <v>862</v>
      </c>
      <c r="D3655" s="704" t="s">
        <v>675</v>
      </c>
      <c r="E3655" s="704" t="s">
        <v>861</v>
      </c>
      <c r="F3655" s="709"/>
      <c r="G3655" s="705">
        <v>2711.2806585827957</v>
      </c>
    </row>
    <row r="3656" spans="2:7" ht="11.25" hidden="1" customHeight="1" outlineLevel="2" x14ac:dyDescent="0.25">
      <c r="B3656" s="704" t="s">
        <v>691</v>
      </c>
      <c r="C3656" s="704" t="s">
        <v>862</v>
      </c>
      <c r="D3656" s="704" t="s">
        <v>675</v>
      </c>
      <c r="E3656" s="704" t="s">
        <v>861</v>
      </c>
      <c r="F3656" s="709"/>
      <c r="G3656" s="705">
        <v>3096.3665845338423</v>
      </c>
    </row>
    <row r="3657" spans="2:7" ht="11.25" hidden="1" customHeight="1" outlineLevel="2" x14ac:dyDescent="0.25">
      <c r="B3657" s="704" t="s">
        <v>692</v>
      </c>
      <c r="C3657" s="704" t="s">
        <v>862</v>
      </c>
      <c r="D3657" s="704" t="s">
        <v>675</v>
      </c>
      <c r="E3657" s="704" t="s">
        <v>861</v>
      </c>
      <c r="F3657" s="709"/>
      <c r="G3657" s="705">
        <v>181.06783786850019</v>
      </c>
    </row>
    <row r="3658" spans="2:7" ht="11.25" hidden="1" customHeight="1" outlineLevel="2" x14ac:dyDescent="0.25">
      <c r="B3658" s="704" t="s">
        <v>693</v>
      </c>
      <c r="C3658" s="704" t="s">
        <v>862</v>
      </c>
      <c r="D3658" s="704" t="s">
        <v>675</v>
      </c>
      <c r="E3658" s="704" t="s">
        <v>861</v>
      </c>
      <c r="F3658" s="709"/>
      <c r="G3658" s="705">
        <v>451.98119250186147</v>
      </c>
    </row>
    <row r="3659" spans="2:7" ht="11.25" hidden="1" customHeight="1" outlineLevel="2" x14ac:dyDescent="0.25">
      <c r="B3659" s="704" t="s">
        <v>694</v>
      </c>
      <c r="C3659" s="704" t="s">
        <v>862</v>
      </c>
      <c r="D3659" s="704" t="s">
        <v>675</v>
      </c>
      <c r="E3659" s="704" t="s">
        <v>861</v>
      </c>
      <c r="F3659" s="709"/>
      <c r="G3659" s="705">
        <v>50.672404110038215</v>
      </c>
    </row>
    <row r="3660" spans="2:7" ht="11.25" hidden="1" customHeight="1" outlineLevel="2" x14ac:dyDescent="0.25">
      <c r="B3660" s="704" t="s">
        <v>695</v>
      </c>
      <c r="C3660" s="704" t="s">
        <v>862</v>
      </c>
      <c r="D3660" s="704" t="s">
        <v>675</v>
      </c>
      <c r="E3660" s="704" t="s">
        <v>861</v>
      </c>
      <c r="F3660" s="709"/>
      <c r="G3660" s="705">
        <v>240.35448158654685</v>
      </c>
    </row>
    <row r="3661" spans="2:7" ht="11.25" hidden="1" customHeight="1" outlineLevel="2" x14ac:dyDescent="0.25">
      <c r="B3661" s="704" t="s">
        <v>696</v>
      </c>
      <c r="C3661" s="704" t="s">
        <v>862</v>
      </c>
      <c r="D3661" s="704" t="s">
        <v>675</v>
      </c>
      <c r="E3661" s="704" t="s">
        <v>861</v>
      </c>
      <c r="F3661" s="708"/>
      <c r="G3661" s="705">
        <v>600.53571992976708</v>
      </c>
    </row>
    <row r="3662" spans="2:7" ht="11.25" hidden="1" customHeight="1" outlineLevel="2" x14ac:dyDescent="0.25">
      <c r="B3662" s="704" t="s">
        <v>697</v>
      </c>
      <c r="C3662" s="704" t="s">
        <v>862</v>
      </c>
      <c r="D3662" s="704" t="s">
        <v>675</v>
      </c>
      <c r="E3662" s="704" t="s">
        <v>861</v>
      </c>
      <c r="F3662" s="708"/>
      <c r="G3662" s="705">
        <v>328.57067439068271</v>
      </c>
    </row>
    <row r="3663" spans="2:7" ht="11.25" hidden="1" customHeight="1" outlineLevel="2" x14ac:dyDescent="0.25">
      <c r="B3663" s="704" t="s">
        <v>698</v>
      </c>
      <c r="C3663" s="704" t="s">
        <v>862</v>
      </c>
      <c r="D3663" s="704" t="s">
        <v>675</v>
      </c>
      <c r="E3663" s="704" t="s">
        <v>861</v>
      </c>
      <c r="F3663" s="708"/>
      <c r="G3663" s="705">
        <v>360.79948700723946</v>
      </c>
    </row>
    <row r="3664" spans="2:7" ht="11.25" hidden="1" customHeight="1" outlineLevel="2" x14ac:dyDescent="0.25">
      <c r="B3664" s="704" t="s">
        <v>699</v>
      </c>
      <c r="C3664" s="704" t="s">
        <v>862</v>
      </c>
      <c r="D3664" s="704" t="s">
        <v>675</v>
      </c>
      <c r="E3664" s="704" t="s">
        <v>861</v>
      </c>
      <c r="F3664" s="708"/>
      <c r="G3664" s="705">
        <v>2.1125038966377829E-29</v>
      </c>
    </row>
    <row r="3665" spans="2:7" ht="11.25" hidden="1" customHeight="1" outlineLevel="2" x14ac:dyDescent="0.25">
      <c r="B3665" s="704" t="s">
        <v>673</v>
      </c>
      <c r="C3665" s="704" t="s">
        <v>863</v>
      </c>
      <c r="D3665" s="704" t="s">
        <v>675</v>
      </c>
      <c r="E3665" s="704" t="s">
        <v>861</v>
      </c>
      <c r="F3665" s="708"/>
      <c r="G3665" s="705">
        <v>0.18408181297184548</v>
      </c>
    </row>
    <row r="3666" spans="2:7" ht="11.25" hidden="1" customHeight="1" outlineLevel="2" x14ac:dyDescent="0.25">
      <c r="B3666" s="704" t="s">
        <v>677</v>
      </c>
      <c r="C3666" s="704" t="s">
        <v>863</v>
      </c>
      <c r="D3666" s="704" t="s">
        <v>675</v>
      </c>
      <c r="E3666" s="704" t="s">
        <v>861</v>
      </c>
      <c r="F3666" s="705">
        <v>2.2922326966446803E-4</v>
      </c>
      <c r="G3666" s="705">
        <v>3.0548081027743423</v>
      </c>
    </row>
    <row r="3667" spans="2:7" ht="11.25" hidden="1" customHeight="1" outlineLevel="2" x14ac:dyDescent="0.25">
      <c r="B3667" s="704" t="s">
        <v>678</v>
      </c>
      <c r="C3667" s="704" t="s">
        <v>863</v>
      </c>
      <c r="D3667" s="704" t="s">
        <v>675</v>
      </c>
      <c r="E3667" s="704" t="s">
        <v>861</v>
      </c>
      <c r="F3667" s="708"/>
      <c r="G3667" s="705">
        <v>7.075898716159438</v>
      </c>
    </row>
    <row r="3668" spans="2:7" ht="11.25" hidden="1" customHeight="1" outlineLevel="2" x14ac:dyDescent="0.25">
      <c r="B3668" s="704" t="s">
        <v>679</v>
      </c>
      <c r="C3668" s="704" t="s">
        <v>863</v>
      </c>
      <c r="D3668" s="704" t="s">
        <v>675</v>
      </c>
      <c r="E3668" s="704" t="s">
        <v>861</v>
      </c>
      <c r="F3668" s="708"/>
      <c r="G3668" s="705">
        <v>0.57422432591537742</v>
      </c>
    </row>
    <row r="3669" spans="2:7" ht="11.25" hidden="1" customHeight="1" outlineLevel="2" x14ac:dyDescent="0.25">
      <c r="B3669" s="704" t="s">
        <v>680</v>
      </c>
      <c r="C3669" s="704" t="s">
        <v>863</v>
      </c>
      <c r="D3669" s="704" t="s">
        <v>675</v>
      </c>
      <c r="E3669" s="704" t="s">
        <v>861</v>
      </c>
      <c r="F3669" s="708"/>
      <c r="G3669" s="705">
        <v>0.10643078236226711</v>
      </c>
    </row>
    <row r="3670" spans="2:7" ht="11.25" hidden="1" customHeight="1" outlineLevel="2" x14ac:dyDescent="0.25">
      <c r="B3670" s="704" t="s">
        <v>681</v>
      </c>
      <c r="C3670" s="704" t="s">
        <v>863</v>
      </c>
      <c r="D3670" s="704" t="s">
        <v>675</v>
      </c>
      <c r="E3670" s="704" t="s">
        <v>861</v>
      </c>
      <c r="F3670" s="708"/>
      <c r="G3670" s="705">
        <v>0.89771046763246454</v>
      </c>
    </row>
    <row r="3671" spans="2:7" ht="11.25" hidden="1" customHeight="1" outlineLevel="2" x14ac:dyDescent="0.25">
      <c r="B3671" s="704" t="s">
        <v>682</v>
      </c>
      <c r="C3671" s="704" t="s">
        <v>863</v>
      </c>
      <c r="D3671" s="704" t="s">
        <v>675</v>
      </c>
      <c r="E3671" s="704" t="s">
        <v>861</v>
      </c>
      <c r="F3671" s="708"/>
      <c r="G3671" s="705">
        <v>0.7880521867316288</v>
      </c>
    </row>
    <row r="3672" spans="2:7" ht="11.25" hidden="1" customHeight="1" outlineLevel="2" x14ac:dyDescent="0.25">
      <c r="B3672" s="704" t="s">
        <v>683</v>
      </c>
      <c r="C3672" s="704" t="s">
        <v>863</v>
      </c>
      <c r="D3672" s="704" t="s">
        <v>675</v>
      </c>
      <c r="E3672" s="704" t="s">
        <v>861</v>
      </c>
      <c r="F3672" s="708"/>
      <c r="G3672" s="705">
        <v>1.3087685247288434</v>
      </c>
    </row>
    <row r="3673" spans="2:7" ht="11.25" hidden="1" customHeight="1" outlineLevel="2" x14ac:dyDescent="0.25">
      <c r="B3673" s="704" t="s">
        <v>684</v>
      </c>
      <c r="C3673" s="704" t="s">
        <v>863</v>
      </c>
      <c r="D3673" s="704" t="s">
        <v>675</v>
      </c>
      <c r="E3673" s="704" t="s">
        <v>861</v>
      </c>
      <c r="F3673" s="708"/>
      <c r="G3673" s="705">
        <v>0.1708329668738004</v>
      </c>
    </row>
    <row r="3674" spans="2:7" ht="11.25" hidden="1" customHeight="1" outlineLevel="2" x14ac:dyDescent="0.25">
      <c r="B3674" s="704" t="s">
        <v>685</v>
      </c>
      <c r="C3674" s="704" t="s">
        <v>863</v>
      </c>
      <c r="D3674" s="704" t="s">
        <v>675</v>
      </c>
      <c r="E3674" s="704" t="s">
        <v>861</v>
      </c>
      <c r="F3674" s="708"/>
      <c r="G3674" s="705">
        <v>1.5706431951414932</v>
      </c>
    </row>
    <row r="3675" spans="2:7" ht="11.25" hidden="1" customHeight="1" outlineLevel="2" x14ac:dyDescent="0.25">
      <c r="B3675" s="704" t="s">
        <v>686</v>
      </c>
      <c r="C3675" s="704" t="s">
        <v>863</v>
      </c>
      <c r="D3675" s="704" t="s">
        <v>675</v>
      </c>
      <c r="E3675" s="704" t="s">
        <v>861</v>
      </c>
      <c r="F3675" s="708"/>
      <c r="G3675" s="705">
        <v>0.36927186949696766</v>
      </c>
    </row>
    <row r="3676" spans="2:7" ht="11.25" hidden="1" customHeight="1" outlineLevel="2" x14ac:dyDescent="0.25">
      <c r="B3676" s="704" t="s">
        <v>687</v>
      </c>
      <c r="C3676" s="704" t="s">
        <v>863</v>
      </c>
      <c r="D3676" s="704" t="s">
        <v>675</v>
      </c>
      <c r="E3676" s="704" t="s">
        <v>861</v>
      </c>
      <c r="F3676" s="708"/>
      <c r="G3676" s="705">
        <v>1.8915456825712469</v>
      </c>
    </row>
    <row r="3677" spans="2:7" ht="11.25" hidden="1" customHeight="1" outlineLevel="2" x14ac:dyDescent="0.25">
      <c r="B3677" s="704" t="s">
        <v>688</v>
      </c>
      <c r="C3677" s="704" t="s">
        <v>863</v>
      </c>
      <c r="D3677" s="704" t="s">
        <v>675</v>
      </c>
      <c r="E3677" s="704" t="s">
        <v>861</v>
      </c>
      <c r="F3677" s="708"/>
      <c r="G3677" s="705">
        <v>1.357722794414665</v>
      </c>
    </row>
    <row r="3678" spans="2:7" ht="11.25" hidden="1" customHeight="1" outlineLevel="2" x14ac:dyDescent="0.25">
      <c r="B3678" s="704" t="s">
        <v>689</v>
      </c>
      <c r="C3678" s="704" t="s">
        <v>863</v>
      </c>
      <c r="D3678" s="704" t="s">
        <v>675</v>
      </c>
      <c r="E3678" s="704" t="s">
        <v>861</v>
      </c>
      <c r="F3678" s="708"/>
      <c r="G3678" s="705">
        <v>0.20073750014539174</v>
      </c>
    </row>
    <row r="3679" spans="2:7" ht="11.25" hidden="1" customHeight="1" outlineLevel="2" x14ac:dyDescent="0.25">
      <c r="B3679" s="704" t="s">
        <v>690</v>
      </c>
      <c r="C3679" s="704" t="s">
        <v>863</v>
      </c>
      <c r="D3679" s="704" t="s">
        <v>675</v>
      </c>
      <c r="E3679" s="704" t="s">
        <v>861</v>
      </c>
      <c r="F3679" s="708"/>
      <c r="G3679" s="705">
        <v>4.4195705235518714</v>
      </c>
    </row>
    <row r="3680" spans="2:7" ht="11.25" hidden="1" customHeight="1" outlineLevel="2" x14ac:dyDescent="0.25">
      <c r="B3680" s="704" t="s">
        <v>691</v>
      </c>
      <c r="C3680" s="704" t="s">
        <v>863</v>
      </c>
      <c r="D3680" s="704" t="s">
        <v>675</v>
      </c>
      <c r="E3680" s="704" t="s">
        <v>861</v>
      </c>
      <c r="F3680" s="708"/>
      <c r="G3680" s="705">
        <v>5.0472903490246139</v>
      </c>
    </row>
    <row r="3681" spans="2:7" ht="11.25" hidden="1" customHeight="1" outlineLevel="2" x14ac:dyDescent="0.25">
      <c r="B3681" s="704" t="s">
        <v>692</v>
      </c>
      <c r="C3681" s="704" t="s">
        <v>863</v>
      </c>
      <c r="D3681" s="704" t="s">
        <v>675</v>
      </c>
      <c r="E3681" s="704" t="s">
        <v>861</v>
      </c>
      <c r="F3681" s="708"/>
      <c r="G3681" s="705">
        <v>0.29515285363729743</v>
      </c>
    </row>
    <row r="3682" spans="2:7" ht="11.25" hidden="1" customHeight="1" outlineLevel="2" x14ac:dyDescent="0.25">
      <c r="B3682" s="704" t="s">
        <v>693</v>
      </c>
      <c r="C3682" s="704" t="s">
        <v>863</v>
      </c>
      <c r="D3682" s="704" t="s">
        <v>675</v>
      </c>
      <c r="E3682" s="704" t="s">
        <v>861</v>
      </c>
      <c r="F3682" s="708"/>
      <c r="G3682" s="705">
        <v>0.73676032264347846</v>
      </c>
    </row>
    <row r="3683" spans="2:7" ht="11.25" hidden="1" customHeight="1" outlineLevel="2" x14ac:dyDescent="0.25">
      <c r="B3683" s="704" t="s">
        <v>694</v>
      </c>
      <c r="C3683" s="704" t="s">
        <v>863</v>
      </c>
      <c r="D3683" s="704" t="s">
        <v>675</v>
      </c>
      <c r="E3683" s="704" t="s">
        <v>861</v>
      </c>
      <c r="F3683" s="708"/>
      <c r="G3683" s="705">
        <v>8.2599461990348177E-2</v>
      </c>
    </row>
    <row r="3684" spans="2:7" ht="11.25" hidden="1" customHeight="1" outlineLevel="2" x14ac:dyDescent="0.25">
      <c r="B3684" s="704" t="s">
        <v>695</v>
      </c>
      <c r="C3684" s="704" t="s">
        <v>863</v>
      </c>
      <c r="D3684" s="704" t="s">
        <v>675</v>
      </c>
      <c r="E3684" s="704" t="s">
        <v>861</v>
      </c>
      <c r="F3684" s="708"/>
      <c r="G3684" s="705">
        <v>0.39179421689414573</v>
      </c>
    </row>
    <row r="3685" spans="2:7" ht="11.25" hidden="1" customHeight="1" outlineLevel="2" x14ac:dyDescent="0.25">
      <c r="B3685" s="704" t="s">
        <v>696</v>
      </c>
      <c r="C3685" s="704" t="s">
        <v>863</v>
      </c>
      <c r="D3685" s="704" t="s">
        <v>675</v>
      </c>
      <c r="E3685" s="704" t="s">
        <v>861</v>
      </c>
      <c r="F3685" s="708"/>
      <c r="G3685" s="705">
        <v>0.97891415816024718</v>
      </c>
    </row>
    <row r="3686" spans="2:7" ht="11.25" hidden="1" customHeight="1" outlineLevel="2" x14ac:dyDescent="0.25">
      <c r="B3686" s="704" t="s">
        <v>697</v>
      </c>
      <c r="C3686" s="704" t="s">
        <v>863</v>
      </c>
      <c r="D3686" s="704" t="s">
        <v>675</v>
      </c>
      <c r="E3686" s="704" t="s">
        <v>861</v>
      </c>
      <c r="F3686" s="708"/>
      <c r="G3686" s="705">
        <v>0.53559275834672404</v>
      </c>
    </row>
    <row r="3687" spans="2:7" ht="11.25" hidden="1" customHeight="1" outlineLevel="2" x14ac:dyDescent="0.25">
      <c r="B3687" s="704" t="s">
        <v>698</v>
      </c>
      <c r="C3687" s="704" t="s">
        <v>863</v>
      </c>
      <c r="D3687" s="704" t="s">
        <v>675</v>
      </c>
      <c r="E3687" s="704" t="s">
        <v>861</v>
      </c>
      <c r="F3687" s="708"/>
      <c r="G3687" s="705">
        <v>0.58812755851015364</v>
      </c>
    </row>
    <row r="3688" spans="2:7" ht="11.25" hidden="1" customHeight="1" outlineLevel="2" x14ac:dyDescent="0.25">
      <c r="B3688" s="704" t="s">
        <v>699</v>
      </c>
      <c r="C3688" s="704" t="s">
        <v>863</v>
      </c>
      <c r="D3688" s="704" t="s">
        <v>675</v>
      </c>
      <c r="E3688" s="704" t="s">
        <v>861</v>
      </c>
      <c r="F3688" s="708"/>
      <c r="G3688" s="705">
        <v>2.5468520671224045E-31</v>
      </c>
    </row>
    <row r="3689" spans="2:7" ht="11.25" hidden="1" customHeight="1" outlineLevel="2" x14ac:dyDescent="0.25">
      <c r="B3689" s="704" t="s">
        <v>673</v>
      </c>
      <c r="C3689" s="704" t="s">
        <v>864</v>
      </c>
      <c r="D3689" s="704" t="s">
        <v>675</v>
      </c>
      <c r="E3689" s="704" t="s">
        <v>861</v>
      </c>
      <c r="F3689" s="708"/>
      <c r="G3689" s="705">
        <v>3.0326834664232796</v>
      </c>
    </row>
    <row r="3690" spans="2:7" ht="11.25" hidden="1" customHeight="1" outlineLevel="2" x14ac:dyDescent="0.25">
      <c r="B3690" s="704" t="s">
        <v>677</v>
      </c>
      <c r="C3690" s="704" t="s">
        <v>864</v>
      </c>
      <c r="D3690" s="704" t="s">
        <v>675</v>
      </c>
      <c r="E3690" s="704" t="s">
        <v>861</v>
      </c>
      <c r="F3690" s="705">
        <v>3.590689941708095E-3</v>
      </c>
      <c r="G3690" s="705">
        <v>50.326874473500737</v>
      </c>
    </row>
    <row r="3691" spans="2:7" ht="11.25" hidden="1" customHeight="1" outlineLevel="2" x14ac:dyDescent="0.25">
      <c r="B3691" s="704" t="s">
        <v>678</v>
      </c>
      <c r="C3691" s="704" t="s">
        <v>864</v>
      </c>
      <c r="D3691" s="704" t="s">
        <v>675</v>
      </c>
      <c r="E3691" s="704" t="s">
        <v>861</v>
      </c>
      <c r="F3691" s="708"/>
      <c r="G3691" s="705">
        <v>116.57292280712215</v>
      </c>
    </row>
    <row r="3692" spans="2:7" ht="11.25" hidden="1" customHeight="1" outlineLevel="2" x14ac:dyDescent="0.25">
      <c r="B3692" s="704" t="s">
        <v>679</v>
      </c>
      <c r="C3692" s="704" t="s">
        <v>864</v>
      </c>
      <c r="D3692" s="704" t="s">
        <v>675</v>
      </c>
      <c r="E3692" s="704" t="s">
        <v>861</v>
      </c>
      <c r="F3692" s="708"/>
      <c r="G3692" s="705">
        <v>9.4601418637078716</v>
      </c>
    </row>
    <row r="3693" spans="2:7" ht="11.25" hidden="1" customHeight="1" outlineLevel="2" x14ac:dyDescent="0.25">
      <c r="B3693" s="704" t="s">
        <v>680</v>
      </c>
      <c r="C3693" s="704" t="s">
        <v>864</v>
      </c>
      <c r="D3693" s="704" t="s">
        <v>675</v>
      </c>
      <c r="E3693" s="704" t="s">
        <v>861</v>
      </c>
      <c r="F3693" s="708"/>
      <c r="G3693" s="705">
        <v>1.7534099732987725</v>
      </c>
    </row>
    <row r="3694" spans="2:7" ht="11.25" hidden="1" customHeight="1" outlineLevel="2" x14ac:dyDescent="0.25">
      <c r="B3694" s="704" t="s">
        <v>681</v>
      </c>
      <c r="C3694" s="704" t="s">
        <v>864</v>
      </c>
      <c r="D3694" s="704" t="s">
        <v>675</v>
      </c>
      <c r="E3694" s="704" t="s">
        <v>861</v>
      </c>
      <c r="F3694" s="708"/>
      <c r="G3694" s="705">
        <v>14.789460675878855</v>
      </c>
    </row>
    <row r="3695" spans="2:7" ht="11.25" hidden="1" customHeight="1" outlineLevel="2" x14ac:dyDescent="0.25">
      <c r="B3695" s="704" t="s">
        <v>682</v>
      </c>
      <c r="C3695" s="704" t="s">
        <v>864</v>
      </c>
      <c r="D3695" s="704" t="s">
        <v>675</v>
      </c>
      <c r="E3695" s="704" t="s">
        <v>861</v>
      </c>
      <c r="F3695" s="708"/>
      <c r="G3695" s="705">
        <v>12.982880868184967</v>
      </c>
    </row>
    <row r="3696" spans="2:7" ht="11.25" hidden="1" customHeight="1" outlineLevel="2" x14ac:dyDescent="0.25">
      <c r="B3696" s="704" t="s">
        <v>683</v>
      </c>
      <c r="C3696" s="704" t="s">
        <v>864</v>
      </c>
      <c r="D3696" s="704" t="s">
        <v>675</v>
      </c>
      <c r="E3696" s="704" t="s">
        <v>861</v>
      </c>
      <c r="F3696" s="708"/>
      <c r="G3696" s="705">
        <v>21.561494429427956</v>
      </c>
    </row>
    <row r="3697" spans="2:7" ht="11.25" hidden="1" customHeight="1" outlineLevel="2" x14ac:dyDescent="0.25">
      <c r="B3697" s="704" t="s">
        <v>684</v>
      </c>
      <c r="C3697" s="704" t="s">
        <v>864</v>
      </c>
      <c r="D3697" s="704" t="s">
        <v>675</v>
      </c>
      <c r="E3697" s="704" t="s">
        <v>861</v>
      </c>
      <c r="F3697" s="708"/>
      <c r="G3697" s="705">
        <v>2.8144126943632424</v>
      </c>
    </row>
    <row r="3698" spans="2:7" ht="11.25" hidden="1" customHeight="1" outlineLevel="2" x14ac:dyDescent="0.25">
      <c r="B3698" s="704" t="s">
        <v>685</v>
      </c>
      <c r="C3698" s="704" t="s">
        <v>864</v>
      </c>
      <c r="D3698" s="704" t="s">
        <v>675</v>
      </c>
      <c r="E3698" s="704" t="s">
        <v>861</v>
      </c>
      <c r="F3698" s="708"/>
      <c r="G3698" s="705">
        <v>25.875793057513835</v>
      </c>
    </row>
    <row r="3699" spans="2:7" ht="11.25" hidden="1" customHeight="1" outlineLevel="2" x14ac:dyDescent="0.25">
      <c r="B3699" s="704" t="s">
        <v>686</v>
      </c>
      <c r="C3699" s="704" t="s">
        <v>864</v>
      </c>
      <c r="D3699" s="704" t="s">
        <v>675</v>
      </c>
      <c r="E3699" s="704" t="s">
        <v>861</v>
      </c>
      <c r="F3699" s="708"/>
      <c r="G3699" s="705">
        <v>6.0836219398820734</v>
      </c>
    </row>
    <row r="3700" spans="2:7" ht="11.25" hidden="1" customHeight="1" outlineLevel="2" x14ac:dyDescent="0.25">
      <c r="B3700" s="704" t="s">
        <v>687</v>
      </c>
      <c r="C3700" s="704" t="s">
        <v>864</v>
      </c>
      <c r="D3700" s="704" t="s">
        <v>675</v>
      </c>
      <c r="E3700" s="704" t="s">
        <v>861</v>
      </c>
      <c r="F3700" s="708"/>
      <c r="G3700" s="705">
        <v>31.162552686777417</v>
      </c>
    </row>
    <row r="3701" spans="2:7" ht="11.25" hidden="1" customHeight="1" outlineLevel="2" x14ac:dyDescent="0.25">
      <c r="B3701" s="704" t="s">
        <v>688</v>
      </c>
      <c r="C3701" s="704" t="s">
        <v>864</v>
      </c>
      <c r="D3701" s="704" t="s">
        <v>675</v>
      </c>
      <c r="E3701" s="704" t="s">
        <v>861</v>
      </c>
      <c r="F3701" s="709"/>
      <c r="G3701" s="705">
        <v>22.36800184520596</v>
      </c>
    </row>
    <row r="3702" spans="2:7" ht="11.25" hidden="1" customHeight="1" outlineLevel="2" x14ac:dyDescent="0.25">
      <c r="B3702" s="704" t="s">
        <v>689</v>
      </c>
      <c r="C3702" s="704" t="s">
        <v>864</v>
      </c>
      <c r="D3702" s="704" t="s">
        <v>675</v>
      </c>
      <c r="E3702" s="704" t="s">
        <v>861</v>
      </c>
      <c r="F3702" s="709"/>
      <c r="G3702" s="705">
        <v>3.3070795667856387</v>
      </c>
    </row>
    <row r="3703" spans="2:7" ht="11.25" hidden="1" customHeight="1" outlineLevel="2" x14ac:dyDescent="0.25">
      <c r="B3703" s="704" t="s">
        <v>690</v>
      </c>
      <c r="C3703" s="704" t="s">
        <v>864</v>
      </c>
      <c r="D3703" s="704" t="s">
        <v>675</v>
      </c>
      <c r="E3703" s="704" t="s">
        <v>861</v>
      </c>
      <c r="F3703" s="709"/>
      <c r="G3703" s="705">
        <v>72.810882868562473</v>
      </c>
    </row>
    <row r="3704" spans="2:7" ht="11.25" hidden="1" customHeight="1" outlineLevel="2" x14ac:dyDescent="0.25">
      <c r="B3704" s="704" t="s">
        <v>691</v>
      </c>
      <c r="C3704" s="704" t="s">
        <v>864</v>
      </c>
      <c r="D3704" s="704" t="s">
        <v>675</v>
      </c>
      <c r="E3704" s="704" t="s">
        <v>861</v>
      </c>
      <c r="F3704" s="709"/>
      <c r="G3704" s="705">
        <v>83.152305028815064</v>
      </c>
    </row>
    <row r="3705" spans="2:7" ht="11.25" hidden="1" customHeight="1" outlineLevel="2" x14ac:dyDescent="0.25">
      <c r="B3705" s="704" t="s">
        <v>692</v>
      </c>
      <c r="C3705" s="704" t="s">
        <v>864</v>
      </c>
      <c r="D3705" s="704" t="s">
        <v>675</v>
      </c>
      <c r="E3705" s="704" t="s">
        <v>861</v>
      </c>
      <c r="F3705" s="709"/>
      <c r="G3705" s="705">
        <v>4.8625395398210305</v>
      </c>
    </row>
    <row r="3706" spans="2:7" ht="11.25" hidden="1" customHeight="1" outlineLevel="2" x14ac:dyDescent="0.25">
      <c r="B3706" s="704" t="s">
        <v>693</v>
      </c>
      <c r="C3706" s="704" t="s">
        <v>864</v>
      </c>
      <c r="D3706" s="704" t="s">
        <v>675</v>
      </c>
      <c r="E3706" s="704" t="s">
        <v>861</v>
      </c>
      <c r="F3706" s="709"/>
      <c r="G3706" s="705">
        <v>12.137865491772672</v>
      </c>
    </row>
    <row r="3707" spans="2:7" ht="11.25" hidden="1" customHeight="1" outlineLevel="2" x14ac:dyDescent="0.25">
      <c r="B3707" s="704" t="s">
        <v>694</v>
      </c>
      <c r="C3707" s="704" t="s">
        <v>864</v>
      </c>
      <c r="D3707" s="704" t="s">
        <v>675</v>
      </c>
      <c r="E3707" s="704" t="s">
        <v>861</v>
      </c>
      <c r="F3707" s="709"/>
      <c r="G3707" s="705">
        <v>1.3607966960553299</v>
      </c>
    </row>
    <row r="3708" spans="2:7" ht="11.25" hidden="1" customHeight="1" outlineLevel="2" x14ac:dyDescent="0.25">
      <c r="B3708" s="704" t="s">
        <v>695</v>
      </c>
      <c r="C3708" s="704" t="s">
        <v>864</v>
      </c>
      <c r="D3708" s="704" t="s">
        <v>675</v>
      </c>
      <c r="E3708" s="704" t="s">
        <v>861</v>
      </c>
      <c r="F3708" s="709"/>
      <c r="G3708" s="705">
        <v>6.4546701951434704</v>
      </c>
    </row>
    <row r="3709" spans="2:7" ht="11.25" hidden="1" customHeight="1" outlineLevel="2" x14ac:dyDescent="0.25">
      <c r="B3709" s="704" t="s">
        <v>696</v>
      </c>
      <c r="C3709" s="704" t="s">
        <v>864</v>
      </c>
      <c r="D3709" s="704" t="s">
        <v>675</v>
      </c>
      <c r="E3709" s="704" t="s">
        <v>861</v>
      </c>
      <c r="F3709" s="709"/>
      <c r="G3709" s="705">
        <v>16.12726511964815</v>
      </c>
    </row>
    <row r="3710" spans="2:7" ht="11.25" hidden="1" customHeight="1" outlineLevel="2" x14ac:dyDescent="0.25">
      <c r="B3710" s="704" t="s">
        <v>697</v>
      </c>
      <c r="C3710" s="704" t="s">
        <v>864</v>
      </c>
      <c r="D3710" s="704" t="s">
        <v>675</v>
      </c>
      <c r="E3710" s="704" t="s">
        <v>861</v>
      </c>
      <c r="F3710" s="709"/>
      <c r="G3710" s="705">
        <v>8.823699840115987</v>
      </c>
    </row>
    <row r="3711" spans="2:7" ht="11.25" hidden="1" customHeight="1" outlineLevel="2" x14ac:dyDescent="0.25">
      <c r="B3711" s="704" t="s">
        <v>698</v>
      </c>
      <c r="C3711" s="704" t="s">
        <v>864</v>
      </c>
      <c r="D3711" s="704" t="s">
        <v>675</v>
      </c>
      <c r="E3711" s="704" t="s">
        <v>861</v>
      </c>
      <c r="F3711" s="709"/>
      <c r="G3711" s="705">
        <v>9.6891965780686427</v>
      </c>
    </row>
    <row r="3712" spans="2:7" ht="11.25" hidden="1" customHeight="1" outlineLevel="2" x14ac:dyDescent="0.25">
      <c r="B3712" s="704" t="s">
        <v>699</v>
      </c>
      <c r="C3712" s="704" t="s">
        <v>864</v>
      </c>
      <c r="D3712" s="704" t="s">
        <v>675</v>
      </c>
      <c r="E3712" s="704" t="s">
        <v>861</v>
      </c>
      <c r="F3712" s="709"/>
      <c r="G3712" s="705">
        <v>5.6807384089217021E-32</v>
      </c>
    </row>
    <row r="3713" spans="2:7" ht="11.25" hidden="1" customHeight="1" outlineLevel="2" x14ac:dyDescent="0.25">
      <c r="B3713" s="704" t="s">
        <v>673</v>
      </c>
      <c r="C3713" s="704" t="s">
        <v>865</v>
      </c>
      <c r="D3713" s="704" t="s">
        <v>675</v>
      </c>
      <c r="E3713" s="704" t="s">
        <v>861</v>
      </c>
      <c r="F3713" s="709"/>
      <c r="G3713" s="705">
        <v>282.67437396437674</v>
      </c>
    </row>
    <row r="3714" spans="2:7" ht="11.25" hidden="1" customHeight="1" outlineLevel="2" x14ac:dyDescent="0.25">
      <c r="B3714" s="704" t="s">
        <v>677</v>
      </c>
      <c r="C3714" s="704" t="s">
        <v>865</v>
      </c>
      <c r="D3714" s="704" t="s">
        <v>675</v>
      </c>
      <c r="E3714" s="704" t="s">
        <v>861</v>
      </c>
      <c r="F3714" s="706">
        <v>0.16404737994373894</v>
      </c>
      <c r="G3714" s="705">
        <v>4690.9365503674626</v>
      </c>
    </row>
    <row r="3715" spans="2:7" ht="11.25" hidden="1" customHeight="1" outlineLevel="2" x14ac:dyDescent="0.25">
      <c r="B3715" s="704" t="s">
        <v>678</v>
      </c>
      <c r="C3715" s="704" t="s">
        <v>865</v>
      </c>
      <c r="D3715" s="704" t="s">
        <v>675</v>
      </c>
      <c r="E3715" s="704" t="s">
        <v>861</v>
      </c>
      <c r="F3715" s="709"/>
      <c r="G3715" s="705">
        <v>10865.686254759386</v>
      </c>
    </row>
    <row r="3716" spans="2:7" ht="11.25" hidden="1" customHeight="1" outlineLevel="2" x14ac:dyDescent="0.25">
      <c r="B3716" s="704" t="s">
        <v>679</v>
      </c>
      <c r="C3716" s="704" t="s">
        <v>865</v>
      </c>
      <c r="D3716" s="704" t="s">
        <v>675</v>
      </c>
      <c r="E3716" s="704" t="s">
        <v>861</v>
      </c>
      <c r="F3716" s="709"/>
      <c r="G3716" s="705">
        <v>881.77355995995629</v>
      </c>
    </row>
    <row r="3717" spans="2:7" ht="11.25" hidden="1" customHeight="1" outlineLevel="2" x14ac:dyDescent="0.25">
      <c r="B3717" s="704" t="s">
        <v>680</v>
      </c>
      <c r="C3717" s="704" t="s">
        <v>865</v>
      </c>
      <c r="D3717" s="704" t="s">
        <v>675</v>
      </c>
      <c r="E3717" s="704" t="s">
        <v>861</v>
      </c>
      <c r="F3717" s="709"/>
      <c r="G3717" s="705">
        <v>163.43420550267908</v>
      </c>
    </row>
    <row r="3718" spans="2:7" ht="11.25" hidden="1" customHeight="1" outlineLevel="2" x14ac:dyDescent="0.25">
      <c r="B3718" s="704" t="s">
        <v>681</v>
      </c>
      <c r="C3718" s="704" t="s">
        <v>865</v>
      </c>
      <c r="D3718" s="704" t="s">
        <v>675</v>
      </c>
      <c r="E3718" s="704" t="s">
        <v>861</v>
      </c>
      <c r="F3718" s="709"/>
      <c r="G3718" s="705">
        <v>1378.5157803827847</v>
      </c>
    </row>
    <row r="3719" spans="2:7" ht="11.25" hidden="1" customHeight="1" outlineLevel="2" x14ac:dyDescent="0.25">
      <c r="B3719" s="704" t="s">
        <v>682</v>
      </c>
      <c r="C3719" s="704" t="s">
        <v>865</v>
      </c>
      <c r="D3719" s="704" t="s">
        <v>675</v>
      </c>
      <c r="E3719" s="704" t="s">
        <v>861</v>
      </c>
      <c r="F3719" s="709"/>
      <c r="G3719" s="705">
        <v>1210.1257431736922</v>
      </c>
    </row>
    <row r="3720" spans="2:7" ht="11.25" hidden="1" customHeight="1" outlineLevel="2" x14ac:dyDescent="0.25">
      <c r="B3720" s="704" t="s">
        <v>683</v>
      </c>
      <c r="C3720" s="704" t="s">
        <v>865</v>
      </c>
      <c r="D3720" s="704" t="s">
        <v>675</v>
      </c>
      <c r="E3720" s="704" t="s">
        <v>861</v>
      </c>
      <c r="F3720" s="709"/>
      <c r="G3720" s="705">
        <v>2009.7327424342986</v>
      </c>
    </row>
    <row r="3721" spans="2:7" ht="11.25" hidden="1" customHeight="1" outlineLevel="2" x14ac:dyDescent="0.25">
      <c r="B3721" s="704" t="s">
        <v>684</v>
      </c>
      <c r="C3721" s="704" t="s">
        <v>865</v>
      </c>
      <c r="D3721" s="704" t="s">
        <v>675</v>
      </c>
      <c r="E3721" s="704" t="s">
        <v>861</v>
      </c>
      <c r="F3721" s="709"/>
      <c r="G3721" s="705">
        <v>262.32954611814</v>
      </c>
    </row>
    <row r="3722" spans="2:7" ht="11.25" hidden="1" customHeight="1" outlineLevel="2" x14ac:dyDescent="0.25">
      <c r="B3722" s="704" t="s">
        <v>685</v>
      </c>
      <c r="C3722" s="704" t="s">
        <v>865</v>
      </c>
      <c r="D3722" s="704" t="s">
        <v>675</v>
      </c>
      <c r="E3722" s="704" t="s">
        <v>861</v>
      </c>
      <c r="F3722" s="709"/>
      <c r="G3722" s="705">
        <v>2411.8658127272233</v>
      </c>
    </row>
    <row r="3723" spans="2:7" ht="11.25" hidden="1" customHeight="1" outlineLevel="2" x14ac:dyDescent="0.25">
      <c r="B3723" s="704" t="s">
        <v>686</v>
      </c>
      <c r="C3723" s="704" t="s">
        <v>865</v>
      </c>
      <c r="D3723" s="704" t="s">
        <v>675</v>
      </c>
      <c r="E3723" s="704" t="s">
        <v>861</v>
      </c>
      <c r="F3723" s="709"/>
      <c r="G3723" s="705">
        <v>567.05042575436164</v>
      </c>
    </row>
    <row r="3724" spans="2:7" ht="11.25" hidden="1" customHeight="1" outlineLevel="2" x14ac:dyDescent="0.25">
      <c r="B3724" s="704" t="s">
        <v>687</v>
      </c>
      <c r="C3724" s="704" t="s">
        <v>865</v>
      </c>
      <c r="D3724" s="704" t="s">
        <v>675</v>
      </c>
      <c r="E3724" s="704" t="s">
        <v>861</v>
      </c>
      <c r="F3724" s="709"/>
      <c r="G3724" s="705">
        <v>2904.640285784425</v>
      </c>
    </row>
    <row r="3725" spans="2:7" ht="11.25" hidden="1" customHeight="1" outlineLevel="2" x14ac:dyDescent="0.25">
      <c r="B3725" s="704" t="s">
        <v>688</v>
      </c>
      <c r="C3725" s="704" t="s">
        <v>865</v>
      </c>
      <c r="D3725" s="704" t="s">
        <v>675</v>
      </c>
      <c r="E3725" s="704" t="s">
        <v>861</v>
      </c>
      <c r="F3725" s="709"/>
      <c r="G3725" s="705">
        <v>2084.9066631256774</v>
      </c>
    </row>
    <row r="3726" spans="2:7" ht="11.25" hidden="1" customHeight="1" outlineLevel="2" x14ac:dyDescent="0.25">
      <c r="B3726" s="704" t="s">
        <v>689</v>
      </c>
      <c r="C3726" s="704" t="s">
        <v>865</v>
      </c>
      <c r="D3726" s="704" t="s">
        <v>675</v>
      </c>
      <c r="E3726" s="704" t="s">
        <v>861</v>
      </c>
      <c r="F3726" s="708"/>
      <c r="G3726" s="705">
        <v>308.25072502330681</v>
      </c>
    </row>
    <row r="3727" spans="2:7" ht="11.25" hidden="1" customHeight="1" outlineLevel="2" x14ac:dyDescent="0.25">
      <c r="B3727" s="704" t="s">
        <v>690</v>
      </c>
      <c r="C3727" s="704" t="s">
        <v>865</v>
      </c>
      <c r="D3727" s="704" t="s">
        <v>675</v>
      </c>
      <c r="E3727" s="704" t="s">
        <v>861</v>
      </c>
      <c r="F3727" s="708"/>
      <c r="G3727" s="705">
        <v>6786.6515097111951</v>
      </c>
    </row>
    <row r="3728" spans="2:7" ht="11.25" hidden="1" customHeight="1" outlineLevel="2" x14ac:dyDescent="0.25">
      <c r="B3728" s="704" t="s">
        <v>691</v>
      </c>
      <c r="C3728" s="704" t="s">
        <v>865</v>
      </c>
      <c r="D3728" s="704" t="s">
        <v>675</v>
      </c>
      <c r="E3728" s="704" t="s">
        <v>861</v>
      </c>
      <c r="F3728" s="708"/>
      <c r="G3728" s="705">
        <v>7750.5724765012646</v>
      </c>
    </row>
    <row r="3729" spans="2:7" ht="11.25" hidden="1" customHeight="1" outlineLevel="2" x14ac:dyDescent="0.25">
      <c r="B3729" s="704" t="s">
        <v>692</v>
      </c>
      <c r="C3729" s="704" t="s">
        <v>865</v>
      </c>
      <c r="D3729" s="704" t="s">
        <v>675</v>
      </c>
      <c r="E3729" s="704" t="s">
        <v>861</v>
      </c>
      <c r="F3729" s="708"/>
      <c r="G3729" s="705">
        <v>453.23406519921525</v>
      </c>
    </row>
    <row r="3730" spans="2:7" ht="11.25" hidden="1" customHeight="1" outlineLevel="2" x14ac:dyDescent="0.25">
      <c r="B3730" s="704" t="s">
        <v>693</v>
      </c>
      <c r="C3730" s="704" t="s">
        <v>865</v>
      </c>
      <c r="D3730" s="704" t="s">
        <v>675</v>
      </c>
      <c r="E3730" s="704" t="s">
        <v>861</v>
      </c>
      <c r="F3730" s="708"/>
      <c r="G3730" s="705">
        <v>1131.3624267435302</v>
      </c>
    </row>
    <row r="3731" spans="2:7" ht="11.25" hidden="1" customHeight="1" outlineLevel="2" x14ac:dyDescent="0.25">
      <c r="B3731" s="704" t="s">
        <v>694</v>
      </c>
      <c r="C3731" s="704" t="s">
        <v>865</v>
      </c>
      <c r="D3731" s="704" t="s">
        <v>675</v>
      </c>
      <c r="E3731" s="704" t="s">
        <v>861</v>
      </c>
      <c r="F3731" s="708"/>
      <c r="G3731" s="705">
        <v>126.83896547960863</v>
      </c>
    </row>
    <row r="3732" spans="2:7" ht="11.25" hidden="1" customHeight="1" outlineLevel="2" x14ac:dyDescent="0.25">
      <c r="B3732" s="704" t="s">
        <v>695</v>
      </c>
      <c r="C3732" s="704" t="s">
        <v>865</v>
      </c>
      <c r="D3732" s="704" t="s">
        <v>675</v>
      </c>
      <c r="E3732" s="704" t="s">
        <v>861</v>
      </c>
      <c r="F3732" s="708"/>
      <c r="G3732" s="705">
        <v>601.63573311262144</v>
      </c>
    </row>
    <row r="3733" spans="2:7" ht="11.25" hidden="1" customHeight="1" outlineLevel="2" x14ac:dyDescent="0.25">
      <c r="B3733" s="704" t="s">
        <v>696</v>
      </c>
      <c r="C3733" s="704" t="s">
        <v>865</v>
      </c>
      <c r="D3733" s="704" t="s">
        <v>675</v>
      </c>
      <c r="E3733" s="704" t="s">
        <v>861</v>
      </c>
      <c r="F3733" s="708"/>
      <c r="G3733" s="705">
        <v>1503.2119196789545</v>
      </c>
    </row>
    <row r="3734" spans="2:7" ht="11.25" hidden="1" customHeight="1" outlineLevel="2" x14ac:dyDescent="0.25">
      <c r="B3734" s="704" t="s">
        <v>697</v>
      </c>
      <c r="C3734" s="704" t="s">
        <v>865</v>
      </c>
      <c r="D3734" s="704" t="s">
        <v>675</v>
      </c>
      <c r="E3734" s="704" t="s">
        <v>861</v>
      </c>
      <c r="F3734" s="708"/>
      <c r="G3734" s="705">
        <v>822.45128173444971</v>
      </c>
    </row>
    <row r="3735" spans="2:7" ht="11.25" hidden="1" customHeight="1" outlineLevel="2" x14ac:dyDescent="0.25">
      <c r="B3735" s="704" t="s">
        <v>698</v>
      </c>
      <c r="C3735" s="704" t="s">
        <v>865</v>
      </c>
      <c r="D3735" s="704" t="s">
        <v>675</v>
      </c>
      <c r="E3735" s="704" t="s">
        <v>861</v>
      </c>
      <c r="F3735" s="708"/>
      <c r="G3735" s="705">
        <v>903.12340345594691</v>
      </c>
    </row>
    <row r="3736" spans="2:7" ht="11.25" hidden="1" customHeight="1" outlineLevel="2" x14ac:dyDescent="0.25">
      <c r="B3736" s="704" t="s">
        <v>699</v>
      </c>
      <c r="C3736" s="704" t="s">
        <v>865</v>
      </c>
      <c r="D3736" s="704" t="s">
        <v>675</v>
      </c>
      <c r="E3736" s="704" t="s">
        <v>861</v>
      </c>
      <c r="F3736" s="708"/>
      <c r="G3736" s="705">
        <v>2.1908390456812876E-29</v>
      </c>
    </row>
    <row r="3737" spans="2:7" ht="11.25" hidden="1" customHeight="1" outlineLevel="2" x14ac:dyDescent="0.25">
      <c r="B3737" s="704" t="s">
        <v>673</v>
      </c>
      <c r="C3737" s="704" t="s">
        <v>866</v>
      </c>
      <c r="D3737" s="704" t="s">
        <v>675</v>
      </c>
      <c r="E3737" s="704" t="s">
        <v>861</v>
      </c>
      <c r="F3737" s="708"/>
      <c r="G3737" s="705">
        <v>307.49028747185116</v>
      </c>
    </row>
    <row r="3738" spans="2:7" ht="11.25" hidden="1" customHeight="1" outlineLevel="2" x14ac:dyDescent="0.25">
      <c r="B3738" s="704" t="s">
        <v>677</v>
      </c>
      <c r="C3738" s="704" t="s">
        <v>866</v>
      </c>
      <c r="D3738" s="704" t="s">
        <v>675</v>
      </c>
      <c r="E3738" s="704" t="s">
        <v>861</v>
      </c>
      <c r="F3738" s="705">
        <v>0.13850505320868839</v>
      </c>
      <c r="G3738" s="705">
        <v>5102.7528402799371</v>
      </c>
    </row>
    <row r="3739" spans="2:7" ht="11.25" hidden="1" customHeight="1" outlineLevel="2" x14ac:dyDescent="0.25">
      <c r="B3739" s="704" t="s">
        <v>678</v>
      </c>
      <c r="C3739" s="704" t="s">
        <v>866</v>
      </c>
      <c r="D3739" s="704" t="s">
        <v>675</v>
      </c>
      <c r="E3739" s="704" t="s">
        <v>861</v>
      </c>
      <c r="F3739" s="708"/>
      <c r="G3739" s="705">
        <v>11819.579543334396</v>
      </c>
    </row>
    <row r="3740" spans="2:7" ht="11.25" hidden="1" customHeight="1" outlineLevel="2" x14ac:dyDescent="0.25">
      <c r="B3740" s="704" t="s">
        <v>679</v>
      </c>
      <c r="C3740" s="704" t="s">
        <v>866</v>
      </c>
      <c r="D3740" s="704" t="s">
        <v>675</v>
      </c>
      <c r="E3740" s="704" t="s">
        <v>861</v>
      </c>
      <c r="F3740" s="708"/>
      <c r="G3740" s="705">
        <v>959.18422030798592</v>
      </c>
    </row>
    <row r="3741" spans="2:7" ht="11.25" hidden="1" customHeight="1" outlineLevel="2" x14ac:dyDescent="0.25">
      <c r="B3741" s="704" t="s">
        <v>680</v>
      </c>
      <c r="C3741" s="704" t="s">
        <v>866</v>
      </c>
      <c r="D3741" s="704" t="s">
        <v>675</v>
      </c>
      <c r="E3741" s="704" t="s">
        <v>861</v>
      </c>
      <c r="F3741" s="708"/>
      <c r="G3741" s="705">
        <v>177.78200492789742</v>
      </c>
    </row>
    <row r="3742" spans="2:7" ht="11.25" hidden="1" customHeight="1" outlineLevel="2" x14ac:dyDescent="0.25">
      <c r="B3742" s="704" t="s">
        <v>681</v>
      </c>
      <c r="C3742" s="704" t="s">
        <v>866</v>
      </c>
      <c r="D3742" s="704" t="s">
        <v>675</v>
      </c>
      <c r="E3742" s="704" t="s">
        <v>861</v>
      </c>
      <c r="F3742" s="708"/>
      <c r="G3742" s="705">
        <v>1499.534816964331</v>
      </c>
    </row>
    <row r="3743" spans="2:7" ht="11.25" hidden="1" customHeight="1" outlineLevel="2" x14ac:dyDescent="0.25">
      <c r="B3743" s="704" t="s">
        <v>682</v>
      </c>
      <c r="C3743" s="704" t="s">
        <v>866</v>
      </c>
      <c r="D3743" s="704" t="s">
        <v>675</v>
      </c>
      <c r="E3743" s="704" t="s">
        <v>861</v>
      </c>
      <c r="F3743" s="708"/>
      <c r="G3743" s="705">
        <v>1316.3619082542227</v>
      </c>
    </row>
    <row r="3744" spans="2:7" ht="11.25" hidden="1" customHeight="1" outlineLevel="2" x14ac:dyDescent="0.25">
      <c r="B3744" s="704" t="s">
        <v>683</v>
      </c>
      <c r="C3744" s="704" t="s">
        <v>866</v>
      </c>
      <c r="D3744" s="704" t="s">
        <v>675</v>
      </c>
      <c r="E3744" s="704" t="s">
        <v>861</v>
      </c>
      <c r="F3744" s="708"/>
      <c r="G3744" s="705">
        <v>2186.1666266778593</v>
      </c>
    </row>
    <row r="3745" spans="2:7" ht="11.25" hidden="1" customHeight="1" outlineLevel="2" x14ac:dyDescent="0.25">
      <c r="B3745" s="704" t="s">
        <v>684</v>
      </c>
      <c r="C3745" s="704" t="s">
        <v>866</v>
      </c>
      <c r="D3745" s="704" t="s">
        <v>675</v>
      </c>
      <c r="E3745" s="704" t="s">
        <v>861</v>
      </c>
      <c r="F3745" s="708"/>
      <c r="G3745" s="705">
        <v>285.35936805910882</v>
      </c>
    </row>
    <row r="3746" spans="2:7" ht="11.25" hidden="1" customHeight="1" outlineLevel="2" x14ac:dyDescent="0.25">
      <c r="B3746" s="704" t="s">
        <v>685</v>
      </c>
      <c r="C3746" s="704" t="s">
        <v>866</v>
      </c>
      <c r="D3746" s="704" t="s">
        <v>675</v>
      </c>
      <c r="E3746" s="704" t="s">
        <v>861</v>
      </c>
      <c r="F3746" s="709"/>
      <c r="G3746" s="705">
        <v>2623.6022907252782</v>
      </c>
    </row>
    <row r="3747" spans="2:7" ht="11.25" hidden="1" customHeight="1" outlineLevel="2" x14ac:dyDescent="0.25">
      <c r="B3747" s="704" t="s">
        <v>686</v>
      </c>
      <c r="C3747" s="704" t="s">
        <v>866</v>
      </c>
      <c r="D3747" s="704" t="s">
        <v>675</v>
      </c>
      <c r="E3747" s="704" t="s">
        <v>861</v>
      </c>
      <c r="F3747" s="709"/>
      <c r="G3747" s="705">
        <v>616.8317315608117</v>
      </c>
    </row>
    <row r="3748" spans="2:7" ht="11.25" hidden="1" customHeight="1" outlineLevel="2" x14ac:dyDescent="0.25">
      <c r="B3748" s="704" t="s">
        <v>687</v>
      </c>
      <c r="C3748" s="704" t="s">
        <v>866</v>
      </c>
      <c r="D3748" s="704" t="s">
        <v>675</v>
      </c>
      <c r="E3748" s="704" t="s">
        <v>861</v>
      </c>
      <c r="F3748" s="709"/>
      <c r="G3748" s="705">
        <v>3159.6383806230751</v>
      </c>
    </row>
    <row r="3749" spans="2:7" ht="11.25" hidden="1" customHeight="1" outlineLevel="2" x14ac:dyDescent="0.25">
      <c r="B3749" s="704" t="s">
        <v>688</v>
      </c>
      <c r="C3749" s="704" t="s">
        <v>866</v>
      </c>
      <c r="D3749" s="704" t="s">
        <v>675</v>
      </c>
      <c r="E3749" s="704" t="s">
        <v>861</v>
      </c>
      <c r="F3749" s="709"/>
      <c r="G3749" s="705">
        <v>2267.9394626048952</v>
      </c>
    </row>
    <row r="3750" spans="2:7" ht="11.25" hidden="1" customHeight="1" outlineLevel="2" x14ac:dyDescent="0.25">
      <c r="B3750" s="704" t="s">
        <v>689</v>
      </c>
      <c r="C3750" s="704" t="s">
        <v>866</v>
      </c>
      <c r="D3750" s="704" t="s">
        <v>675</v>
      </c>
      <c r="E3750" s="704" t="s">
        <v>861</v>
      </c>
      <c r="F3750" s="709"/>
      <c r="G3750" s="705">
        <v>335.31198947510609</v>
      </c>
    </row>
    <row r="3751" spans="2:7" ht="11.25" hidden="1" customHeight="1" outlineLevel="2" x14ac:dyDescent="0.25">
      <c r="B3751" s="704" t="s">
        <v>690</v>
      </c>
      <c r="C3751" s="704" t="s">
        <v>866</v>
      </c>
      <c r="D3751" s="704" t="s">
        <v>675</v>
      </c>
      <c r="E3751" s="704" t="s">
        <v>861</v>
      </c>
      <c r="F3751" s="709"/>
      <c r="G3751" s="705">
        <v>7382.4523179520675</v>
      </c>
    </row>
    <row r="3752" spans="2:7" ht="11.25" hidden="1" customHeight="1" outlineLevel="2" x14ac:dyDescent="0.25">
      <c r="B3752" s="704" t="s">
        <v>691</v>
      </c>
      <c r="C3752" s="704" t="s">
        <v>866</v>
      </c>
      <c r="D3752" s="704" t="s">
        <v>675</v>
      </c>
      <c r="E3752" s="704" t="s">
        <v>861</v>
      </c>
      <c r="F3752" s="709"/>
      <c r="G3752" s="705">
        <v>8430.9901174119241</v>
      </c>
    </row>
    <row r="3753" spans="2:7" ht="11.25" hidden="1" customHeight="1" outlineLevel="2" x14ac:dyDescent="0.25">
      <c r="B3753" s="704" t="s">
        <v>692</v>
      </c>
      <c r="C3753" s="704" t="s">
        <v>866</v>
      </c>
      <c r="D3753" s="704" t="s">
        <v>675</v>
      </c>
      <c r="E3753" s="704" t="s">
        <v>861</v>
      </c>
      <c r="F3753" s="708"/>
      <c r="G3753" s="705">
        <v>493.02326910069604</v>
      </c>
    </row>
    <row r="3754" spans="2:7" ht="11.25" hidden="1" customHeight="1" outlineLevel="2" x14ac:dyDescent="0.25">
      <c r="B3754" s="704" t="s">
        <v>693</v>
      </c>
      <c r="C3754" s="704" t="s">
        <v>866</v>
      </c>
      <c r="D3754" s="704" t="s">
        <v>675</v>
      </c>
      <c r="E3754" s="704" t="s">
        <v>861</v>
      </c>
      <c r="F3754" s="708"/>
      <c r="G3754" s="705">
        <v>1230.6844237356636</v>
      </c>
    </row>
    <row r="3755" spans="2:7" ht="11.25" hidden="1" customHeight="1" outlineLevel="2" x14ac:dyDescent="0.25">
      <c r="B3755" s="704" t="s">
        <v>694</v>
      </c>
      <c r="C3755" s="704" t="s">
        <v>866</v>
      </c>
      <c r="D3755" s="704" t="s">
        <v>675</v>
      </c>
      <c r="E3755" s="704" t="s">
        <v>861</v>
      </c>
      <c r="F3755" s="708"/>
      <c r="G3755" s="705">
        <v>137.974104709226</v>
      </c>
    </row>
    <row r="3756" spans="2:7" ht="11.25" hidden="1" customHeight="1" outlineLevel="2" x14ac:dyDescent="0.25">
      <c r="B3756" s="704" t="s">
        <v>695</v>
      </c>
      <c r="C3756" s="704" t="s">
        <v>866</v>
      </c>
      <c r="D3756" s="704" t="s">
        <v>675</v>
      </c>
      <c r="E3756" s="704" t="s">
        <v>861</v>
      </c>
      <c r="F3756" s="708"/>
      <c r="G3756" s="705">
        <v>654.45304507844173</v>
      </c>
    </row>
    <row r="3757" spans="2:7" ht="11.25" hidden="1" customHeight="1" outlineLevel="2" x14ac:dyDescent="0.25">
      <c r="B3757" s="704" t="s">
        <v>696</v>
      </c>
      <c r="C3757" s="704" t="s">
        <v>866</v>
      </c>
      <c r="D3757" s="704" t="s">
        <v>675</v>
      </c>
      <c r="E3757" s="704" t="s">
        <v>861</v>
      </c>
      <c r="F3757" s="708"/>
      <c r="G3757" s="705">
        <v>1635.178080931471</v>
      </c>
    </row>
    <row r="3758" spans="2:7" ht="11.25" hidden="1" customHeight="1" outlineLevel="2" x14ac:dyDescent="0.25">
      <c r="B3758" s="704" t="s">
        <v>697</v>
      </c>
      <c r="C3758" s="704" t="s">
        <v>866</v>
      </c>
      <c r="D3758" s="704" t="s">
        <v>675</v>
      </c>
      <c r="E3758" s="704" t="s">
        <v>861</v>
      </c>
      <c r="F3758" s="708"/>
      <c r="G3758" s="705">
        <v>894.6541402717412</v>
      </c>
    </row>
    <row r="3759" spans="2:7" ht="11.25" hidden="1" customHeight="1" outlineLevel="2" x14ac:dyDescent="0.25">
      <c r="B3759" s="704" t="s">
        <v>698</v>
      </c>
      <c r="C3759" s="704" t="s">
        <v>866</v>
      </c>
      <c r="D3759" s="704" t="s">
        <v>675</v>
      </c>
      <c r="E3759" s="704" t="s">
        <v>861</v>
      </c>
      <c r="F3759" s="708"/>
      <c r="G3759" s="705">
        <v>982.40833087962574</v>
      </c>
    </row>
    <row r="3760" spans="2:7" ht="11.25" hidden="1" customHeight="1" outlineLevel="2" x14ac:dyDescent="0.25">
      <c r="B3760" s="704" t="s">
        <v>699</v>
      </c>
      <c r="C3760" s="704" t="s">
        <v>866</v>
      </c>
      <c r="D3760" s="704" t="s">
        <v>675</v>
      </c>
      <c r="E3760" s="704" t="s">
        <v>861</v>
      </c>
      <c r="F3760" s="708"/>
      <c r="G3760" s="705">
        <v>7.2473938761866715E-31</v>
      </c>
    </row>
    <row r="3761" spans="2:7" ht="11.25" hidden="1" customHeight="1" outlineLevel="2" x14ac:dyDescent="0.25">
      <c r="B3761" s="704" t="s">
        <v>673</v>
      </c>
      <c r="C3761" s="704" t="s">
        <v>867</v>
      </c>
      <c r="D3761" s="704" t="s">
        <v>675</v>
      </c>
      <c r="E3761" s="704" t="s">
        <v>861</v>
      </c>
      <c r="F3761" s="708"/>
      <c r="G3761" s="705">
        <v>16.940687290986229</v>
      </c>
    </row>
    <row r="3762" spans="2:7" ht="11.25" hidden="1" customHeight="1" outlineLevel="2" x14ac:dyDescent="0.25">
      <c r="B3762" s="704" t="s">
        <v>677</v>
      </c>
      <c r="C3762" s="704" t="s">
        <v>867</v>
      </c>
      <c r="D3762" s="704" t="s">
        <v>675</v>
      </c>
      <c r="E3762" s="704" t="s">
        <v>861</v>
      </c>
      <c r="F3762" s="705">
        <v>1.0146753052866888E-2</v>
      </c>
      <c r="G3762" s="705">
        <v>281.12797347091413</v>
      </c>
    </row>
    <row r="3763" spans="2:7" ht="11.25" hidden="1" customHeight="1" outlineLevel="2" x14ac:dyDescent="0.25">
      <c r="B3763" s="704" t="s">
        <v>678</v>
      </c>
      <c r="C3763" s="704" t="s">
        <v>867</v>
      </c>
      <c r="D3763" s="704" t="s">
        <v>675</v>
      </c>
      <c r="E3763" s="704" t="s">
        <v>861</v>
      </c>
      <c r="F3763" s="708"/>
      <c r="G3763" s="705">
        <v>651.18100201690174</v>
      </c>
    </row>
    <row r="3764" spans="2:7" ht="11.25" hidden="1" customHeight="1" outlineLevel="2" x14ac:dyDescent="0.25">
      <c r="B3764" s="704" t="s">
        <v>679</v>
      </c>
      <c r="C3764" s="704" t="s">
        <v>867</v>
      </c>
      <c r="D3764" s="704" t="s">
        <v>675</v>
      </c>
      <c r="E3764" s="704" t="s">
        <v>861</v>
      </c>
      <c r="F3764" s="708"/>
      <c r="G3764" s="705">
        <v>52.844742956522367</v>
      </c>
    </row>
    <row r="3765" spans="2:7" ht="11.25" hidden="1" customHeight="1" outlineLevel="2" x14ac:dyDescent="0.25">
      <c r="B3765" s="704" t="s">
        <v>680</v>
      </c>
      <c r="C3765" s="704" t="s">
        <v>867</v>
      </c>
      <c r="D3765" s="704" t="s">
        <v>675</v>
      </c>
      <c r="E3765" s="704" t="s">
        <v>861</v>
      </c>
      <c r="F3765" s="708"/>
      <c r="G3765" s="705">
        <v>9.7946175974308716</v>
      </c>
    </row>
    <row r="3766" spans="2:7" ht="11.25" hidden="1" customHeight="1" outlineLevel="2" x14ac:dyDescent="0.25">
      <c r="B3766" s="704" t="s">
        <v>681</v>
      </c>
      <c r="C3766" s="704" t="s">
        <v>867</v>
      </c>
      <c r="D3766" s="704" t="s">
        <v>675</v>
      </c>
      <c r="E3766" s="704" t="s">
        <v>861</v>
      </c>
      <c r="F3766" s="708"/>
      <c r="G3766" s="705">
        <v>82.614500395464063</v>
      </c>
    </row>
    <row r="3767" spans="2:7" ht="11.25" hidden="1" customHeight="1" outlineLevel="2" x14ac:dyDescent="0.25">
      <c r="B3767" s="704" t="s">
        <v>682</v>
      </c>
      <c r="C3767" s="704" t="s">
        <v>867</v>
      </c>
      <c r="D3767" s="704" t="s">
        <v>675</v>
      </c>
      <c r="E3767" s="704" t="s">
        <v>861</v>
      </c>
      <c r="F3767" s="708"/>
      <c r="G3767" s="705">
        <v>72.522878778626378</v>
      </c>
    </row>
    <row r="3768" spans="2:7" ht="11.25" hidden="1" customHeight="1" outlineLevel="2" x14ac:dyDescent="0.25">
      <c r="B3768" s="704" t="s">
        <v>683</v>
      </c>
      <c r="C3768" s="704" t="s">
        <v>867</v>
      </c>
      <c r="D3768" s="704" t="s">
        <v>675</v>
      </c>
      <c r="E3768" s="704" t="s">
        <v>861</v>
      </c>
      <c r="F3768" s="708"/>
      <c r="G3768" s="705">
        <v>120.4433514679905</v>
      </c>
    </row>
    <row r="3769" spans="2:7" ht="11.25" hidden="1" customHeight="1" outlineLevel="2" x14ac:dyDescent="0.25">
      <c r="B3769" s="704" t="s">
        <v>684</v>
      </c>
      <c r="C3769" s="704" t="s">
        <v>867</v>
      </c>
      <c r="D3769" s="704" t="s">
        <v>675</v>
      </c>
      <c r="E3769" s="704" t="s">
        <v>861</v>
      </c>
      <c r="F3769" s="708"/>
      <c r="G3769" s="705">
        <v>15.721421172273477</v>
      </c>
    </row>
    <row r="3770" spans="2:7" ht="11.25" hidden="1" customHeight="1" outlineLevel="2" x14ac:dyDescent="0.25">
      <c r="B3770" s="704" t="s">
        <v>685</v>
      </c>
      <c r="C3770" s="704" t="s">
        <v>867</v>
      </c>
      <c r="D3770" s="704" t="s">
        <v>675</v>
      </c>
      <c r="E3770" s="704" t="s">
        <v>861</v>
      </c>
      <c r="F3770" s="708"/>
      <c r="G3770" s="705">
        <v>144.54318271372466</v>
      </c>
    </row>
    <row r="3771" spans="2:7" ht="11.25" hidden="1" customHeight="1" outlineLevel="2" x14ac:dyDescent="0.25">
      <c r="B3771" s="704" t="s">
        <v>686</v>
      </c>
      <c r="C3771" s="704" t="s">
        <v>867</v>
      </c>
      <c r="D3771" s="704" t="s">
        <v>675</v>
      </c>
      <c r="E3771" s="704" t="s">
        <v>861</v>
      </c>
      <c r="F3771" s="708"/>
      <c r="G3771" s="705">
        <v>33.983356105972206</v>
      </c>
    </row>
    <row r="3772" spans="2:7" ht="11.25" hidden="1" customHeight="1" outlineLevel="2" x14ac:dyDescent="0.25">
      <c r="B3772" s="704" t="s">
        <v>687</v>
      </c>
      <c r="C3772" s="704" t="s">
        <v>867</v>
      </c>
      <c r="D3772" s="704" t="s">
        <v>675</v>
      </c>
      <c r="E3772" s="704" t="s">
        <v>861</v>
      </c>
      <c r="F3772" s="708"/>
      <c r="G3772" s="705">
        <v>174.07522543603619</v>
      </c>
    </row>
    <row r="3773" spans="2:7" ht="11.25" hidden="1" customHeight="1" outlineLevel="2" x14ac:dyDescent="0.25">
      <c r="B3773" s="704" t="s">
        <v>688</v>
      </c>
      <c r="C3773" s="704" t="s">
        <v>867</v>
      </c>
      <c r="D3773" s="704" t="s">
        <v>675</v>
      </c>
      <c r="E3773" s="704" t="s">
        <v>861</v>
      </c>
      <c r="F3773" s="708"/>
      <c r="G3773" s="705">
        <v>124.9485137819272</v>
      </c>
    </row>
    <row r="3774" spans="2:7" ht="11.25" hidden="1" customHeight="1" outlineLevel="2" x14ac:dyDescent="0.25">
      <c r="B3774" s="704" t="s">
        <v>689</v>
      </c>
      <c r="C3774" s="704" t="s">
        <v>867</v>
      </c>
      <c r="D3774" s="704" t="s">
        <v>675</v>
      </c>
      <c r="E3774" s="704" t="s">
        <v>861</v>
      </c>
      <c r="F3774" s="708"/>
      <c r="G3774" s="705">
        <v>18.473477013615259</v>
      </c>
    </row>
    <row r="3775" spans="2:7" ht="11.25" hidden="1" customHeight="1" outlineLevel="2" x14ac:dyDescent="0.25">
      <c r="B3775" s="704" t="s">
        <v>690</v>
      </c>
      <c r="C3775" s="704" t="s">
        <v>867</v>
      </c>
      <c r="D3775" s="704" t="s">
        <v>675</v>
      </c>
      <c r="E3775" s="704" t="s">
        <v>861</v>
      </c>
      <c r="F3775" s="708"/>
      <c r="G3775" s="705">
        <v>406.72443807191718</v>
      </c>
    </row>
    <row r="3776" spans="2:7" ht="11.25" hidden="1" customHeight="1" outlineLevel="2" x14ac:dyDescent="0.25">
      <c r="B3776" s="704" t="s">
        <v>691</v>
      </c>
      <c r="C3776" s="704" t="s">
        <v>867</v>
      </c>
      <c r="D3776" s="704" t="s">
        <v>675</v>
      </c>
      <c r="E3776" s="704" t="s">
        <v>861</v>
      </c>
      <c r="F3776" s="708"/>
      <c r="G3776" s="705">
        <v>464.49204120692912</v>
      </c>
    </row>
    <row r="3777" spans="2:7" ht="11.25" hidden="1" customHeight="1" outlineLevel="2" x14ac:dyDescent="0.25">
      <c r="B3777" s="704" t="s">
        <v>692</v>
      </c>
      <c r="C3777" s="704" t="s">
        <v>867</v>
      </c>
      <c r="D3777" s="704" t="s">
        <v>675</v>
      </c>
      <c r="E3777" s="704" t="s">
        <v>861</v>
      </c>
      <c r="F3777" s="708"/>
      <c r="G3777" s="705">
        <v>27.162338682803796</v>
      </c>
    </row>
    <row r="3778" spans="2:7" ht="11.25" hidden="1" customHeight="1" outlineLevel="2" x14ac:dyDescent="0.25">
      <c r="B3778" s="704" t="s">
        <v>693</v>
      </c>
      <c r="C3778" s="704" t="s">
        <v>867</v>
      </c>
      <c r="D3778" s="704" t="s">
        <v>675</v>
      </c>
      <c r="E3778" s="704" t="s">
        <v>861</v>
      </c>
      <c r="F3778" s="708"/>
      <c r="G3778" s="705">
        <v>67.802591668293076</v>
      </c>
    </row>
    <row r="3779" spans="2:7" ht="11.25" hidden="1" customHeight="1" outlineLevel="2" x14ac:dyDescent="0.25">
      <c r="B3779" s="704" t="s">
        <v>694</v>
      </c>
      <c r="C3779" s="704" t="s">
        <v>867</v>
      </c>
      <c r="D3779" s="704" t="s">
        <v>675</v>
      </c>
      <c r="E3779" s="704" t="s">
        <v>861</v>
      </c>
      <c r="F3779" s="708"/>
      <c r="G3779" s="705">
        <v>7.6014656051805343</v>
      </c>
    </row>
    <row r="3780" spans="2:7" ht="11.25" hidden="1" customHeight="1" outlineLevel="2" x14ac:dyDescent="0.25">
      <c r="B3780" s="704" t="s">
        <v>695</v>
      </c>
      <c r="C3780" s="704" t="s">
        <v>867</v>
      </c>
      <c r="D3780" s="704" t="s">
        <v>675</v>
      </c>
      <c r="E3780" s="704" t="s">
        <v>861</v>
      </c>
      <c r="F3780" s="708"/>
      <c r="G3780" s="705">
        <v>36.056047656655529</v>
      </c>
    </row>
    <row r="3781" spans="2:7" ht="11.25" hidden="1" customHeight="1" outlineLevel="2" x14ac:dyDescent="0.25">
      <c r="B3781" s="704" t="s">
        <v>696</v>
      </c>
      <c r="C3781" s="704" t="s">
        <v>867</v>
      </c>
      <c r="D3781" s="704" t="s">
        <v>675</v>
      </c>
      <c r="E3781" s="704" t="s">
        <v>861</v>
      </c>
      <c r="F3781" s="708"/>
      <c r="G3781" s="705">
        <v>90.087534528183909</v>
      </c>
    </row>
    <row r="3782" spans="2:7" ht="11.25" hidden="1" customHeight="1" outlineLevel="2" x14ac:dyDescent="0.25">
      <c r="B3782" s="704" t="s">
        <v>697</v>
      </c>
      <c r="C3782" s="704" t="s">
        <v>867</v>
      </c>
      <c r="D3782" s="704" t="s">
        <v>675</v>
      </c>
      <c r="E3782" s="704" t="s">
        <v>861</v>
      </c>
      <c r="F3782" s="708"/>
      <c r="G3782" s="705">
        <v>49.289541480635279</v>
      </c>
    </row>
    <row r="3783" spans="2:7" ht="11.25" hidden="1" customHeight="1" outlineLevel="2" x14ac:dyDescent="0.25">
      <c r="B3783" s="704" t="s">
        <v>698</v>
      </c>
      <c r="C3783" s="704" t="s">
        <v>867</v>
      </c>
      <c r="D3783" s="704" t="s">
        <v>675</v>
      </c>
      <c r="E3783" s="704" t="s">
        <v>861</v>
      </c>
      <c r="F3783" s="708"/>
      <c r="G3783" s="705">
        <v>54.124237331466603</v>
      </c>
    </row>
    <row r="3784" spans="2:7" ht="11.25" hidden="1" customHeight="1" outlineLevel="2" x14ac:dyDescent="0.25">
      <c r="B3784" s="704" t="s">
        <v>699</v>
      </c>
      <c r="C3784" s="704" t="s">
        <v>867</v>
      </c>
      <c r="D3784" s="704" t="s">
        <v>675</v>
      </c>
      <c r="E3784" s="704" t="s">
        <v>861</v>
      </c>
      <c r="F3784" s="708"/>
      <c r="G3784" s="705">
        <v>6.469651473654982E-31</v>
      </c>
    </row>
    <row r="3785" spans="2:7" ht="11.25" hidden="1" customHeight="1" outlineLevel="2" x14ac:dyDescent="0.25">
      <c r="B3785" s="704" t="s">
        <v>673</v>
      </c>
      <c r="C3785" s="704" t="s">
        <v>868</v>
      </c>
      <c r="D3785" s="704" t="s">
        <v>675</v>
      </c>
      <c r="E3785" s="704" t="s">
        <v>861</v>
      </c>
      <c r="F3785" s="709"/>
      <c r="G3785" s="705">
        <v>10.456299590518821</v>
      </c>
    </row>
    <row r="3786" spans="2:7" ht="11.25" hidden="1" customHeight="1" outlineLevel="2" x14ac:dyDescent="0.25">
      <c r="B3786" s="704" t="s">
        <v>677</v>
      </c>
      <c r="C3786" s="704" t="s">
        <v>868</v>
      </c>
      <c r="D3786" s="704" t="s">
        <v>675</v>
      </c>
      <c r="E3786" s="704" t="s">
        <v>861</v>
      </c>
      <c r="F3786" s="706">
        <v>5.0830889194446362E-3</v>
      </c>
      <c r="G3786" s="705">
        <v>173.52055990953764</v>
      </c>
    </row>
    <row r="3787" spans="2:7" ht="11.25" hidden="1" customHeight="1" outlineLevel="2" x14ac:dyDescent="0.25">
      <c r="B3787" s="704" t="s">
        <v>678</v>
      </c>
      <c r="C3787" s="704" t="s">
        <v>868</v>
      </c>
      <c r="D3787" s="704" t="s">
        <v>675</v>
      </c>
      <c r="E3787" s="704" t="s">
        <v>861</v>
      </c>
      <c r="F3787" s="709"/>
      <c r="G3787" s="705">
        <v>401.92830682243039</v>
      </c>
    </row>
    <row r="3788" spans="2:7" ht="11.25" hidden="1" customHeight="1" outlineLevel="2" x14ac:dyDescent="0.25">
      <c r="B3788" s="704" t="s">
        <v>679</v>
      </c>
      <c r="C3788" s="704" t="s">
        <v>868</v>
      </c>
      <c r="D3788" s="704" t="s">
        <v>675</v>
      </c>
      <c r="E3788" s="704" t="s">
        <v>861</v>
      </c>
      <c r="F3788" s="709"/>
      <c r="G3788" s="705">
        <v>32.617341235493107</v>
      </c>
    </row>
    <row r="3789" spans="2:7" ht="11.25" hidden="1" customHeight="1" outlineLevel="2" x14ac:dyDescent="0.25">
      <c r="B3789" s="704" t="s">
        <v>680</v>
      </c>
      <c r="C3789" s="704" t="s">
        <v>868</v>
      </c>
      <c r="D3789" s="704" t="s">
        <v>675</v>
      </c>
      <c r="E3789" s="704" t="s">
        <v>861</v>
      </c>
      <c r="F3789" s="709"/>
      <c r="G3789" s="705">
        <v>6.0455305156030983</v>
      </c>
    </row>
    <row r="3790" spans="2:7" ht="11.25" hidden="1" customHeight="1" outlineLevel="2" x14ac:dyDescent="0.25">
      <c r="B3790" s="704" t="s">
        <v>681</v>
      </c>
      <c r="C3790" s="704" t="s">
        <v>868</v>
      </c>
      <c r="D3790" s="704" t="s">
        <v>675</v>
      </c>
      <c r="E3790" s="704" t="s">
        <v>861</v>
      </c>
      <c r="F3790" s="709"/>
      <c r="G3790" s="705">
        <v>50.992131232133978</v>
      </c>
    </row>
    <row r="3791" spans="2:7" ht="11.25" hidden="1" customHeight="1" outlineLevel="2" x14ac:dyDescent="0.25">
      <c r="B3791" s="704" t="s">
        <v>682</v>
      </c>
      <c r="C3791" s="704" t="s">
        <v>868</v>
      </c>
      <c r="D3791" s="704" t="s">
        <v>675</v>
      </c>
      <c r="E3791" s="704" t="s">
        <v>861</v>
      </c>
      <c r="F3791" s="709"/>
      <c r="G3791" s="705">
        <v>44.763280068272543</v>
      </c>
    </row>
    <row r="3792" spans="2:7" ht="11.25" hidden="1" customHeight="1" outlineLevel="2" x14ac:dyDescent="0.25">
      <c r="B3792" s="704" t="s">
        <v>683</v>
      </c>
      <c r="C3792" s="704" t="s">
        <v>868</v>
      </c>
      <c r="D3792" s="704" t="s">
        <v>675</v>
      </c>
      <c r="E3792" s="704" t="s">
        <v>861</v>
      </c>
      <c r="F3792" s="708"/>
      <c r="G3792" s="705">
        <v>74.341238947279678</v>
      </c>
    </row>
    <row r="3793" spans="2:7" ht="11.25" hidden="1" customHeight="1" outlineLevel="2" x14ac:dyDescent="0.25">
      <c r="B3793" s="704" t="s">
        <v>684</v>
      </c>
      <c r="C3793" s="704" t="s">
        <v>868</v>
      </c>
      <c r="D3793" s="704" t="s">
        <v>675</v>
      </c>
      <c r="E3793" s="704" t="s">
        <v>861</v>
      </c>
      <c r="F3793" s="708"/>
      <c r="G3793" s="705">
        <v>9.8229266689795338</v>
      </c>
    </row>
    <row r="3794" spans="2:7" ht="11.25" hidden="1" customHeight="1" outlineLevel="2" x14ac:dyDescent="0.25">
      <c r="B3794" s="704" t="s">
        <v>685</v>
      </c>
      <c r="C3794" s="704" t="s">
        <v>868</v>
      </c>
      <c r="D3794" s="704" t="s">
        <v>675</v>
      </c>
      <c r="E3794" s="704" t="s">
        <v>861</v>
      </c>
      <c r="F3794" s="708"/>
      <c r="G3794" s="705">
        <v>89.216370446838951</v>
      </c>
    </row>
    <row r="3795" spans="2:7" ht="11.25" hidden="1" customHeight="1" outlineLevel="2" x14ac:dyDescent="0.25">
      <c r="B3795" s="704" t="s">
        <v>686</v>
      </c>
      <c r="C3795" s="704" t="s">
        <v>868</v>
      </c>
      <c r="D3795" s="704" t="s">
        <v>675</v>
      </c>
      <c r="E3795" s="704" t="s">
        <v>861</v>
      </c>
      <c r="F3795" s="709"/>
      <c r="G3795" s="705">
        <v>20.975539936122637</v>
      </c>
    </row>
    <row r="3796" spans="2:7" ht="11.25" hidden="1" customHeight="1" outlineLevel="2" x14ac:dyDescent="0.25">
      <c r="B3796" s="704" t="s">
        <v>687</v>
      </c>
      <c r="C3796" s="704" t="s">
        <v>868</v>
      </c>
      <c r="D3796" s="704" t="s">
        <v>675</v>
      </c>
      <c r="E3796" s="704" t="s">
        <v>861</v>
      </c>
      <c r="F3796" s="708"/>
      <c r="G3796" s="705">
        <v>107.44442346760717</v>
      </c>
    </row>
    <row r="3797" spans="2:7" ht="11.25" hidden="1" customHeight="1" outlineLevel="2" x14ac:dyDescent="0.25">
      <c r="B3797" s="704" t="s">
        <v>688</v>
      </c>
      <c r="C3797" s="704" t="s">
        <v>868</v>
      </c>
      <c r="D3797" s="704" t="s">
        <v>675</v>
      </c>
      <c r="E3797" s="704" t="s">
        <v>861</v>
      </c>
      <c r="F3797" s="708"/>
      <c r="G3797" s="705">
        <v>77.121963701916073</v>
      </c>
    </row>
    <row r="3798" spans="2:7" ht="11.25" hidden="1" customHeight="1" outlineLevel="2" x14ac:dyDescent="0.25">
      <c r="B3798" s="704" t="s">
        <v>689</v>
      </c>
      <c r="C3798" s="704" t="s">
        <v>868</v>
      </c>
      <c r="D3798" s="704" t="s">
        <v>675</v>
      </c>
      <c r="E3798" s="704" t="s">
        <v>861</v>
      </c>
      <c r="F3798" s="709"/>
      <c r="G3798" s="705">
        <v>11.40238065142087</v>
      </c>
    </row>
    <row r="3799" spans="2:7" ht="11.25" hidden="1" customHeight="1" outlineLevel="2" x14ac:dyDescent="0.25">
      <c r="B3799" s="704" t="s">
        <v>690</v>
      </c>
      <c r="C3799" s="704" t="s">
        <v>868</v>
      </c>
      <c r="D3799" s="704" t="s">
        <v>675</v>
      </c>
      <c r="E3799" s="704" t="s">
        <v>861</v>
      </c>
      <c r="F3799" s="708"/>
      <c r="G3799" s="705">
        <v>251.04245700371214</v>
      </c>
    </row>
    <row r="3800" spans="2:7" ht="11.25" hidden="1" customHeight="1" outlineLevel="2" x14ac:dyDescent="0.25">
      <c r="B3800" s="704" t="s">
        <v>691</v>
      </c>
      <c r="C3800" s="704" t="s">
        <v>868</v>
      </c>
      <c r="D3800" s="704" t="s">
        <v>675</v>
      </c>
      <c r="E3800" s="704" t="s">
        <v>861</v>
      </c>
      <c r="F3800" s="708"/>
      <c r="G3800" s="705">
        <v>286.69836751273556</v>
      </c>
    </row>
    <row r="3801" spans="2:7" ht="11.25" hidden="1" customHeight="1" outlineLevel="2" x14ac:dyDescent="0.25">
      <c r="B3801" s="704" t="s">
        <v>692</v>
      </c>
      <c r="C3801" s="704" t="s">
        <v>868</v>
      </c>
      <c r="D3801" s="704" t="s">
        <v>675</v>
      </c>
      <c r="E3801" s="704" t="s">
        <v>861</v>
      </c>
      <c r="F3801" s="708"/>
      <c r="G3801" s="705">
        <v>16.765403730806362</v>
      </c>
    </row>
    <row r="3802" spans="2:7" ht="11.25" hidden="1" customHeight="1" outlineLevel="2" x14ac:dyDescent="0.25">
      <c r="B3802" s="704" t="s">
        <v>693</v>
      </c>
      <c r="C3802" s="704" t="s">
        <v>868</v>
      </c>
      <c r="D3802" s="704" t="s">
        <v>675</v>
      </c>
      <c r="E3802" s="704" t="s">
        <v>861</v>
      </c>
      <c r="F3802" s="709"/>
      <c r="G3802" s="705">
        <v>41.849780217737319</v>
      </c>
    </row>
    <row r="3803" spans="2:7" ht="11.25" hidden="1" customHeight="1" outlineLevel="2" x14ac:dyDescent="0.25">
      <c r="B3803" s="704" t="s">
        <v>694</v>
      </c>
      <c r="C3803" s="704" t="s">
        <v>868</v>
      </c>
      <c r="D3803" s="704" t="s">
        <v>675</v>
      </c>
      <c r="E3803" s="704" t="s">
        <v>861</v>
      </c>
      <c r="F3803" s="709"/>
      <c r="G3803" s="705">
        <v>4.6918508446314764</v>
      </c>
    </row>
    <row r="3804" spans="2:7" ht="11.25" hidden="1" customHeight="1" outlineLevel="2" x14ac:dyDescent="0.25">
      <c r="B3804" s="704" t="s">
        <v>695</v>
      </c>
      <c r="C3804" s="704" t="s">
        <v>868</v>
      </c>
      <c r="D3804" s="704" t="s">
        <v>675</v>
      </c>
      <c r="E3804" s="704" t="s">
        <v>861</v>
      </c>
      <c r="F3804" s="709"/>
      <c r="G3804" s="705">
        <v>22.254863428397258</v>
      </c>
    </row>
    <row r="3805" spans="2:7" ht="11.25" hidden="1" customHeight="1" outlineLevel="2" x14ac:dyDescent="0.25">
      <c r="B3805" s="704" t="s">
        <v>696</v>
      </c>
      <c r="C3805" s="704" t="s">
        <v>868</v>
      </c>
      <c r="D3805" s="704" t="s">
        <v>675</v>
      </c>
      <c r="E3805" s="704" t="s">
        <v>861</v>
      </c>
      <c r="F3805" s="708"/>
      <c r="G3805" s="705">
        <v>55.604707933701746</v>
      </c>
    </row>
    <row r="3806" spans="2:7" ht="11.25" hidden="1" customHeight="1" outlineLevel="2" x14ac:dyDescent="0.25">
      <c r="B3806" s="704" t="s">
        <v>697</v>
      </c>
      <c r="C3806" s="704" t="s">
        <v>868</v>
      </c>
      <c r="D3806" s="704" t="s">
        <v>675</v>
      </c>
      <c r="E3806" s="704" t="s">
        <v>861</v>
      </c>
      <c r="F3806" s="708"/>
      <c r="G3806" s="705">
        <v>30.422973709045671</v>
      </c>
    </row>
    <row r="3807" spans="2:7" ht="11.25" hidden="1" customHeight="1" outlineLevel="2" x14ac:dyDescent="0.25">
      <c r="B3807" s="704" t="s">
        <v>698</v>
      </c>
      <c r="C3807" s="704" t="s">
        <v>868</v>
      </c>
      <c r="D3807" s="704" t="s">
        <v>675</v>
      </c>
      <c r="E3807" s="704" t="s">
        <v>861</v>
      </c>
      <c r="F3807" s="708"/>
      <c r="G3807" s="705">
        <v>33.40708843956277</v>
      </c>
    </row>
    <row r="3808" spans="2:7" ht="11.25" hidden="1" customHeight="1" outlineLevel="2" x14ac:dyDescent="0.25">
      <c r="B3808" s="704" t="s">
        <v>699</v>
      </c>
      <c r="C3808" s="704" t="s">
        <v>868</v>
      </c>
      <c r="D3808" s="704" t="s">
        <v>675</v>
      </c>
      <c r="E3808" s="704" t="s">
        <v>861</v>
      </c>
      <c r="F3808" s="708"/>
      <c r="G3808" s="705">
        <v>2.7786197671643139E-30</v>
      </c>
    </row>
    <row r="3809" spans="2:7" ht="11.25" hidden="1" customHeight="1" outlineLevel="2" x14ac:dyDescent="0.25">
      <c r="B3809" s="704" t="s">
        <v>673</v>
      </c>
      <c r="C3809" s="704" t="s">
        <v>869</v>
      </c>
      <c r="D3809" s="704" t="s">
        <v>675</v>
      </c>
      <c r="E3809" s="704" t="s">
        <v>861</v>
      </c>
      <c r="F3809" s="708"/>
      <c r="G3809" s="705">
        <v>31.221973803910892</v>
      </c>
    </row>
    <row r="3810" spans="2:7" ht="11.25" hidden="1" customHeight="1" outlineLevel="2" x14ac:dyDescent="0.25">
      <c r="B3810" s="704" t="s">
        <v>677</v>
      </c>
      <c r="C3810" s="704" t="s">
        <v>869</v>
      </c>
      <c r="D3810" s="704" t="s">
        <v>675</v>
      </c>
      <c r="E3810" s="704" t="s">
        <v>861</v>
      </c>
      <c r="F3810" s="705">
        <v>2.8102835609977304E-2</v>
      </c>
      <c r="G3810" s="705">
        <v>518.12367756493836</v>
      </c>
    </row>
    <row r="3811" spans="2:7" ht="11.25" hidden="1" customHeight="1" outlineLevel="2" x14ac:dyDescent="0.25">
      <c r="B3811" s="704" t="s">
        <v>678</v>
      </c>
      <c r="C3811" s="704" t="s">
        <v>869</v>
      </c>
      <c r="D3811" s="704" t="s">
        <v>675</v>
      </c>
      <c r="E3811" s="704" t="s">
        <v>861</v>
      </c>
      <c r="F3811" s="708"/>
      <c r="G3811" s="705">
        <v>1200.1375095642529</v>
      </c>
    </row>
    <row r="3812" spans="2:7" ht="11.25" hidden="1" customHeight="1" outlineLevel="2" x14ac:dyDescent="0.25">
      <c r="B3812" s="704" t="s">
        <v>679</v>
      </c>
      <c r="C3812" s="704" t="s">
        <v>869</v>
      </c>
      <c r="D3812" s="704" t="s">
        <v>675</v>
      </c>
      <c r="E3812" s="704" t="s">
        <v>861</v>
      </c>
      <c r="F3812" s="708"/>
      <c r="G3812" s="705">
        <v>97.393726055923537</v>
      </c>
    </row>
    <row r="3813" spans="2:7" ht="11.25" hidden="1" customHeight="1" outlineLevel="2" x14ac:dyDescent="0.25">
      <c r="B3813" s="704" t="s">
        <v>680</v>
      </c>
      <c r="C3813" s="704" t="s">
        <v>869</v>
      </c>
      <c r="D3813" s="704" t="s">
        <v>675</v>
      </c>
      <c r="E3813" s="704" t="s">
        <v>861</v>
      </c>
      <c r="F3813" s="708"/>
      <c r="G3813" s="705">
        <v>18.051650541280768</v>
      </c>
    </row>
    <row r="3814" spans="2:7" ht="11.25" hidden="1" customHeight="1" outlineLevel="2" x14ac:dyDescent="0.25">
      <c r="B3814" s="704" t="s">
        <v>681</v>
      </c>
      <c r="C3814" s="704" t="s">
        <v>869</v>
      </c>
      <c r="D3814" s="704" t="s">
        <v>675</v>
      </c>
      <c r="E3814" s="704" t="s">
        <v>861</v>
      </c>
      <c r="F3814" s="708"/>
      <c r="G3814" s="705">
        <v>152.25996813750803</v>
      </c>
    </row>
    <row r="3815" spans="2:7" ht="11.25" hidden="1" customHeight="1" outlineLevel="2" x14ac:dyDescent="0.25">
      <c r="B3815" s="704" t="s">
        <v>682</v>
      </c>
      <c r="C3815" s="704" t="s">
        <v>869</v>
      </c>
      <c r="D3815" s="704" t="s">
        <v>675</v>
      </c>
      <c r="E3815" s="704" t="s">
        <v>861</v>
      </c>
      <c r="F3815" s="708"/>
      <c r="G3815" s="705">
        <v>133.66089985389405</v>
      </c>
    </row>
    <row r="3816" spans="2:7" ht="11.25" hidden="1" customHeight="1" outlineLevel="2" x14ac:dyDescent="0.25">
      <c r="B3816" s="704" t="s">
        <v>683</v>
      </c>
      <c r="C3816" s="704" t="s">
        <v>869</v>
      </c>
      <c r="D3816" s="704" t="s">
        <v>675</v>
      </c>
      <c r="E3816" s="704" t="s">
        <v>861</v>
      </c>
      <c r="F3816" s="709"/>
      <c r="G3816" s="705">
        <v>221.97917186101347</v>
      </c>
    </row>
    <row r="3817" spans="2:7" ht="11.25" hidden="1" customHeight="1" outlineLevel="2" x14ac:dyDescent="0.25">
      <c r="B3817" s="704" t="s">
        <v>684</v>
      </c>
      <c r="C3817" s="704" t="s">
        <v>869</v>
      </c>
      <c r="D3817" s="704" t="s">
        <v>675</v>
      </c>
      <c r="E3817" s="704" t="s">
        <v>861</v>
      </c>
      <c r="F3817" s="709"/>
      <c r="G3817" s="705">
        <v>29.330773858277432</v>
      </c>
    </row>
    <row r="3818" spans="2:7" ht="11.25" hidden="1" customHeight="1" outlineLevel="2" x14ac:dyDescent="0.25">
      <c r="B3818" s="704" t="s">
        <v>685</v>
      </c>
      <c r="C3818" s="704" t="s">
        <v>869</v>
      </c>
      <c r="D3818" s="704" t="s">
        <v>675</v>
      </c>
      <c r="E3818" s="704" t="s">
        <v>861</v>
      </c>
      <c r="F3818" s="708"/>
      <c r="G3818" s="705">
        <v>266.39555730348502</v>
      </c>
    </row>
    <row r="3819" spans="2:7" ht="11.25" hidden="1" customHeight="1" outlineLevel="2" x14ac:dyDescent="0.25">
      <c r="B3819" s="704" t="s">
        <v>686</v>
      </c>
      <c r="C3819" s="704" t="s">
        <v>869</v>
      </c>
      <c r="D3819" s="704" t="s">
        <v>675</v>
      </c>
      <c r="E3819" s="704" t="s">
        <v>861</v>
      </c>
      <c r="F3819" s="708"/>
      <c r="G3819" s="705">
        <v>62.631890164390526</v>
      </c>
    </row>
    <row r="3820" spans="2:7" ht="11.25" hidden="1" customHeight="1" outlineLevel="2" x14ac:dyDescent="0.25">
      <c r="B3820" s="704" t="s">
        <v>687</v>
      </c>
      <c r="C3820" s="704" t="s">
        <v>869</v>
      </c>
      <c r="D3820" s="704" t="s">
        <v>675</v>
      </c>
      <c r="E3820" s="704" t="s">
        <v>861</v>
      </c>
      <c r="F3820" s="708"/>
      <c r="G3820" s="705">
        <v>320.82367647194184</v>
      </c>
    </row>
    <row r="3821" spans="2:7" ht="11.25" hidden="1" customHeight="1" outlineLevel="2" x14ac:dyDescent="0.25">
      <c r="B3821" s="704" t="s">
        <v>688</v>
      </c>
      <c r="C3821" s="704" t="s">
        <v>869</v>
      </c>
      <c r="D3821" s="704" t="s">
        <v>675</v>
      </c>
      <c r="E3821" s="704" t="s">
        <v>861</v>
      </c>
      <c r="F3821" s="708"/>
      <c r="G3821" s="705">
        <v>230.2822464098368</v>
      </c>
    </row>
    <row r="3822" spans="2:7" ht="11.25" hidden="1" customHeight="1" outlineLevel="2" x14ac:dyDescent="0.25">
      <c r="B3822" s="704" t="s">
        <v>689</v>
      </c>
      <c r="C3822" s="704" t="s">
        <v>869</v>
      </c>
      <c r="D3822" s="704" t="s">
        <v>675</v>
      </c>
      <c r="E3822" s="704" t="s">
        <v>861</v>
      </c>
      <c r="F3822" s="708"/>
      <c r="G3822" s="705">
        <v>34.046934780157393</v>
      </c>
    </row>
    <row r="3823" spans="2:7" ht="11.25" hidden="1" customHeight="1" outlineLevel="2" x14ac:dyDescent="0.25">
      <c r="B3823" s="704" t="s">
        <v>690</v>
      </c>
      <c r="C3823" s="704" t="s">
        <v>869</v>
      </c>
      <c r="D3823" s="704" t="s">
        <v>675</v>
      </c>
      <c r="E3823" s="704" t="s">
        <v>861</v>
      </c>
      <c r="F3823" s="708"/>
      <c r="G3823" s="705">
        <v>749.60011428577025</v>
      </c>
    </row>
    <row r="3824" spans="2:7" ht="11.25" hidden="1" customHeight="1" outlineLevel="2" x14ac:dyDescent="0.25">
      <c r="B3824" s="704" t="s">
        <v>691</v>
      </c>
      <c r="C3824" s="704" t="s">
        <v>869</v>
      </c>
      <c r="D3824" s="704" t="s">
        <v>675</v>
      </c>
      <c r="E3824" s="704" t="s">
        <v>861</v>
      </c>
      <c r="F3824" s="708"/>
      <c r="G3824" s="705">
        <v>856.06689677784027</v>
      </c>
    </row>
    <row r="3825" spans="2:7" ht="11.25" hidden="1" customHeight="1" outlineLevel="2" x14ac:dyDescent="0.25">
      <c r="B3825" s="704" t="s">
        <v>692</v>
      </c>
      <c r="C3825" s="704" t="s">
        <v>869</v>
      </c>
      <c r="D3825" s="704" t="s">
        <v>675</v>
      </c>
      <c r="E3825" s="704" t="s">
        <v>861</v>
      </c>
      <c r="F3825" s="708"/>
      <c r="G3825" s="705">
        <v>50.060648739364822</v>
      </c>
    </row>
    <row r="3826" spans="2:7" ht="11.25" hidden="1" customHeight="1" outlineLevel="2" x14ac:dyDescent="0.25">
      <c r="B3826" s="704" t="s">
        <v>693</v>
      </c>
      <c r="C3826" s="704" t="s">
        <v>869</v>
      </c>
      <c r="D3826" s="704" t="s">
        <v>675</v>
      </c>
      <c r="E3826" s="704" t="s">
        <v>861</v>
      </c>
      <c r="F3826" s="708"/>
      <c r="G3826" s="705">
        <v>124.96130499749989</v>
      </c>
    </row>
    <row r="3827" spans="2:7" ht="11.25" hidden="1" customHeight="1" outlineLevel="2" x14ac:dyDescent="0.25">
      <c r="B3827" s="704" t="s">
        <v>694</v>
      </c>
      <c r="C3827" s="704" t="s">
        <v>869</v>
      </c>
      <c r="D3827" s="704" t="s">
        <v>675</v>
      </c>
      <c r="E3827" s="704" t="s">
        <v>861</v>
      </c>
      <c r="F3827" s="708"/>
      <c r="G3827" s="705">
        <v>14.009626703456695</v>
      </c>
    </row>
    <row r="3828" spans="2:7" ht="11.25" hidden="1" customHeight="1" outlineLevel="2" x14ac:dyDescent="0.25">
      <c r="B3828" s="704" t="s">
        <v>695</v>
      </c>
      <c r="C3828" s="704" t="s">
        <v>869</v>
      </c>
      <c r="D3828" s="704" t="s">
        <v>675</v>
      </c>
      <c r="E3828" s="704" t="s">
        <v>861</v>
      </c>
      <c r="F3828" s="708"/>
      <c r="G3828" s="705">
        <v>66.451922526603866</v>
      </c>
    </row>
    <row r="3829" spans="2:7" ht="11.25" hidden="1" customHeight="1" outlineLevel="2" x14ac:dyDescent="0.25">
      <c r="B3829" s="704" t="s">
        <v>696</v>
      </c>
      <c r="C3829" s="704" t="s">
        <v>869</v>
      </c>
      <c r="D3829" s="704" t="s">
        <v>675</v>
      </c>
      <c r="E3829" s="704" t="s">
        <v>861</v>
      </c>
      <c r="F3829" s="708"/>
      <c r="G3829" s="705">
        <v>166.03286075580235</v>
      </c>
    </row>
    <row r="3830" spans="2:7" ht="11.25" hidden="1" customHeight="1" outlineLevel="2" x14ac:dyDescent="0.25">
      <c r="B3830" s="704" t="s">
        <v>697</v>
      </c>
      <c r="C3830" s="704" t="s">
        <v>869</v>
      </c>
      <c r="D3830" s="704" t="s">
        <v>675</v>
      </c>
      <c r="E3830" s="704" t="s">
        <v>861</v>
      </c>
      <c r="F3830" s="708"/>
      <c r="G3830" s="705">
        <v>90.841460488144136</v>
      </c>
    </row>
    <row r="3831" spans="2:7" ht="11.25" hidden="1" customHeight="1" outlineLevel="2" x14ac:dyDescent="0.25">
      <c r="B3831" s="704" t="s">
        <v>698</v>
      </c>
      <c r="C3831" s="704" t="s">
        <v>869</v>
      </c>
      <c r="D3831" s="704" t="s">
        <v>675</v>
      </c>
      <c r="E3831" s="704" t="s">
        <v>861</v>
      </c>
      <c r="F3831" s="708"/>
      <c r="G3831" s="705">
        <v>99.751861662577539</v>
      </c>
    </row>
    <row r="3832" spans="2:7" ht="11.25" hidden="1" customHeight="1" outlineLevel="2" x14ac:dyDescent="0.25">
      <c r="B3832" s="704" t="s">
        <v>699</v>
      </c>
      <c r="C3832" s="704" t="s">
        <v>869</v>
      </c>
      <c r="D3832" s="704" t="s">
        <v>675</v>
      </c>
      <c r="E3832" s="704" t="s">
        <v>861</v>
      </c>
      <c r="F3832" s="708"/>
      <c r="G3832" s="705">
        <v>3.2943024353921524E-30</v>
      </c>
    </row>
    <row r="3833" spans="2:7" ht="11.25" hidden="1" customHeight="1" outlineLevel="2" x14ac:dyDescent="0.25">
      <c r="B3833" s="704" t="s">
        <v>673</v>
      </c>
      <c r="C3833" s="704" t="s">
        <v>870</v>
      </c>
      <c r="D3833" s="704" t="s">
        <v>675</v>
      </c>
      <c r="E3833" s="704" t="s">
        <v>861</v>
      </c>
      <c r="F3833" s="709"/>
      <c r="G3833" s="705">
        <v>134.10446074404604</v>
      </c>
    </row>
    <row r="3834" spans="2:7" ht="11.25" hidden="1" customHeight="1" outlineLevel="2" x14ac:dyDescent="0.25">
      <c r="B3834" s="704" t="s">
        <v>677</v>
      </c>
      <c r="C3834" s="704" t="s">
        <v>870</v>
      </c>
      <c r="D3834" s="704" t="s">
        <v>675</v>
      </c>
      <c r="E3834" s="704" t="s">
        <v>861</v>
      </c>
      <c r="F3834" s="706">
        <v>7.3184321258552329E-2</v>
      </c>
      <c r="G3834" s="705">
        <v>2225.4420124042695</v>
      </c>
    </row>
    <row r="3835" spans="2:7" ht="11.25" hidden="1" customHeight="1" outlineLevel="2" x14ac:dyDescent="0.25">
      <c r="B3835" s="704" t="s">
        <v>678</v>
      </c>
      <c r="C3835" s="704" t="s">
        <v>870</v>
      </c>
      <c r="D3835" s="704" t="s">
        <v>675</v>
      </c>
      <c r="E3835" s="704" t="s">
        <v>861</v>
      </c>
      <c r="F3835" s="709"/>
      <c r="G3835" s="705">
        <v>5154.8242571513438</v>
      </c>
    </row>
    <row r="3836" spans="2:7" ht="11.25" hidden="1" customHeight="1" outlineLevel="2" x14ac:dyDescent="0.25">
      <c r="B3836" s="704" t="s">
        <v>679</v>
      </c>
      <c r="C3836" s="704" t="s">
        <v>870</v>
      </c>
      <c r="D3836" s="704" t="s">
        <v>675</v>
      </c>
      <c r="E3836" s="704" t="s">
        <v>861</v>
      </c>
      <c r="F3836" s="709"/>
      <c r="G3836" s="705">
        <v>418.32504797581595</v>
      </c>
    </row>
    <row r="3837" spans="2:7" ht="11.25" hidden="1" customHeight="1" outlineLevel="2" x14ac:dyDescent="0.25">
      <c r="B3837" s="704" t="s">
        <v>680</v>
      </c>
      <c r="C3837" s="704" t="s">
        <v>870</v>
      </c>
      <c r="D3837" s="704" t="s">
        <v>675</v>
      </c>
      <c r="E3837" s="704" t="s">
        <v>861</v>
      </c>
      <c r="F3837" s="709"/>
      <c r="G3837" s="705">
        <v>77.535347406392361</v>
      </c>
    </row>
    <row r="3838" spans="2:7" ht="11.25" hidden="1" customHeight="1" outlineLevel="2" x14ac:dyDescent="0.25">
      <c r="B3838" s="704" t="s">
        <v>681</v>
      </c>
      <c r="C3838" s="704" t="s">
        <v>870</v>
      </c>
      <c r="D3838" s="704" t="s">
        <v>675</v>
      </c>
      <c r="E3838" s="704" t="s">
        <v>861</v>
      </c>
      <c r="F3838" s="709"/>
      <c r="G3838" s="705">
        <v>653.98603693894279</v>
      </c>
    </row>
    <row r="3839" spans="2:7" ht="11.25" hidden="1" customHeight="1" outlineLevel="2" x14ac:dyDescent="0.25">
      <c r="B3839" s="704" t="s">
        <v>682</v>
      </c>
      <c r="C3839" s="704" t="s">
        <v>870</v>
      </c>
      <c r="D3839" s="704" t="s">
        <v>675</v>
      </c>
      <c r="E3839" s="704" t="s">
        <v>861</v>
      </c>
      <c r="F3839" s="709"/>
      <c r="G3839" s="705">
        <v>574.0996435655037</v>
      </c>
    </row>
    <row r="3840" spans="2:7" ht="11.25" hidden="1" customHeight="1" outlineLevel="2" x14ac:dyDescent="0.25">
      <c r="B3840" s="704" t="s">
        <v>683</v>
      </c>
      <c r="C3840" s="704" t="s">
        <v>870</v>
      </c>
      <c r="D3840" s="704" t="s">
        <v>675</v>
      </c>
      <c r="E3840" s="704" t="s">
        <v>861</v>
      </c>
      <c r="F3840" s="709"/>
      <c r="G3840" s="705">
        <v>953.44394057660077</v>
      </c>
    </row>
    <row r="3841" spans="2:7" ht="11.25" hidden="1" customHeight="1" outlineLevel="2" x14ac:dyDescent="0.25">
      <c r="B3841" s="704" t="s">
        <v>684</v>
      </c>
      <c r="C3841" s="704" t="s">
        <v>870</v>
      </c>
      <c r="D3841" s="704" t="s">
        <v>675</v>
      </c>
      <c r="E3841" s="704" t="s">
        <v>861</v>
      </c>
      <c r="F3841" s="709"/>
      <c r="G3841" s="705">
        <v>125.98137069606663</v>
      </c>
    </row>
    <row r="3842" spans="2:7" ht="11.25" hidden="1" customHeight="1" outlineLevel="2" x14ac:dyDescent="0.25">
      <c r="B3842" s="704" t="s">
        <v>685</v>
      </c>
      <c r="C3842" s="704" t="s">
        <v>870</v>
      </c>
      <c r="D3842" s="704" t="s">
        <v>675</v>
      </c>
      <c r="E3842" s="704" t="s">
        <v>861</v>
      </c>
      <c r="F3842" s="709"/>
      <c r="G3842" s="705">
        <v>1144.2207892246702</v>
      </c>
    </row>
    <row r="3843" spans="2:7" ht="11.25" hidden="1" customHeight="1" outlineLevel="2" x14ac:dyDescent="0.25">
      <c r="B3843" s="704" t="s">
        <v>686</v>
      </c>
      <c r="C3843" s="704" t="s">
        <v>870</v>
      </c>
      <c r="D3843" s="704" t="s">
        <v>675</v>
      </c>
      <c r="E3843" s="704" t="s">
        <v>861</v>
      </c>
      <c r="F3843" s="708"/>
      <c r="G3843" s="705">
        <v>269.01621623863792</v>
      </c>
    </row>
    <row r="3844" spans="2:7" ht="11.25" hidden="1" customHeight="1" outlineLevel="2" x14ac:dyDescent="0.25">
      <c r="B3844" s="704" t="s">
        <v>687</v>
      </c>
      <c r="C3844" s="704" t="s">
        <v>870</v>
      </c>
      <c r="D3844" s="704" t="s">
        <v>675</v>
      </c>
      <c r="E3844" s="704" t="s">
        <v>861</v>
      </c>
      <c r="F3844" s="708"/>
      <c r="G3844" s="705">
        <v>1377.9998850884388</v>
      </c>
    </row>
    <row r="3845" spans="2:7" ht="11.25" hidden="1" customHeight="1" outlineLevel="2" x14ac:dyDescent="0.25">
      <c r="B3845" s="704" t="s">
        <v>688</v>
      </c>
      <c r="C3845" s="704" t="s">
        <v>870</v>
      </c>
      <c r="D3845" s="704" t="s">
        <v>675</v>
      </c>
      <c r="E3845" s="704" t="s">
        <v>861</v>
      </c>
      <c r="F3845" s="709"/>
      <c r="G3845" s="705">
        <v>989.10738658671119</v>
      </c>
    </row>
    <row r="3846" spans="2:7" ht="11.25" hidden="1" customHeight="1" outlineLevel="2" x14ac:dyDescent="0.25">
      <c r="B3846" s="704" t="s">
        <v>689</v>
      </c>
      <c r="C3846" s="704" t="s">
        <v>870</v>
      </c>
      <c r="D3846" s="704" t="s">
        <v>675</v>
      </c>
      <c r="E3846" s="704" t="s">
        <v>861</v>
      </c>
      <c r="F3846" s="708"/>
      <c r="G3846" s="705">
        <v>146.23819682231999</v>
      </c>
    </row>
    <row r="3847" spans="2:7" ht="11.25" hidden="1" customHeight="1" outlineLevel="2" x14ac:dyDescent="0.25">
      <c r="B3847" s="704" t="s">
        <v>690</v>
      </c>
      <c r="C3847" s="704" t="s">
        <v>870</v>
      </c>
      <c r="D3847" s="704" t="s">
        <v>675</v>
      </c>
      <c r="E3847" s="704" t="s">
        <v>861</v>
      </c>
      <c r="F3847" s="708"/>
      <c r="G3847" s="705">
        <v>3219.678087879387</v>
      </c>
    </row>
    <row r="3848" spans="2:7" ht="11.25" hidden="1" customHeight="1" outlineLevel="2" x14ac:dyDescent="0.25">
      <c r="B3848" s="704" t="s">
        <v>691</v>
      </c>
      <c r="C3848" s="704" t="s">
        <v>870</v>
      </c>
      <c r="D3848" s="704" t="s">
        <v>675</v>
      </c>
      <c r="E3848" s="704" t="s">
        <v>861</v>
      </c>
      <c r="F3848" s="708"/>
      <c r="G3848" s="705">
        <v>3676.9739966893185</v>
      </c>
    </row>
    <row r="3849" spans="2:7" ht="11.25" hidden="1" customHeight="1" outlineLevel="2" x14ac:dyDescent="0.25">
      <c r="B3849" s="704" t="s">
        <v>692</v>
      </c>
      <c r="C3849" s="704" t="s">
        <v>870</v>
      </c>
      <c r="D3849" s="704" t="s">
        <v>675</v>
      </c>
      <c r="E3849" s="704" t="s">
        <v>861</v>
      </c>
      <c r="F3849" s="708"/>
      <c r="G3849" s="705">
        <v>215.02023481796104</v>
      </c>
    </row>
    <row r="3850" spans="2:7" ht="11.25" hidden="1" customHeight="1" outlineLevel="2" x14ac:dyDescent="0.25">
      <c r="B3850" s="704" t="s">
        <v>693</v>
      </c>
      <c r="C3850" s="704" t="s">
        <v>870</v>
      </c>
      <c r="D3850" s="704" t="s">
        <v>675</v>
      </c>
      <c r="E3850" s="704" t="s">
        <v>861</v>
      </c>
      <c r="F3850" s="708"/>
      <c r="G3850" s="705">
        <v>536.7332881851529</v>
      </c>
    </row>
    <row r="3851" spans="2:7" ht="11.25" hidden="1" customHeight="1" outlineLevel="2" x14ac:dyDescent="0.25">
      <c r="B3851" s="704" t="s">
        <v>694</v>
      </c>
      <c r="C3851" s="704" t="s">
        <v>870</v>
      </c>
      <c r="D3851" s="704" t="s">
        <v>675</v>
      </c>
      <c r="E3851" s="704" t="s">
        <v>861</v>
      </c>
      <c r="F3851" s="708"/>
      <c r="G3851" s="705">
        <v>60.174087620923061</v>
      </c>
    </row>
    <row r="3852" spans="2:7" ht="11.25" hidden="1" customHeight="1" outlineLevel="2" x14ac:dyDescent="0.25">
      <c r="B3852" s="704" t="s">
        <v>695</v>
      </c>
      <c r="C3852" s="704" t="s">
        <v>870</v>
      </c>
      <c r="D3852" s="704" t="s">
        <v>675</v>
      </c>
      <c r="E3852" s="704" t="s">
        <v>861</v>
      </c>
      <c r="F3852" s="708"/>
      <c r="G3852" s="705">
        <v>285.4238644728643</v>
      </c>
    </row>
    <row r="3853" spans="2:7" ht="11.25" hidden="1" customHeight="1" outlineLevel="2" x14ac:dyDescent="0.25">
      <c r="B3853" s="704" t="s">
        <v>696</v>
      </c>
      <c r="C3853" s="704" t="s">
        <v>870</v>
      </c>
      <c r="D3853" s="704" t="s">
        <v>675</v>
      </c>
      <c r="E3853" s="704" t="s">
        <v>861</v>
      </c>
      <c r="F3853" s="708"/>
      <c r="G3853" s="705">
        <v>713.1434470910275</v>
      </c>
    </row>
    <row r="3854" spans="2:7" ht="11.25" hidden="1" customHeight="1" outlineLevel="2" x14ac:dyDescent="0.25">
      <c r="B3854" s="704" t="s">
        <v>697</v>
      </c>
      <c r="C3854" s="704" t="s">
        <v>870</v>
      </c>
      <c r="D3854" s="704" t="s">
        <v>675</v>
      </c>
      <c r="E3854" s="704" t="s">
        <v>861</v>
      </c>
      <c r="F3854" s="708"/>
      <c r="G3854" s="705">
        <v>390.1817632172714</v>
      </c>
    </row>
    <row r="3855" spans="2:7" ht="11.25" hidden="1" customHeight="1" outlineLevel="2" x14ac:dyDescent="0.25">
      <c r="B3855" s="704" t="s">
        <v>698</v>
      </c>
      <c r="C3855" s="704" t="s">
        <v>870</v>
      </c>
      <c r="D3855" s="704" t="s">
        <v>675</v>
      </c>
      <c r="E3855" s="704" t="s">
        <v>861</v>
      </c>
      <c r="F3855" s="708"/>
      <c r="G3855" s="705">
        <v>428.45367027728065</v>
      </c>
    </row>
    <row r="3856" spans="2:7" ht="11.25" hidden="1" customHeight="1" outlineLevel="2" x14ac:dyDescent="0.25">
      <c r="B3856" s="704" t="s">
        <v>699</v>
      </c>
      <c r="C3856" s="704" t="s">
        <v>870</v>
      </c>
      <c r="D3856" s="704" t="s">
        <v>675</v>
      </c>
      <c r="E3856" s="704" t="s">
        <v>861</v>
      </c>
      <c r="F3856" s="708"/>
      <c r="G3856" s="705">
        <v>6.6305868479862841E-29</v>
      </c>
    </row>
    <row r="3857" spans="2:7" ht="11.25" hidden="1" customHeight="1" outlineLevel="2" x14ac:dyDescent="0.25">
      <c r="B3857" s="704" t="s">
        <v>673</v>
      </c>
      <c r="C3857" s="704" t="s">
        <v>871</v>
      </c>
      <c r="D3857" s="704" t="s">
        <v>675</v>
      </c>
      <c r="E3857" s="704" t="s">
        <v>861</v>
      </c>
      <c r="F3857" s="708"/>
      <c r="G3857" s="705">
        <v>115.31415754520516</v>
      </c>
    </row>
    <row r="3858" spans="2:7" ht="11.25" hidden="1" customHeight="1" outlineLevel="2" x14ac:dyDescent="0.25">
      <c r="B3858" s="704" t="s">
        <v>677</v>
      </c>
      <c r="C3858" s="704" t="s">
        <v>871</v>
      </c>
      <c r="D3858" s="704" t="s">
        <v>675</v>
      </c>
      <c r="E3858" s="704" t="s">
        <v>861</v>
      </c>
      <c r="F3858" s="705">
        <v>4.4731628140244881E-2</v>
      </c>
      <c r="G3858" s="705">
        <v>1913.6195586632939</v>
      </c>
    </row>
    <row r="3859" spans="2:7" ht="11.25" hidden="1" customHeight="1" outlineLevel="2" x14ac:dyDescent="0.25">
      <c r="B3859" s="704" t="s">
        <v>678</v>
      </c>
      <c r="C3859" s="704" t="s">
        <v>871</v>
      </c>
      <c r="D3859" s="704" t="s">
        <v>675</v>
      </c>
      <c r="E3859" s="704" t="s">
        <v>861</v>
      </c>
      <c r="F3859" s="708"/>
      <c r="G3859" s="705">
        <v>4432.5462912108806</v>
      </c>
    </row>
    <row r="3860" spans="2:7" ht="11.25" hidden="1" customHeight="1" outlineLevel="2" x14ac:dyDescent="0.25">
      <c r="B3860" s="704" t="s">
        <v>679</v>
      </c>
      <c r="C3860" s="704" t="s">
        <v>871</v>
      </c>
      <c r="D3860" s="704" t="s">
        <v>675</v>
      </c>
      <c r="E3860" s="704" t="s">
        <v>861</v>
      </c>
      <c r="F3860" s="708"/>
      <c r="G3860" s="705">
        <v>359.71059900055684</v>
      </c>
    </row>
    <row r="3861" spans="2:7" ht="11.25" hidden="1" customHeight="1" outlineLevel="2" x14ac:dyDescent="0.25">
      <c r="B3861" s="704" t="s">
        <v>680</v>
      </c>
      <c r="C3861" s="704" t="s">
        <v>871</v>
      </c>
      <c r="D3861" s="704" t="s">
        <v>675</v>
      </c>
      <c r="E3861" s="704" t="s">
        <v>861</v>
      </c>
      <c r="F3861" s="708"/>
      <c r="G3861" s="705">
        <v>66.671316165798729</v>
      </c>
    </row>
    <row r="3862" spans="2:7" ht="11.25" hidden="1" customHeight="1" outlineLevel="2" x14ac:dyDescent="0.25">
      <c r="B3862" s="704" t="s">
        <v>681</v>
      </c>
      <c r="C3862" s="704" t="s">
        <v>871</v>
      </c>
      <c r="D3862" s="704" t="s">
        <v>675</v>
      </c>
      <c r="E3862" s="704" t="s">
        <v>861</v>
      </c>
      <c r="F3862" s="708"/>
      <c r="G3862" s="705">
        <v>562.35150828496489</v>
      </c>
    </row>
    <row r="3863" spans="2:7" ht="11.25" hidden="1" customHeight="1" outlineLevel="2" x14ac:dyDescent="0.25">
      <c r="B3863" s="704" t="s">
        <v>682</v>
      </c>
      <c r="C3863" s="704" t="s">
        <v>871</v>
      </c>
      <c r="D3863" s="704" t="s">
        <v>675</v>
      </c>
      <c r="E3863" s="704" t="s">
        <v>861</v>
      </c>
      <c r="F3863" s="708"/>
      <c r="G3863" s="705">
        <v>493.6584463804046</v>
      </c>
    </row>
    <row r="3864" spans="2:7" ht="11.25" hidden="1" customHeight="1" outlineLevel="2" x14ac:dyDescent="0.25">
      <c r="B3864" s="704" t="s">
        <v>683</v>
      </c>
      <c r="C3864" s="704" t="s">
        <v>871</v>
      </c>
      <c r="D3864" s="704" t="s">
        <v>675</v>
      </c>
      <c r="E3864" s="704" t="s">
        <v>861</v>
      </c>
      <c r="F3864" s="708"/>
      <c r="G3864" s="705">
        <v>819.84991414170076</v>
      </c>
    </row>
    <row r="3865" spans="2:7" ht="11.25" hidden="1" customHeight="1" outlineLevel="2" x14ac:dyDescent="0.25">
      <c r="B3865" s="704" t="s">
        <v>684</v>
      </c>
      <c r="C3865" s="704" t="s">
        <v>871</v>
      </c>
      <c r="D3865" s="704" t="s">
        <v>675</v>
      </c>
      <c r="E3865" s="704" t="s">
        <v>861</v>
      </c>
      <c r="F3865" s="708"/>
      <c r="G3865" s="705">
        <v>108.32920486335803</v>
      </c>
    </row>
    <row r="3866" spans="2:7" ht="11.25" hidden="1" customHeight="1" outlineLevel="2" x14ac:dyDescent="0.25">
      <c r="B3866" s="704" t="s">
        <v>685</v>
      </c>
      <c r="C3866" s="704" t="s">
        <v>871</v>
      </c>
      <c r="D3866" s="704" t="s">
        <v>675</v>
      </c>
      <c r="E3866" s="704" t="s">
        <v>861</v>
      </c>
      <c r="F3866" s="709"/>
      <c r="G3866" s="705">
        <v>983.89595584660606</v>
      </c>
    </row>
    <row r="3867" spans="2:7" ht="11.25" hidden="1" customHeight="1" outlineLevel="2" x14ac:dyDescent="0.25">
      <c r="B3867" s="704" t="s">
        <v>686</v>
      </c>
      <c r="C3867" s="704" t="s">
        <v>871</v>
      </c>
      <c r="D3867" s="704" t="s">
        <v>675</v>
      </c>
      <c r="E3867" s="704" t="s">
        <v>861</v>
      </c>
      <c r="F3867" s="709"/>
      <c r="G3867" s="705">
        <v>231.32246617037765</v>
      </c>
    </row>
    <row r="3868" spans="2:7" ht="11.25" hidden="1" customHeight="1" outlineLevel="2" x14ac:dyDescent="0.25">
      <c r="B3868" s="704" t="s">
        <v>687</v>
      </c>
      <c r="C3868" s="704" t="s">
        <v>871</v>
      </c>
      <c r="D3868" s="704" t="s">
        <v>675</v>
      </c>
      <c r="E3868" s="704" t="s">
        <v>861</v>
      </c>
      <c r="F3868" s="709"/>
      <c r="G3868" s="705">
        <v>1184.9186179475223</v>
      </c>
    </row>
    <row r="3869" spans="2:7" ht="11.25" hidden="1" customHeight="1" outlineLevel="2" x14ac:dyDescent="0.25">
      <c r="B3869" s="704" t="s">
        <v>688</v>
      </c>
      <c r="C3869" s="704" t="s">
        <v>871</v>
      </c>
      <c r="D3869" s="704" t="s">
        <v>675</v>
      </c>
      <c r="E3869" s="704" t="s">
        <v>861</v>
      </c>
      <c r="F3869" s="709"/>
      <c r="G3869" s="705">
        <v>850.51635841913765</v>
      </c>
    </row>
    <row r="3870" spans="2:7" ht="11.25" hidden="1" customHeight="1" outlineLevel="2" x14ac:dyDescent="0.25">
      <c r="B3870" s="704" t="s">
        <v>689</v>
      </c>
      <c r="C3870" s="704" t="s">
        <v>871</v>
      </c>
      <c r="D3870" s="704" t="s">
        <v>675</v>
      </c>
      <c r="E3870" s="704" t="s">
        <v>861</v>
      </c>
      <c r="F3870" s="709"/>
      <c r="G3870" s="705">
        <v>125.74774326195214</v>
      </c>
    </row>
    <row r="3871" spans="2:7" ht="11.25" hidden="1" customHeight="1" outlineLevel="2" x14ac:dyDescent="0.25">
      <c r="B3871" s="704" t="s">
        <v>690</v>
      </c>
      <c r="C3871" s="704" t="s">
        <v>871</v>
      </c>
      <c r="D3871" s="704" t="s">
        <v>675</v>
      </c>
      <c r="E3871" s="704" t="s">
        <v>861</v>
      </c>
      <c r="F3871" s="709"/>
      <c r="G3871" s="705">
        <v>2768.546050500845</v>
      </c>
    </row>
    <row r="3872" spans="2:7" ht="11.25" hidden="1" customHeight="1" outlineLevel="2" x14ac:dyDescent="0.25">
      <c r="B3872" s="704" t="s">
        <v>691</v>
      </c>
      <c r="C3872" s="704" t="s">
        <v>871</v>
      </c>
      <c r="D3872" s="704" t="s">
        <v>675</v>
      </c>
      <c r="E3872" s="704" t="s">
        <v>861</v>
      </c>
      <c r="F3872" s="708"/>
      <c r="G3872" s="705">
        <v>3161.7667972816766</v>
      </c>
    </row>
    <row r="3873" spans="2:7" ht="11.25" hidden="1" customHeight="1" outlineLevel="2" x14ac:dyDescent="0.25">
      <c r="B3873" s="704" t="s">
        <v>692</v>
      </c>
      <c r="C3873" s="704" t="s">
        <v>871</v>
      </c>
      <c r="D3873" s="704" t="s">
        <v>675</v>
      </c>
      <c r="E3873" s="704" t="s">
        <v>861</v>
      </c>
      <c r="F3873" s="708"/>
      <c r="G3873" s="705">
        <v>184.89225734669745</v>
      </c>
    </row>
    <row r="3874" spans="2:7" ht="11.25" hidden="1" customHeight="1" outlineLevel="2" x14ac:dyDescent="0.25">
      <c r="B3874" s="704" t="s">
        <v>693</v>
      </c>
      <c r="C3874" s="704" t="s">
        <v>871</v>
      </c>
      <c r="D3874" s="704" t="s">
        <v>675</v>
      </c>
      <c r="E3874" s="704" t="s">
        <v>861</v>
      </c>
      <c r="F3874" s="708"/>
      <c r="G3874" s="705">
        <v>461.52776884512173</v>
      </c>
    </row>
    <row r="3875" spans="2:7" ht="11.25" hidden="1" customHeight="1" outlineLevel="2" x14ac:dyDescent="0.25">
      <c r="B3875" s="704" t="s">
        <v>694</v>
      </c>
      <c r="C3875" s="704" t="s">
        <v>871</v>
      </c>
      <c r="D3875" s="704" t="s">
        <v>675</v>
      </c>
      <c r="E3875" s="704" t="s">
        <v>861</v>
      </c>
      <c r="F3875" s="708"/>
      <c r="G3875" s="705">
        <v>51.742666327029411</v>
      </c>
    </row>
    <row r="3876" spans="2:7" ht="11.25" hidden="1" customHeight="1" outlineLevel="2" x14ac:dyDescent="0.25">
      <c r="B3876" s="704" t="s">
        <v>695</v>
      </c>
      <c r="C3876" s="704" t="s">
        <v>871</v>
      </c>
      <c r="D3876" s="704" t="s">
        <v>675</v>
      </c>
      <c r="E3876" s="704" t="s">
        <v>861</v>
      </c>
      <c r="F3876" s="708"/>
      <c r="G3876" s="705">
        <v>245.4311490539427</v>
      </c>
    </row>
    <row r="3877" spans="2:7" ht="11.25" hidden="1" customHeight="1" outlineLevel="2" x14ac:dyDescent="0.25">
      <c r="B3877" s="704" t="s">
        <v>696</v>
      </c>
      <c r="C3877" s="704" t="s">
        <v>871</v>
      </c>
      <c r="D3877" s="704" t="s">
        <v>675</v>
      </c>
      <c r="E3877" s="704" t="s">
        <v>861</v>
      </c>
      <c r="F3877" s="708"/>
      <c r="G3877" s="705">
        <v>613.21996247334357</v>
      </c>
    </row>
    <row r="3878" spans="2:7" ht="11.25" hidden="1" customHeight="1" outlineLevel="2" x14ac:dyDescent="0.25">
      <c r="B3878" s="704" t="s">
        <v>697</v>
      </c>
      <c r="C3878" s="704" t="s">
        <v>871</v>
      </c>
      <c r="D3878" s="704" t="s">
        <v>675</v>
      </c>
      <c r="E3878" s="704" t="s">
        <v>861</v>
      </c>
      <c r="F3878" s="708"/>
      <c r="G3878" s="705">
        <v>335.51065547882769</v>
      </c>
    </row>
    <row r="3879" spans="2:7" ht="11.25" hidden="1" customHeight="1" outlineLevel="2" x14ac:dyDescent="0.25">
      <c r="B3879" s="704" t="s">
        <v>698</v>
      </c>
      <c r="C3879" s="704" t="s">
        <v>871</v>
      </c>
      <c r="D3879" s="704" t="s">
        <v>675</v>
      </c>
      <c r="E3879" s="704" t="s">
        <v>861</v>
      </c>
      <c r="F3879" s="708"/>
      <c r="G3879" s="705">
        <v>368.41998537933858</v>
      </c>
    </row>
    <row r="3880" spans="2:7" ht="11.25" hidden="1" customHeight="1" outlineLevel="2" x14ac:dyDescent="0.25">
      <c r="B3880" s="704" t="s">
        <v>699</v>
      </c>
      <c r="C3880" s="704" t="s">
        <v>871</v>
      </c>
      <c r="D3880" s="704" t="s">
        <v>675</v>
      </c>
      <c r="E3880" s="704" t="s">
        <v>861</v>
      </c>
      <c r="F3880" s="708"/>
      <c r="G3880" s="705">
        <v>1.6942062932964157E-29</v>
      </c>
    </row>
    <row r="3881" spans="2:7" ht="11.25" hidden="1" customHeight="1" outlineLevel="2" x14ac:dyDescent="0.25">
      <c r="B3881" s="704" t="s">
        <v>673</v>
      </c>
      <c r="C3881" s="704" t="s">
        <v>872</v>
      </c>
      <c r="D3881" s="704" t="s">
        <v>675</v>
      </c>
      <c r="E3881" s="704" t="s">
        <v>861</v>
      </c>
      <c r="F3881" s="708"/>
      <c r="G3881" s="705">
        <v>1145.5710764301989</v>
      </c>
    </row>
    <row r="3882" spans="2:7" ht="11.25" hidden="1" customHeight="1" outlineLevel="2" x14ac:dyDescent="0.25">
      <c r="B3882" s="704" t="s">
        <v>677</v>
      </c>
      <c r="C3882" s="704" t="s">
        <v>872</v>
      </c>
      <c r="D3882" s="704" t="s">
        <v>675</v>
      </c>
      <c r="E3882" s="704" t="s">
        <v>861</v>
      </c>
      <c r="F3882" s="705">
        <v>0.58626737043763022</v>
      </c>
      <c r="G3882" s="705">
        <v>19010.568858304807</v>
      </c>
    </row>
    <row r="3883" spans="2:7" ht="11.25" hidden="1" customHeight="1" outlineLevel="2" x14ac:dyDescent="0.25">
      <c r="B3883" s="704" t="s">
        <v>678</v>
      </c>
      <c r="C3883" s="704" t="s">
        <v>872</v>
      </c>
      <c r="D3883" s="704" t="s">
        <v>675</v>
      </c>
      <c r="E3883" s="704" t="s">
        <v>861</v>
      </c>
      <c r="F3883" s="708"/>
      <c r="G3883" s="705">
        <v>44034.451121293561</v>
      </c>
    </row>
    <row r="3884" spans="2:7" ht="11.25" hidden="1" customHeight="1" outlineLevel="2" x14ac:dyDescent="0.25">
      <c r="B3884" s="704" t="s">
        <v>679</v>
      </c>
      <c r="C3884" s="704" t="s">
        <v>872</v>
      </c>
      <c r="D3884" s="704" t="s">
        <v>675</v>
      </c>
      <c r="E3884" s="704" t="s">
        <v>861</v>
      </c>
      <c r="F3884" s="708"/>
      <c r="G3884" s="705">
        <v>3573.490855089271</v>
      </c>
    </row>
    <row r="3885" spans="2:7" ht="11.25" hidden="1" customHeight="1" outlineLevel="2" x14ac:dyDescent="0.25">
      <c r="B3885" s="704" t="s">
        <v>680</v>
      </c>
      <c r="C3885" s="704" t="s">
        <v>872</v>
      </c>
      <c r="D3885" s="704" t="s">
        <v>675</v>
      </c>
      <c r="E3885" s="704" t="s">
        <v>861</v>
      </c>
      <c r="F3885" s="708"/>
      <c r="G3885" s="705">
        <v>662.33640365525071</v>
      </c>
    </row>
    <row r="3886" spans="2:7" ht="11.25" hidden="1" customHeight="1" outlineLevel="2" x14ac:dyDescent="0.25">
      <c r="B3886" s="704" t="s">
        <v>681</v>
      </c>
      <c r="C3886" s="704" t="s">
        <v>872</v>
      </c>
      <c r="D3886" s="704" t="s">
        <v>675</v>
      </c>
      <c r="E3886" s="704" t="s">
        <v>861</v>
      </c>
      <c r="F3886" s="708"/>
      <c r="G3886" s="705">
        <v>5586.5969260331603</v>
      </c>
    </row>
    <row r="3887" spans="2:7" ht="11.25" hidden="1" customHeight="1" outlineLevel="2" x14ac:dyDescent="0.25">
      <c r="B3887" s="704" t="s">
        <v>682</v>
      </c>
      <c r="C3887" s="704" t="s">
        <v>872</v>
      </c>
      <c r="D3887" s="704" t="s">
        <v>675</v>
      </c>
      <c r="E3887" s="704" t="s">
        <v>861</v>
      </c>
      <c r="F3887" s="708"/>
      <c r="G3887" s="705">
        <v>4904.1746474850752</v>
      </c>
    </row>
    <row r="3888" spans="2:7" ht="11.25" hidden="1" customHeight="1" outlineLevel="2" x14ac:dyDescent="0.25">
      <c r="B3888" s="704" t="s">
        <v>683</v>
      </c>
      <c r="C3888" s="704" t="s">
        <v>872</v>
      </c>
      <c r="D3888" s="704" t="s">
        <v>675</v>
      </c>
      <c r="E3888" s="704" t="s">
        <v>861</v>
      </c>
      <c r="F3888" s="708"/>
      <c r="G3888" s="705">
        <v>8144.6762145989469</v>
      </c>
    </row>
    <row r="3889" spans="2:7" ht="11.25" hidden="1" customHeight="1" outlineLevel="2" x14ac:dyDescent="0.25">
      <c r="B3889" s="704" t="s">
        <v>684</v>
      </c>
      <c r="C3889" s="704" t="s">
        <v>872</v>
      </c>
      <c r="D3889" s="704" t="s">
        <v>675</v>
      </c>
      <c r="E3889" s="704" t="s">
        <v>861</v>
      </c>
      <c r="F3889" s="708"/>
      <c r="G3889" s="705">
        <v>1076.1805032918564</v>
      </c>
    </row>
    <row r="3890" spans="2:7" ht="11.25" hidden="1" customHeight="1" outlineLevel="2" x14ac:dyDescent="0.25">
      <c r="B3890" s="704" t="s">
        <v>685</v>
      </c>
      <c r="C3890" s="704" t="s">
        <v>872</v>
      </c>
      <c r="D3890" s="704" t="s">
        <v>675</v>
      </c>
      <c r="E3890" s="704" t="s">
        <v>861</v>
      </c>
      <c r="F3890" s="708"/>
      <c r="G3890" s="705">
        <v>9774.3651755865849</v>
      </c>
    </row>
    <row r="3891" spans="2:7" ht="11.25" hidden="1" customHeight="1" outlineLevel="2" x14ac:dyDescent="0.25">
      <c r="B3891" s="704" t="s">
        <v>686</v>
      </c>
      <c r="C3891" s="704" t="s">
        <v>872</v>
      </c>
      <c r="D3891" s="704" t="s">
        <v>675</v>
      </c>
      <c r="E3891" s="704" t="s">
        <v>861</v>
      </c>
      <c r="F3891" s="708"/>
      <c r="G3891" s="705">
        <v>2298.0382541926901</v>
      </c>
    </row>
    <row r="3892" spans="2:7" ht="11.25" hidden="1" customHeight="1" outlineLevel="2" x14ac:dyDescent="0.25">
      <c r="B3892" s="704" t="s">
        <v>687</v>
      </c>
      <c r="C3892" s="704" t="s">
        <v>872</v>
      </c>
      <c r="D3892" s="704" t="s">
        <v>675</v>
      </c>
      <c r="E3892" s="704" t="s">
        <v>861</v>
      </c>
      <c r="F3892" s="708"/>
      <c r="G3892" s="705">
        <v>11771.397969823965</v>
      </c>
    </row>
    <row r="3893" spans="2:7" ht="11.25" hidden="1" customHeight="1" outlineLevel="2" x14ac:dyDescent="0.25">
      <c r="B3893" s="704" t="s">
        <v>688</v>
      </c>
      <c r="C3893" s="704" t="s">
        <v>872</v>
      </c>
      <c r="D3893" s="704" t="s">
        <v>675</v>
      </c>
      <c r="E3893" s="704" t="s">
        <v>861</v>
      </c>
      <c r="F3893" s="708"/>
      <c r="G3893" s="705">
        <v>8449.328541456136</v>
      </c>
    </row>
    <row r="3894" spans="2:7" ht="11.25" hidden="1" customHeight="1" outlineLevel="2" x14ac:dyDescent="0.25">
      <c r="B3894" s="704" t="s">
        <v>689</v>
      </c>
      <c r="C3894" s="704" t="s">
        <v>872</v>
      </c>
      <c r="D3894" s="704" t="s">
        <v>675</v>
      </c>
      <c r="E3894" s="704" t="s">
        <v>861</v>
      </c>
      <c r="F3894" s="708"/>
      <c r="G3894" s="705">
        <v>1249.2222593527281</v>
      </c>
    </row>
    <row r="3895" spans="2:7" ht="11.25" hidden="1" customHeight="1" outlineLevel="2" x14ac:dyDescent="0.25">
      <c r="B3895" s="704" t="s">
        <v>690</v>
      </c>
      <c r="C3895" s="704" t="s">
        <v>872</v>
      </c>
      <c r="D3895" s="704" t="s">
        <v>675</v>
      </c>
      <c r="E3895" s="704" t="s">
        <v>861</v>
      </c>
      <c r="F3895" s="708"/>
      <c r="G3895" s="705">
        <v>27503.711653381306</v>
      </c>
    </row>
    <row r="3896" spans="2:7" ht="11.25" hidden="1" customHeight="1" outlineLevel="2" x14ac:dyDescent="0.25">
      <c r="B3896" s="704" t="s">
        <v>691</v>
      </c>
      <c r="C3896" s="704" t="s">
        <v>872</v>
      </c>
      <c r="D3896" s="704" t="s">
        <v>675</v>
      </c>
      <c r="E3896" s="704" t="s">
        <v>861</v>
      </c>
      <c r="F3896" s="708"/>
      <c r="G3896" s="705">
        <v>31410.101341556714</v>
      </c>
    </row>
    <row r="3897" spans="2:7" ht="11.25" hidden="1" customHeight="1" outlineLevel="2" x14ac:dyDescent="0.25">
      <c r="B3897" s="704" t="s">
        <v>692</v>
      </c>
      <c r="C3897" s="704" t="s">
        <v>872</v>
      </c>
      <c r="D3897" s="704" t="s">
        <v>675</v>
      </c>
      <c r="E3897" s="704" t="s">
        <v>861</v>
      </c>
      <c r="F3897" s="708"/>
      <c r="G3897" s="705">
        <v>1836.7843482009732</v>
      </c>
    </row>
    <row r="3898" spans="2:7" ht="11.25" hidden="1" customHeight="1" outlineLevel="2" x14ac:dyDescent="0.25">
      <c r="B3898" s="704" t="s">
        <v>693</v>
      </c>
      <c r="C3898" s="704" t="s">
        <v>872</v>
      </c>
      <c r="D3898" s="704" t="s">
        <v>675</v>
      </c>
      <c r="E3898" s="704" t="s">
        <v>861</v>
      </c>
      <c r="F3898" s="708"/>
      <c r="G3898" s="705">
        <v>4584.9781955629087</v>
      </c>
    </row>
    <row r="3899" spans="2:7" ht="11.25" hidden="1" customHeight="1" outlineLevel="2" x14ac:dyDescent="0.25">
      <c r="B3899" s="704" t="s">
        <v>694</v>
      </c>
      <c r="C3899" s="704" t="s">
        <v>872</v>
      </c>
      <c r="D3899" s="704" t="s">
        <v>675</v>
      </c>
      <c r="E3899" s="704" t="s">
        <v>861</v>
      </c>
      <c r="F3899" s="708"/>
      <c r="G3899" s="705">
        <v>514.029737204497</v>
      </c>
    </row>
    <row r="3900" spans="2:7" ht="11.25" hidden="1" customHeight="1" outlineLevel="2" x14ac:dyDescent="0.25">
      <c r="B3900" s="704" t="s">
        <v>695</v>
      </c>
      <c r="C3900" s="704" t="s">
        <v>872</v>
      </c>
      <c r="D3900" s="704" t="s">
        <v>675</v>
      </c>
      <c r="E3900" s="704" t="s">
        <v>861</v>
      </c>
      <c r="F3900" s="708"/>
      <c r="G3900" s="705">
        <v>2438.1986968134579</v>
      </c>
    </row>
    <row r="3901" spans="2:7" ht="11.25" hidden="1" customHeight="1" outlineLevel="2" x14ac:dyDescent="0.25">
      <c r="B3901" s="704" t="s">
        <v>696</v>
      </c>
      <c r="C3901" s="704" t="s">
        <v>872</v>
      </c>
      <c r="D3901" s="704" t="s">
        <v>675</v>
      </c>
      <c r="E3901" s="704" t="s">
        <v>861</v>
      </c>
      <c r="F3901" s="708"/>
      <c r="G3901" s="705">
        <v>6091.9430475665868</v>
      </c>
    </row>
    <row r="3902" spans="2:7" ht="11.25" hidden="1" customHeight="1" outlineLevel="2" x14ac:dyDescent="0.25">
      <c r="B3902" s="704" t="s">
        <v>697</v>
      </c>
      <c r="C3902" s="704" t="s">
        <v>872</v>
      </c>
      <c r="D3902" s="704" t="s">
        <v>675</v>
      </c>
      <c r="E3902" s="704" t="s">
        <v>861</v>
      </c>
      <c r="F3902" s="708"/>
      <c r="G3902" s="705">
        <v>3333.0800469534629</v>
      </c>
    </row>
    <row r="3903" spans="2:7" ht="11.25" hidden="1" customHeight="1" outlineLevel="2" x14ac:dyDescent="0.25">
      <c r="B3903" s="704" t="s">
        <v>698</v>
      </c>
      <c r="C3903" s="704" t="s">
        <v>872</v>
      </c>
      <c r="D3903" s="704" t="s">
        <v>675</v>
      </c>
      <c r="E3903" s="704" t="s">
        <v>861</v>
      </c>
      <c r="F3903" s="708"/>
      <c r="G3903" s="705">
        <v>3660.0136359352846</v>
      </c>
    </row>
    <row r="3904" spans="2:7" ht="11.25" hidden="1" customHeight="1" outlineLevel="2" x14ac:dyDescent="0.25">
      <c r="B3904" s="704" t="s">
        <v>699</v>
      </c>
      <c r="C3904" s="704" t="s">
        <v>872</v>
      </c>
      <c r="D3904" s="704" t="s">
        <v>675</v>
      </c>
      <c r="E3904" s="704" t="s">
        <v>861</v>
      </c>
      <c r="F3904" s="708"/>
      <c r="G3904" s="705">
        <v>1.2678898311801315E-28</v>
      </c>
    </row>
    <row r="3905" spans="2:7" ht="11.25" hidden="1" customHeight="1" outlineLevel="2" x14ac:dyDescent="0.25">
      <c r="B3905" s="704" t="s">
        <v>673</v>
      </c>
      <c r="C3905" s="704" t="s">
        <v>873</v>
      </c>
      <c r="D3905" s="704" t="s">
        <v>675</v>
      </c>
      <c r="E3905" s="704" t="s">
        <v>861</v>
      </c>
      <c r="F3905" s="708"/>
      <c r="G3905" s="705">
        <v>9.5024559023550985</v>
      </c>
    </row>
    <row r="3906" spans="2:7" ht="11.25" hidden="1" customHeight="1" outlineLevel="2" x14ac:dyDescent="0.25">
      <c r="B3906" s="704" t="s">
        <v>677</v>
      </c>
      <c r="C3906" s="704" t="s">
        <v>873</v>
      </c>
      <c r="D3906" s="704" t="s">
        <v>675</v>
      </c>
      <c r="E3906" s="704" t="s">
        <v>861</v>
      </c>
      <c r="F3906" s="705">
        <v>5.8336617882605076E-3</v>
      </c>
      <c r="G3906" s="705">
        <v>157.69175639036578</v>
      </c>
    </row>
    <row r="3907" spans="2:7" ht="11.25" hidden="1" customHeight="1" outlineLevel="2" x14ac:dyDescent="0.25">
      <c r="B3907" s="704" t="s">
        <v>678</v>
      </c>
      <c r="C3907" s="704" t="s">
        <v>873</v>
      </c>
      <c r="D3907" s="704" t="s">
        <v>675</v>
      </c>
      <c r="E3907" s="704" t="s">
        <v>861</v>
      </c>
      <c r="F3907" s="708"/>
      <c r="G3907" s="705">
        <v>365.26378802437659</v>
      </c>
    </row>
    <row r="3908" spans="2:7" ht="11.25" hidden="1" customHeight="1" outlineLevel="2" x14ac:dyDescent="0.25">
      <c r="B3908" s="704" t="s">
        <v>679</v>
      </c>
      <c r="C3908" s="704" t="s">
        <v>873</v>
      </c>
      <c r="D3908" s="704" t="s">
        <v>675</v>
      </c>
      <c r="E3908" s="704" t="s">
        <v>861</v>
      </c>
      <c r="F3908" s="708"/>
      <c r="G3908" s="705">
        <v>29.64194152035277</v>
      </c>
    </row>
    <row r="3909" spans="2:7" ht="11.25" hidden="1" customHeight="1" outlineLevel="2" x14ac:dyDescent="0.25">
      <c r="B3909" s="704" t="s">
        <v>680</v>
      </c>
      <c r="C3909" s="704" t="s">
        <v>873</v>
      </c>
      <c r="D3909" s="704" t="s">
        <v>675</v>
      </c>
      <c r="E3909" s="704" t="s">
        <v>861</v>
      </c>
      <c r="F3909" s="708"/>
      <c r="G3909" s="705">
        <v>5.4940487819034933</v>
      </c>
    </row>
    <row r="3910" spans="2:7" ht="11.25" hidden="1" customHeight="1" outlineLevel="2" x14ac:dyDescent="0.25">
      <c r="B3910" s="704" t="s">
        <v>681</v>
      </c>
      <c r="C3910" s="704" t="s">
        <v>873</v>
      </c>
      <c r="D3910" s="704" t="s">
        <v>675</v>
      </c>
      <c r="E3910" s="704" t="s">
        <v>861</v>
      </c>
      <c r="F3910" s="708"/>
      <c r="G3910" s="705">
        <v>46.340557810574488</v>
      </c>
    </row>
    <row r="3911" spans="2:7" ht="11.25" hidden="1" customHeight="1" outlineLevel="2" x14ac:dyDescent="0.25">
      <c r="B3911" s="704" t="s">
        <v>682</v>
      </c>
      <c r="C3911" s="704" t="s">
        <v>873</v>
      </c>
      <c r="D3911" s="704" t="s">
        <v>675</v>
      </c>
      <c r="E3911" s="704" t="s">
        <v>861</v>
      </c>
      <c r="F3911" s="708"/>
      <c r="G3911" s="705">
        <v>40.679903894916407</v>
      </c>
    </row>
    <row r="3912" spans="2:7" ht="11.25" hidden="1" customHeight="1" outlineLevel="2" x14ac:dyDescent="0.25">
      <c r="B3912" s="704" t="s">
        <v>683</v>
      </c>
      <c r="C3912" s="704" t="s">
        <v>873</v>
      </c>
      <c r="D3912" s="704" t="s">
        <v>675</v>
      </c>
      <c r="E3912" s="704" t="s">
        <v>861</v>
      </c>
      <c r="F3912" s="709"/>
      <c r="G3912" s="705">
        <v>67.559722174654482</v>
      </c>
    </row>
    <row r="3913" spans="2:7" ht="11.25" hidden="1" customHeight="1" outlineLevel="2" x14ac:dyDescent="0.25">
      <c r="B3913" s="704" t="s">
        <v>684</v>
      </c>
      <c r="C3913" s="704" t="s">
        <v>873</v>
      </c>
      <c r="D3913" s="704" t="s">
        <v>675</v>
      </c>
      <c r="E3913" s="704" t="s">
        <v>861</v>
      </c>
      <c r="F3913" s="709"/>
      <c r="G3913" s="705">
        <v>8.9268667098563004</v>
      </c>
    </row>
    <row r="3914" spans="2:7" ht="11.25" hidden="1" customHeight="1" outlineLevel="2" x14ac:dyDescent="0.25">
      <c r="B3914" s="704" t="s">
        <v>685</v>
      </c>
      <c r="C3914" s="704" t="s">
        <v>873</v>
      </c>
      <c r="D3914" s="704" t="s">
        <v>675</v>
      </c>
      <c r="E3914" s="704" t="s">
        <v>861</v>
      </c>
      <c r="F3914" s="709"/>
      <c r="G3914" s="705">
        <v>81.077906605157622</v>
      </c>
    </row>
    <row r="3915" spans="2:7" ht="11.25" hidden="1" customHeight="1" outlineLevel="2" x14ac:dyDescent="0.25">
      <c r="B3915" s="704" t="s">
        <v>686</v>
      </c>
      <c r="C3915" s="704" t="s">
        <v>873</v>
      </c>
      <c r="D3915" s="704" t="s">
        <v>675</v>
      </c>
      <c r="E3915" s="704" t="s">
        <v>861</v>
      </c>
      <c r="F3915" s="709"/>
      <c r="G3915" s="705">
        <v>19.062123356059161</v>
      </c>
    </row>
    <row r="3916" spans="2:7" ht="11.25" hidden="1" customHeight="1" outlineLevel="2" x14ac:dyDescent="0.25">
      <c r="B3916" s="704" t="s">
        <v>687</v>
      </c>
      <c r="C3916" s="704" t="s">
        <v>873</v>
      </c>
      <c r="D3916" s="704" t="s">
        <v>675</v>
      </c>
      <c r="E3916" s="704" t="s">
        <v>861</v>
      </c>
      <c r="F3916" s="709"/>
      <c r="G3916" s="705">
        <v>97.643179566578894</v>
      </c>
    </row>
    <row r="3917" spans="2:7" ht="11.25" hidden="1" customHeight="1" outlineLevel="2" x14ac:dyDescent="0.25">
      <c r="B3917" s="704" t="s">
        <v>688</v>
      </c>
      <c r="C3917" s="704" t="s">
        <v>873</v>
      </c>
      <c r="D3917" s="704" t="s">
        <v>675</v>
      </c>
      <c r="E3917" s="704" t="s">
        <v>861</v>
      </c>
      <c r="F3917" s="709"/>
      <c r="G3917" s="705">
        <v>70.086751939349625</v>
      </c>
    </row>
    <row r="3918" spans="2:7" ht="11.25" hidden="1" customHeight="1" outlineLevel="2" x14ac:dyDescent="0.25">
      <c r="B3918" s="704" t="s">
        <v>689</v>
      </c>
      <c r="C3918" s="704" t="s">
        <v>873</v>
      </c>
      <c r="D3918" s="704" t="s">
        <v>675</v>
      </c>
      <c r="E3918" s="704" t="s">
        <v>861</v>
      </c>
      <c r="F3918" s="709"/>
      <c r="G3918" s="705">
        <v>10.362237611240655</v>
      </c>
    </row>
    <row r="3919" spans="2:7" ht="11.25" hidden="1" customHeight="1" outlineLevel="2" x14ac:dyDescent="0.25">
      <c r="B3919" s="704" t="s">
        <v>690</v>
      </c>
      <c r="C3919" s="704" t="s">
        <v>873</v>
      </c>
      <c r="D3919" s="704" t="s">
        <v>675</v>
      </c>
      <c r="E3919" s="704" t="s">
        <v>861</v>
      </c>
      <c r="F3919" s="709"/>
      <c r="G3919" s="705">
        <v>228.14194052303674</v>
      </c>
    </row>
    <row r="3920" spans="2:7" ht="11.25" hidden="1" customHeight="1" outlineLevel="2" x14ac:dyDescent="0.25">
      <c r="B3920" s="704" t="s">
        <v>691</v>
      </c>
      <c r="C3920" s="704" t="s">
        <v>873</v>
      </c>
      <c r="D3920" s="704" t="s">
        <v>675</v>
      </c>
      <c r="E3920" s="704" t="s">
        <v>861</v>
      </c>
      <c r="F3920" s="709"/>
      <c r="G3920" s="705">
        <v>260.54534638524541</v>
      </c>
    </row>
    <row r="3921" spans="2:7" ht="11.25" hidden="1" customHeight="1" outlineLevel="2" x14ac:dyDescent="0.25">
      <c r="B3921" s="704" t="s">
        <v>692</v>
      </c>
      <c r="C3921" s="704" t="s">
        <v>873</v>
      </c>
      <c r="D3921" s="704" t="s">
        <v>675</v>
      </c>
      <c r="E3921" s="704" t="s">
        <v>861</v>
      </c>
      <c r="F3921" s="709"/>
      <c r="G3921" s="705">
        <v>15.236038998859803</v>
      </c>
    </row>
    <row r="3922" spans="2:7" ht="11.25" hidden="1" customHeight="1" outlineLevel="2" x14ac:dyDescent="0.25">
      <c r="B3922" s="704" t="s">
        <v>693</v>
      </c>
      <c r="C3922" s="704" t="s">
        <v>873</v>
      </c>
      <c r="D3922" s="704" t="s">
        <v>675</v>
      </c>
      <c r="E3922" s="704" t="s">
        <v>861</v>
      </c>
      <c r="F3922" s="709"/>
      <c r="G3922" s="705">
        <v>38.032175534906429</v>
      </c>
    </row>
    <row r="3923" spans="2:7" ht="11.25" hidden="1" customHeight="1" outlineLevel="2" x14ac:dyDescent="0.25">
      <c r="B3923" s="704" t="s">
        <v>694</v>
      </c>
      <c r="C3923" s="704" t="s">
        <v>873</v>
      </c>
      <c r="D3923" s="704" t="s">
        <v>675</v>
      </c>
      <c r="E3923" s="704" t="s">
        <v>861</v>
      </c>
      <c r="F3923" s="709"/>
      <c r="G3923" s="705">
        <v>4.2638525358427968</v>
      </c>
    </row>
    <row r="3924" spans="2:7" ht="11.25" hidden="1" customHeight="1" outlineLevel="2" x14ac:dyDescent="0.25">
      <c r="B3924" s="704" t="s">
        <v>695</v>
      </c>
      <c r="C3924" s="704" t="s">
        <v>873</v>
      </c>
      <c r="D3924" s="704" t="s">
        <v>675</v>
      </c>
      <c r="E3924" s="704" t="s">
        <v>861</v>
      </c>
      <c r="F3924" s="709"/>
      <c r="G3924" s="705">
        <v>20.224747569215378</v>
      </c>
    </row>
    <row r="3925" spans="2:7" ht="11.25" hidden="1" customHeight="1" outlineLevel="2" x14ac:dyDescent="0.25">
      <c r="B3925" s="704" t="s">
        <v>696</v>
      </c>
      <c r="C3925" s="704" t="s">
        <v>873</v>
      </c>
      <c r="D3925" s="704" t="s">
        <v>675</v>
      </c>
      <c r="E3925" s="704" t="s">
        <v>861</v>
      </c>
      <c r="F3925" s="709"/>
      <c r="G3925" s="705">
        <v>50.532373579067553</v>
      </c>
    </row>
    <row r="3926" spans="2:7" ht="11.25" hidden="1" customHeight="1" outlineLevel="2" x14ac:dyDescent="0.25">
      <c r="B3926" s="704" t="s">
        <v>697</v>
      </c>
      <c r="C3926" s="704" t="s">
        <v>873</v>
      </c>
      <c r="D3926" s="704" t="s">
        <v>675</v>
      </c>
      <c r="E3926" s="704" t="s">
        <v>861</v>
      </c>
      <c r="F3926" s="709"/>
      <c r="G3926" s="705">
        <v>27.647740461977872</v>
      </c>
    </row>
    <row r="3927" spans="2:7" ht="11.25" hidden="1" customHeight="1" outlineLevel="2" x14ac:dyDescent="0.25">
      <c r="B3927" s="704" t="s">
        <v>698</v>
      </c>
      <c r="C3927" s="704" t="s">
        <v>873</v>
      </c>
      <c r="D3927" s="704" t="s">
        <v>675</v>
      </c>
      <c r="E3927" s="704" t="s">
        <v>861</v>
      </c>
      <c r="F3927" s="709"/>
      <c r="G3927" s="705">
        <v>30.359638158009954</v>
      </c>
    </row>
    <row r="3928" spans="2:7" ht="11.25" hidden="1" customHeight="1" outlineLevel="2" x14ac:dyDescent="0.25">
      <c r="B3928" s="704" t="s">
        <v>699</v>
      </c>
      <c r="C3928" s="704" t="s">
        <v>873</v>
      </c>
      <c r="D3928" s="704" t="s">
        <v>675</v>
      </c>
      <c r="E3928" s="704" t="s">
        <v>861</v>
      </c>
      <c r="F3928" s="709"/>
      <c r="G3928" s="705">
        <v>5.7536869703209902E-30</v>
      </c>
    </row>
    <row r="3929" spans="2:7" ht="11.25" hidden="1" customHeight="1" outlineLevel="2" x14ac:dyDescent="0.25">
      <c r="B3929" s="704" t="s">
        <v>673</v>
      </c>
      <c r="C3929" s="704" t="s">
        <v>874</v>
      </c>
      <c r="D3929" s="704" t="s">
        <v>675</v>
      </c>
      <c r="E3929" s="704" t="s">
        <v>861</v>
      </c>
      <c r="F3929" s="709"/>
      <c r="G3929" s="705">
        <v>4.4884455108699131</v>
      </c>
    </row>
    <row r="3930" spans="2:7" ht="11.25" hidden="1" customHeight="1" outlineLevel="2" x14ac:dyDescent="0.25">
      <c r="B3930" s="704" t="s">
        <v>677</v>
      </c>
      <c r="C3930" s="704" t="s">
        <v>874</v>
      </c>
      <c r="D3930" s="704" t="s">
        <v>675</v>
      </c>
      <c r="E3930" s="704" t="s">
        <v>861</v>
      </c>
      <c r="F3930" s="706">
        <v>2.2224104415720664E-3</v>
      </c>
      <c r="G3930" s="705">
        <v>74.485037296919316</v>
      </c>
    </row>
    <row r="3931" spans="2:7" ht="11.25" hidden="1" customHeight="1" outlineLevel="2" x14ac:dyDescent="0.25">
      <c r="B3931" s="704" t="s">
        <v>678</v>
      </c>
      <c r="C3931" s="704" t="s">
        <v>874</v>
      </c>
      <c r="D3931" s="704" t="s">
        <v>675</v>
      </c>
      <c r="E3931" s="704" t="s">
        <v>861</v>
      </c>
      <c r="F3931" s="709"/>
      <c r="G3931" s="705">
        <v>172.53078658474323</v>
      </c>
    </row>
    <row r="3932" spans="2:7" ht="11.25" hidden="1" customHeight="1" outlineLevel="2" x14ac:dyDescent="0.25">
      <c r="B3932" s="704" t="s">
        <v>679</v>
      </c>
      <c r="C3932" s="704" t="s">
        <v>874</v>
      </c>
      <c r="D3932" s="704" t="s">
        <v>675</v>
      </c>
      <c r="E3932" s="704" t="s">
        <v>861</v>
      </c>
      <c r="F3932" s="709"/>
      <c r="G3932" s="705">
        <v>14.001241109190893</v>
      </c>
    </row>
    <row r="3933" spans="2:7" ht="11.25" hidden="1" customHeight="1" outlineLevel="2" x14ac:dyDescent="0.25">
      <c r="B3933" s="704" t="s">
        <v>680</v>
      </c>
      <c r="C3933" s="704" t="s">
        <v>874</v>
      </c>
      <c r="D3933" s="704" t="s">
        <v>675</v>
      </c>
      <c r="E3933" s="704" t="s">
        <v>861</v>
      </c>
      <c r="F3933" s="709"/>
      <c r="G3933" s="705">
        <v>2.5950896296772714</v>
      </c>
    </row>
    <row r="3934" spans="2:7" ht="11.25" hidden="1" customHeight="1" outlineLevel="2" x14ac:dyDescent="0.25">
      <c r="B3934" s="704" t="s">
        <v>681</v>
      </c>
      <c r="C3934" s="704" t="s">
        <v>874</v>
      </c>
      <c r="D3934" s="704" t="s">
        <v>675</v>
      </c>
      <c r="E3934" s="704" t="s">
        <v>861</v>
      </c>
      <c r="F3934" s="709"/>
      <c r="G3934" s="705">
        <v>21.888761031880545</v>
      </c>
    </row>
    <row r="3935" spans="2:7" ht="11.25" hidden="1" customHeight="1" outlineLevel="2" x14ac:dyDescent="0.25">
      <c r="B3935" s="704" t="s">
        <v>682</v>
      </c>
      <c r="C3935" s="704" t="s">
        <v>874</v>
      </c>
      <c r="D3935" s="704" t="s">
        <v>675</v>
      </c>
      <c r="E3935" s="704" t="s">
        <v>861</v>
      </c>
      <c r="F3935" s="709"/>
      <c r="G3935" s="705">
        <v>19.214977570029937</v>
      </c>
    </row>
    <row r="3936" spans="2:7" ht="11.25" hidden="1" customHeight="1" outlineLevel="2" x14ac:dyDescent="0.25">
      <c r="B3936" s="704" t="s">
        <v>683</v>
      </c>
      <c r="C3936" s="704" t="s">
        <v>874</v>
      </c>
      <c r="D3936" s="704" t="s">
        <v>675</v>
      </c>
      <c r="E3936" s="704" t="s">
        <v>861</v>
      </c>
      <c r="F3936" s="709"/>
      <c r="G3936" s="705">
        <v>31.911540982111962</v>
      </c>
    </row>
    <row r="3937" spans="2:7" ht="11.25" hidden="1" customHeight="1" outlineLevel="2" x14ac:dyDescent="0.25">
      <c r="B3937" s="704" t="s">
        <v>684</v>
      </c>
      <c r="C3937" s="704" t="s">
        <v>874</v>
      </c>
      <c r="D3937" s="704" t="s">
        <v>675</v>
      </c>
      <c r="E3937" s="704" t="s">
        <v>861</v>
      </c>
      <c r="F3937" s="708"/>
      <c r="G3937" s="705">
        <v>4.2165663011762788</v>
      </c>
    </row>
    <row r="3938" spans="2:7" ht="11.25" hidden="1" customHeight="1" outlineLevel="2" x14ac:dyDescent="0.25">
      <c r="B3938" s="704" t="s">
        <v>685</v>
      </c>
      <c r="C3938" s="704" t="s">
        <v>874</v>
      </c>
      <c r="D3938" s="704" t="s">
        <v>675</v>
      </c>
      <c r="E3938" s="704" t="s">
        <v>861</v>
      </c>
      <c r="F3938" s="708"/>
      <c r="G3938" s="705">
        <v>38.296799701512882</v>
      </c>
    </row>
    <row r="3939" spans="2:7" ht="11.25" hidden="1" customHeight="1" outlineLevel="2" x14ac:dyDescent="0.25">
      <c r="B3939" s="704" t="s">
        <v>686</v>
      </c>
      <c r="C3939" s="704" t="s">
        <v>874</v>
      </c>
      <c r="D3939" s="704" t="s">
        <v>675</v>
      </c>
      <c r="E3939" s="704" t="s">
        <v>861</v>
      </c>
      <c r="F3939" s="708"/>
      <c r="G3939" s="705">
        <v>9.0039094704240874</v>
      </c>
    </row>
    <row r="3940" spans="2:7" ht="11.25" hidden="1" customHeight="1" outlineLevel="2" x14ac:dyDescent="0.25">
      <c r="B3940" s="704" t="s">
        <v>687</v>
      </c>
      <c r="C3940" s="704" t="s">
        <v>874</v>
      </c>
      <c r="D3940" s="704" t="s">
        <v>675</v>
      </c>
      <c r="E3940" s="704" t="s">
        <v>861</v>
      </c>
      <c r="F3940" s="708"/>
      <c r="G3940" s="705">
        <v>46.121336151582284</v>
      </c>
    </row>
    <row r="3941" spans="2:7" ht="11.25" hidden="1" customHeight="1" outlineLevel="2" x14ac:dyDescent="0.25">
      <c r="B3941" s="704" t="s">
        <v>688</v>
      </c>
      <c r="C3941" s="704" t="s">
        <v>874</v>
      </c>
      <c r="D3941" s="704" t="s">
        <v>675</v>
      </c>
      <c r="E3941" s="704" t="s">
        <v>861</v>
      </c>
      <c r="F3941" s="708"/>
      <c r="G3941" s="705">
        <v>33.105184768443763</v>
      </c>
    </row>
    <row r="3942" spans="2:7" ht="11.25" hidden="1" customHeight="1" outlineLevel="2" x14ac:dyDescent="0.25">
      <c r="B3942" s="704" t="s">
        <v>689</v>
      </c>
      <c r="C3942" s="704" t="s">
        <v>874</v>
      </c>
      <c r="D3942" s="704" t="s">
        <v>675</v>
      </c>
      <c r="E3942" s="704" t="s">
        <v>861</v>
      </c>
      <c r="F3942" s="708"/>
      <c r="G3942" s="705">
        <v>4.894558410469644</v>
      </c>
    </row>
    <row r="3943" spans="2:7" ht="11.25" hidden="1" customHeight="1" outlineLevel="2" x14ac:dyDescent="0.25">
      <c r="B3943" s="704" t="s">
        <v>690</v>
      </c>
      <c r="C3943" s="704" t="s">
        <v>874</v>
      </c>
      <c r="D3943" s="704" t="s">
        <v>675</v>
      </c>
      <c r="E3943" s="704" t="s">
        <v>861</v>
      </c>
      <c r="F3943" s="708"/>
      <c r="G3943" s="705">
        <v>107.76186107276507</v>
      </c>
    </row>
    <row r="3944" spans="2:7" ht="11.25" hidden="1" customHeight="1" outlineLevel="2" x14ac:dyDescent="0.25">
      <c r="B3944" s="704" t="s">
        <v>691</v>
      </c>
      <c r="C3944" s="704" t="s">
        <v>874</v>
      </c>
      <c r="D3944" s="704" t="s">
        <v>675</v>
      </c>
      <c r="E3944" s="704" t="s">
        <v>861</v>
      </c>
      <c r="F3944" s="708"/>
      <c r="G3944" s="705">
        <v>123.0674720858278</v>
      </c>
    </row>
    <row r="3945" spans="2:7" ht="11.25" hidden="1" customHeight="1" outlineLevel="2" x14ac:dyDescent="0.25">
      <c r="B3945" s="704" t="s">
        <v>692</v>
      </c>
      <c r="C3945" s="704" t="s">
        <v>874</v>
      </c>
      <c r="D3945" s="704" t="s">
        <v>675</v>
      </c>
      <c r="E3945" s="704" t="s">
        <v>861</v>
      </c>
      <c r="F3945" s="708"/>
      <c r="G3945" s="705">
        <v>7.196676554716908</v>
      </c>
    </row>
    <row r="3946" spans="2:7" ht="11.25" hidden="1" customHeight="1" outlineLevel="2" x14ac:dyDescent="0.25">
      <c r="B3946" s="704" t="s">
        <v>693</v>
      </c>
      <c r="C3946" s="704" t="s">
        <v>874</v>
      </c>
      <c r="D3946" s="704" t="s">
        <v>675</v>
      </c>
      <c r="E3946" s="704" t="s">
        <v>861</v>
      </c>
      <c r="F3946" s="708"/>
      <c r="G3946" s="705">
        <v>17.964334644500337</v>
      </c>
    </row>
    <row r="3947" spans="2:7" ht="11.25" hidden="1" customHeight="1" outlineLevel="2" x14ac:dyDescent="0.25">
      <c r="B3947" s="704" t="s">
        <v>694</v>
      </c>
      <c r="C3947" s="704" t="s">
        <v>874</v>
      </c>
      <c r="D3947" s="704" t="s">
        <v>675</v>
      </c>
      <c r="E3947" s="704" t="s">
        <v>861</v>
      </c>
      <c r="F3947" s="708"/>
      <c r="G3947" s="705">
        <v>2.0140123065726203</v>
      </c>
    </row>
    <row r="3948" spans="2:7" ht="11.25" hidden="1" customHeight="1" outlineLevel="2" x14ac:dyDescent="0.25">
      <c r="B3948" s="704" t="s">
        <v>695</v>
      </c>
      <c r="C3948" s="704" t="s">
        <v>874</v>
      </c>
      <c r="D3948" s="704" t="s">
        <v>675</v>
      </c>
      <c r="E3948" s="704" t="s">
        <v>861</v>
      </c>
      <c r="F3948" s="708"/>
      <c r="G3948" s="705">
        <v>9.5530715098767551</v>
      </c>
    </row>
    <row r="3949" spans="2:7" ht="11.25" hidden="1" customHeight="1" outlineLevel="2" x14ac:dyDescent="0.25">
      <c r="B3949" s="704" t="s">
        <v>696</v>
      </c>
      <c r="C3949" s="704" t="s">
        <v>874</v>
      </c>
      <c r="D3949" s="704" t="s">
        <v>675</v>
      </c>
      <c r="E3949" s="704" t="s">
        <v>861</v>
      </c>
      <c r="F3949" s="708"/>
      <c r="G3949" s="705">
        <v>23.86874472190113</v>
      </c>
    </row>
    <row r="3950" spans="2:7" ht="11.25" hidden="1" customHeight="1" outlineLevel="2" x14ac:dyDescent="0.25">
      <c r="B3950" s="704" t="s">
        <v>697</v>
      </c>
      <c r="C3950" s="704" t="s">
        <v>874</v>
      </c>
      <c r="D3950" s="704" t="s">
        <v>675</v>
      </c>
      <c r="E3950" s="704" t="s">
        <v>861</v>
      </c>
      <c r="F3950" s="708"/>
      <c r="G3950" s="705">
        <v>13.059291775272998</v>
      </c>
    </row>
    <row r="3951" spans="2:7" ht="11.25" hidden="1" customHeight="1" outlineLevel="2" x14ac:dyDescent="0.25">
      <c r="B3951" s="704" t="s">
        <v>698</v>
      </c>
      <c r="C3951" s="704" t="s">
        <v>874</v>
      </c>
      <c r="D3951" s="704" t="s">
        <v>675</v>
      </c>
      <c r="E3951" s="704" t="s">
        <v>861</v>
      </c>
      <c r="F3951" s="708"/>
      <c r="G3951" s="705">
        <v>14.340243140689884</v>
      </c>
    </row>
    <row r="3952" spans="2:7" ht="11.25" hidden="1" customHeight="1" outlineLevel="2" x14ac:dyDescent="0.25">
      <c r="B3952" s="704" t="s">
        <v>699</v>
      </c>
      <c r="C3952" s="704" t="s">
        <v>874</v>
      </c>
      <c r="D3952" s="704" t="s">
        <v>675</v>
      </c>
      <c r="E3952" s="704" t="s">
        <v>861</v>
      </c>
      <c r="F3952" s="708"/>
      <c r="G3952" s="705">
        <v>2.5688594811403869E-30</v>
      </c>
    </row>
    <row r="3953" spans="2:7" ht="11.25" hidden="1" customHeight="1" outlineLevel="2" x14ac:dyDescent="0.25">
      <c r="B3953" s="704" t="s">
        <v>673</v>
      </c>
      <c r="C3953" s="704" t="s">
        <v>875</v>
      </c>
      <c r="D3953" s="704" t="s">
        <v>675</v>
      </c>
      <c r="E3953" s="704" t="s">
        <v>861</v>
      </c>
      <c r="F3953" s="708"/>
      <c r="G3953" s="705">
        <v>261.6385610994264</v>
      </c>
    </row>
    <row r="3954" spans="2:7" ht="11.25" hidden="1" customHeight="1" outlineLevel="2" x14ac:dyDescent="0.25">
      <c r="B3954" s="704" t="s">
        <v>677</v>
      </c>
      <c r="C3954" s="704" t="s">
        <v>875</v>
      </c>
      <c r="D3954" s="704" t="s">
        <v>675</v>
      </c>
      <c r="E3954" s="704" t="s">
        <v>861</v>
      </c>
      <c r="F3954" s="705">
        <v>0.12760420935217642</v>
      </c>
      <c r="G3954" s="705">
        <v>4341.8496005876941</v>
      </c>
    </row>
    <row r="3955" spans="2:7" ht="11.25" hidden="1" customHeight="1" outlineLevel="2" x14ac:dyDescent="0.25">
      <c r="B3955" s="704" t="s">
        <v>678</v>
      </c>
      <c r="C3955" s="704" t="s">
        <v>875</v>
      </c>
      <c r="D3955" s="704" t="s">
        <v>675</v>
      </c>
      <c r="E3955" s="704" t="s">
        <v>861</v>
      </c>
      <c r="F3955" s="708"/>
      <c r="G3955" s="705">
        <v>10057.089058205491</v>
      </c>
    </row>
    <row r="3956" spans="2:7" ht="11.25" hidden="1" customHeight="1" outlineLevel="2" x14ac:dyDescent="0.25">
      <c r="B3956" s="704" t="s">
        <v>679</v>
      </c>
      <c r="C3956" s="704" t="s">
        <v>875</v>
      </c>
      <c r="D3956" s="704" t="s">
        <v>675</v>
      </c>
      <c r="E3956" s="704" t="s">
        <v>861</v>
      </c>
      <c r="F3956" s="708"/>
      <c r="G3956" s="705">
        <v>816.15438289449071</v>
      </c>
    </row>
    <row r="3957" spans="2:7" ht="11.25" hidden="1" customHeight="1" outlineLevel="2" x14ac:dyDescent="0.25">
      <c r="B3957" s="704" t="s">
        <v>680</v>
      </c>
      <c r="C3957" s="704" t="s">
        <v>875</v>
      </c>
      <c r="D3957" s="704" t="s">
        <v>675</v>
      </c>
      <c r="E3957" s="704" t="s">
        <v>861</v>
      </c>
      <c r="F3957" s="709"/>
      <c r="G3957" s="705">
        <v>151.27185425751756</v>
      </c>
    </row>
    <row r="3958" spans="2:7" ht="11.25" hidden="1" customHeight="1" outlineLevel="2" x14ac:dyDescent="0.25">
      <c r="B3958" s="704" t="s">
        <v>681</v>
      </c>
      <c r="C3958" s="704" t="s">
        <v>875</v>
      </c>
      <c r="D3958" s="704" t="s">
        <v>675</v>
      </c>
      <c r="E3958" s="704" t="s">
        <v>861</v>
      </c>
      <c r="F3958" s="709"/>
      <c r="G3958" s="705">
        <v>1275.9300443663731</v>
      </c>
    </row>
    <row r="3959" spans="2:7" ht="11.25" hidden="1" customHeight="1" outlineLevel="2" x14ac:dyDescent="0.25">
      <c r="B3959" s="704" t="s">
        <v>682</v>
      </c>
      <c r="C3959" s="704" t="s">
        <v>875</v>
      </c>
      <c r="D3959" s="704" t="s">
        <v>675</v>
      </c>
      <c r="E3959" s="704" t="s">
        <v>861</v>
      </c>
      <c r="F3959" s="709"/>
      <c r="G3959" s="705">
        <v>1120.0713702148805</v>
      </c>
    </row>
    <row r="3960" spans="2:7" ht="11.25" hidden="1" customHeight="1" outlineLevel="2" x14ac:dyDescent="0.25">
      <c r="B3960" s="704" t="s">
        <v>683</v>
      </c>
      <c r="C3960" s="704" t="s">
        <v>875</v>
      </c>
      <c r="D3960" s="704" t="s">
        <v>675</v>
      </c>
      <c r="E3960" s="704" t="s">
        <v>861</v>
      </c>
      <c r="F3960" s="709"/>
      <c r="G3960" s="705">
        <v>1860.1735680706904</v>
      </c>
    </row>
    <row r="3961" spans="2:7" ht="11.25" hidden="1" customHeight="1" outlineLevel="2" x14ac:dyDescent="0.25">
      <c r="B3961" s="704" t="s">
        <v>684</v>
      </c>
      <c r="C3961" s="704" t="s">
        <v>875</v>
      </c>
      <c r="D3961" s="704" t="s">
        <v>675</v>
      </c>
      <c r="E3961" s="704" t="s">
        <v>861</v>
      </c>
      <c r="F3961" s="709"/>
      <c r="G3961" s="705">
        <v>245.79025829335535</v>
      </c>
    </row>
    <row r="3962" spans="2:7" ht="11.25" hidden="1" customHeight="1" outlineLevel="2" x14ac:dyDescent="0.25">
      <c r="B3962" s="704" t="s">
        <v>685</v>
      </c>
      <c r="C3962" s="704" t="s">
        <v>875</v>
      </c>
      <c r="D3962" s="704" t="s">
        <v>675</v>
      </c>
      <c r="E3962" s="704" t="s">
        <v>861</v>
      </c>
      <c r="F3962" s="709"/>
      <c r="G3962" s="705">
        <v>2232.3809065374803</v>
      </c>
    </row>
    <row r="3963" spans="2:7" ht="11.25" hidden="1" customHeight="1" outlineLevel="2" x14ac:dyDescent="0.25">
      <c r="B3963" s="704" t="s">
        <v>686</v>
      </c>
      <c r="C3963" s="704" t="s">
        <v>875</v>
      </c>
      <c r="D3963" s="704" t="s">
        <v>675</v>
      </c>
      <c r="E3963" s="704" t="s">
        <v>861</v>
      </c>
      <c r="F3963" s="709"/>
      <c r="G3963" s="705">
        <v>524.85214111391281</v>
      </c>
    </row>
    <row r="3964" spans="2:7" ht="11.25" hidden="1" customHeight="1" outlineLevel="2" x14ac:dyDescent="0.25">
      <c r="B3964" s="704" t="s">
        <v>687</v>
      </c>
      <c r="C3964" s="704" t="s">
        <v>875</v>
      </c>
      <c r="D3964" s="704" t="s">
        <v>675</v>
      </c>
      <c r="E3964" s="704" t="s">
        <v>861</v>
      </c>
      <c r="F3964" s="708"/>
      <c r="G3964" s="705">
        <v>2688.4852431611257</v>
      </c>
    </row>
    <row r="3965" spans="2:7" ht="11.25" hidden="1" customHeight="1" outlineLevel="2" x14ac:dyDescent="0.25">
      <c r="B3965" s="704" t="s">
        <v>688</v>
      </c>
      <c r="C3965" s="704" t="s">
        <v>875</v>
      </c>
      <c r="D3965" s="704" t="s">
        <v>675</v>
      </c>
      <c r="E3965" s="704" t="s">
        <v>861</v>
      </c>
      <c r="F3965" s="708"/>
      <c r="G3965" s="705">
        <v>1929.7533664110438</v>
      </c>
    </row>
    <row r="3966" spans="2:7" ht="11.25" hidden="1" customHeight="1" outlineLevel="2" x14ac:dyDescent="0.25">
      <c r="B3966" s="704" t="s">
        <v>689</v>
      </c>
      <c r="C3966" s="704" t="s">
        <v>875</v>
      </c>
      <c r="D3966" s="704" t="s">
        <v>675</v>
      </c>
      <c r="E3966" s="704" t="s">
        <v>861</v>
      </c>
      <c r="F3966" s="708"/>
      <c r="G3966" s="705">
        <v>285.31150748604671</v>
      </c>
    </row>
    <row r="3967" spans="2:7" ht="11.25" hidden="1" customHeight="1" outlineLevel="2" x14ac:dyDescent="0.25">
      <c r="B3967" s="704" t="s">
        <v>690</v>
      </c>
      <c r="C3967" s="704" t="s">
        <v>875</v>
      </c>
      <c r="D3967" s="704" t="s">
        <v>675</v>
      </c>
      <c r="E3967" s="704" t="s">
        <v>861</v>
      </c>
      <c r="F3967" s="708"/>
      <c r="G3967" s="705">
        <v>6281.6085369711736</v>
      </c>
    </row>
    <row r="3968" spans="2:7" ht="11.25" hidden="1" customHeight="1" outlineLevel="2" x14ac:dyDescent="0.25">
      <c r="B3968" s="704" t="s">
        <v>691</v>
      </c>
      <c r="C3968" s="704" t="s">
        <v>875</v>
      </c>
      <c r="D3968" s="704" t="s">
        <v>675</v>
      </c>
      <c r="E3968" s="704" t="s">
        <v>861</v>
      </c>
      <c r="F3968" s="708"/>
      <c r="G3968" s="705">
        <v>7173.7950866485207</v>
      </c>
    </row>
    <row r="3969" spans="2:7" ht="11.25" hidden="1" customHeight="1" outlineLevel="2" x14ac:dyDescent="0.25">
      <c r="B3969" s="704" t="s">
        <v>692</v>
      </c>
      <c r="C3969" s="704" t="s">
        <v>875</v>
      </c>
      <c r="D3969" s="704" t="s">
        <v>675</v>
      </c>
      <c r="E3969" s="704" t="s">
        <v>861</v>
      </c>
      <c r="F3969" s="708"/>
      <c r="G3969" s="705">
        <v>419.50558772218881</v>
      </c>
    </row>
    <row r="3970" spans="2:7" ht="11.25" hidden="1" customHeight="1" outlineLevel="2" x14ac:dyDescent="0.25">
      <c r="B3970" s="704" t="s">
        <v>693</v>
      </c>
      <c r="C3970" s="704" t="s">
        <v>875</v>
      </c>
      <c r="D3970" s="704" t="s">
        <v>675</v>
      </c>
      <c r="E3970" s="704" t="s">
        <v>861</v>
      </c>
      <c r="F3970" s="708"/>
      <c r="G3970" s="705">
        <v>1047.1694109012644</v>
      </c>
    </row>
    <row r="3971" spans="2:7" ht="11.25" hidden="1" customHeight="1" outlineLevel="2" x14ac:dyDescent="0.25">
      <c r="B3971" s="704" t="s">
        <v>694</v>
      </c>
      <c r="C3971" s="704" t="s">
        <v>875</v>
      </c>
      <c r="D3971" s="704" t="s">
        <v>675</v>
      </c>
      <c r="E3971" s="704" t="s">
        <v>861</v>
      </c>
      <c r="F3971" s="708"/>
      <c r="G3971" s="705">
        <v>117.39994250179079</v>
      </c>
    </row>
    <row r="3972" spans="2:7" ht="11.25" hidden="1" customHeight="1" outlineLevel="2" x14ac:dyDescent="0.25">
      <c r="B3972" s="704" t="s">
        <v>695</v>
      </c>
      <c r="C3972" s="704" t="s">
        <v>875</v>
      </c>
      <c r="D3972" s="704" t="s">
        <v>675</v>
      </c>
      <c r="E3972" s="704" t="s">
        <v>861</v>
      </c>
      <c r="F3972" s="708"/>
      <c r="G3972" s="705">
        <v>556.86352497160033</v>
      </c>
    </row>
    <row r="3973" spans="2:7" ht="11.25" hidden="1" customHeight="1" outlineLevel="2" x14ac:dyDescent="0.25">
      <c r="B3973" s="704" t="s">
        <v>696</v>
      </c>
      <c r="C3973" s="704" t="s">
        <v>875</v>
      </c>
      <c r="D3973" s="704" t="s">
        <v>675</v>
      </c>
      <c r="E3973" s="704" t="s">
        <v>861</v>
      </c>
      <c r="F3973" s="708"/>
      <c r="G3973" s="705">
        <v>1391.3468008460327</v>
      </c>
    </row>
    <row r="3974" spans="2:7" ht="11.25" hidden="1" customHeight="1" outlineLevel="2" x14ac:dyDescent="0.25">
      <c r="B3974" s="704" t="s">
        <v>697</v>
      </c>
      <c r="C3974" s="704" t="s">
        <v>875</v>
      </c>
      <c r="D3974" s="704" t="s">
        <v>675</v>
      </c>
      <c r="E3974" s="704" t="s">
        <v>861</v>
      </c>
      <c r="F3974" s="708"/>
      <c r="G3974" s="705">
        <v>761.24683827976378</v>
      </c>
    </row>
    <row r="3975" spans="2:7" ht="11.25" hidden="1" customHeight="1" outlineLevel="2" x14ac:dyDescent="0.25">
      <c r="B3975" s="704" t="s">
        <v>698</v>
      </c>
      <c r="C3975" s="704" t="s">
        <v>875</v>
      </c>
      <c r="D3975" s="704" t="s">
        <v>675</v>
      </c>
      <c r="E3975" s="704" t="s">
        <v>861</v>
      </c>
      <c r="F3975" s="708"/>
      <c r="G3975" s="705">
        <v>835.91538372316586</v>
      </c>
    </row>
    <row r="3976" spans="2:7" ht="11.25" hidden="1" customHeight="1" outlineLevel="2" x14ac:dyDescent="0.25">
      <c r="B3976" s="704" t="s">
        <v>699</v>
      </c>
      <c r="C3976" s="704" t="s">
        <v>875</v>
      </c>
      <c r="D3976" s="704" t="s">
        <v>675</v>
      </c>
      <c r="E3976" s="704" t="s">
        <v>861</v>
      </c>
      <c r="F3976" s="708"/>
      <c r="G3976" s="705">
        <v>1.2978143078073451E-28</v>
      </c>
    </row>
    <row r="3977" spans="2:7" ht="11.25" hidden="1" customHeight="1" outlineLevel="2" x14ac:dyDescent="0.25">
      <c r="B3977" s="704" t="s">
        <v>673</v>
      </c>
      <c r="C3977" s="704" t="s">
        <v>876</v>
      </c>
      <c r="D3977" s="704" t="s">
        <v>675</v>
      </c>
      <c r="E3977" s="704" t="s">
        <v>861</v>
      </c>
      <c r="F3977" s="708"/>
      <c r="G3977" s="705">
        <v>285.01103413851428</v>
      </c>
    </row>
    <row r="3978" spans="2:7" ht="11.25" hidden="1" customHeight="1" outlineLevel="2" x14ac:dyDescent="0.25">
      <c r="B3978" s="704" t="s">
        <v>677</v>
      </c>
      <c r="C3978" s="704" t="s">
        <v>876</v>
      </c>
      <c r="D3978" s="704" t="s">
        <v>675</v>
      </c>
      <c r="E3978" s="704" t="s">
        <v>861</v>
      </c>
      <c r="F3978" s="705">
        <v>0.14615141355139191</v>
      </c>
      <c r="G3978" s="705">
        <v>4729.7100099539202</v>
      </c>
    </row>
    <row r="3979" spans="2:7" ht="11.25" hidden="1" customHeight="1" outlineLevel="2" x14ac:dyDescent="0.25">
      <c r="B3979" s="704" t="s">
        <v>678</v>
      </c>
      <c r="C3979" s="704" t="s">
        <v>876</v>
      </c>
      <c r="D3979" s="704" t="s">
        <v>675</v>
      </c>
      <c r="E3979" s="704" t="s">
        <v>861</v>
      </c>
      <c r="F3979" s="708"/>
      <c r="G3979" s="705">
        <v>10955.500315579371</v>
      </c>
    </row>
    <row r="3980" spans="2:7" ht="11.25" hidden="1" customHeight="1" outlineLevel="2" x14ac:dyDescent="0.25">
      <c r="B3980" s="704" t="s">
        <v>679</v>
      </c>
      <c r="C3980" s="704" t="s">
        <v>876</v>
      </c>
      <c r="D3980" s="704" t="s">
        <v>675</v>
      </c>
      <c r="E3980" s="704" t="s">
        <v>861</v>
      </c>
      <c r="F3980" s="708"/>
      <c r="G3980" s="705">
        <v>889.06218380009773</v>
      </c>
    </row>
    <row r="3981" spans="2:7" ht="11.25" hidden="1" customHeight="1" outlineLevel="2" x14ac:dyDescent="0.25">
      <c r="B3981" s="704" t="s">
        <v>680</v>
      </c>
      <c r="C3981" s="704" t="s">
        <v>876</v>
      </c>
      <c r="D3981" s="704" t="s">
        <v>675</v>
      </c>
      <c r="E3981" s="704" t="s">
        <v>861</v>
      </c>
      <c r="F3981" s="708"/>
      <c r="G3981" s="705">
        <v>164.78519045818129</v>
      </c>
    </row>
    <row r="3982" spans="2:7" ht="11.25" hidden="1" customHeight="1" outlineLevel="2" x14ac:dyDescent="0.25">
      <c r="B3982" s="704" t="s">
        <v>681</v>
      </c>
      <c r="C3982" s="704" t="s">
        <v>876</v>
      </c>
      <c r="D3982" s="704" t="s">
        <v>675</v>
      </c>
      <c r="E3982" s="704" t="s">
        <v>861</v>
      </c>
      <c r="F3982" s="708"/>
      <c r="G3982" s="705">
        <v>1389.9104597916116</v>
      </c>
    </row>
    <row r="3983" spans="2:7" ht="11.25" hidden="1" customHeight="1" outlineLevel="2" x14ac:dyDescent="0.25">
      <c r="B3983" s="704" t="s">
        <v>682</v>
      </c>
      <c r="C3983" s="704" t="s">
        <v>876</v>
      </c>
      <c r="D3983" s="704" t="s">
        <v>675</v>
      </c>
      <c r="E3983" s="704" t="s">
        <v>861</v>
      </c>
      <c r="F3983" s="708"/>
      <c r="G3983" s="705">
        <v>1220.1281262823866</v>
      </c>
    </row>
    <row r="3984" spans="2:7" ht="11.25" hidden="1" customHeight="1" outlineLevel="2" x14ac:dyDescent="0.25">
      <c r="B3984" s="704" t="s">
        <v>683</v>
      </c>
      <c r="C3984" s="704" t="s">
        <v>876</v>
      </c>
      <c r="D3984" s="704" t="s">
        <v>675</v>
      </c>
      <c r="E3984" s="704" t="s">
        <v>861</v>
      </c>
      <c r="F3984" s="708"/>
      <c r="G3984" s="705">
        <v>2026.3449241715543</v>
      </c>
    </row>
    <row r="3985" spans="2:7" ht="11.25" hidden="1" customHeight="1" outlineLevel="2" x14ac:dyDescent="0.25">
      <c r="B3985" s="704" t="s">
        <v>684</v>
      </c>
      <c r="C3985" s="704" t="s">
        <v>876</v>
      </c>
      <c r="D3985" s="704" t="s">
        <v>675</v>
      </c>
      <c r="E3985" s="704" t="s">
        <v>861</v>
      </c>
      <c r="F3985" s="708"/>
      <c r="G3985" s="705">
        <v>267.74702838063985</v>
      </c>
    </row>
    <row r="3986" spans="2:7" ht="11.25" hidden="1" customHeight="1" outlineLevel="2" x14ac:dyDescent="0.25">
      <c r="B3986" s="704" t="s">
        <v>685</v>
      </c>
      <c r="C3986" s="704" t="s">
        <v>876</v>
      </c>
      <c r="D3986" s="704" t="s">
        <v>675</v>
      </c>
      <c r="E3986" s="704" t="s">
        <v>861</v>
      </c>
      <c r="F3986" s="708"/>
      <c r="G3986" s="705">
        <v>2431.8014225963807</v>
      </c>
    </row>
    <row r="3987" spans="2:7" ht="11.25" hidden="1" customHeight="1" outlineLevel="2" x14ac:dyDescent="0.25">
      <c r="B3987" s="704" t="s">
        <v>686</v>
      </c>
      <c r="C3987" s="704" t="s">
        <v>876</v>
      </c>
      <c r="D3987" s="704" t="s">
        <v>675</v>
      </c>
      <c r="E3987" s="704" t="s">
        <v>861</v>
      </c>
      <c r="F3987" s="708"/>
      <c r="G3987" s="705">
        <v>571.73751750604401</v>
      </c>
    </row>
    <row r="3988" spans="2:7" ht="11.25" hidden="1" customHeight="1" outlineLevel="2" x14ac:dyDescent="0.25">
      <c r="B3988" s="704" t="s">
        <v>687</v>
      </c>
      <c r="C3988" s="704" t="s">
        <v>876</v>
      </c>
      <c r="D3988" s="704" t="s">
        <v>675</v>
      </c>
      <c r="E3988" s="704" t="s">
        <v>861</v>
      </c>
      <c r="F3988" s="708"/>
      <c r="G3988" s="705">
        <v>2928.6491964408356</v>
      </c>
    </row>
    <row r="3989" spans="2:7" ht="11.25" hidden="1" customHeight="1" outlineLevel="2" x14ac:dyDescent="0.25">
      <c r="B3989" s="704" t="s">
        <v>688</v>
      </c>
      <c r="C3989" s="704" t="s">
        <v>876</v>
      </c>
      <c r="D3989" s="704" t="s">
        <v>675</v>
      </c>
      <c r="E3989" s="704" t="s">
        <v>861</v>
      </c>
      <c r="F3989" s="708"/>
      <c r="G3989" s="705">
        <v>2102.1407870954909</v>
      </c>
    </row>
    <row r="3990" spans="2:7" ht="11.25" hidden="1" customHeight="1" outlineLevel="2" x14ac:dyDescent="0.25">
      <c r="B3990" s="704" t="s">
        <v>689</v>
      </c>
      <c r="C3990" s="704" t="s">
        <v>876</v>
      </c>
      <c r="D3990" s="704" t="s">
        <v>675</v>
      </c>
      <c r="E3990" s="704" t="s">
        <v>861</v>
      </c>
      <c r="F3990" s="708"/>
      <c r="G3990" s="705">
        <v>310.79864767796767</v>
      </c>
    </row>
    <row r="3991" spans="2:7" ht="11.25" hidden="1" customHeight="1" outlineLevel="2" x14ac:dyDescent="0.25">
      <c r="B3991" s="704" t="s">
        <v>690</v>
      </c>
      <c r="C3991" s="704" t="s">
        <v>876</v>
      </c>
      <c r="D3991" s="704" t="s">
        <v>675</v>
      </c>
      <c r="E3991" s="704" t="s">
        <v>861</v>
      </c>
      <c r="F3991" s="708"/>
      <c r="G3991" s="705">
        <v>6842.750124300057</v>
      </c>
    </row>
    <row r="3992" spans="2:7" ht="11.25" hidden="1" customHeight="1" outlineLevel="2" x14ac:dyDescent="0.25">
      <c r="B3992" s="704" t="s">
        <v>691</v>
      </c>
      <c r="C3992" s="704" t="s">
        <v>876</v>
      </c>
      <c r="D3992" s="704" t="s">
        <v>675</v>
      </c>
      <c r="E3992" s="704" t="s">
        <v>861</v>
      </c>
      <c r="F3992" s="708"/>
      <c r="G3992" s="705">
        <v>7814.6377280241695</v>
      </c>
    </row>
    <row r="3993" spans="2:7" ht="11.25" hidden="1" customHeight="1" outlineLevel="2" x14ac:dyDescent="0.25">
      <c r="B3993" s="704" t="s">
        <v>692</v>
      </c>
      <c r="C3993" s="704" t="s">
        <v>876</v>
      </c>
      <c r="D3993" s="704" t="s">
        <v>675</v>
      </c>
      <c r="E3993" s="704" t="s">
        <v>861</v>
      </c>
      <c r="F3993" s="708"/>
      <c r="G3993" s="705">
        <v>456.98052691878041</v>
      </c>
    </row>
    <row r="3994" spans="2:7" ht="11.25" hidden="1" customHeight="1" outlineLevel="2" x14ac:dyDescent="0.25">
      <c r="B3994" s="704" t="s">
        <v>693</v>
      </c>
      <c r="C3994" s="704" t="s">
        <v>876</v>
      </c>
      <c r="D3994" s="704" t="s">
        <v>675</v>
      </c>
      <c r="E3994" s="704" t="s">
        <v>861</v>
      </c>
      <c r="F3994" s="708"/>
      <c r="G3994" s="705">
        <v>1140.714073219184</v>
      </c>
    </row>
    <row r="3995" spans="2:7" ht="11.25" hidden="1" customHeight="1" outlineLevel="2" x14ac:dyDescent="0.25">
      <c r="B3995" s="704" t="s">
        <v>694</v>
      </c>
      <c r="C3995" s="704" t="s">
        <v>876</v>
      </c>
      <c r="D3995" s="704" t="s">
        <v>675</v>
      </c>
      <c r="E3995" s="704" t="s">
        <v>861</v>
      </c>
      <c r="F3995" s="708"/>
      <c r="G3995" s="705">
        <v>127.88738734235746</v>
      </c>
    </row>
    <row r="3996" spans="2:7" ht="11.25" hidden="1" customHeight="1" outlineLevel="2" x14ac:dyDescent="0.25">
      <c r="B3996" s="704" t="s">
        <v>695</v>
      </c>
      <c r="C3996" s="704" t="s">
        <v>876</v>
      </c>
      <c r="D3996" s="704" t="s">
        <v>675</v>
      </c>
      <c r="E3996" s="704" t="s">
        <v>861</v>
      </c>
      <c r="F3996" s="709"/>
      <c r="G3996" s="705">
        <v>606.60875580784534</v>
      </c>
    </row>
    <row r="3997" spans="2:7" ht="11.25" hidden="1" customHeight="1" outlineLevel="2" x14ac:dyDescent="0.25">
      <c r="B3997" s="704" t="s">
        <v>696</v>
      </c>
      <c r="C3997" s="704" t="s">
        <v>876</v>
      </c>
      <c r="D3997" s="704" t="s">
        <v>675</v>
      </c>
      <c r="E3997" s="704" t="s">
        <v>861</v>
      </c>
      <c r="F3997" s="709"/>
      <c r="G3997" s="705">
        <v>1515.6372114955652</v>
      </c>
    </row>
    <row r="3998" spans="2:7" ht="11.25" hidden="1" customHeight="1" outlineLevel="2" x14ac:dyDescent="0.25">
      <c r="B3998" s="704" t="s">
        <v>697</v>
      </c>
      <c r="C3998" s="704" t="s">
        <v>876</v>
      </c>
      <c r="D3998" s="704" t="s">
        <v>675</v>
      </c>
      <c r="E3998" s="704" t="s">
        <v>861</v>
      </c>
      <c r="F3998" s="709"/>
      <c r="G3998" s="705">
        <v>829.24942876641398</v>
      </c>
    </row>
    <row r="3999" spans="2:7" ht="11.25" hidden="1" customHeight="1" outlineLevel="2" x14ac:dyDescent="0.25">
      <c r="B3999" s="704" t="s">
        <v>698</v>
      </c>
      <c r="C3999" s="704" t="s">
        <v>876</v>
      </c>
      <c r="D3999" s="704" t="s">
        <v>675</v>
      </c>
      <c r="E3999" s="704" t="s">
        <v>861</v>
      </c>
      <c r="F3999" s="709"/>
      <c r="G3999" s="705">
        <v>910.58856982222267</v>
      </c>
    </row>
    <row r="4000" spans="2:7" ht="11.25" hidden="1" customHeight="1" outlineLevel="2" x14ac:dyDescent="0.25">
      <c r="B4000" s="704" t="s">
        <v>699</v>
      </c>
      <c r="C4000" s="704" t="s">
        <v>876</v>
      </c>
      <c r="D4000" s="704" t="s">
        <v>675</v>
      </c>
      <c r="E4000" s="704" t="s">
        <v>861</v>
      </c>
      <c r="F4000" s="709"/>
      <c r="G4000" s="705">
        <v>4.5319368336702387E-29</v>
      </c>
    </row>
    <row r="4001" spans="2:7" ht="11.25" hidden="1" customHeight="1" outlineLevel="2" x14ac:dyDescent="0.25">
      <c r="B4001" s="704" t="s">
        <v>673</v>
      </c>
      <c r="C4001" s="704" t="s">
        <v>877</v>
      </c>
      <c r="D4001" s="704" t="s">
        <v>675</v>
      </c>
      <c r="E4001" s="704" t="s">
        <v>861</v>
      </c>
      <c r="F4001" s="709"/>
      <c r="G4001" s="705">
        <v>979.79990107837341</v>
      </c>
    </row>
    <row r="4002" spans="2:7" ht="11.25" hidden="1" customHeight="1" outlineLevel="2" x14ac:dyDescent="0.25">
      <c r="B4002" s="704" t="s">
        <v>677</v>
      </c>
      <c r="C4002" s="704" t="s">
        <v>877</v>
      </c>
      <c r="D4002" s="704" t="s">
        <v>675</v>
      </c>
      <c r="E4002" s="704" t="s">
        <v>861</v>
      </c>
      <c r="F4002" s="706">
        <v>0.57197739114006174</v>
      </c>
      <c r="G4002" s="705">
        <v>16259.618370754453</v>
      </c>
    </row>
    <row r="4003" spans="2:7" ht="11.25" hidden="1" customHeight="1" outlineLevel="2" x14ac:dyDescent="0.25">
      <c r="B4003" s="704" t="s">
        <v>678</v>
      </c>
      <c r="C4003" s="704" t="s">
        <v>877</v>
      </c>
      <c r="D4003" s="704" t="s">
        <v>675</v>
      </c>
      <c r="E4003" s="704" t="s">
        <v>861</v>
      </c>
      <c r="F4003" s="708"/>
      <c r="G4003" s="705">
        <v>37662.398357990955</v>
      </c>
    </row>
    <row r="4004" spans="2:7" ht="11.25" hidden="1" customHeight="1" outlineLevel="2" x14ac:dyDescent="0.25">
      <c r="B4004" s="704" t="s">
        <v>679</v>
      </c>
      <c r="C4004" s="704" t="s">
        <v>877</v>
      </c>
      <c r="D4004" s="704" t="s">
        <v>675</v>
      </c>
      <c r="E4004" s="704" t="s">
        <v>861</v>
      </c>
      <c r="F4004" s="708"/>
      <c r="G4004" s="705">
        <v>3056.3836084867844</v>
      </c>
    </row>
    <row r="4005" spans="2:7" ht="11.25" hidden="1" customHeight="1" outlineLevel="2" x14ac:dyDescent="0.25">
      <c r="B4005" s="704" t="s">
        <v>680</v>
      </c>
      <c r="C4005" s="704" t="s">
        <v>877</v>
      </c>
      <c r="D4005" s="704" t="s">
        <v>675</v>
      </c>
      <c r="E4005" s="704" t="s">
        <v>861</v>
      </c>
      <c r="F4005" s="708"/>
      <c r="G4005" s="705">
        <v>566.49196719457814</v>
      </c>
    </row>
    <row r="4006" spans="2:7" ht="11.25" hidden="1" customHeight="1" outlineLevel="2" x14ac:dyDescent="0.25">
      <c r="B4006" s="704" t="s">
        <v>681</v>
      </c>
      <c r="C4006" s="704" t="s">
        <v>877</v>
      </c>
      <c r="D4006" s="704" t="s">
        <v>675</v>
      </c>
      <c r="E4006" s="704" t="s">
        <v>861</v>
      </c>
      <c r="F4006" s="709"/>
      <c r="G4006" s="705">
        <v>4778.1801660420406</v>
      </c>
    </row>
    <row r="4007" spans="2:7" ht="11.25" hidden="1" customHeight="1" outlineLevel="2" x14ac:dyDescent="0.25">
      <c r="B4007" s="704" t="s">
        <v>682</v>
      </c>
      <c r="C4007" s="704" t="s">
        <v>877</v>
      </c>
      <c r="D4007" s="704" t="s">
        <v>675</v>
      </c>
      <c r="E4007" s="704" t="s">
        <v>861</v>
      </c>
      <c r="F4007" s="708"/>
      <c r="G4007" s="705">
        <v>4194.5096453725764</v>
      </c>
    </row>
    <row r="4008" spans="2:7" ht="11.25" hidden="1" customHeight="1" outlineLevel="2" x14ac:dyDescent="0.25">
      <c r="B4008" s="704" t="s">
        <v>683</v>
      </c>
      <c r="C4008" s="704" t="s">
        <v>877</v>
      </c>
      <c r="D4008" s="704" t="s">
        <v>675</v>
      </c>
      <c r="E4008" s="704" t="s">
        <v>861</v>
      </c>
      <c r="F4008" s="708"/>
      <c r="G4008" s="705">
        <v>6966.0907475788317</v>
      </c>
    </row>
    <row r="4009" spans="2:7" ht="11.25" hidden="1" customHeight="1" outlineLevel="2" x14ac:dyDescent="0.25">
      <c r="B4009" s="704" t="s">
        <v>684</v>
      </c>
      <c r="C4009" s="704" t="s">
        <v>877</v>
      </c>
      <c r="D4009" s="704" t="s">
        <v>675</v>
      </c>
      <c r="E4009" s="704" t="s">
        <v>861</v>
      </c>
      <c r="F4009" s="709"/>
      <c r="G4009" s="705">
        <v>920.45028336297241</v>
      </c>
    </row>
    <row r="4010" spans="2:7" ht="11.25" hidden="1" customHeight="1" outlineLevel="2" x14ac:dyDescent="0.25">
      <c r="B4010" s="704" t="s">
        <v>685</v>
      </c>
      <c r="C4010" s="704" t="s">
        <v>877</v>
      </c>
      <c r="D4010" s="704" t="s">
        <v>675</v>
      </c>
      <c r="E4010" s="704" t="s">
        <v>861</v>
      </c>
      <c r="F4010" s="708"/>
      <c r="G4010" s="705">
        <v>8359.9532351176986</v>
      </c>
    </row>
    <row r="4011" spans="2:7" ht="11.25" hidden="1" customHeight="1" outlineLevel="2" x14ac:dyDescent="0.25">
      <c r="B4011" s="704" t="s">
        <v>686</v>
      </c>
      <c r="C4011" s="704" t="s">
        <v>877</v>
      </c>
      <c r="D4011" s="704" t="s">
        <v>675</v>
      </c>
      <c r="E4011" s="704" t="s">
        <v>861</v>
      </c>
      <c r="F4011" s="708"/>
      <c r="G4011" s="705">
        <v>1965.4972484286566</v>
      </c>
    </row>
    <row r="4012" spans="2:7" ht="11.25" hidden="1" customHeight="1" outlineLevel="2" x14ac:dyDescent="0.25">
      <c r="B4012" s="704" t="s">
        <v>687</v>
      </c>
      <c r="C4012" s="704" t="s">
        <v>877</v>
      </c>
      <c r="D4012" s="704" t="s">
        <v>675</v>
      </c>
      <c r="E4012" s="704" t="s">
        <v>861</v>
      </c>
      <c r="F4012" s="708"/>
      <c r="G4012" s="705">
        <v>10068.000191282936</v>
      </c>
    </row>
    <row r="4013" spans="2:7" ht="11.25" hidden="1" customHeight="1" outlineLevel="2" x14ac:dyDescent="0.25">
      <c r="B4013" s="704" t="s">
        <v>688</v>
      </c>
      <c r="C4013" s="704" t="s">
        <v>877</v>
      </c>
      <c r="D4013" s="704" t="s">
        <v>675</v>
      </c>
      <c r="E4013" s="704" t="s">
        <v>861</v>
      </c>
      <c r="F4013" s="709"/>
      <c r="G4013" s="705">
        <v>7226.6551421236009</v>
      </c>
    </row>
    <row r="4014" spans="2:7" ht="11.25" hidden="1" customHeight="1" outlineLevel="2" x14ac:dyDescent="0.25">
      <c r="B4014" s="704" t="s">
        <v>689</v>
      </c>
      <c r="C4014" s="704" t="s">
        <v>877</v>
      </c>
      <c r="D4014" s="704" t="s">
        <v>675</v>
      </c>
      <c r="E4014" s="704" t="s">
        <v>861</v>
      </c>
      <c r="F4014" s="709"/>
      <c r="G4014" s="705">
        <v>1068.4515675360117</v>
      </c>
    </row>
    <row r="4015" spans="2:7" ht="11.25" hidden="1" customHeight="1" outlineLevel="2" x14ac:dyDescent="0.25">
      <c r="B4015" s="704" t="s">
        <v>690</v>
      </c>
      <c r="C4015" s="704" t="s">
        <v>877</v>
      </c>
      <c r="D4015" s="704" t="s">
        <v>675</v>
      </c>
      <c r="E4015" s="704" t="s">
        <v>861</v>
      </c>
      <c r="F4015" s="709"/>
      <c r="G4015" s="705">
        <v>23523.747805134597</v>
      </c>
    </row>
    <row r="4016" spans="2:7" ht="11.25" hidden="1" customHeight="1" outlineLevel="2" x14ac:dyDescent="0.25">
      <c r="B4016" s="704" t="s">
        <v>691</v>
      </c>
      <c r="C4016" s="704" t="s">
        <v>877</v>
      </c>
      <c r="D4016" s="704" t="s">
        <v>675</v>
      </c>
      <c r="E4016" s="704" t="s">
        <v>861</v>
      </c>
      <c r="F4016" s="708"/>
      <c r="G4016" s="705">
        <v>26864.850377018585</v>
      </c>
    </row>
    <row r="4017" spans="2:7" ht="11.25" hidden="1" customHeight="1" outlineLevel="2" x14ac:dyDescent="0.25">
      <c r="B4017" s="704" t="s">
        <v>692</v>
      </c>
      <c r="C4017" s="704" t="s">
        <v>877</v>
      </c>
      <c r="D4017" s="704" t="s">
        <v>675</v>
      </c>
      <c r="E4017" s="704" t="s">
        <v>861</v>
      </c>
      <c r="F4017" s="708"/>
      <c r="G4017" s="705">
        <v>1570.9897941658785</v>
      </c>
    </row>
    <row r="4018" spans="2:7" ht="11.25" hidden="1" customHeight="1" outlineLevel="2" x14ac:dyDescent="0.25">
      <c r="B4018" s="704" t="s">
        <v>693</v>
      </c>
      <c r="C4018" s="704" t="s">
        <v>877</v>
      </c>
      <c r="D4018" s="704" t="s">
        <v>675</v>
      </c>
      <c r="E4018" s="704" t="s">
        <v>861</v>
      </c>
      <c r="F4018" s="708"/>
      <c r="G4018" s="705">
        <v>3921.5028199196722</v>
      </c>
    </row>
    <row r="4019" spans="2:7" ht="11.25" hidden="1" customHeight="1" outlineLevel="2" x14ac:dyDescent="0.25">
      <c r="B4019" s="704" t="s">
        <v>694</v>
      </c>
      <c r="C4019" s="704" t="s">
        <v>877</v>
      </c>
      <c r="D4019" s="704" t="s">
        <v>675</v>
      </c>
      <c r="E4019" s="704" t="s">
        <v>861</v>
      </c>
      <c r="F4019" s="708"/>
      <c r="G4019" s="705">
        <v>439.6465023649306</v>
      </c>
    </row>
    <row r="4020" spans="2:7" ht="11.25" hidden="1" customHeight="1" outlineLevel="2" x14ac:dyDescent="0.25">
      <c r="B4020" s="704" t="s">
        <v>695</v>
      </c>
      <c r="C4020" s="704" t="s">
        <v>877</v>
      </c>
      <c r="D4020" s="704" t="s">
        <v>675</v>
      </c>
      <c r="E4020" s="704" t="s">
        <v>861</v>
      </c>
      <c r="F4020" s="708"/>
      <c r="G4020" s="705">
        <v>2085.3756903889152</v>
      </c>
    </row>
    <row r="4021" spans="2:7" ht="11.25" hidden="1" customHeight="1" outlineLevel="2" x14ac:dyDescent="0.25">
      <c r="B4021" s="704" t="s">
        <v>696</v>
      </c>
      <c r="C4021" s="704" t="s">
        <v>877</v>
      </c>
      <c r="D4021" s="704" t="s">
        <v>675</v>
      </c>
      <c r="E4021" s="704" t="s">
        <v>861</v>
      </c>
      <c r="F4021" s="708"/>
      <c r="G4021" s="705">
        <v>5210.397585962216</v>
      </c>
    </row>
    <row r="4022" spans="2:7" ht="11.25" hidden="1" customHeight="1" outlineLevel="2" x14ac:dyDescent="0.25">
      <c r="B4022" s="704" t="s">
        <v>697</v>
      </c>
      <c r="C4022" s="704" t="s">
        <v>877</v>
      </c>
      <c r="D4022" s="704" t="s">
        <v>675</v>
      </c>
      <c r="E4022" s="704" t="s">
        <v>861</v>
      </c>
      <c r="F4022" s="708"/>
      <c r="G4022" s="705">
        <v>2850.7624443895238</v>
      </c>
    </row>
    <row r="4023" spans="2:7" ht="11.25" hidden="1" customHeight="1" outlineLevel="2" x14ac:dyDescent="0.25">
      <c r="B4023" s="704" t="s">
        <v>698</v>
      </c>
      <c r="C4023" s="704" t="s">
        <v>877</v>
      </c>
      <c r="D4023" s="704" t="s">
        <v>675</v>
      </c>
      <c r="E4023" s="704" t="s">
        <v>861</v>
      </c>
      <c r="F4023" s="708"/>
      <c r="G4023" s="705">
        <v>3130.3858879058889</v>
      </c>
    </row>
    <row r="4024" spans="2:7" ht="11.25" hidden="1" customHeight="1" outlineLevel="2" x14ac:dyDescent="0.25">
      <c r="B4024" s="704" t="s">
        <v>699</v>
      </c>
      <c r="C4024" s="704" t="s">
        <v>877</v>
      </c>
      <c r="D4024" s="704" t="s">
        <v>675</v>
      </c>
      <c r="E4024" s="704" t="s">
        <v>861</v>
      </c>
      <c r="F4024" s="708"/>
      <c r="G4024" s="705">
        <v>4.9554371100347877E-28</v>
      </c>
    </row>
    <row r="4025" spans="2:7" ht="11.25" hidden="1" customHeight="1" outlineLevel="2" x14ac:dyDescent="0.25">
      <c r="B4025" s="704" t="s">
        <v>673</v>
      </c>
      <c r="C4025" s="704" t="s">
        <v>878</v>
      </c>
      <c r="D4025" s="704" t="s">
        <v>675</v>
      </c>
      <c r="E4025" s="704" t="s">
        <v>861</v>
      </c>
      <c r="F4025" s="708"/>
      <c r="G4025" s="705">
        <v>46.127607117533302</v>
      </c>
    </row>
    <row r="4026" spans="2:7" ht="11.25" hidden="1" customHeight="1" outlineLevel="2" x14ac:dyDescent="0.25">
      <c r="B4026" s="704" t="s">
        <v>677</v>
      </c>
      <c r="C4026" s="704" t="s">
        <v>878</v>
      </c>
      <c r="D4026" s="704" t="s">
        <v>675</v>
      </c>
      <c r="E4026" s="704" t="s">
        <v>861</v>
      </c>
      <c r="F4026" s="706">
        <v>2.2223886984418698E-2</v>
      </c>
      <c r="G4026" s="705">
        <v>765.48034814439382</v>
      </c>
    </row>
    <row r="4027" spans="2:7" ht="11.25" hidden="1" customHeight="1" outlineLevel="2" x14ac:dyDescent="0.25">
      <c r="B4027" s="704" t="s">
        <v>678</v>
      </c>
      <c r="C4027" s="704" t="s">
        <v>878</v>
      </c>
      <c r="D4027" s="704" t="s">
        <v>675</v>
      </c>
      <c r="E4027" s="704" t="s">
        <v>861</v>
      </c>
      <c r="F4027" s="709"/>
      <c r="G4027" s="705">
        <v>1773.0934023088735</v>
      </c>
    </row>
    <row r="4028" spans="2:7" ht="11.25" hidden="1" customHeight="1" outlineLevel="2" x14ac:dyDescent="0.25">
      <c r="B4028" s="704" t="s">
        <v>679</v>
      </c>
      <c r="C4028" s="704" t="s">
        <v>878</v>
      </c>
      <c r="D4028" s="704" t="s">
        <v>675</v>
      </c>
      <c r="E4028" s="704" t="s">
        <v>861</v>
      </c>
      <c r="F4028" s="708"/>
      <c r="G4028" s="705">
        <v>143.89030766048199</v>
      </c>
    </row>
    <row r="4029" spans="2:7" ht="11.25" hidden="1" customHeight="1" outlineLevel="2" x14ac:dyDescent="0.25">
      <c r="B4029" s="704" t="s">
        <v>680</v>
      </c>
      <c r="C4029" s="704" t="s">
        <v>878</v>
      </c>
      <c r="D4029" s="704" t="s">
        <v>675</v>
      </c>
      <c r="E4029" s="704" t="s">
        <v>861</v>
      </c>
      <c r="F4029" s="708"/>
      <c r="G4029" s="705">
        <v>26.669654257308178</v>
      </c>
    </row>
    <row r="4030" spans="2:7" ht="11.25" hidden="1" customHeight="1" outlineLevel="2" x14ac:dyDescent="0.25">
      <c r="B4030" s="704" t="s">
        <v>681</v>
      </c>
      <c r="C4030" s="704" t="s">
        <v>878</v>
      </c>
      <c r="D4030" s="704" t="s">
        <v>675</v>
      </c>
      <c r="E4030" s="704" t="s">
        <v>861</v>
      </c>
      <c r="F4030" s="708"/>
      <c r="G4030" s="705">
        <v>224.95011947622638</v>
      </c>
    </row>
    <row r="4031" spans="2:7" ht="11.25" hidden="1" customHeight="1" outlineLevel="2" x14ac:dyDescent="0.25">
      <c r="B4031" s="704" t="s">
        <v>682</v>
      </c>
      <c r="C4031" s="704" t="s">
        <v>878</v>
      </c>
      <c r="D4031" s="704" t="s">
        <v>675</v>
      </c>
      <c r="E4031" s="704" t="s">
        <v>861</v>
      </c>
      <c r="F4031" s="708"/>
      <c r="G4031" s="705">
        <v>197.47172497482308</v>
      </c>
    </row>
    <row r="4032" spans="2:7" ht="11.25" hidden="1" customHeight="1" outlineLevel="2" x14ac:dyDescent="0.25">
      <c r="B4032" s="704" t="s">
        <v>683</v>
      </c>
      <c r="C4032" s="704" t="s">
        <v>878</v>
      </c>
      <c r="D4032" s="704" t="s">
        <v>675</v>
      </c>
      <c r="E4032" s="704" t="s">
        <v>861</v>
      </c>
      <c r="F4032" s="708"/>
      <c r="G4032" s="705">
        <v>327.95394574102789</v>
      </c>
    </row>
    <row r="4033" spans="2:7" ht="11.25" hidden="1" customHeight="1" outlineLevel="2" x14ac:dyDescent="0.25">
      <c r="B4033" s="704" t="s">
        <v>684</v>
      </c>
      <c r="C4033" s="704" t="s">
        <v>878</v>
      </c>
      <c r="D4033" s="704" t="s">
        <v>675</v>
      </c>
      <c r="E4033" s="704" t="s">
        <v>861</v>
      </c>
      <c r="F4033" s="708"/>
      <c r="G4033" s="705">
        <v>43.333524456583156</v>
      </c>
    </row>
    <row r="4034" spans="2:7" ht="11.25" hidden="1" customHeight="1" outlineLevel="2" x14ac:dyDescent="0.25">
      <c r="B4034" s="704" t="s">
        <v>685</v>
      </c>
      <c r="C4034" s="704" t="s">
        <v>878</v>
      </c>
      <c r="D4034" s="704" t="s">
        <v>675</v>
      </c>
      <c r="E4034" s="704" t="s">
        <v>861</v>
      </c>
      <c r="F4034" s="708"/>
      <c r="G4034" s="705">
        <v>393.57501861418763</v>
      </c>
    </row>
    <row r="4035" spans="2:7" ht="11.25" hidden="1" customHeight="1" outlineLevel="2" x14ac:dyDescent="0.25">
      <c r="B4035" s="704" t="s">
        <v>686</v>
      </c>
      <c r="C4035" s="704" t="s">
        <v>878</v>
      </c>
      <c r="D4035" s="704" t="s">
        <v>675</v>
      </c>
      <c r="E4035" s="704" t="s">
        <v>861</v>
      </c>
      <c r="F4035" s="708"/>
      <c r="G4035" s="705">
        <v>92.532917147203321</v>
      </c>
    </row>
    <row r="4036" spans="2:7" ht="11.25" hidden="1" customHeight="1" outlineLevel="2" x14ac:dyDescent="0.25">
      <c r="B4036" s="704" t="s">
        <v>687</v>
      </c>
      <c r="C4036" s="704" t="s">
        <v>878</v>
      </c>
      <c r="D4036" s="704" t="s">
        <v>675</v>
      </c>
      <c r="E4036" s="704" t="s">
        <v>861</v>
      </c>
      <c r="F4036" s="708"/>
      <c r="G4036" s="705">
        <v>473.98756264287744</v>
      </c>
    </row>
    <row r="4037" spans="2:7" ht="11.25" hidden="1" customHeight="1" outlineLevel="2" x14ac:dyDescent="0.25">
      <c r="B4037" s="704" t="s">
        <v>688</v>
      </c>
      <c r="C4037" s="704" t="s">
        <v>878</v>
      </c>
      <c r="D4037" s="704" t="s">
        <v>675</v>
      </c>
      <c r="E4037" s="704" t="s">
        <v>861</v>
      </c>
      <c r="F4037" s="708"/>
      <c r="G4037" s="705">
        <v>340.22102233836466</v>
      </c>
    </row>
    <row r="4038" spans="2:7" ht="11.25" hidden="1" customHeight="1" outlineLevel="2" x14ac:dyDescent="0.25">
      <c r="B4038" s="704" t="s">
        <v>689</v>
      </c>
      <c r="C4038" s="704" t="s">
        <v>878</v>
      </c>
      <c r="D4038" s="704" t="s">
        <v>675</v>
      </c>
      <c r="E4038" s="704" t="s">
        <v>861</v>
      </c>
      <c r="F4038" s="708"/>
      <c r="G4038" s="705">
        <v>50.301223489002453</v>
      </c>
    </row>
    <row r="4039" spans="2:7" ht="11.25" hidden="1" customHeight="1" outlineLevel="2" x14ac:dyDescent="0.25">
      <c r="B4039" s="704" t="s">
        <v>690</v>
      </c>
      <c r="C4039" s="704" t="s">
        <v>878</v>
      </c>
      <c r="D4039" s="704" t="s">
        <v>675</v>
      </c>
      <c r="E4039" s="704" t="s">
        <v>861</v>
      </c>
      <c r="F4039" s="708"/>
      <c r="G4039" s="705">
        <v>1107.4655383736788</v>
      </c>
    </row>
    <row r="4040" spans="2:7" ht="11.25" hidden="1" customHeight="1" outlineLevel="2" x14ac:dyDescent="0.25">
      <c r="B4040" s="704" t="s">
        <v>691</v>
      </c>
      <c r="C4040" s="704" t="s">
        <v>878</v>
      </c>
      <c r="D4040" s="704" t="s">
        <v>675</v>
      </c>
      <c r="E4040" s="704" t="s">
        <v>861</v>
      </c>
      <c r="F4040" s="708"/>
      <c r="G4040" s="705">
        <v>1264.7603190684365</v>
      </c>
    </row>
    <row r="4041" spans="2:7" ht="11.25" hidden="1" customHeight="1" outlineLevel="2" x14ac:dyDescent="0.25">
      <c r="B4041" s="704" t="s">
        <v>692</v>
      </c>
      <c r="C4041" s="704" t="s">
        <v>878</v>
      </c>
      <c r="D4041" s="704" t="s">
        <v>675</v>
      </c>
      <c r="E4041" s="704" t="s">
        <v>861</v>
      </c>
      <c r="F4041" s="708"/>
      <c r="G4041" s="705">
        <v>73.960017915935055</v>
      </c>
    </row>
    <row r="4042" spans="2:7" ht="11.25" hidden="1" customHeight="1" outlineLevel="2" x14ac:dyDescent="0.25">
      <c r="B4042" s="704" t="s">
        <v>693</v>
      </c>
      <c r="C4042" s="704" t="s">
        <v>878</v>
      </c>
      <c r="D4042" s="704" t="s">
        <v>675</v>
      </c>
      <c r="E4042" s="704" t="s">
        <v>861</v>
      </c>
      <c r="F4042" s="708"/>
      <c r="G4042" s="705">
        <v>184.6189270988848</v>
      </c>
    </row>
    <row r="4043" spans="2:7" ht="11.25" hidden="1" customHeight="1" outlineLevel="2" x14ac:dyDescent="0.25">
      <c r="B4043" s="704" t="s">
        <v>694</v>
      </c>
      <c r="C4043" s="704" t="s">
        <v>878</v>
      </c>
      <c r="D4043" s="704" t="s">
        <v>675</v>
      </c>
      <c r="E4043" s="704" t="s">
        <v>861</v>
      </c>
      <c r="F4043" s="709"/>
      <c r="G4043" s="705">
        <v>20.697945233932423</v>
      </c>
    </row>
    <row r="4044" spans="2:7" ht="11.25" hidden="1" customHeight="1" outlineLevel="2" x14ac:dyDescent="0.25">
      <c r="B4044" s="704" t="s">
        <v>695</v>
      </c>
      <c r="C4044" s="704" t="s">
        <v>878</v>
      </c>
      <c r="D4044" s="704" t="s">
        <v>675</v>
      </c>
      <c r="E4044" s="704" t="s">
        <v>861</v>
      </c>
      <c r="F4044" s="709"/>
      <c r="G4044" s="705">
        <v>98.17662644609841</v>
      </c>
    </row>
    <row r="4045" spans="2:7" ht="11.25" hidden="1" customHeight="1" outlineLevel="2" x14ac:dyDescent="0.25">
      <c r="B4045" s="704" t="s">
        <v>696</v>
      </c>
      <c r="C4045" s="704" t="s">
        <v>878</v>
      </c>
      <c r="D4045" s="704" t="s">
        <v>675</v>
      </c>
      <c r="E4045" s="704" t="s">
        <v>861</v>
      </c>
      <c r="F4045" s="709"/>
      <c r="G4045" s="705">
        <v>245.29836879750974</v>
      </c>
    </row>
    <row r="4046" spans="2:7" ht="11.25" hidden="1" customHeight="1" outlineLevel="2" x14ac:dyDescent="0.25">
      <c r="B4046" s="704" t="s">
        <v>697</v>
      </c>
      <c r="C4046" s="704" t="s">
        <v>878</v>
      </c>
      <c r="D4046" s="704" t="s">
        <v>675</v>
      </c>
      <c r="E4046" s="704" t="s">
        <v>861</v>
      </c>
      <c r="F4046" s="709"/>
      <c r="G4046" s="705">
        <v>134.2099268855255</v>
      </c>
    </row>
    <row r="4047" spans="2:7" ht="11.25" hidden="1" customHeight="1" outlineLevel="2" x14ac:dyDescent="0.25">
      <c r="B4047" s="704" t="s">
        <v>698</v>
      </c>
      <c r="C4047" s="704" t="s">
        <v>878</v>
      </c>
      <c r="D4047" s="704" t="s">
        <v>675</v>
      </c>
      <c r="E4047" s="704" t="s">
        <v>861</v>
      </c>
      <c r="F4047" s="709"/>
      <c r="G4047" s="705">
        <v>147.37425119469393</v>
      </c>
    </row>
    <row r="4048" spans="2:7" ht="11.25" hidden="1" customHeight="1" outlineLevel="2" x14ac:dyDescent="0.25">
      <c r="B4048" s="704" t="s">
        <v>699</v>
      </c>
      <c r="C4048" s="704" t="s">
        <v>878</v>
      </c>
      <c r="D4048" s="704" t="s">
        <v>675</v>
      </c>
      <c r="E4048" s="704" t="s">
        <v>861</v>
      </c>
      <c r="F4048" s="709"/>
      <c r="G4048" s="705">
        <v>1.2734909224969495E-29</v>
      </c>
    </row>
    <row r="4049" spans="2:7" ht="11.25" hidden="1" customHeight="1" outlineLevel="2" x14ac:dyDescent="0.25">
      <c r="B4049" s="704" t="s">
        <v>673</v>
      </c>
      <c r="C4049" s="704" t="s">
        <v>879</v>
      </c>
      <c r="D4049" s="704" t="s">
        <v>675</v>
      </c>
      <c r="E4049" s="704" t="s">
        <v>861</v>
      </c>
      <c r="F4049" s="709"/>
      <c r="G4049" s="705">
        <v>366.68355618345879</v>
      </c>
    </row>
    <row r="4050" spans="2:7" ht="11.25" hidden="1" customHeight="1" outlineLevel="2" x14ac:dyDescent="0.25">
      <c r="B4050" s="704" t="s">
        <v>677</v>
      </c>
      <c r="C4050" s="704" t="s">
        <v>879</v>
      </c>
      <c r="D4050" s="704" t="s">
        <v>675</v>
      </c>
      <c r="E4050" s="704" t="s">
        <v>861</v>
      </c>
      <c r="F4050" s="706">
        <v>0.20644567582031118</v>
      </c>
      <c r="G4050" s="705">
        <v>6085.0538708928207</v>
      </c>
    </row>
    <row r="4051" spans="2:7" ht="11.25" hidden="1" customHeight="1" outlineLevel="2" x14ac:dyDescent="0.25">
      <c r="B4051" s="704" t="s">
        <v>678</v>
      </c>
      <c r="C4051" s="704" t="s">
        <v>879</v>
      </c>
      <c r="D4051" s="704" t="s">
        <v>675</v>
      </c>
      <c r="E4051" s="704" t="s">
        <v>861</v>
      </c>
      <c r="F4051" s="709"/>
      <c r="G4051" s="705">
        <v>14094.901524241084</v>
      </c>
    </row>
    <row r="4052" spans="2:7" ht="11.25" hidden="1" customHeight="1" outlineLevel="2" x14ac:dyDescent="0.25">
      <c r="B4052" s="704" t="s">
        <v>679</v>
      </c>
      <c r="C4052" s="704" t="s">
        <v>879</v>
      </c>
      <c r="D4052" s="704" t="s">
        <v>675</v>
      </c>
      <c r="E4052" s="704" t="s">
        <v>861</v>
      </c>
      <c r="F4052" s="709"/>
      <c r="G4052" s="705">
        <v>1143.8315391451524</v>
      </c>
    </row>
    <row r="4053" spans="2:7" ht="11.25" hidden="1" customHeight="1" outlineLevel="2" x14ac:dyDescent="0.25">
      <c r="B4053" s="704" t="s">
        <v>680</v>
      </c>
      <c r="C4053" s="704" t="s">
        <v>879</v>
      </c>
      <c r="D4053" s="704" t="s">
        <v>675</v>
      </c>
      <c r="E4053" s="704" t="s">
        <v>861</v>
      </c>
      <c r="F4053" s="708"/>
      <c r="G4053" s="705">
        <v>212.00587067321595</v>
      </c>
    </row>
    <row r="4054" spans="2:7" ht="11.25" hidden="1" customHeight="1" outlineLevel="2" x14ac:dyDescent="0.25">
      <c r="B4054" s="704" t="s">
        <v>681</v>
      </c>
      <c r="C4054" s="704" t="s">
        <v>879</v>
      </c>
      <c r="D4054" s="704" t="s">
        <v>675</v>
      </c>
      <c r="E4054" s="704" t="s">
        <v>861</v>
      </c>
      <c r="F4054" s="708"/>
      <c r="G4054" s="705">
        <v>1788.2024213831423</v>
      </c>
    </row>
    <row r="4055" spans="2:7" ht="11.25" hidden="1" customHeight="1" outlineLevel="2" x14ac:dyDescent="0.25">
      <c r="B4055" s="704" t="s">
        <v>682</v>
      </c>
      <c r="C4055" s="704" t="s">
        <v>879</v>
      </c>
      <c r="D4055" s="704" t="s">
        <v>675</v>
      </c>
      <c r="E4055" s="704" t="s">
        <v>861</v>
      </c>
      <c r="F4055" s="709"/>
      <c r="G4055" s="705">
        <v>1569.7676999002151</v>
      </c>
    </row>
    <row r="4056" spans="2:7" ht="11.25" hidden="1" customHeight="1" outlineLevel="2" x14ac:dyDescent="0.25">
      <c r="B4056" s="704" t="s">
        <v>683</v>
      </c>
      <c r="C4056" s="704" t="s">
        <v>879</v>
      </c>
      <c r="D4056" s="704" t="s">
        <v>675</v>
      </c>
      <c r="E4056" s="704" t="s">
        <v>861</v>
      </c>
      <c r="F4056" s="708"/>
      <c r="G4056" s="705">
        <v>2607.0133978148856</v>
      </c>
    </row>
    <row r="4057" spans="2:7" ht="11.25" hidden="1" customHeight="1" outlineLevel="2" x14ac:dyDescent="0.25">
      <c r="B4057" s="704" t="s">
        <v>684</v>
      </c>
      <c r="C4057" s="704" t="s">
        <v>879</v>
      </c>
      <c r="D4057" s="704" t="s">
        <v>675</v>
      </c>
      <c r="E4057" s="704" t="s">
        <v>861</v>
      </c>
      <c r="F4057" s="708"/>
      <c r="G4057" s="705">
        <v>344.472402802418</v>
      </c>
    </row>
    <row r="4058" spans="2:7" ht="11.25" hidden="1" customHeight="1" outlineLevel="2" x14ac:dyDescent="0.25">
      <c r="B4058" s="704" t="s">
        <v>685</v>
      </c>
      <c r="C4058" s="704" t="s">
        <v>879</v>
      </c>
      <c r="D4058" s="704" t="s">
        <v>675</v>
      </c>
      <c r="E4058" s="704" t="s">
        <v>861</v>
      </c>
      <c r="F4058" s="708"/>
      <c r="G4058" s="705">
        <v>3128.6573147968729</v>
      </c>
    </row>
    <row r="4059" spans="2:7" ht="11.25" hidden="1" customHeight="1" outlineLevel="2" x14ac:dyDescent="0.25">
      <c r="B4059" s="704" t="s">
        <v>686</v>
      </c>
      <c r="C4059" s="704" t="s">
        <v>879</v>
      </c>
      <c r="D4059" s="704" t="s">
        <v>675</v>
      </c>
      <c r="E4059" s="704" t="s">
        <v>861</v>
      </c>
      <c r="F4059" s="708"/>
      <c r="G4059" s="705">
        <v>735.57449620109674</v>
      </c>
    </row>
    <row r="4060" spans="2:7" ht="11.25" hidden="1" customHeight="1" outlineLevel="2" x14ac:dyDescent="0.25">
      <c r="B4060" s="704" t="s">
        <v>687</v>
      </c>
      <c r="C4060" s="704" t="s">
        <v>879</v>
      </c>
      <c r="D4060" s="704" t="s">
        <v>675</v>
      </c>
      <c r="E4060" s="704" t="s">
        <v>861</v>
      </c>
      <c r="F4060" s="708"/>
      <c r="G4060" s="705">
        <v>3767.8820646535496</v>
      </c>
    </row>
    <row r="4061" spans="2:7" ht="11.25" hidden="1" customHeight="1" outlineLevel="2" x14ac:dyDescent="0.25">
      <c r="B4061" s="704" t="s">
        <v>688</v>
      </c>
      <c r="C4061" s="704" t="s">
        <v>879</v>
      </c>
      <c r="D4061" s="704" t="s">
        <v>675</v>
      </c>
      <c r="E4061" s="704" t="s">
        <v>861</v>
      </c>
      <c r="F4061" s="708"/>
      <c r="G4061" s="705">
        <v>2704.5284430649772</v>
      </c>
    </row>
    <row r="4062" spans="2:7" ht="11.25" hidden="1" customHeight="1" outlineLevel="2" x14ac:dyDescent="0.25">
      <c r="B4062" s="704" t="s">
        <v>689</v>
      </c>
      <c r="C4062" s="704" t="s">
        <v>879</v>
      </c>
      <c r="D4062" s="704" t="s">
        <v>675</v>
      </c>
      <c r="E4062" s="704" t="s">
        <v>861</v>
      </c>
      <c r="F4062" s="708"/>
      <c r="G4062" s="705">
        <v>399.86091152919204</v>
      </c>
    </row>
    <row r="4063" spans="2:7" ht="11.25" hidden="1" customHeight="1" outlineLevel="2" x14ac:dyDescent="0.25">
      <c r="B4063" s="704" t="s">
        <v>690</v>
      </c>
      <c r="C4063" s="704" t="s">
        <v>879</v>
      </c>
      <c r="D4063" s="704" t="s">
        <v>675</v>
      </c>
      <c r="E4063" s="704" t="s">
        <v>861</v>
      </c>
      <c r="F4063" s="708"/>
      <c r="G4063" s="705">
        <v>8803.6052058201512</v>
      </c>
    </row>
    <row r="4064" spans="2:7" ht="11.25" hidden="1" customHeight="1" outlineLevel="2" x14ac:dyDescent="0.25">
      <c r="B4064" s="704" t="s">
        <v>691</v>
      </c>
      <c r="C4064" s="704" t="s">
        <v>879</v>
      </c>
      <c r="D4064" s="704" t="s">
        <v>675</v>
      </c>
      <c r="E4064" s="704" t="s">
        <v>861</v>
      </c>
      <c r="F4064" s="708"/>
      <c r="G4064" s="705">
        <v>10053.993133455449</v>
      </c>
    </row>
    <row r="4065" spans="2:7" ht="11.25" hidden="1" customHeight="1" outlineLevel="2" x14ac:dyDescent="0.25">
      <c r="B4065" s="704" t="s">
        <v>692</v>
      </c>
      <c r="C4065" s="704" t="s">
        <v>879</v>
      </c>
      <c r="D4065" s="704" t="s">
        <v>675</v>
      </c>
      <c r="E4065" s="704" t="s">
        <v>861</v>
      </c>
      <c r="F4065" s="708"/>
      <c r="G4065" s="705">
        <v>587.93260276973638</v>
      </c>
    </row>
    <row r="4066" spans="2:7" ht="11.25" hidden="1" customHeight="1" outlineLevel="2" x14ac:dyDescent="0.25">
      <c r="B4066" s="704" t="s">
        <v>693</v>
      </c>
      <c r="C4066" s="704" t="s">
        <v>879</v>
      </c>
      <c r="D4066" s="704" t="s">
        <v>675</v>
      </c>
      <c r="E4066" s="704" t="s">
        <v>861</v>
      </c>
      <c r="F4066" s="708"/>
      <c r="G4066" s="705">
        <v>1467.5965065509563</v>
      </c>
    </row>
    <row r="4067" spans="2:7" ht="11.25" hidden="1" customHeight="1" outlineLevel="2" x14ac:dyDescent="0.25">
      <c r="B4067" s="704" t="s">
        <v>694</v>
      </c>
      <c r="C4067" s="704" t="s">
        <v>879</v>
      </c>
      <c r="D4067" s="704" t="s">
        <v>675</v>
      </c>
      <c r="E4067" s="704" t="s">
        <v>861</v>
      </c>
      <c r="F4067" s="708"/>
      <c r="G4067" s="705">
        <v>164.53478085553775</v>
      </c>
    </row>
    <row r="4068" spans="2:7" ht="11.25" hidden="1" customHeight="1" outlineLevel="2" x14ac:dyDescent="0.25">
      <c r="B4068" s="704" t="s">
        <v>695</v>
      </c>
      <c r="C4068" s="704" t="s">
        <v>879</v>
      </c>
      <c r="D4068" s="704" t="s">
        <v>675</v>
      </c>
      <c r="E4068" s="704" t="s">
        <v>861</v>
      </c>
      <c r="F4068" s="708"/>
      <c r="G4068" s="705">
        <v>780.43812273126832</v>
      </c>
    </row>
    <row r="4069" spans="2:7" ht="11.25" hidden="1" customHeight="1" outlineLevel="2" x14ac:dyDescent="0.25">
      <c r="B4069" s="704" t="s">
        <v>696</v>
      </c>
      <c r="C4069" s="704" t="s">
        <v>879</v>
      </c>
      <c r="D4069" s="704" t="s">
        <v>675</v>
      </c>
      <c r="E4069" s="704" t="s">
        <v>861</v>
      </c>
      <c r="F4069" s="708"/>
      <c r="G4069" s="705">
        <v>1949.9573845310504</v>
      </c>
    </row>
    <row r="4070" spans="2:7" ht="11.25" hidden="1" customHeight="1" outlineLevel="2" x14ac:dyDescent="0.25">
      <c r="B4070" s="704" t="s">
        <v>697</v>
      </c>
      <c r="C4070" s="704" t="s">
        <v>879</v>
      </c>
      <c r="D4070" s="704" t="s">
        <v>675</v>
      </c>
      <c r="E4070" s="704" t="s">
        <v>861</v>
      </c>
      <c r="F4070" s="708"/>
      <c r="G4070" s="705">
        <v>1066.8789865699268</v>
      </c>
    </row>
    <row r="4071" spans="2:7" ht="11.25" hidden="1" customHeight="1" outlineLevel="2" x14ac:dyDescent="0.25">
      <c r="B4071" s="704" t="s">
        <v>698</v>
      </c>
      <c r="C4071" s="704" t="s">
        <v>879</v>
      </c>
      <c r="D4071" s="704" t="s">
        <v>675</v>
      </c>
      <c r="E4071" s="704" t="s">
        <v>861</v>
      </c>
      <c r="F4071" s="708"/>
      <c r="G4071" s="705">
        <v>1171.5262720258631</v>
      </c>
    </row>
    <row r="4072" spans="2:7" ht="11.25" hidden="1" customHeight="1" outlineLevel="2" x14ac:dyDescent="0.25">
      <c r="B4072" s="704" t="s">
        <v>699</v>
      </c>
      <c r="C4072" s="704" t="s">
        <v>879</v>
      </c>
      <c r="D4072" s="704" t="s">
        <v>675</v>
      </c>
      <c r="E4072" s="704" t="s">
        <v>861</v>
      </c>
      <c r="F4072" s="708"/>
      <c r="G4072" s="705">
        <v>1.1239336321238442E-29</v>
      </c>
    </row>
    <row r="4073" spans="2:7" ht="11.25" hidden="1" customHeight="1" outlineLevel="2" x14ac:dyDescent="0.25">
      <c r="B4073" s="704" t="s">
        <v>673</v>
      </c>
      <c r="C4073" s="704" t="s">
        <v>880</v>
      </c>
      <c r="D4073" s="704" t="s">
        <v>675</v>
      </c>
      <c r="E4073" s="704" t="s">
        <v>861</v>
      </c>
      <c r="F4073" s="708"/>
      <c r="G4073" s="705">
        <v>1246.9063462137522</v>
      </c>
    </row>
    <row r="4074" spans="2:7" ht="11.25" hidden="1" customHeight="1" outlineLevel="2" x14ac:dyDescent="0.25">
      <c r="B4074" s="704" t="s">
        <v>677</v>
      </c>
      <c r="C4074" s="704" t="s">
        <v>880</v>
      </c>
      <c r="D4074" s="704" t="s">
        <v>675</v>
      </c>
      <c r="E4074" s="704" t="s">
        <v>861</v>
      </c>
      <c r="F4074" s="705">
        <v>0.60878282559782748</v>
      </c>
      <c r="G4074" s="705">
        <v>20692.208321247803</v>
      </c>
    </row>
    <row r="4075" spans="2:7" ht="11.25" hidden="1" customHeight="1" outlineLevel="2" x14ac:dyDescent="0.25">
      <c r="B4075" s="704" t="s">
        <v>678</v>
      </c>
      <c r="C4075" s="704" t="s">
        <v>880</v>
      </c>
      <c r="D4075" s="704" t="s">
        <v>675</v>
      </c>
      <c r="E4075" s="704" t="s">
        <v>861</v>
      </c>
      <c r="F4075" s="708"/>
      <c r="G4075" s="705">
        <v>47929.667453317255</v>
      </c>
    </row>
    <row r="4076" spans="2:7" ht="11.25" hidden="1" customHeight="1" outlineLevel="2" x14ac:dyDescent="0.25">
      <c r="B4076" s="704" t="s">
        <v>679</v>
      </c>
      <c r="C4076" s="704" t="s">
        <v>880</v>
      </c>
      <c r="D4076" s="704" t="s">
        <v>675</v>
      </c>
      <c r="E4076" s="704" t="s">
        <v>861</v>
      </c>
      <c r="F4076" s="709"/>
      <c r="G4076" s="705">
        <v>3889.5956548413069</v>
      </c>
    </row>
    <row r="4077" spans="2:7" ht="11.25" hidden="1" customHeight="1" outlineLevel="2" x14ac:dyDescent="0.25">
      <c r="B4077" s="704" t="s">
        <v>680</v>
      </c>
      <c r="C4077" s="704" t="s">
        <v>880</v>
      </c>
      <c r="D4077" s="704" t="s">
        <v>675</v>
      </c>
      <c r="E4077" s="704" t="s">
        <v>861</v>
      </c>
      <c r="F4077" s="709"/>
      <c r="G4077" s="705">
        <v>720.92520786402838</v>
      </c>
    </row>
    <row r="4078" spans="2:7" ht="11.25" hidden="1" customHeight="1" outlineLevel="2" x14ac:dyDescent="0.25">
      <c r="B4078" s="704" t="s">
        <v>681</v>
      </c>
      <c r="C4078" s="704" t="s">
        <v>880</v>
      </c>
      <c r="D4078" s="704" t="s">
        <v>675</v>
      </c>
      <c r="E4078" s="704" t="s">
        <v>861</v>
      </c>
      <c r="F4078" s="709"/>
      <c r="G4078" s="705">
        <v>6080.7766503136518</v>
      </c>
    </row>
    <row r="4079" spans="2:7" ht="11.25" hidden="1" customHeight="1" outlineLevel="2" x14ac:dyDescent="0.25">
      <c r="B4079" s="704" t="s">
        <v>682</v>
      </c>
      <c r="C4079" s="704" t="s">
        <v>880</v>
      </c>
      <c r="D4079" s="704" t="s">
        <v>675</v>
      </c>
      <c r="E4079" s="704" t="s">
        <v>861</v>
      </c>
      <c r="F4079" s="709"/>
      <c r="G4079" s="705">
        <v>5337.9907409413763</v>
      </c>
    </row>
    <row r="4080" spans="2:7" ht="11.25" hidden="1" customHeight="1" outlineLevel="2" x14ac:dyDescent="0.25">
      <c r="B4080" s="704" t="s">
        <v>683</v>
      </c>
      <c r="C4080" s="704" t="s">
        <v>880</v>
      </c>
      <c r="D4080" s="704" t="s">
        <v>675</v>
      </c>
      <c r="E4080" s="704" t="s">
        <v>861</v>
      </c>
      <c r="F4080" s="709"/>
      <c r="G4080" s="705">
        <v>8865.1392177401758</v>
      </c>
    </row>
    <row r="4081" spans="2:7" ht="11.25" hidden="1" customHeight="1" outlineLevel="2" x14ac:dyDescent="0.25">
      <c r="B4081" s="704" t="s">
        <v>684</v>
      </c>
      <c r="C4081" s="704" t="s">
        <v>880</v>
      </c>
      <c r="D4081" s="704" t="s">
        <v>675</v>
      </c>
      <c r="E4081" s="704" t="s">
        <v>861</v>
      </c>
      <c r="F4081" s="709"/>
      <c r="G4081" s="705">
        <v>1171.3773798133486</v>
      </c>
    </row>
    <row r="4082" spans="2:7" ht="11.25" hidden="1" customHeight="1" outlineLevel="2" x14ac:dyDescent="0.25">
      <c r="B4082" s="704" t="s">
        <v>685</v>
      </c>
      <c r="C4082" s="704" t="s">
        <v>880</v>
      </c>
      <c r="D4082" s="704" t="s">
        <v>675</v>
      </c>
      <c r="E4082" s="704" t="s">
        <v>861</v>
      </c>
      <c r="F4082" s="708"/>
      <c r="G4082" s="705">
        <v>10638.989753470927</v>
      </c>
    </row>
    <row r="4083" spans="2:7" ht="11.25" hidden="1" customHeight="1" outlineLevel="2" x14ac:dyDescent="0.25">
      <c r="B4083" s="704" t="s">
        <v>686</v>
      </c>
      <c r="C4083" s="704" t="s">
        <v>880</v>
      </c>
      <c r="D4083" s="704" t="s">
        <v>675</v>
      </c>
      <c r="E4083" s="704" t="s">
        <v>861</v>
      </c>
      <c r="F4083" s="708"/>
      <c r="G4083" s="705">
        <v>2501.318714545032</v>
      </c>
    </row>
    <row r="4084" spans="2:7" ht="11.25" hidden="1" customHeight="1" outlineLevel="2" x14ac:dyDescent="0.25">
      <c r="B4084" s="704" t="s">
        <v>687</v>
      </c>
      <c r="C4084" s="704" t="s">
        <v>880</v>
      </c>
      <c r="D4084" s="704" t="s">
        <v>675</v>
      </c>
      <c r="E4084" s="704" t="s">
        <v>861</v>
      </c>
      <c r="F4084" s="708"/>
      <c r="G4084" s="705">
        <v>12812.673110270667</v>
      </c>
    </row>
    <row r="4085" spans="2:7" ht="11.25" hidden="1" customHeight="1" outlineLevel="2" x14ac:dyDescent="0.25">
      <c r="B4085" s="704" t="s">
        <v>688</v>
      </c>
      <c r="C4085" s="704" t="s">
        <v>880</v>
      </c>
      <c r="D4085" s="704" t="s">
        <v>675</v>
      </c>
      <c r="E4085" s="704" t="s">
        <v>861</v>
      </c>
      <c r="F4085" s="708"/>
      <c r="G4085" s="705">
        <v>9196.7421570652241</v>
      </c>
    </row>
    <row r="4086" spans="2:7" ht="11.25" hidden="1" customHeight="1" outlineLevel="2" x14ac:dyDescent="0.25">
      <c r="B4086" s="704" t="s">
        <v>689</v>
      </c>
      <c r="C4086" s="704" t="s">
        <v>880</v>
      </c>
      <c r="D4086" s="704" t="s">
        <v>675</v>
      </c>
      <c r="E4086" s="704" t="s">
        <v>861</v>
      </c>
      <c r="F4086" s="708"/>
      <c r="G4086" s="705">
        <v>1359.7260349901549</v>
      </c>
    </row>
    <row r="4087" spans="2:7" ht="11.25" hidden="1" customHeight="1" outlineLevel="2" x14ac:dyDescent="0.25">
      <c r="B4087" s="704" t="s">
        <v>690</v>
      </c>
      <c r="C4087" s="704" t="s">
        <v>880</v>
      </c>
      <c r="D4087" s="704" t="s">
        <v>675</v>
      </c>
      <c r="E4087" s="704" t="s">
        <v>861</v>
      </c>
      <c r="F4087" s="708"/>
      <c r="G4087" s="705">
        <v>29936.636313730993</v>
      </c>
    </row>
    <row r="4088" spans="2:7" ht="11.25" hidden="1" customHeight="1" outlineLevel="2" x14ac:dyDescent="0.25">
      <c r="B4088" s="704" t="s">
        <v>691</v>
      </c>
      <c r="C4088" s="704" t="s">
        <v>880</v>
      </c>
      <c r="D4088" s="704" t="s">
        <v>675</v>
      </c>
      <c r="E4088" s="704" t="s">
        <v>861</v>
      </c>
      <c r="F4088" s="708"/>
      <c r="G4088" s="705">
        <v>34188.582656890903</v>
      </c>
    </row>
    <row r="4089" spans="2:7" ht="11.25" hidden="1" customHeight="1" outlineLevel="2" x14ac:dyDescent="0.25">
      <c r="B4089" s="704" t="s">
        <v>692</v>
      </c>
      <c r="C4089" s="704" t="s">
        <v>880</v>
      </c>
      <c r="D4089" s="704" t="s">
        <v>675</v>
      </c>
      <c r="E4089" s="704" t="s">
        <v>861</v>
      </c>
      <c r="F4089" s="708"/>
      <c r="G4089" s="705">
        <v>1999.2629935600512</v>
      </c>
    </row>
    <row r="4090" spans="2:7" ht="11.25" hidden="1" customHeight="1" outlineLevel="2" x14ac:dyDescent="0.25">
      <c r="B4090" s="704" t="s">
        <v>693</v>
      </c>
      <c r="C4090" s="704" t="s">
        <v>880</v>
      </c>
      <c r="D4090" s="704" t="s">
        <v>675</v>
      </c>
      <c r="E4090" s="704" t="s">
        <v>861</v>
      </c>
      <c r="F4090" s="708"/>
      <c r="G4090" s="705">
        <v>4990.5578350191327</v>
      </c>
    </row>
    <row r="4091" spans="2:7" ht="11.25" hidden="1" customHeight="1" outlineLevel="2" x14ac:dyDescent="0.25">
      <c r="B4091" s="704" t="s">
        <v>694</v>
      </c>
      <c r="C4091" s="704" t="s">
        <v>880</v>
      </c>
      <c r="D4091" s="704" t="s">
        <v>675</v>
      </c>
      <c r="E4091" s="704" t="s">
        <v>861</v>
      </c>
      <c r="F4091" s="708"/>
      <c r="G4091" s="705">
        <v>559.49996165371658</v>
      </c>
    </row>
    <row r="4092" spans="2:7" ht="11.25" hidden="1" customHeight="1" outlineLevel="2" x14ac:dyDescent="0.25">
      <c r="B4092" s="704" t="s">
        <v>695</v>
      </c>
      <c r="C4092" s="704" t="s">
        <v>880</v>
      </c>
      <c r="D4092" s="704" t="s">
        <v>675</v>
      </c>
      <c r="E4092" s="704" t="s">
        <v>861</v>
      </c>
      <c r="F4092" s="708"/>
      <c r="G4092" s="705">
        <v>2653.8771888825809</v>
      </c>
    </row>
    <row r="4093" spans="2:7" ht="11.25" hidden="1" customHeight="1" outlineLevel="2" x14ac:dyDescent="0.25">
      <c r="B4093" s="704" t="s">
        <v>696</v>
      </c>
      <c r="C4093" s="704" t="s">
        <v>880</v>
      </c>
      <c r="D4093" s="704" t="s">
        <v>675</v>
      </c>
      <c r="E4093" s="704" t="s">
        <v>861</v>
      </c>
      <c r="F4093" s="708"/>
      <c r="G4093" s="705">
        <v>6630.8235777330965</v>
      </c>
    </row>
    <row r="4094" spans="2:7" ht="11.25" hidden="1" customHeight="1" outlineLevel="2" x14ac:dyDescent="0.25">
      <c r="B4094" s="704" t="s">
        <v>697</v>
      </c>
      <c r="C4094" s="704" t="s">
        <v>880</v>
      </c>
      <c r="D4094" s="704" t="s">
        <v>675</v>
      </c>
      <c r="E4094" s="704" t="s">
        <v>861</v>
      </c>
      <c r="F4094" s="708"/>
      <c r="G4094" s="705">
        <v>3627.9182396621973</v>
      </c>
    </row>
    <row r="4095" spans="2:7" ht="11.25" hidden="1" customHeight="1" outlineLevel="2" x14ac:dyDescent="0.25">
      <c r="B4095" s="704" t="s">
        <v>698</v>
      </c>
      <c r="C4095" s="704" t="s">
        <v>880</v>
      </c>
      <c r="D4095" s="704" t="s">
        <v>675</v>
      </c>
      <c r="E4095" s="704" t="s">
        <v>861</v>
      </c>
      <c r="F4095" s="708"/>
      <c r="G4095" s="705">
        <v>3983.7721252373258</v>
      </c>
    </row>
    <row r="4096" spans="2:7" ht="11.25" hidden="1" customHeight="1" outlineLevel="2" x14ac:dyDescent="0.25">
      <c r="B4096" s="704" t="s">
        <v>699</v>
      </c>
      <c r="C4096" s="704" t="s">
        <v>880</v>
      </c>
      <c r="D4096" s="704" t="s">
        <v>675</v>
      </c>
      <c r="E4096" s="704" t="s">
        <v>861</v>
      </c>
      <c r="F4096" s="708"/>
      <c r="G4096" s="705">
        <v>6.6724197561422064E-28</v>
      </c>
    </row>
    <row r="4097" spans="2:7" ht="11.25" hidden="1" customHeight="1" outlineLevel="2" x14ac:dyDescent="0.25">
      <c r="B4097" s="704" t="s">
        <v>673</v>
      </c>
      <c r="C4097" s="704" t="s">
        <v>881</v>
      </c>
      <c r="D4097" s="704" t="s">
        <v>675</v>
      </c>
      <c r="E4097" s="704" t="s">
        <v>861</v>
      </c>
      <c r="F4097" s="708"/>
      <c r="G4097" s="705">
        <v>756.17298695551699</v>
      </c>
    </row>
    <row r="4098" spans="2:7" ht="11.25" hidden="1" customHeight="1" outlineLevel="2" x14ac:dyDescent="0.25">
      <c r="B4098" s="704" t="s">
        <v>677</v>
      </c>
      <c r="C4098" s="704" t="s">
        <v>881</v>
      </c>
      <c r="D4098" s="704" t="s">
        <v>675</v>
      </c>
      <c r="E4098" s="704" t="s">
        <v>861</v>
      </c>
      <c r="F4098" s="705">
        <v>0.62185607320161418</v>
      </c>
      <c r="G4098" s="705">
        <v>12548.569498351602</v>
      </c>
    </row>
    <row r="4099" spans="2:7" ht="11.25" hidden="1" customHeight="1" outlineLevel="2" x14ac:dyDescent="0.25">
      <c r="B4099" s="704" t="s">
        <v>678</v>
      </c>
      <c r="C4099" s="704" t="s">
        <v>881</v>
      </c>
      <c r="D4099" s="704" t="s">
        <v>675</v>
      </c>
      <c r="E4099" s="704" t="s">
        <v>861</v>
      </c>
      <c r="F4099" s="708"/>
      <c r="G4099" s="705">
        <v>29066.441121095057</v>
      </c>
    </row>
    <row r="4100" spans="2:7" ht="11.25" hidden="1" customHeight="1" outlineLevel="2" x14ac:dyDescent="0.25">
      <c r="B4100" s="704" t="s">
        <v>679</v>
      </c>
      <c r="C4100" s="704" t="s">
        <v>881</v>
      </c>
      <c r="D4100" s="704" t="s">
        <v>675</v>
      </c>
      <c r="E4100" s="704" t="s">
        <v>861</v>
      </c>
      <c r="F4100" s="708"/>
      <c r="G4100" s="705">
        <v>2358.8035884569704</v>
      </c>
    </row>
    <row r="4101" spans="2:7" ht="11.25" hidden="1" customHeight="1" outlineLevel="2" x14ac:dyDescent="0.25">
      <c r="B4101" s="704" t="s">
        <v>680</v>
      </c>
      <c r="C4101" s="704" t="s">
        <v>881</v>
      </c>
      <c r="D4101" s="704" t="s">
        <v>675</v>
      </c>
      <c r="E4101" s="704" t="s">
        <v>861</v>
      </c>
      <c r="F4101" s="708"/>
      <c r="G4101" s="705">
        <v>437.19747004309511</v>
      </c>
    </row>
    <row r="4102" spans="2:7" ht="11.25" hidden="1" customHeight="1" outlineLevel="2" x14ac:dyDescent="0.25">
      <c r="B4102" s="704" t="s">
        <v>681</v>
      </c>
      <c r="C4102" s="704" t="s">
        <v>881</v>
      </c>
      <c r="D4102" s="704" t="s">
        <v>675</v>
      </c>
      <c r="E4102" s="704" t="s">
        <v>861</v>
      </c>
      <c r="F4102" s="708"/>
      <c r="G4102" s="705">
        <v>3687.6221240624741</v>
      </c>
    </row>
    <row r="4103" spans="2:7" ht="11.25" hidden="1" customHeight="1" outlineLevel="2" x14ac:dyDescent="0.25">
      <c r="B4103" s="704" t="s">
        <v>682</v>
      </c>
      <c r="C4103" s="704" t="s">
        <v>881</v>
      </c>
      <c r="D4103" s="704" t="s">
        <v>675</v>
      </c>
      <c r="E4103" s="704" t="s">
        <v>861</v>
      </c>
      <c r="F4103" s="708"/>
      <c r="G4103" s="705">
        <v>3237.1670112440925</v>
      </c>
    </row>
    <row r="4104" spans="2:7" ht="11.25" hidden="1" customHeight="1" outlineLevel="2" x14ac:dyDescent="0.25">
      <c r="B4104" s="704" t="s">
        <v>683</v>
      </c>
      <c r="C4104" s="704" t="s">
        <v>881</v>
      </c>
      <c r="D4104" s="704" t="s">
        <v>675</v>
      </c>
      <c r="E4104" s="704" t="s">
        <v>861</v>
      </c>
      <c r="F4104" s="708"/>
      <c r="G4104" s="705">
        <v>5376.1700710256728</v>
      </c>
    </row>
    <row r="4105" spans="2:7" ht="11.25" hidden="1" customHeight="1" outlineLevel="2" x14ac:dyDescent="0.25">
      <c r="B4105" s="704" t="s">
        <v>684</v>
      </c>
      <c r="C4105" s="704" t="s">
        <v>881</v>
      </c>
      <c r="D4105" s="704" t="s">
        <v>675</v>
      </c>
      <c r="E4105" s="704" t="s">
        <v>861</v>
      </c>
      <c r="F4105" s="708"/>
      <c r="G4105" s="705">
        <v>710.36934371129007</v>
      </c>
    </row>
    <row r="4106" spans="2:7" ht="11.25" hidden="1" customHeight="1" outlineLevel="2" x14ac:dyDescent="0.25">
      <c r="B4106" s="704" t="s">
        <v>685</v>
      </c>
      <c r="C4106" s="704" t="s">
        <v>881</v>
      </c>
      <c r="D4106" s="704" t="s">
        <v>675</v>
      </c>
      <c r="E4106" s="704" t="s">
        <v>861</v>
      </c>
      <c r="F4106" s="708"/>
      <c r="G4106" s="705">
        <v>6451.902498893226</v>
      </c>
    </row>
    <row r="4107" spans="2:7" ht="11.25" hidden="1" customHeight="1" outlineLevel="2" x14ac:dyDescent="0.25">
      <c r="B4107" s="704" t="s">
        <v>686</v>
      </c>
      <c r="C4107" s="704" t="s">
        <v>881</v>
      </c>
      <c r="D4107" s="704" t="s">
        <v>675</v>
      </c>
      <c r="E4107" s="704" t="s">
        <v>861</v>
      </c>
      <c r="F4107" s="708"/>
      <c r="G4107" s="705">
        <v>1516.8980036245698</v>
      </c>
    </row>
    <row r="4108" spans="2:7" ht="11.25" hidden="1" customHeight="1" outlineLevel="2" x14ac:dyDescent="0.25">
      <c r="B4108" s="704" t="s">
        <v>687</v>
      </c>
      <c r="C4108" s="704" t="s">
        <v>881</v>
      </c>
      <c r="D4108" s="704" t="s">
        <v>675</v>
      </c>
      <c r="E4108" s="704" t="s">
        <v>861</v>
      </c>
      <c r="F4108" s="708"/>
      <c r="G4108" s="705">
        <v>7770.1093539595249</v>
      </c>
    </row>
    <row r="4109" spans="2:7" ht="11.25" hidden="1" customHeight="1" outlineLevel="2" x14ac:dyDescent="0.25">
      <c r="B4109" s="704" t="s">
        <v>688</v>
      </c>
      <c r="C4109" s="704" t="s">
        <v>881</v>
      </c>
      <c r="D4109" s="704" t="s">
        <v>675</v>
      </c>
      <c r="E4109" s="704" t="s">
        <v>861</v>
      </c>
      <c r="F4109" s="708"/>
      <c r="G4109" s="705">
        <v>5577.2653446815802</v>
      </c>
    </row>
    <row r="4110" spans="2:7" ht="11.25" hidden="1" customHeight="1" outlineLevel="2" x14ac:dyDescent="0.25">
      <c r="B4110" s="704" t="s">
        <v>689</v>
      </c>
      <c r="C4110" s="704" t="s">
        <v>881</v>
      </c>
      <c r="D4110" s="704" t="s">
        <v>675</v>
      </c>
      <c r="E4110" s="704" t="s">
        <v>861</v>
      </c>
      <c r="F4110" s="708"/>
      <c r="G4110" s="705">
        <v>824.59137874467126</v>
      </c>
    </row>
    <row r="4111" spans="2:7" ht="11.25" hidden="1" customHeight="1" outlineLevel="2" x14ac:dyDescent="0.25">
      <c r="B4111" s="704" t="s">
        <v>690</v>
      </c>
      <c r="C4111" s="704" t="s">
        <v>881</v>
      </c>
      <c r="D4111" s="704" t="s">
        <v>675</v>
      </c>
      <c r="E4111" s="704" t="s">
        <v>861</v>
      </c>
      <c r="F4111" s="708"/>
      <c r="G4111" s="705">
        <v>18154.753645643883</v>
      </c>
    </row>
    <row r="4112" spans="2:7" ht="11.25" hidden="1" customHeight="1" outlineLevel="2" x14ac:dyDescent="0.25">
      <c r="B4112" s="704" t="s">
        <v>691</v>
      </c>
      <c r="C4112" s="704" t="s">
        <v>881</v>
      </c>
      <c r="D4112" s="704" t="s">
        <v>675</v>
      </c>
      <c r="E4112" s="704" t="s">
        <v>861</v>
      </c>
      <c r="F4112" s="708"/>
      <c r="G4112" s="705">
        <v>20733.301638259847</v>
      </c>
    </row>
    <row r="4113" spans="2:7" ht="11.25" hidden="1" customHeight="1" outlineLevel="2" x14ac:dyDescent="0.25">
      <c r="B4113" s="704" t="s">
        <v>692</v>
      </c>
      <c r="C4113" s="704" t="s">
        <v>881</v>
      </c>
      <c r="D4113" s="704" t="s">
        <v>675</v>
      </c>
      <c r="E4113" s="704" t="s">
        <v>861</v>
      </c>
      <c r="F4113" s="708"/>
      <c r="G4113" s="705">
        <v>1212.4316585436497</v>
      </c>
    </row>
    <row r="4114" spans="2:7" ht="11.25" hidden="1" customHeight="1" outlineLevel="2" x14ac:dyDescent="0.25">
      <c r="B4114" s="704" t="s">
        <v>693</v>
      </c>
      <c r="C4114" s="704" t="s">
        <v>881</v>
      </c>
      <c r="D4114" s="704" t="s">
        <v>675</v>
      </c>
      <c r="E4114" s="704" t="s">
        <v>861</v>
      </c>
      <c r="F4114" s="708"/>
      <c r="G4114" s="705">
        <v>3026.4703066605603</v>
      </c>
    </row>
    <row r="4115" spans="2:7" ht="11.25" hidden="1" customHeight="1" outlineLevel="2" x14ac:dyDescent="0.25">
      <c r="B4115" s="704" t="s">
        <v>694</v>
      </c>
      <c r="C4115" s="704" t="s">
        <v>881</v>
      </c>
      <c r="D4115" s="704" t="s">
        <v>675</v>
      </c>
      <c r="E4115" s="704" t="s">
        <v>861</v>
      </c>
      <c r="F4115" s="708"/>
      <c r="G4115" s="705">
        <v>339.30283551825914</v>
      </c>
    </row>
    <row r="4116" spans="2:7" ht="11.25" hidden="1" customHeight="1" outlineLevel="2" x14ac:dyDescent="0.25">
      <c r="B4116" s="704" t="s">
        <v>695</v>
      </c>
      <c r="C4116" s="704" t="s">
        <v>881</v>
      </c>
      <c r="D4116" s="704" t="s">
        <v>675</v>
      </c>
      <c r="E4116" s="704" t="s">
        <v>861</v>
      </c>
      <c r="F4116" s="708"/>
      <c r="G4116" s="705">
        <v>1609.4158714098644</v>
      </c>
    </row>
    <row r="4117" spans="2:7" ht="11.25" hidden="1" customHeight="1" outlineLevel="2" x14ac:dyDescent="0.25">
      <c r="B4117" s="704" t="s">
        <v>696</v>
      </c>
      <c r="C4117" s="704" t="s">
        <v>881</v>
      </c>
      <c r="D4117" s="704" t="s">
        <v>675</v>
      </c>
      <c r="E4117" s="704" t="s">
        <v>861</v>
      </c>
      <c r="F4117" s="708"/>
      <c r="G4117" s="705">
        <v>4021.1925905246462</v>
      </c>
    </row>
    <row r="4118" spans="2:7" ht="11.25" hidden="1" customHeight="1" outlineLevel="2" x14ac:dyDescent="0.25">
      <c r="B4118" s="704" t="s">
        <v>697</v>
      </c>
      <c r="C4118" s="704" t="s">
        <v>881</v>
      </c>
      <c r="D4118" s="704" t="s">
        <v>675</v>
      </c>
      <c r="E4118" s="704" t="s">
        <v>861</v>
      </c>
      <c r="F4118" s="708"/>
      <c r="G4118" s="705">
        <v>2200.1122025786426</v>
      </c>
    </row>
    <row r="4119" spans="2:7" ht="11.25" hidden="1" customHeight="1" outlineLevel="2" x14ac:dyDescent="0.25">
      <c r="B4119" s="704" t="s">
        <v>698</v>
      </c>
      <c r="C4119" s="704" t="s">
        <v>881</v>
      </c>
      <c r="D4119" s="704" t="s">
        <v>675</v>
      </c>
      <c r="E4119" s="704" t="s">
        <v>861</v>
      </c>
      <c r="F4119" s="708"/>
      <c r="G4119" s="705">
        <v>2415.9158723357186</v>
      </c>
    </row>
    <row r="4120" spans="2:7" ht="11.25" hidden="1" customHeight="1" outlineLevel="2" x14ac:dyDescent="0.25">
      <c r="B4120" s="704" t="s">
        <v>699</v>
      </c>
      <c r="C4120" s="704" t="s">
        <v>881</v>
      </c>
      <c r="D4120" s="704" t="s">
        <v>675</v>
      </c>
      <c r="E4120" s="704" t="s">
        <v>861</v>
      </c>
      <c r="F4120" s="708"/>
      <c r="G4120" s="705">
        <v>1.683010752913425E-27</v>
      </c>
    </row>
    <row r="4121" spans="2:7" ht="11.25" hidden="1" customHeight="1" outlineLevel="2" x14ac:dyDescent="0.25">
      <c r="B4121" s="704" t="s">
        <v>673</v>
      </c>
      <c r="C4121" s="704" t="s">
        <v>882</v>
      </c>
      <c r="D4121" s="704" t="s">
        <v>675</v>
      </c>
      <c r="E4121" s="704" t="s">
        <v>861</v>
      </c>
      <c r="F4121" s="708"/>
      <c r="G4121" s="705">
        <v>1141.1631230349922</v>
      </c>
    </row>
    <row r="4122" spans="2:7" ht="11.25" hidden="1" customHeight="1" outlineLevel="2" x14ac:dyDescent="0.25">
      <c r="B4122" s="704" t="s">
        <v>677</v>
      </c>
      <c r="C4122" s="704" t="s">
        <v>882</v>
      </c>
      <c r="D4122" s="704" t="s">
        <v>675</v>
      </c>
      <c r="E4122" s="704" t="s">
        <v>861</v>
      </c>
      <c r="F4122" s="706">
        <v>0.56384913726194985</v>
      </c>
      <c r="G4122" s="705">
        <v>18937.419316028816</v>
      </c>
    </row>
    <row r="4123" spans="2:7" ht="11.25" hidden="1" customHeight="1" outlineLevel="2" x14ac:dyDescent="0.25">
      <c r="B4123" s="704" t="s">
        <v>678</v>
      </c>
      <c r="C4123" s="704" t="s">
        <v>882</v>
      </c>
      <c r="D4123" s="704" t="s">
        <v>675</v>
      </c>
      <c r="E4123" s="704" t="s">
        <v>861</v>
      </c>
      <c r="F4123" s="709"/>
      <c r="G4123" s="705">
        <v>43865.019118059507</v>
      </c>
    </row>
    <row r="4124" spans="2:7" ht="11.25" hidden="1" customHeight="1" outlineLevel="2" x14ac:dyDescent="0.25">
      <c r="B4124" s="704" t="s">
        <v>679</v>
      </c>
      <c r="C4124" s="704" t="s">
        <v>882</v>
      </c>
      <c r="D4124" s="704" t="s">
        <v>675</v>
      </c>
      <c r="E4124" s="704" t="s">
        <v>861</v>
      </c>
      <c r="F4124" s="709"/>
      <c r="G4124" s="705">
        <v>3559.73995578004</v>
      </c>
    </row>
    <row r="4125" spans="2:7" ht="11.25" hidden="1" customHeight="1" outlineLevel="2" x14ac:dyDescent="0.25">
      <c r="B4125" s="704" t="s">
        <v>680</v>
      </c>
      <c r="C4125" s="704" t="s">
        <v>882</v>
      </c>
      <c r="D4125" s="704" t="s">
        <v>675</v>
      </c>
      <c r="E4125" s="704" t="s">
        <v>861</v>
      </c>
      <c r="F4125" s="709"/>
      <c r="G4125" s="705">
        <v>659.7876261139437</v>
      </c>
    </row>
    <row r="4126" spans="2:7" ht="11.25" hidden="1" customHeight="1" outlineLevel="2" x14ac:dyDescent="0.25">
      <c r="B4126" s="704" t="s">
        <v>681</v>
      </c>
      <c r="C4126" s="704" t="s">
        <v>882</v>
      </c>
      <c r="D4126" s="704" t="s">
        <v>675</v>
      </c>
      <c r="E4126" s="704" t="s">
        <v>861</v>
      </c>
      <c r="F4126" s="709"/>
      <c r="G4126" s="705">
        <v>5565.1002688268591</v>
      </c>
    </row>
    <row r="4127" spans="2:7" ht="11.25" hidden="1" customHeight="1" outlineLevel="2" x14ac:dyDescent="0.25">
      <c r="B4127" s="704" t="s">
        <v>682</v>
      </c>
      <c r="C4127" s="704" t="s">
        <v>882</v>
      </c>
      <c r="D4127" s="704" t="s">
        <v>675</v>
      </c>
      <c r="E4127" s="704" t="s">
        <v>861</v>
      </c>
      <c r="F4127" s="709"/>
      <c r="G4127" s="705">
        <v>4885.3036095895077</v>
      </c>
    </row>
    <row r="4128" spans="2:7" ht="11.25" hidden="1" customHeight="1" outlineLevel="2" x14ac:dyDescent="0.25">
      <c r="B4128" s="704" t="s">
        <v>683</v>
      </c>
      <c r="C4128" s="704" t="s">
        <v>882</v>
      </c>
      <c r="D4128" s="704" t="s">
        <v>675</v>
      </c>
      <c r="E4128" s="704" t="s">
        <v>861</v>
      </c>
      <c r="F4128" s="709"/>
      <c r="G4128" s="705">
        <v>8113.3369644978775</v>
      </c>
    </row>
    <row r="4129" spans="2:7" ht="11.25" hidden="1" customHeight="1" outlineLevel="2" x14ac:dyDescent="0.25">
      <c r="B4129" s="704" t="s">
        <v>684</v>
      </c>
      <c r="C4129" s="704" t="s">
        <v>882</v>
      </c>
      <c r="D4129" s="704" t="s">
        <v>675</v>
      </c>
      <c r="E4129" s="704" t="s">
        <v>861</v>
      </c>
      <c r="F4129" s="709"/>
      <c r="G4129" s="705">
        <v>1072.0395672172824</v>
      </c>
    </row>
    <row r="4130" spans="2:7" ht="11.25" hidden="1" customHeight="1" outlineLevel="2" x14ac:dyDescent="0.25">
      <c r="B4130" s="704" t="s">
        <v>685</v>
      </c>
      <c r="C4130" s="704" t="s">
        <v>882</v>
      </c>
      <c r="D4130" s="704" t="s">
        <v>675</v>
      </c>
      <c r="E4130" s="704" t="s">
        <v>861</v>
      </c>
      <c r="F4130" s="709"/>
      <c r="G4130" s="705">
        <v>9736.756087752241</v>
      </c>
    </row>
    <row r="4131" spans="2:7" ht="11.25" hidden="1" customHeight="1" outlineLevel="2" x14ac:dyDescent="0.25">
      <c r="B4131" s="704" t="s">
        <v>686</v>
      </c>
      <c r="C4131" s="704" t="s">
        <v>882</v>
      </c>
      <c r="D4131" s="704" t="s">
        <v>675</v>
      </c>
      <c r="E4131" s="704" t="s">
        <v>861</v>
      </c>
      <c r="F4131" s="709"/>
      <c r="G4131" s="705">
        <v>2289.1958027329906</v>
      </c>
    </row>
    <row r="4132" spans="2:7" ht="11.25" hidden="1" customHeight="1" outlineLevel="2" x14ac:dyDescent="0.25">
      <c r="B4132" s="704" t="s">
        <v>687</v>
      </c>
      <c r="C4132" s="704" t="s">
        <v>882</v>
      </c>
      <c r="D4132" s="704" t="s">
        <v>675</v>
      </c>
      <c r="E4132" s="704" t="s">
        <v>861</v>
      </c>
      <c r="F4132" s="709"/>
      <c r="G4132" s="705">
        <v>11726.100566564326</v>
      </c>
    </row>
    <row r="4133" spans="2:7" ht="11.25" hidden="1" customHeight="1" outlineLevel="2" x14ac:dyDescent="0.25">
      <c r="B4133" s="704" t="s">
        <v>688</v>
      </c>
      <c r="C4133" s="704" t="s">
        <v>882</v>
      </c>
      <c r="D4133" s="704" t="s">
        <v>675</v>
      </c>
      <c r="E4133" s="704" t="s">
        <v>861</v>
      </c>
      <c r="F4133" s="709"/>
      <c r="G4133" s="705">
        <v>8416.8153383906483</v>
      </c>
    </row>
    <row r="4134" spans="2:7" ht="11.25" hidden="1" customHeight="1" outlineLevel="2" x14ac:dyDescent="0.25">
      <c r="B4134" s="704" t="s">
        <v>689</v>
      </c>
      <c r="C4134" s="704" t="s">
        <v>882</v>
      </c>
      <c r="D4134" s="704" t="s">
        <v>675</v>
      </c>
      <c r="E4134" s="704" t="s">
        <v>861</v>
      </c>
      <c r="F4134" s="709"/>
      <c r="G4134" s="705">
        <v>1244.4150448279552</v>
      </c>
    </row>
    <row r="4135" spans="2:7" ht="11.25" hidden="1" customHeight="1" outlineLevel="2" x14ac:dyDescent="0.25">
      <c r="B4135" s="704" t="s">
        <v>690</v>
      </c>
      <c r="C4135" s="704" t="s">
        <v>882</v>
      </c>
      <c r="D4135" s="704" t="s">
        <v>675</v>
      </c>
      <c r="E4135" s="704" t="s">
        <v>861</v>
      </c>
      <c r="F4135" s="709"/>
      <c r="G4135" s="705">
        <v>27397.876025142705</v>
      </c>
    </row>
    <row r="4136" spans="2:7" ht="11.25" hidden="1" customHeight="1" outlineLevel="2" x14ac:dyDescent="0.25">
      <c r="B4136" s="704" t="s">
        <v>691</v>
      </c>
      <c r="C4136" s="704" t="s">
        <v>882</v>
      </c>
      <c r="D4136" s="704" t="s">
        <v>675</v>
      </c>
      <c r="E4136" s="704" t="s">
        <v>861</v>
      </c>
      <c r="F4136" s="709"/>
      <c r="G4136" s="705">
        <v>31289.235859260683</v>
      </c>
    </row>
    <row r="4137" spans="2:7" ht="11.25" hidden="1" customHeight="1" outlineLevel="2" x14ac:dyDescent="0.25">
      <c r="B4137" s="704" t="s">
        <v>692</v>
      </c>
      <c r="C4137" s="704" t="s">
        <v>882</v>
      </c>
      <c r="D4137" s="704" t="s">
        <v>675</v>
      </c>
      <c r="E4137" s="704" t="s">
        <v>861</v>
      </c>
      <c r="F4137" s="709"/>
      <c r="G4137" s="705">
        <v>1829.7161603422257</v>
      </c>
    </row>
    <row r="4138" spans="2:7" ht="11.25" hidden="1" customHeight="1" outlineLevel="2" x14ac:dyDescent="0.25">
      <c r="B4138" s="704" t="s">
        <v>693</v>
      </c>
      <c r="C4138" s="704" t="s">
        <v>882</v>
      </c>
      <c r="D4138" s="704" t="s">
        <v>675</v>
      </c>
      <c r="E4138" s="704" t="s">
        <v>861</v>
      </c>
      <c r="F4138" s="709"/>
      <c r="G4138" s="705">
        <v>4567.3360398912919</v>
      </c>
    </row>
    <row r="4139" spans="2:7" ht="11.25" hidden="1" customHeight="1" outlineLevel="2" x14ac:dyDescent="0.25">
      <c r="B4139" s="704" t="s">
        <v>694</v>
      </c>
      <c r="C4139" s="704" t="s">
        <v>882</v>
      </c>
      <c r="D4139" s="704" t="s">
        <v>675</v>
      </c>
      <c r="E4139" s="704" t="s">
        <v>861</v>
      </c>
      <c r="F4139" s="709"/>
      <c r="G4139" s="705">
        <v>512.0517750261065</v>
      </c>
    </row>
    <row r="4140" spans="2:7" ht="11.25" hidden="1" customHeight="1" outlineLevel="2" x14ac:dyDescent="0.25">
      <c r="B4140" s="704" t="s">
        <v>695</v>
      </c>
      <c r="C4140" s="704" t="s">
        <v>882</v>
      </c>
      <c r="D4140" s="704" t="s">
        <v>675</v>
      </c>
      <c r="E4140" s="704" t="s">
        <v>861</v>
      </c>
      <c r="F4140" s="709"/>
      <c r="G4140" s="705">
        <v>2428.8168561301868</v>
      </c>
    </row>
    <row r="4141" spans="2:7" ht="11.25" hidden="1" customHeight="1" outlineLevel="2" x14ac:dyDescent="0.25">
      <c r="B4141" s="704" t="s">
        <v>696</v>
      </c>
      <c r="C4141" s="704" t="s">
        <v>882</v>
      </c>
      <c r="D4141" s="704" t="s">
        <v>675</v>
      </c>
      <c r="E4141" s="704" t="s">
        <v>861</v>
      </c>
      <c r="F4141" s="709"/>
      <c r="G4141" s="705">
        <v>6068.5001322413564</v>
      </c>
    </row>
    <row r="4142" spans="2:7" ht="11.25" hidden="1" customHeight="1" outlineLevel="2" x14ac:dyDescent="0.25">
      <c r="B4142" s="704" t="s">
        <v>697</v>
      </c>
      <c r="C4142" s="704" t="s">
        <v>882</v>
      </c>
      <c r="D4142" s="704" t="s">
        <v>675</v>
      </c>
      <c r="E4142" s="704" t="s">
        <v>861</v>
      </c>
      <c r="F4142" s="709"/>
      <c r="G4142" s="705">
        <v>3320.2546013975834</v>
      </c>
    </row>
    <row r="4143" spans="2:7" ht="11.25" hidden="1" customHeight="1" outlineLevel="2" x14ac:dyDescent="0.25">
      <c r="B4143" s="704" t="s">
        <v>698</v>
      </c>
      <c r="C4143" s="704" t="s">
        <v>882</v>
      </c>
      <c r="D4143" s="704" t="s">
        <v>675</v>
      </c>
      <c r="E4143" s="704" t="s">
        <v>861</v>
      </c>
      <c r="F4143" s="709"/>
      <c r="G4143" s="705">
        <v>3645.9303856438551</v>
      </c>
    </row>
    <row r="4144" spans="2:7" ht="11.25" hidden="1" customHeight="1" outlineLevel="2" x14ac:dyDescent="0.25">
      <c r="B4144" s="704" t="s">
        <v>699</v>
      </c>
      <c r="C4144" s="704" t="s">
        <v>882</v>
      </c>
      <c r="D4144" s="704" t="s">
        <v>675</v>
      </c>
      <c r="E4144" s="704" t="s">
        <v>861</v>
      </c>
      <c r="F4144" s="709"/>
      <c r="G4144" s="705">
        <v>2.5047711264957134E-28</v>
      </c>
    </row>
    <row r="4145" spans="2:7" ht="11.25" hidden="1" customHeight="1" outlineLevel="2" x14ac:dyDescent="0.25">
      <c r="B4145" s="704" t="s">
        <v>673</v>
      </c>
      <c r="C4145" s="704" t="s">
        <v>883</v>
      </c>
      <c r="D4145" s="704" t="s">
        <v>675</v>
      </c>
      <c r="E4145" s="704" t="s">
        <v>861</v>
      </c>
      <c r="F4145" s="709"/>
      <c r="G4145" s="705">
        <v>518.50119686893345</v>
      </c>
    </row>
    <row r="4146" spans="2:7" ht="11.25" hidden="1" customHeight="1" outlineLevel="2" x14ac:dyDescent="0.25">
      <c r="B4146" s="704" t="s">
        <v>677</v>
      </c>
      <c r="C4146" s="704" t="s">
        <v>883</v>
      </c>
      <c r="D4146" s="704" t="s">
        <v>675</v>
      </c>
      <c r="E4146" s="704" t="s">
        <v>861</v>
      </c>
      <c r="F4146" s="706">
        <v>0.37986238309612236</v>
      </c>
      <c r="G4146" s="705">
        <v>8604.4422469753536</v>
      </c>
    </row>
    <row r="4147" spans="2:7" ht="11.25" hidden="1" customHeight="1" outlineLevel="2" x14ac:dyDescent="0.25">
      <c r="B4147" s="704" t="s">
        <v>678</v>
      </c>
      <c r="C4147" s="704" t="s">
        <v>883</v>
      </c>
      <c r="D4147" s="704" t="s">
        <v>675</v>
      </c>
      <c r="E4147" s="704" t="s">
        <v>861</v>
      </c>
      <c r="F4147" s="708"/>
      <c r="G4147" s="705">
        <v>19930.598339018226</v>
      </c>
    </row>
    <row r="4148" spans="2:7" ht="11.25" hidden="1" customHeight="1" outlineLevel="2" x14ac:dyDescent="0.25">
      <c r="B4148" s="704" t="s">
        <v>679</v>
      </c>
      <c r="C4148" s="704" t="s">
        <v>883</v>
      </c>
      <c r="D4148" s="704" t="s">
        <v>675</v>
      </c>
      <c r="E4148" s="704" t="s">
        <v>861</v>
      </c>
      <c r="F4148" s="708"/>
      <c r="G4148" s="705">
        <v>1617.4110291108636</v>
      </c>
    </row>
    <row r="4149" spans="2:7" ht="11.25" hidden="1" customHeight="1" outlineLevel="2" x14ac:dyDescent="0.25">
      <c r="B4149" s="704" t="s">
        <v>680</v>
      </c>
      <c r="C4149" s="704" t="s">
        <v>883</v>
      </c>
      <c r="D4149" s="704" t="s">
        <v>675</v>
      </c>
      <c r="E4149" s="704" t="s">
        <v>861</v>
      </c>
      <c r="F4149" s="708"/>
      <c r="G4149" s="705">
        <v>299.78245493140946</v>
      </c>
    </row>
    <row r="4150" spans="2:7" ht="11.25" hidden="1" customHeight="1" outlineLevel="2" x14ac:dyDescent="0.25">
      <c r="B4150" s="704" t="s">
        <v>681</v>
      </c>
      <c r="C4150" s="704" t="s">
        <v>883</v>
      </c>
      <c r="D4150" s="704" t="s">
        <v>675</v>
      </c>
      <c r="E4150" s="704" t="s">
        <v>861</v>
      </c>
      <c r="F4150" s="708"/>
      <c r="G4150" s="705">
        <v>2528.5698857945476</v>
      </c>
    </row>
    <row r="4151" spans="2:7" ht="11.25" hidden="1" customHeight="1" outlineLevel="2" x14ac:dyDescent="0.25">
      <c r="B4151" s="704" t="s">
        <v>682</v>
      </c>
      <c r="C4151" s="704" t="s">
        <v>883</v>
      </c>
      <c r="D4151" s="704" t="s">
        <v>675</v>
      </c>
      <c r="E4151" s="704" t="s">
        <v>861</v>
      </c>
      <c r="F4151" s="708"/>
      <c r="G4151" s="705">
        <v>2219.6970039655635</v>
      </c>
    </row>
    <row r="4152" spans="2:7" ht="11.25" hidden="1" customHeight="1" outlineLevel="2" x14ac:dyDescent="0.25">
      <c r="B4152" s="704" t="s">
        <v>683</v>
      </c>
      <c r="C4152" s="704" t="s">
        <v>883</v>
      </c>
      <c r="D4152" s="704" t="s">
        <v>675</v>
      </c>
      <c r="E4152" s="704" t="s">
        <v>861</v>
      </c>
      <c r="F4152" s="708"/>
      <c r="G4152" s="705">
        <v>3686.3919701787195</v>
      </c>
    </row>
    <row r="4153" spans="2:7" ht="11.25" hidden="1" customHeight="1" outlineLevel="2" x14ac:dyDescent="0.25">
      <c r="B4153" s="704" t="s">
        <v>684</v>
      </c>
      <c r="C4153" s="704" t="s">
        <v>883</v>
      </c>
      <c r="D4153" s="704" t="s">
        <v>675</v>
      </c>
      <c r="E4153" s="704" t="s">
        <v>861</v>
      </c>
      <c r="F4153" s="708"/>
      <c r="G4153" s="705">
        <v>487.0939659270993</v>
      </c>
    </row>
    <row r="4154" spans="2:7" ht="11.25" hidden="1" customHeight="1" outlineLevel="2" x14ac:dyDescent="0.25">
      <c r="B4154" s="704" t="s">
        <v>685</v>
      </c>
      <c r="C4154" s="704" t="s">
        <v>883</v>
      </c>
      <c r="D4154" s="704" t="s">
        <v>675</v>
      </c>
      <c r="E4154" s="704" t="s">
        <v>861</v>
      </c>
      <c r="F4154" s="708"/>
      <c r="G4154" s="705">
        <v>4424.0127053586548</v>
      </c>
    </row>
    <row r="4155" spans="2:7" ht="11.25" hidden="1" customHeight="1" outlineLevel="2" x14ac:dyDescent="0.25">
      <c r="B4155" s="704" t="s">
        <v>686</v>
      </c>
      <c r="C4155" s="704" t="s">
        <v>883</v>
      </c>
      <c r="D4155" s="704" t="s">
        <v>675</v>
      </c>
      <c r="E4155" s="704" t="s">
        <v>861</v>
      </c>
      <c r="F4155" s="708"/>
      <c r="G4155" s="705">
        <v>1040.1237123150113</v>
      </c>
    </row>
    <row r="4156" spans="2:7" ht="11.25" hidden="1" customHeight="1" outlineLevel="2" x14ac:dyDescent="0.25">
      <c r="B4156" s="704" t="s">
        <v>687</v>
      </c>
      <c r="C4156" s="704" t="s">
        <v>883</v>
      </c>
      <c r="D4156" s="704" t="s">
        <v>675</v>
      </c>
      <c r="E4156" s="704" t="s">
        <v>861</v>
      </c>
      <c r="F4156" s="708"/>
      <c r="G4156" s="705">
        <v>5327.8942050405531</v>
      </c>
    </row>
    <row r="4157" spans="2:7" ht="11.25" hidden="1" customHeight="1" outlineLevel="2" x14ac:dyDescent="0.25">
      <c r="B4157" s="704" t="s">
        <v>688</v>
      </c>
      <c r="C4157" s="704" t="s">
        <v>883</v>
      </c>
      <c r="D4157" s="704" t="s">
        <v>675</v>
      </c>
      <c r="E4157" s="704" t="s">
        <v>861</v>
      </c>
      <c r="F4157" s="708"/>
      <c r="G4157" s="705">
        <v>3824.2814641269615</v>
      </c>
    </row>
    <row r="4158" spans="2:7" ht="11.25" hidden="1" customHeight="1" outlineLevel="2" x14ac:dyDescent="0.25">
      <c r="B4158" s="704" t="s">
        <v>689</v>
      </c>
      <c r="C4158" s="704" t="s">
        <v>883</v>
      </c>
      <c r="D4158" s="704" t="s">
        <v>675</v>
      </c>
      <c r="E4158" s="704" t="s">
        <v>861</v>
      </c>
      <c r="F4158" s="708"/>
      <c r="G4158" s="705">
        <v>565.41490802597013</v>
      </c>
    </row>
    <row r="4159" spans="2:7" ht="11.25" hidden="1" customHeight="1" outlineLevel="2" x14ac:dyDescent="0.25">
      <c r="B4159" s="704" t="s">
        <v>690</v>
      </c>
      <c r="C4159" s="704" t="s">
        <v>883</v>
      </c>
      <c r="D4159" s="704" t="s">
        <v>675</v>
      </c>
      <c r="E4159" s="704" t="s">
        <v>861</v>
      </c>
      <c r="F4159" s="708"/>
      <c r="G4159" s="705">
        <v>12448.553806794826</v>
      </c>
    </row>
    <row r="4160" spans="2:7" ht="11.25" hidden="1" customHeight="1" outlineLevel="2" x14ac:dyDescent="0.25">
      <c r="B4160" s="704" t="s">
        <v>691</v>
      </c>
      <c r="C4160" s="704" t="s">
        <v>883</v>
      </c>
      <c r="D4160" s="704" t="s">
        <v>675</v>
      </c>
      <c r="E4160" s="704" t="s">
        <v>861</v>
      </c>
      <c r="F4160" s="708"/>
      <c r="G4160" s="705">
        <v>14216.641502417462</v>
      </c>
    </row>
    <row r="4161" spans="2:7" ht="11.25" hidden="1" customHeight="1" outlineLevel="2" x14ac:dyDescent="0.25">
      <c r="B4161" s="704" t="s">
        <v>692</v>
      </c>
      <c r="C4161" s="704" t="s">
        <v>883</v>
      </c>
      <c r="D4161" s="704" t="s">
        <v>675</v>
      </c>
      <c r="E4161" s="704" t="s">
        <v>861</v>
      </c>
      <c r="F4161" s="708"/>
      <c r="G4161" s="705">
        <v>831.35375265490632</v>
      </c>
    </row>
    <row r="4162" spans="2:7" ht="11.25" hidden="1" customHeight="1" outlineLevel="2" x14ac:dyDescent="0.25">
      <c r="B4162" s="704" t="s">
        <v>693</v>
      </c>
      <c r="C4162" s="704" t="s">
        <v>883</v>
      </c>
      <c r="D4162" s="704" t="s">
        <v>675</v>
      </c>
      <c r="E4162" s="704" t="s">
        <v>861</v>
      </c>
      <c r="F4162" s="708"/>
      <c r="G4162" s="705">
        <v>2075.2240642193387</v>
      </c>
    </row>
    <row r="4163" spans="2:7" ht="11.25" hidden="1" customHeight="1" outlineLevel="2" x14ac:dyDescent="0.25">
      <c r="B4163" s="704" t="s">
        <v>694</v>
      </c>
      <c r="C4163" s="704" t="s">
        <v>883</v>
      </c>
      <c r="D4163" s="704" t="s">
        <v>675</v>
      </c>
      <c r="E4163" s="704" t="s">
        <v>861</v>
      </c>
      <c r="F4163" s="708"/>
      <c r="G4163" s="705">
        <v>232.65688547722982</v>
      </c>
    </row>
    <row r="4164" spans="2:7" ht="11.25" hidden="1" customHeight="1" outlineLevel="2" x14ac:dyDescent="0.25">
      <c r="B4164" s="704" t="s">
        <v>695</v>
      </c>
      <c r="C4164" s="704" t="s">
        <v>883</v>
      </c>
      <c r="D4164" s="704" t="s">
        <v>675</v>
      </c>
      <c r="E4164" s="704" t="s">
        <v>861</v>
      </c>
      <c r="F4164" s="708"/>
      <c r="G4164" s="705">
        <v>1103.5622771627243</v>
      </c>
    </row>
    <row r="4165" spans="2:7" ht="11.25" hidden="1" customHeight="1" outlineLevel="2" x14ac:dyDescent="0.25">
      <c r="B4165" s="704" t="s">
        <v>696</v>
      </c>
      <c r="C4165" s="704" t="s">
        <v>883</v>
      </c>
      <c r="D4165" s="704" t="s">
        <v>675</v>
      </c>
      <c r="E4165" s="704" t="s">
        <v>861</v>
      </c>
      <c r="F4165" s="708"/>
      <c r="G4165" s="705">
        <v>2757.2963437655553</v>
      </c>
    </row>
    <row r="4166" spans="2:7" ht="11.25" hidden="1" customHeight="1" outlineLevel="2" x14ac:dyDescent="0.25">
      <c r="B4166" s="704" t="s">
        <v>697</v>
      </c>
      <c r="C4166" s="704" t="s">
        <v>883</v>
      </c>
      <c r="D4166" s="704" t="s">
        <v>675</v>
      </c>
      <c r="E4166" s="704" t="s">
        <v>861</v>
      </c>
      <c r="F4166" s="708"/>
      <c r="G4166" s="705">
        <v>1508.5976616871999</v>
      </c>
    </row>
    <row r="4167" spans="2:7" ht="11.25" hidden="1" customHeight="1" outlineLevel="2" x14ac:dyDescent="0.25">
      <c r="B4167" s="704" t="s">
        <v>698</v>
      </c>
      <c r="C4167" s="704" t="s">
        <v>883</v>
      </c>
      <c r="D4167" s="704" t="s">
        <v>675</v>
      </c>
      <c r="E4167" s="704" t="s">
        <v>861</v>
      </c>
      <c r="F4167" s="709"/>
      <c r="G4167" s="705">
        <v>1656.5722540414126</v>
      </c>
    </row>
    <row r="4168" spans="2:7" ht="11.25" hidden="1" customHeight="1" outlineLevel="2" x14ac:dyDescent="0.25">
      <c r="B4168" s="704" t="s">
        <v>699</v>
      </c>
      <c r="C4168" s="704" t="s">
        <v>883</v>
      </c>
      <c r="D4168" s="704" t="s">
        <v>675</v>
      </c>
      <c r="E4168" s="704" t="s">
        <v>861</v>
      </c>
      <c r="F4168" s="709"/>
      <c r="G4168" s="705">
        <v>1.9648185978513224E-29</v>
      </c>
    </row>
    <row r="4169" spans="2:7" ht="11.25" hidden="1" customHeight="1" outlineLevel="2" x14ac:dyDescent="0.25">
      <c r="B4169" s="704" t="s">
        <v>673</v>
      </c>
      <c r="C4169" s="704" t="s">
        <v>884</v>
      </c>
      <c r="D4169" s="704" t="s">
        <v>675</v>
      </c>
      <c r="E4169" s="704" t="s">
        <v>861</v>
      </c>
      <c r="F4169" s="709"/>
      <c r="G4169" s="705">
        <v>122.74568863682644</v>
      </c>
    </row>
    <row r="4170" spans="2:7" ht="11.25" hidden="1" customHeight="1" outlineLevel="2" x14ac:dyDescent="0.25">
      <c r="B4170" s="704" t="s">
        <v>677</v>
      </c>
      <c r="C4170" s="704" t="s">
        <v>884</v>
      </c>
      <c r="D4170" s="704" t="s">
        <v>675</v>
      </c>
      <c r="E4170" s="704" t="s">
        <v>861</v>
      </c>
      <c r="F4170" s="706">
        <v>5.5726778536169731E-2</v>
      </c>
      <c r="G4170" s="705">
        <v>2036.9448898070061</v>
      </c>
    </row>
    <row r="4171" spans="2:7" ht="11.25" hidden="1" customHeight="1" outlineLevel="2" x14ac:dyDescent="0.25">
      <c r="B4171" s="704" t="s">
        <v>678</v>
      </c>
      <c r="C4171" s="704" t="s">
        <v>884</v>
      </c>
      <c r="D4171" s="704" t="s">
        <v>675</v>
      </c>
      <c r="E4171" s="704" t="s">
        <v>861</v>
      </c>
      <c r="F4171" s="709"/>
      <c r="G4171" s="705">
        <v>4718.2053722333612</v>
      </c>
    </row>
    <row r="4172" spans="2:7" ht="11.25" hidden="1" customHeight="1" outlineLevel="2" x14ac:dyDescent="0.25">
      <c r="B4172" s="704" t="s">
        <v>679</v>
      </c>
      <c r="C4172" s="704" t="s">
        <v>884</v>
      </c>
      <c r="D4172" s="704" t="s">
        <v>675</v>
      </c>
      <c r="E4172" s="704" t="s">
        <v>861</v>
      </c>
      <c r="F4172" s="709"/>
      <c r="G4172" s="705">
        <v>382.89247716017303</v>
      </c>
    </row>
    <row r="4173" spans="2:7" ht="11.25" hidden="1" customHeight="1" outlineLevel="2" x14ac:dyDescent="0.25">
      <c r="B4173" s="704" t="s">
        <v>680</v>
      </c>
      <c r="C4173" s="704" t="s">
        <v>884</v>
      </c>
      <c r="D4173" s="704" t="s">
        <v>675</v>
      </c>
      <c r="E4173" s="704" t="s">
        <v>861</v>
      </c>
      <c r="F4173" s="709"/>
      <c r="G4173" s="705">
        <v>70.968012240125688</v>
      </c>
    </row>
    <row r="4174" spans="2:7" ht="11.25" hidden="1" customHeight="1" outlineLevel="2" x14ac:dyDescent="0.25">
      <c r="B4174" s="704" t="s">
        <v>681</v>
      </c>
      <c r="C4174" s="704" t="s">
        <v>884</v>
      </c>
      <c r="D4174" s="704" t="s">
        <v>675</v>
      </c>
      <c r="E4174" s="704" t="s">
        <v>861</v>
      </c>
      <c r="F4174" s="708"/>
      <c r="G4174" s="705">
        <v>598.59262946931005</v>
      </c>
    </row>
    <row r="4175" spans="2:7" ht="11.25" hidden="1" customHeight="1" outlineLevel="2" x14ac:dyDescent="0.25">
      <c r="B4175" s="704" t="s">
        <v>682</v>
      </c>
      <c r="C4175" s="704" t="s">
        <v>884</v>
      </c>
      <c r="D4175" s="704" t="s">
        <v>675</v>
      </c>
      <c r="E4175" s="704" t="s">
        <v>861</v>
      </c>
      <c r="F4175" s="708"/>
      <c r="G4175" s="705">
        <v>525.47264906577186</v>
      </c>
    </row>
    <row r="4176" spans="2:7" ht="11.25" hidden="1" customHeight="1" outlineLevel="2" x14ac:dyDescent="0.25">
      <c r="B4176" s="704" t="s">
        <v>683</v>
      </c>
      <c r="C4176" s="704" t="s">
        <v>884</v>
      </c>
      <c r="D4176" s="704" t="s">
        <v>675</v>
      </c>
      <c r="E4176" s="704" t="s">
        <v>861</v>
      </c>
      <c r="F4176" s="708"/>
      <c r="G4176" s="705">
        <v>872.68612691120302</v>
      </c>
    </row>
    <row r="4177" spans="2:7" ht="11.25" hidden="1" customHeight="1" outlineLevel="2" x14ac:dyDescent="0.25">
      <c r="B4177" s="704" t="s">
        <v>684</v>
      </c>
      <c r="C4177" s="704" t="s">
        <v>884</v>
      </c>
      <c r="D4177" s="704" t="s">
        <v>675</v>
      </c>
      <c r="E4177" s="704" t="s">
        <v>861</v>
      </c>
      <c r="F4177" s="708"/>
      <c r="G4177" s="705">
        <v>115.31058815306388</v>
      </c>
    </row>
    <row r="4178" spans="2:7" ht="11.25" hidden="1" customHeight="1" outlineLevel="2" x14ac:dyDescent="0.25">
      <c r="B4178" s="704" t="s">
        <v>685</v>
      </c>
      <c r="C4178" s="704" t="s">
        <v>884</v>
      </c>
      <c r="D4178" s="704" t="s">
        <v>675</v>
      </c>
      <c r="E4178" s="704" t="s">
        <v>861</v>
      </c>
      <c r="F4178" s="708"/>
      <c r="G4178" s="705">
        <v>1047.3039033366958</v>
      </c>
    </row>
    <row r="4179" spans="2:7" ht="11.25" hidden="1" customHeight="1" outlineLevel="2" x14ac:dyDescent="0.25">
      <c r="B4179" s="704" t="s">
        <v>686</v>
      </c>
      <c r="C4179" s="704" t="s">
        <v>884</v>
      </c>
      <c r="D4179" s="704" t="s">
        <v>675</v>
      </c>
      <c r="E4179" s="704" t="s">
        <v>861</v>
      </c>
      <c r="F4179" s="708"/>
      <c r="G4179" s="705">
        <v>246.23028477909577</v>
      </c>
    </row>
    <row r="4180" spans="2:7" ht="11.25" hidden="1" customHeight="1" outlineLevel="2" x14ac:dyDescent="0.25">
      <c r="B4180" s="704" t="s">
        <v>687</v>
      </c>
      <c r="C4180" s="704" t="s">
        <v>884</v>
      </c>
      <c r="D4180" s="704" t="s">
        <v>675</v>
      </c>
      <c r="E4180" s="704" t="s">
        <v>861</v>
      </c>
      <c r="F4180" s="708"/>
      <c r="G4180" s="705">
        <v>1261.2818437877168</v>
      </c>
    </row>
    <row r="4181" spans="2:7" ht="11.25" hidden="1" customHeight="1" outlineLevel="2" x14ac:dyDescent="0.25">
      <c r="B4181" s="704" t="s">
        <v>688</v>
      </c>
      <c r="C4181" s="704" t="s">
        <v>884</v>
      </c>
      <c r="D4181" s="704" t="s">
        <v>675</v>
      </c>
      <c r="E4181" s="704" t="s">
        <v>861</v>
      </c>
      <c r="F4181" s="708"/>
      <c r="G4181" s="705">
        <v>905.3288380151912</v>
      </c>
    </row>
    <row r="4182" spans="2:7" ht="11.25" hidden="1" customHeight="1" outlineLevel="2" x14ac:dyDescent="0.25">
      <c r="B4182" s="704" t="s">
        <v>689</v>
      </c>
      <c r="C4182" s="704" t="s">
        <v>884</v>
      </c>
      <c r="D4182" s="704" t="s">
        <v>675</v>
      </c>
      <c r="E4182" s="704" t="s">
        <v>861</v>
      </c>
      <c r="F4182" s="708"/>
      <c r="G4182" s="705">
        <v>133.85170071279856</v>
      </c>
    </row>
    <row r="4183" spans="2:7" ht="11.25" hidden="1" customHeight="1" outlineLevel="2" x14ac:dyDescent="0.25">
      <c r="B4183" s="704" t="s">
        <v>690</v>
      </c>
      <c r="C4183" s="704" t="s">
        <v>884</v>
      </c>
      <c r="D4183" s="704" t="s">
        <v>675</v>
      </c>
      <c r="E4183" s="704" t="s">
        <v>861</v>
      </c>
      <c r="F4183" s="708"/>
      <c r="G4183" s="705">
        <v>2946.9681528042961</v>
      </c>
    </row>
    <row r="4184" spans="2:7" ht="11.25" hidden="1" customHeight="1" outlineLevel="2" x14ac:dyDescent="0.25">
      <c r="B4184" s="704" t="s">
        <v>691</v>
      </c>
      <c r="C4184" s="704" t="s">
        <v>884</v>
      </c>
      <c r="D4184" s="704" t="s">
        <v>675</v>
      </c>
      <c r="E4184" s="704" t="s">
        <v>861</v>
      </c>
      <c r="F4184" s="708"/>
      <c r="G4184" s="705">
        <v>3365.5298133812789</v>
      </c>
    </row>
    <row r="4185" spans="2:7" ht="11.25" hidden="1" customHeight="1" outlineLevel="2" x14ac:dyDescent="0.25">
      <c r="B4185" s="704" t="s">
        <v>692</v>
      </c>
      <c r="C4185" s="704" t="s">
        <v>884</v>
      </c>
      <c r="D4185" s="704" t="s">
        <v>675</v>
      </c>
      <c r="E4185" s="704" t="s">
        <v>861</v>
      </c>
      <c r="F4185" s="708"/>
      <c r="G4185" s="705">
        <v>196.80779134380657</v>
      </c>
    </row>
    <row r="4186" spans="2:7" ht="11.25" hidden="1" customHeight="1" outlineLevel="2" x14ac:dyDescent="0.25">
      <c r="B4186" s="704" t="s">
        <v>693</v>
      </c>
      <c r="C4186" s="704" t="s">
        <v>884</v>
      </c>
      <c r="D4186" s="704" t="s">
        <v>675</v>
      </c>
      <c r="E4186" s="704" t="s">
        <v>861</v>
      </c>
      <c r="F4186" s="708"/>
      <c r="G4186" s="705">
        <v>491.27129098342874</v>
      </c>
    </row>
    <row r="4187" spans="2:7" ht="11.25" hidden="1" customHeight="1" outlineLevel="2" x14ac:dyDescent="0.25">
      <c r="B4187" s="704" t="s">
        <v>694</v>
      </c>
      <c r="C4187" s="704" t="s">
        <v>884</v>
      </c>
      <c r="D4187" s="704" t="s">
        <v>675</v>
      </c>
      <c r="E4187" s="704" t="s">
        <v>861</v>
      </c>
      <c r="F4187" s="708"/>
      <c r="G4187" s="705">
        <v>55.077277858976394</v>
      </c>
    </row>
    <row r="4188" spans="2:7" ht="11.25" hidden="1" customHeight="1" outlineLevel="2" x14ac:dyDescent="0.25">
      <c r="B4188" s="704" t="s">
        <v>695</v>
      </c>
      <c r="C4188" s="704" t="s">
        <v>884</v>
      </c>
      <c r="D4188" s="704" t="s">
        <v>675</v>
      </c>
      <c r="E4188" s="704" t="s">
        <v>861</v>
      </c>
      <c r="F4188" s="708"/>
      <c r="G4188" s="705">
        <v>261.24820082761704</v>
      </c>
    </row>
    <row r="4189" spans="2:7" ht="11.25" hidden="1" customHeight="1" outlineLevel="2" x14ac:dyDescent="0.25">
      <c r="B4189" s="704" t="s">
        <v>696</v>
      </c>
      <c r="C4189" s="704" t="s">
        <v>884</v>
      </c>
      <c r="D4189" s="704" t="s">
        <v>675</v>
      </c>
      <c r="E4189" s="704" t="s">
        <v>861</v>
      </c>
      <c r="F4189" s="708"/>
      <c r="G4189" s="705">
        <v>652.73919318564072</v>
      </c>
    </row>
    <row r="4190" spans="2:7" ht="11.25" hidden="1" customHeight="1" outlineLevel="2" x14ac:dyDescent="0.25">
      <c r="B4190" s="704" t="s">
        <v>697</v>
      </c>
      <c r="C4190" s="704" t="s">
        <v>884</v>
      </c>
      <c r="D4190" s="704" t="s">
        <v>675</v>
      </c>
      <c r="E4190" s="704" t="s">
        <v>861</v>
      </c>
      <c r="F4190" s="708"/>
      <c r="G4190" s="705">
        <v>357.13289890466234</v>
      </c>
    </row>
    <row r="4191" spans="2:7" ht="11.25" hidden="1" customHeight="1" outlineLevel="2" x14ac:dyDescent="0.25">
      <c r="B4191" s="704" t="s">
        <v>698</v>
      </c>
      <c r="C4191" s="704" t="s">
        <v>884</v>
      </c>
      <c r="D4191" s="704" t="s">
        <v>675</v>
      </c>
      <c r="E4191" s="704" t="s">
        <v>861</v>
      </c>
      <c r="F4191" s="708"/>
      <c r="G4191" s="705">
        <v>392.16320498488682</v>
      </c>
    </row>
    <row r="4192" spans="2:7" ht="11.25" hidden="1" customHeight="1" outlineLevel="2" x14ac:dyDescent="0.25">
      <c r="B4192" s="704" t="s">
        <v>699</v>
      </c>
      <c r="C4192" s="704" t="s">
        <v>884</v>
      </c>
      <c r="D4192" s="704" t="s">
        <v>675</v>
      </c>
      <c r="E4192" s="704" t="s">
        <v>861</v>
      </c>
      <c r="F4192" s="708"/>
      <c r="G4192" s="705">
        <v>2.4155894972604634E-28</v>
      </c>
    </row>
    <row r="4193" spans="2:7" ht="11.25" hidden="1" customHeight="1" outlineLevel="2" x14ac:dyDescent="0.25">
      <c r="B4193" s="704" t="s">
        <v>673</v>
      </c>
      <c r="C4193" s="704" t="s">
        <v>885</v>
      </c>
      <c r="D4193" s="704" t="s">
        <v>675</v>
      </c>
      <c r="E4193" s="704" t="s">
        <v>861</v>
      </c>
      <c r="F4193" s="708"/>
      <c r="G4193" s="705">
        <v>1.5975416149777744</v>
      </c>
    </row>
    <row r="4194" spans="2:7" ht="11.25" hidden="1" customHeight="1" outlineLevel="2" x14ac:dyDescent="0.25">
      <c r="B4194" s="704" t="s">
        <v>677</v>
      </c>
      <c r="C4194" s="704" t="s">
        <v>885</v>
      </c>
      <c r="D4194" s="704" t="s">
        <v>675</v>
      </c>
      <c r="E4194" s="704" t="s">
        <v>861</v>
      </c>
      <c r="F4194" s="705">
        <v>1.2853391584113135E-3</v>
      </c>
      <c r="G4194" s="705">
        <v>26.510945109893473</v>
      </c>
    </row>
    <row r="4195" spans="2:7" ht="11.25" hidden="1" customHeight="1" outlineLevel="2" x14ac:dyDescent="0.25">
      <c r="B4195" s="704" t="s">
        <v>678</v>
      </c>
      <c r="C4195" s="704" t="s">
        <v>885</v>
      </c>
      <c r="D4195" s="704" t="s">
        <v>675</v>
      </c>
      <c r="E4195" s="704" t="s">
        <v>861</v>
      </c>
      <c r="F4195" s="708"/>
      <c r="G4195" s="705">
        <v>61.407701383533713</v>
      </c>
    </row>
    <row r="4196" spans="2:7" ht="11.25" hidden="1" customHeight="1" outlineLevel="2" x14ac:dyDescent="0.25">
      <c r="B4196" s="704" t="s">
        <v>679</v>
      </c>
      <c r="C4196" s="704" t="s">
        <v>885</v>
      </c>
      <c r="D4196" s="704" t="s">
        <v>675</v>
      </c>
      <c r="E4196" s="704" t="s">
        <v>861</v>
      </c>
      <c r="F4196" s="708"/>
      <c r="G4196" s="705">
        <v>4.983365919467543</v>
      </c>
    </row>
    <row r="4197" spans="2:7" ht="11.25" hidden="1" customHeight="1" outlineLevel="2" x14ac:dyDescent="0.25">
      <c r="B4197" s="704" t="s">
        <v>680</v>
      </c>
      <c r="C4197" s="704" t="s">
        <v>885</v>
      </c>
      <c r="D4197" s="704" t="s">
        <v>675</v>
      </c>
      <c r="E4197" s="704" t="s">
        <v>861</v>
      </c>
      <c r="F4197" s="708"/>
      <c r="G4197" s="705">
        <v>0.92365242543592152</v>
      </c>
    </row>
    <row r="4198" spans="2:7" ht="11.25" hidden="1" customHeight="1" outlineLevel="2" x14ac:dyDescent="0.25">
      <c r="B4198" s="704" t="s">
        <v>681</v>
      </c>
      <c r="C4198" s="704" t="s">
        <v>885</v>
      </c>
      <c r="D4198" s="704" t="s">
        <v>675</v>
      </c>
      <c r="E4198" s="704" t="s">
        <v>861</v>
      </c>
      <c r="F4198" s="708"/>
      <c r="G4198" s="705">
        <v>7.7907162701270014</v>
      </c>
    </row>
    <row r="4199" spans="2:7" ht="11.25" hidden="1" customHeight="1" outlineLevel="2" x14ac:dyDescent="0.25">
      <c r="B4199" s="704" t="s">
        <v>682</v>
      </c>
      <c r="C4199" s="704" t="s">
        <v>885</v>
      </c>
      <c r="D4199" s="704" t="s">
        <v>675</v>
      </c>
      <c r="E4199" s="704" t="s">
        <v>861</v>
      </c>
      <c r="F4199" s="708"/>
      <c r="G4199" s="705">
        <v>6.8390553675287942</v>
      </c>
    </row>
    <row r="4200" spans="2:7" ht="11.25" hidden="1" customHeight="1" outlineLevel="2" x14ac:dyDescent="0.25">
      <c r="B4200" s="704" t="s">
        <v>683</v>
      </c>
      <c r="C4200" s="704" t="s">
        <v>885</v>
      </c>
      <c r="D4200" s="704" t="s">
        <v>675</v>
      </c>
      <c r="E4200" s="704" t="s">
        <v>861</v>
      </c>
      <c r="F4200" s="708"/>
      <c r="G4200" s="705">
        <v>11.358055354173326</v>
      </c>
    </row>
    <row r="4201" spans="2:7" ht="11.25" hidden="1" customHeight="1" outlineLevel="2" x14ac:dyDescent="0.25">
      <c r="B4201" s="704" t="s">
        <v>684</v>
      </c>
      <c r="C4201" s="704" t="s">
        <v>885</v>
      </c>
      <c r="D4201" s="704" t="s">
        <v>675</v>
      </c>
      <c r="E4201" s="704" t="s">
        <v>861</v>
      </c>
      <c r="F4201" s="708"/>
      <c r="G4201" s="705">
        <v>1.500773950107698</v>
      </c>
    </row>
    <row r="4202" spans="2:7" ht="11.25" hidden="1" customHeight="1" outlineLevel="2" x14ac:dyDescent="0.25">
      <c r="B4202" s="704" t="s">
        <v>685</v>
      </c>
      <c r="C4202" s="704" t="s">
        <v>885</v>
      </c>
      <c r="D4202" s="704" t="s">
        <v>675</v>
      </c>
      <c r="E4202" s="704" t="s">
        <v>861</v>
      </c>
      <c r="F4202" s="708"/>
      <c r="G4202" s="705">
        <v>13.630717413467906</v>
      </c>
    </row>
    <row r="4203" spans="2:7" ht="11.25" hidden="1" customHeight="1" outlineLevel="2" x14ac:dyDescent="0.25">
      <c r="B4203" s="704" t="s">
        <v>686</v>
      </c>
      <c r="C4203" s="704" t="s">
        <v>885</v>
      </c>
      <c r="D4203" s="704" t="s">
        <v>675</v>
      </c>
      <c r="E4203" s="704" t="s">
        <v>861</v>
      </c>
      <c r="F4203" s="708"/>
      <c r="G4203" s="705">
        <v>3.2046997148982777</v>
      </c>
    </row>
    <row r="4204" spans="2:7" ht="11.25" hidden="1" customHeight="1" outlineLevel="2" x14ac:dyDescent="0.25">
      <c r="B4204" s="704" t="s">
        <v>687</v>
      </c>
      <c r="C4204" s="704" t="s">
        <v>885</v>
      </c>
      <c r="D4204" s="704" t="s">
        <v>675</v>
      </c>
      <c r="E4204" s="704" t="s">
        <v>861</v>
      </c>
      <c r="F4204" s="708"/>
      <c r="G4204" s="705">
        <v>16.415649059560497</v>
      </c>
    </row>
    <row r="4205" spans="2:7" ht="11.25" hidden="1" customHeight="1" outlineLevel="2" x14ac:dyDescent="0.25">
      <c r="B4205" s="704" t="s">
        <v>688</v>
      </c>
      <c r="C4205" s="704" t="s">
        <v>885</v>
      </c>
      <c r="D4205" s="704" t="s">
        <v>675</v>
      </c>
      <c r="E4205" s="704" t="s">
        <v>861</v>
      </c>
      <c r="F4205" s="708"/>
      <c r="G4205" s="705">
        <v>11.782903342172743</v>
      </c>
    </row>
    <row r="4206" spans="2:7" ht="11.25" hidden="1" customHeight="1" outlineLevel="2" x14ac:dyDescent="0.25">
      <c r="B4206" s="704" t="s">
        <v>689</v>
      </c>
      <c r="C4206" s="704" t="s">
        <v>885</v>
      </c>
      <c r="D4206" s="704" t="s">
        <v>675</v>
      </c>
      <c r="E4206" s="704" t="s">
        <v>861</v>
      </c>
      <c r="F4206" s="709"/>
      <c r="G4206" s="705">
        <v>1.7420868862791878</v>
      </c>
    </row>
    <row r="4207" spans="2:7" ht="11.25" hidden="1" customHeight="1" outlineLevel="2" x14ac:dyDescent="0.25">
      <c r="B4207" s="704" t="s">
        <v>690</v>
      </c>
      <c r="C4207" s="704" t="s">
        <v>885</v>
      </c>
      <c r="D4207" s="704" t="s">
        <v>675</v>
      </c>
      <c r="E4207" s="704" t="s">
        <v>861</v>
      </c>
      <c r="F4207" s="709"/>
      <c r="G4207" s="705">
        <v>38.354942013291598</v>
      </c>
    </row>
    <row r="4208" spans="2:7" ht="11.25" hidden="1" customHeight="1" outlineLevel="2" x14ac:dyDescent="0.25">
      <c r="B4208" s="704" t="s">
        <v>691</v>
      </c>
      <c r="C4208" s="704" t="s">
        <v>885</v>
      </c>
      <c r="D4208" s="704" t="s">
        <v>675</v>
      </c>
      <c r="E4208" s="704" t="s">
        <v>861</v>
      </c>
      <c r="F4208" s="709"/>
      <c r="G4208" s="705">
        <v>43.802554201068588</v>
      </c>
    </row>
    <row r="4209" spans="2:7" ht="11.25" hidden="1" customHeight="1" outlineLevel="2" x14ac:dyDescent="0.25">
      <c r="B4209" s="704" t="s">
        <v>692</v>
      </c>
      <c r="C4209" s="704" t="s">
        <v>885</v>
      </c>
      <c r="D4209" s="704" t="s">
        <v>675</v>
      </c>
      <c r="E4209" s="704" t="s">
        <v>861</v>
      </c>
      <c r="F4209" s="709"/>
      <c r="G4209" s="705">
        <v>2.5614636093655632</v>
      </c>
    </row>
    <row r="4210" spans="2:7" ht="11.25" hidden="1" customHeight="1" outlineLevel="2" x14ac:dyDescent="0.25">
      <c r="B4210" s="704" t="s">
        <v>693</v>
      </c>
      <c r="C4210" s="704" t="s">
        <v>885</v>
      </c>
      <c r="D4210" s="704" t="s">
        <v>675</v>
      </c>
      <c r="E4210" s="704" t="s">
        <v>861</v>
      </c>
      <c r="F4210" s="709"/>
      <c r="G4210" s="705">
        <v>6.3939236573511806</v>
      </c>
    </row>
    <row r="4211" spans="2:7" ht="11.25" hidden="1" customHeight="1" outlineLevel="2" x14ac:dyDescent="0.25">
      <c r="B4211" s="704" t="s">
        <v>694</v>
      </c>
      <c r="C4211" s="704" t="s">
        <v>885</v>
      </c>
      <c r="D4211" s="704" t="s">
        <v>675</v>
      </c>
      <c r="E4211" s="704" t="s">
        <v>861</v>
      </c>
      <c r="F4211" s="709"/>
      <c r="G4211" s="705">
        <v>0.71683351612763602</v>
      </c>
    </row>
    <row r="4212" spans="2:7" ht="11.25" hidden="1" customHeight="1" outlineLevel="2" x14ac:dyDescent="0.25">
      <c r="B4212" s="704" t="s">
        <v>695</v>
      </c>
      <c r="C4212" s="704" t="s">
        <v>885</v>
      </c>
      <c r="D4212" s="704" t="s">
        <v>675</v>
      </c>
      <c r="E4212" s="704" t="s">
        <v>861</v>
      </c>
      <c r="F4212" s="709"/>
      <c r="G4212" s="705">
        <v>3.4001591910669933</v>
      </c>
    </row>
    <row r="4213" spans="2:7" ht="11.25" hidden="1" customHeight="1" outlineLevel="2" x14ac:dyDescent="0.25">
      <c r="B4213" s="704" t="s">
        <v>696</v>
      </c>
      <c r="C4213" s="704" t="s">
        <v>885</v>
      </c>
      <c r="D4213" s="704" t="s">
        <v>675</v>
      </c>
      <c r="E4213" s="704" t="s">
        <v>861</v>
      </c>
      <c r="F4213" s="708"/>
      <c r="G4213" s="705">
        <v>8.4954401865260554</v>
      </c>
    </row>
    <row r="4214" spans="2:7" ht="11.25" hidden="1" customHeight="1" outlineLevel="2" x14ac:dyDescent="0.25">
      <c r="B4214" s="704" t="s">
        <v>697</v>
      </c>
      <c r="C4214" s="704" t="s">
        <v>885</v>
      </c>
      <c r="D4214" s="704" t="s">
        <v>675</v>
      </c>
      <c r="E4214" s="704" t="s">
        <v>861</v>
      </c>
      <c r="F4214" s="708"/>
      <c r="G4214" s="705">
        <v>4.648103852033767</v>
      </c>
    </row>
    <row r="4215" spans="2:7" ht="11.25" hidden="1" customHeight="1" outlineLevel="2" x14ac:dyDescent="0.25">
      <c r="B4215" s="704" t="s">
        <v>698</v>
      </c>
      <c r="C4215" s="704" t="s">
        <v>885</v>
      </c>
      <c r="D4215" s="704" t="s">
        <v>675</v>
      </c>
      <c r="E4215" s="704" t="s">
        <v>861</v>
      </c>
      <c r="F4215" s="708"/>
      <c r="G4215" s="705">
        <v>5.104025495169247</v>
      </c>
    </row>
    <row r="4216" spans="2:7" ht="11.25" hidden="1" customHeight="1" outlineLevel="2" x14ac:dyDescent="0.25">
      <c r="B4216" s="704" t="s">
        <v>699</v>
      </c>
      <c r="C4216" s="704" t="s">
        <v>885</v>
      </c>
      <c r="D4216" s="704" t="s">
        <v>675</v>
      </c>
      <c r="E4216" s="704" t="s">
        <v>861</v>
      </c>
      <c r="F4216" s="709"/>
      <c r="G4216" s="705">
        <v>3.2635428971378915E-31</v>
      </c>
    </row>
    <row r="4217" spans="2:7" ht="11.25" hidden="1" customHeight="1" outlineLevel="2" x14ac:dyDescent="0.25">
      <c r="B4217" s="704" t="s">
        <v>673</v>
      </c>
      <c r="C4217" s="704" t="s">
        <v>886</v>
      </c>
      <c r="D4217" s="704" t="s">
        <v>675</v>
      </c>
      <c r="E4217" s="704" t="s">
        <v>861</v>
      </c>
      <c r="F4217" s="708"/>
      <c r="G4217" s="705">
        <v>117.61955531510569</v>
      </c>
    </row>
    <row r="4218" spans="2:7" ht="11.25" hidden="1" customHeight="1" outlineLevel="2" x14ac:dyDescent="0.25">
      <c r="B4218" s="704" t="s">
        <v>677</v>
      </c>
      <c r="C4218" s="704" t="s">
        <v>886</v>
      </c>
      <c r="D4218" s="704" t="s">
        <v>675</v>
      </c>
      <c r="E4218" s="704" t="s">
        <v>861</v>
      </c>
      <c r="F4218" s="705">
        <v>4.801830915258172E-2</v>
      </c>
      <c r="G4218" s="705">
        <v>1951.8771470774648</v>
      </c>
    </row>
    <row r="4219" spans="2:7" ht="11.25" hidden="1" customHeight="1" outlineLevel="2" x14ac:dyDescent="0.25">
      <c r="B4219" s="704" t="s">
        <v>678</v>
      </c>
      <c r="C4219" s="704" t="s">
        <v>886</v>
      </c>
      <c r="D4219" s="704" t="s">
        <v>675</v>
      </c>
      <c r="E4219" s="704" t="s">
        <v>861</v>
      </c>
      <c r="F4219" s="709"/>
      <c r="G4219" s="705">
        <v>4521.1616269132219</v>
      </c>
    </row>
    <row r="4220" spans="2:7" ht="11.25" hidden="1" customHeight="1" outlineLevel="2" x14ac:dyDescent="0.25">
      <c r="B4220" s="704" t="s">
        <v>679</v>
      </c>
      <c r="C4220" s="704" t="s">
        <v>886</v>
      </c>
      <c r="D4220" s="704" t="s">
        <v>675</v>
      </c>
      <c r="E4220" s="704" t="s">
        <v>861</v>
      </c>
      <c r="F4220" s="708"/>
      <c r="G4220" s="705">
        <v>366.90201154555837</v>
      </c>
    </row>
    <row r="4221" spans="2:7" ht="11.25" hidden="1" customHeight="1" outlineLevel="2" x14ac:dyDescent="0.25">
      <c r="B4221" s="704" t="s">
        <v>680</v>
      </c>
      <c r="C4221" s="704" t="s">
        <v>886</v>
      </c>
      <c r="D4221" s="704" t="s">
        <v>675</v>
      </c>
      <c r="E4221" s="704" t="s">
        <v>861</v>
      </c>
      <c r="F4221" s="708"/>
      <c r="G4221" s="705">
        <v>68.004224955563615</v>
      </c>
    </row>
    <row r="4222" spans="2:7" ht="11.25" hidden="1" customHeight="1" outlineLevel="2" x14ac:dyDescent="0.25">
      <c r="B4222" s="704" t="s">
        <v>681</v>
      </c>
      <c r="C4222" s="704" t="s">
        <v>886</v>
      </c>
      <c r="D4222" s="704" t="s">
        <v>675</v>
      </c>
      <c r="E4222" s="704" t="s">
        <v>861</v>
      </c>
      <c r="F4222" s="708"/>
      <c r="G4222" s="705">
        <v>573.59404225969013</v>
      </c>
    </row>
    <row r="4223" spans="2:7" ht="11.25" hidden="1" customHeight="1" outlineLevel="2" x14ac:dyDescent="0.25">
      <c r="B4223" s="704" t="s">
        <v>682</v>
      </c>
      <c r="C4223" s="704" t="s">
        <v>886</v>
      </c>
      <c r="D4223" s="704" t="s">
        <v>675</v>
      </c>
      <c r="E4223" s="704" t="s">
        <v>861</v>
      </c>
      <c r="F4223" s="709"/>
      <c r="G4223" s="705">
        <v>503.52775726485152</v>
      </c>
    </row>
    <row r="4224" spans="2:7" ht="11.25" hidden="1" customHeight="1" outlineLevel="2" x14ac:dyDescent="0.25">
      <c r="B4224" s="704" t="s">
        <v>683</v>
      </c>
      <c r="C4224" s="704" t="s">
        <v>886</v>
      </c>
      <c r="D4224" s="704" t="s">
        <v>675</v>
      </c>
      <c r="E4224" s="704" t="s">
        <v>861</v>
      </c>
      <c r="F4224" s="709"/>
      <c r="G4224" s="705">
        <v>836.24074139148729</v>
      </c>
    </row>
    <row r="4225" spans="2:7" ht="11.25" hidden="1" customHeight="1" outlineLevel="2" x14ac:dyDescent="0.25">
      <c r="B4225" s="704" t="s">
        <v>684</v>
      </c>
      <c r="C4225" s="704" t="s">
        <v>886</v>
      </c>
      <c r="D4225" s="704" t="s">
        <v>675</v>
      </c>
      <c r="E4225" s="704" t="s">
        <v>861</v>
      </c>
      <c r="F4225" s="709"/>
      <c r="G4225" s="705">
        <v>110.4949498773678</v>
      </c>
    </row>
    <row r="4226" spans="2:7" ht="11.25" hidden="1" customHeight="1" outlineLevel="2" x14ac:dyDescent="0.25">
      <c r="B4226" s="704" t="s">
        <v>685</v>
      </c>
      <c r="C4226" s="704" t="s">
        <v>886</v>
      </c>
      <c r="D4226" s="704" t="s">
        <v>675</v>
      </c>
      <c r="E4226" s="704" t="s">
        <v>861</v>
      </c>
      <c r="F4226" s="708"/>
      <c r="G4226" s="705">
        <v>1003.5664325977467</v>
      </c>
    </row>
    <row r="4227" spans="2:7" ht="11.25" hidden="1" customHeight="1" outlineLevel="2" x14ac:dyDescent="0.25">
      <c r="B4227" s="704" t="s">
        <v>686</v>
      </c>
      <c r="C4227" s="704" t="s">
        <v>886</v>
      </c>
      <c r="D4227" s="704" t="s">
        <v>675</v>
      </c>
      <c r="E4227" s="704" t="s">
        <v>861</v>
      </c>
      <c r="F4227" s="708"/>
      <c r="G4227" s="705">
        <v>235.94708598026583</v>
      </c>
    </row>
    <row r="4228" spans="2:7" ht="11.25" hidden="1" customHeight="1" outlineLevel="2" x14ac:dyDescent="0.25">
      <c r="B4228" s="704" t="s">
        <v>687</v>
      </c>
      <c r="C4228" s="704" t="s">
        <v>886</v>
      </c>
      <c r="D4228" s="704" t="s">
        <v>675</v>
      </c>
      <c r="E4228" s="704" t="s">
        <v>861</v>
      </c>
      <c r="F4228" s="708"/>
      <c r="G4228" s="705">
        <v>1208.607596974706</v>
      </c>
    </row>
    <row r="4229" spans="2:7" ht="11.25" hidden="1" customHeight="1" outlineLevel="2" x14ac:dyDescent="0.25">
      <c r="B4229" s="704" t="s">
        <v>688</v>
      </c>
      <c r="C4229" s="704" t="s">
        <v>886</v>
      </c>
      <c r="D4229" s="704" t="s">
        <v>675</v>
      </c>
      <c r="E4229" s="704" t="s">
        <v>861</v>
      </c>
      <c r="F4229" s="708"/>
      <c r="G4229" s="705">
        <v>867.52008762478602</v>
      </c>
    </row>
    <row r="4230" spans="2:7" ht="11.25" hidden="1" customHeight="1" outlineLevel="2" x14ac:dyDescent="0.25">
      <c r="B4230" s="704" t="s">
        <v>689</v>
      </c>
      <c r="C4230" s="704" t="s">
        <v>886</v>
      </c>
      <c r="D4230" s="704" t="s">
        <v>675</v>
      </c>
      <c r="E4230" s="704" t="s">
        <v>861</v>
      </c>
      <c r="F4230" s="708"/>
      <c r="G4230" s="705">
        <v>128.26168242863619</v>
      </c>
    </row>
    <row r="4231" spans="2:7" ht="11.25" hidden="1" customHeight="1" outlineLevel="2" x14ac:dyDescent="0.25">
      <c r="B4231" s="704" t="s">
        <v>690</v>
      </c>
      <c r="C4231" s="704" t="s">
        <v>886</v>
      </c>
      <c r="D4231" s="704" t="s">
        <v>675</v>
      </c>
      <c r="E4231" s="704" t="s">
        <v>861</v>
      </c>
      <c r="F4231" s="708"/>
      <c r="G4231" s="705">
        <v>2823.8956985329846</v>
      </c>
    </row>
    <row r="4232" spans="2:7" ht="11.25" hidden="1" customHeight="1" outlineLevel="2" x14ac:dyDescent="0.25">
      <c r="B4232" s="704" t="s">
        <v>691</v>
      </c>
      <c r="C4232" s="704" t="s">
        <v>886</v>
      </c>
      <c r="D4232" s="704" t="s">
        <v>675</v>
      </c>
      <c r="E4232" s="704" t="s">
        <v>861</v>
      </c>
      <c r="F4232" s="708"/>
      <c r="G4232" s="705">
        <v>3224.9783770331637</v>
      </c>
    </row>
    <row r="4233" spans="2:7" ht="11.25" hidden="1" customHeight="1" outlineLevel="2" x14ac:dyDescent="0.25">
      <c r="B4233" s="704" t="s">
        <v>692</v>
      </c>
      <c r="C4233" s="704" t="s">
        <v>886</v>
      </c>
      <c r="D4233" s="704" t="s">
        <v>675</v>
      </c>
      <c r="E4233" s="704" t="s">
        <v>861</v>
      </c>
      <c r="F4233" s="708"/>
      <c r="G4233" s="705">
        <v>188.58865680609452</v>
      </c>
    </row>
    <row r="4234" spans="2:7" ht="11.25" hidden="1" customHeight="1" outlineLevel="2" x14ac:dyDescent="0.25">
      <c r="B4234" s="704" t="s">
        <v>693</v>
      </c>
      <c r="C4234" s="704" t="s">
        <v>886</v>
      </c>
      <c r="D4234" s="704" t="s">
        <v>675</v>
      </c>
      <c r="E4234" s="704" t="s">
        <v>861</v>
      </c>
      <c r="F4234" s="708"/>
      <c r="G4234" s="705">
        <v>470.75465315006539</v>
      </c>
    </row>
    <row r="4235" spans="2:7" ht="11.25" hidden="1" customHeight="1" outlineLevel="2" x14ac:dyDescent="0.25">
      <c r="B4235" s="704" t="s">
        <v>694</v>
      </c>
      <c r="C4235" s="704" t="s">
        <v>886</v>
      </c>
      <c r="D4235" s="704" t="s">
        <v>675</v>
      </c>
      <c r="E4235" s="704" t="s">
        <v>861</v>
      </c>
      <c r="F4235" s="708"/>
      <c r="G4235" s="705">
        <v>52.777104937708302</v>
      </c>
    </row>
    <row r="4236" spans="2:7" ht="11.25" hidden="1" customHeight="1" outlineLevel="2" x14ac:dyDescent="0.25">
      <c r="B4236" s="704" t="s">
        <v>695</v>
      </c>
      <c r="C4236" s="704" t="s">
        <v>886</v>
      </c>
      <c r="D4236" s="704" t="s">
        <v>675</v>
      </c>
      <c r="E4236" s="704" t="s">
        <v>861</v>
      </c>
      <c r="F4236" s="709"/>
      <c r="G4236" s="705">
        <v>250.3378530350231</v>
      </c>
    </row>
    <row r="4237" spans="2:7" ht="11.25" hidden="1" customHeight="1" outlineLevel="2" x14ac:dyDescent="0.25">
      <c r="B4237" s="704" t="s">
        <v>696</v>
      </c>
      <c r="C4237" s="704" t="s">
        <v>886</v>
      </c>
      <c r="D4237" s="704" t="s">
        <v>675</v>
      </c>
      <c r="E4237" s="704" t="s">
        <v>861</v>
      </c>
      <c r="F4237" s="709"/>
      <c r="G4237" s="705">
        <v>625.47950396415126</v>
      </c>
    </row>
    <row r="4238" spans="2:7" ht="11.25" hidden="1" customHeight="1" outlineLevel="2" x14ac:dyDescent="0.25">
      <c r="B4238" s="704" t="s">
        <v>697</v>
      </c>
      <c r="C4238" s="704" t="s">
        <v>886</v>
      </c>
      <c r="D4238" s="704" t="s">
        <v>675</v>
      </c>
      <c r="E4238" s="704" t="s">
        <v>861</v>
      </c>
      <c r="F4238" s="708"/>
      <c r="G4238" s="705">
        <v>342.21830331096754</v>
      </c>
    </row>
    <row r="4239" spans="2:7" ht="11.25" hidden="1" customHeight="1" outlineLevel="2" x14ac:dyDescent="0.25">
      <c r="B4239" s="704" t="s">
        <v>698</v>
      </c>
      <c r="C4239" s="704" t="s">
        <v>886</v>
      </c>
      <c r="D4239" s="704" t="s">
        <v>675</v>
      </c>
      <c r="E4239" s="704" t="s">
        <v>861</v>
      </c>
      <c r="F4239" s="708"/>
      <c r="G4239" s="705">
        <v>375.78555883728086</v>
      </c>
    </row>
    <row r="4240" spans="2:7" ht="11.25" hidden="1" customHeight="1" outlineLevel="2" x14ac:dyDescent="0.25">
      <c r="B4240" s="704" t="s">
        <v>699</v>
      </c>
      <c r="C4240" s="704" t="s">
        <v>886</v>
      </c>
      <c r="D4240" s="704" t="s">
        <v>675</v>
      </c>
      <c r="E4240" s="704" t="s">
        <v>861</v>
      </c>
      <c r="F4240" s="708"/>
      <c r="G4240" s="705">
        <v>7.731068103147799E-30</v>
      </c>
    </row>
    <row r="4241" spans="2:7" ht="11.25" hidden="1" customHeight="1" outlineLevel="2" x14ac:dyDescent="0.25">
      <c r="B4241" s="704" t="s">
        <v>673</v>
      </c>
      <c r="C4241" s="704" t="s">
        <v>887</v>
      </c>
      <c r="D4241" s="704" t="s">
        <v>563</v>
      </c>
      <c r="E4241" s="704" t="s">
        <v>861</v>
      </c>
      <c r="F4241" s="708"/>
      <c r="G4241" s="705">
        <v>66.445888904003255</v>
      </c>
    </row>
    <row r="4242" spans="2:7" ht="11.25" hidden="1" customHeight="1" outlineLevel="2" x14ac:dyDescent="0.25">
      <c r="B4242" s="704" t="s">
        <v>677</v>
      </c>
      <c r="C4242" s="704" t="s">
        <v>887</v>
      </c>
      <c r="D4242" s="704" t="s">
        <v>563</v>
      </c>
      <c r="E4242" s="704" t="s">
        <v>861</v>
      </c>
      <c r="F4242" s="705">
        <v>1.1927067988934758E-2</v>
      </c>
      <c r="G4242" s="705">
        <v>281.54469298608655</v>
      </c>
    </row>
    <row r="4243" spans="2:7" ht="11.25" hidden="1" customHeight="1" outlineLevel="2" x14ac:dyDescent="0.25">
      <c r="B4243" s="704" t="s">
        <v>678</v>
      </c>
      <c r="C4243" s="704" t="s">
        <v>887</v>
      </c>
      <c r="D4243" s="704" t="s">
        <v>563</v>
      </c>
      <c r="E4243" s="704" t="s">
        <v>861</v>
      </c>
      <c r="F4243" s="708"/>
      <c r="G4243" s="705">
        <v>515.24905438901851</v>
      </c>
    </row>
    <row r="4244" spans="2:7" ht="11.25" hidden="1" customHeight="1" outlineLevel="2" x14ac:dyDescent="0.25">
      <c r="B4244" s="704" t="s">
        <v>679</v>
      </c>
      <c r="C4244" s="704" t="s">
        <v>887</v>
      </c>
      <c r="D4244" s="704" t="s">
        <v>563</v>
      </c>
      <c r="E4244" s="704" t="s">
        <v>861</v>
      </c>
      <c r="F4244" s="708"/>
      <c r="G4244" s="705">
        <v>13.787216732280912</v>
      </c>
    </row>
    <row r="4245" spans="2:7" ht="11.25" hidden="1" customHeight="1" outlineLevel="2" x14ac:dyDescent="0.25">
      <c r="B4245" s="704" t="s">
        <v>680</v>
      </c>
      <c r="C4245" s="704" t="s">
        <v>887</v>
      </c>
      <c r="D4245" s="704" t="s">
        <v>563</v>
      </c>
      <c r="E4245" s="704" t="s">
        <v>861</v>
      </c>
      <c r="F4245" s="708"/>
      <c r="G4245" s="705">
        <v>33.40514614602516</v>
      </c>
    </row>
    <row r="4246" spans="2:7" ht="11.25" hidden="1" customHeight="1" outlineLevel="2" x14ac:dyDescent="0.25">
      <c r="B4246" s="704" t="s">
        <v>681</v>
      </c>
      <c r="C4246" s="704" t="s">
        <v>887</v>
      </c>
      <c r="D4246" s="704" t="s">
        <v>563</v>
      </c>
      <c r="E4246" s="704" t="s">
        <v>861</v>
      </c>
      <c r="F4246" s="708"/>
      <c r="G4246" s="705">
        <v>71.810954265567773</v>
      </c>
    </row>
    <row r="4247" spans="2:7" ht="11.25" hidden="1" customHeight="1" outlineLevel="2" x14ac:dyDescent="0.25">
      <c r="B4247" s="704" t="s">
        <v>682</v>
      </c>
      <c r="C4247" s="704" t="s">
        <v>887</v>
      </c>
      <c r="D4247" s="704" t="s">
        <v>563</v>
      </c>
      <c r="E4247" s="704" t="s">
        <v>861</v>
      </c>
      <c r="F4247" s="708"/>
      <c r="G4247" s="705">
        <v>65.494333771240917</v>
      </c>
    </row>
    <row r="4248" spans="2:7" ht="11.25" hidden="1" customHeight="1" outlineLevel="2" x14ac:dyDescent="0.25">
      <c r="B4248" s="704" t="s">
        <v>683</v>
      </c>
      <c r="C4248" s="704" t="s">
        <v>887</v>
      </c>
      <c r="D4248" s="704" t="s">
        <v>563</v>
      </c>
      <c r="E4248" s="704" t="s">
        <v>861</v>
      </c>
      <c r="F4248" s="708"/>
      <c r="G4248" s="705">
        <v>22.766112881333186</v>
      </c>
    </row>
    <row r="4249" spans="2:7" ht="11.25" hidden="1" customHeight="1" outlineLevel="2" x14ac:dyDescent="0.25">
      <c r="B4249" s="704" t="s">
        <v>684</v>
      </c>
      <c r="C4249" s="704" t="s">
        <v>887</v>
      </c>
      <c r="D4249" s="704" t="s">
        <v>563</v>
      </c>
      <c r="E4249" s="704" t="s">
        <v>861</v>
      </c>
      <c r="F4249" s="708"/>
      <c r="G4249" s="705">
        <v>46.676075608131285</v>
      </c>
    </row>
    <row r="4250" spans="2:7" ht="11.25" hidden="1" customHeight="1" outlineLevel="2" x14ac:dyDescent="0.25">
      <c r="B4250" s="704" t="s">
        <v>685</v>
      </c>
      <c r="C4250" s="704" t="s">
        <v>887</v>
      </c>
      <c r="D4250" s="704" t="s">
        <v>563</v>
      </c>
      <c r="E4250" s="704" t="s">
        <v>861</v>
      </c>
      <c r="F4250" s="708"/>
      <c r="G4250" s="705">
        <v>173.76750183652769</v>
      </c>
    </row>
    <row r="4251" spans="2:7" ht="11.25" hidden="1" customHeight="1" outlineLevel="2" x14ac:dyDescent="0.25">
      <c r="B4251" s="704" t="s">
        <v>686</v>
      </c>
      <c r="C4251" s="704" t="s">
        <v>887</v>
      </c>
      <c r="D4251" s="704" t="s">
        <v>563</v>
      </c>
      <c r="E4251" s="704" t="s">
        <v>861</v>
      </c>
      <c r="F4251" s="708"/>
      <c r="G4251" s="705">
        <v>17.077114647904835</v>
      </c>
    </row>
    <row r="4252" spans="2:7" ht="11.25" hidden="1" customHeight="1" outlineLevel="2" x14ac:dyDescent="0.25">
      <c r="B4252" s="704" t="s">
        <v>687</v>
      </c>
      <c r="C4252" s="704" t="s">
        <v>887</v>
      </c>
      <c r="D4252" s="704" t="s">
        <v>563</v>
      </c>
      <c r="E4252" s="704" t="s">
        <v>861</v>
      </c>
      <c r="F4252" s="708"/>
      <c r="G4252" s="705">
        <v>115.9664730093467</v>
      </c>
    </row>
    <row r="4253" spans="2:7" ht="11.25" hidden="1" customHeight="1" outlineLevel="2" x14ac:dyDescent="0.25">
      <c r="B4253" s="704" t="s">
        <v>688</v>
      </c>
      <c r="C4253" s="704" t="s">
        <v>887</v>
      </c>
      <c r="D4253" s="704" t="s">
        <v>563</v>
      </c>
      <c r="E4253" s="704" t="s">
        <v>861</v>
      </c>
      <c r="F4253" s="709"/>
      <c r="G4253" s="705">
        <v>157.50015758457889</v>
      </c>
    </row>
    <row r="4254" spans="2:7" ht="11.25" hidden="1" customHeight="1" outlineLevel="2" x14ac:dyDescent="0.25">
      <c r="B4254" s="704" t="s">
        <v>689</v>
      </c>
      <c r="C4254" s="704" t="s">
        <v>887</v>
      </c>
      <c r="D4254" s="704" t="s">
        <v>563</v>
      </c>
      <c r="E4254" s="704" t="s">
        <v>861</v>
      </c>
      <c r="F4254" s="709"/>
      <c r="G4254" s="705">
        <v>21.192762014833921</v>
      </c>
    </row>
    <row r="4255" spans="2:7" ht="11.25" hidden="1" customHeight="1" outlineLevel="2" x14ac:dyDescent="0.25">
      <c r="B4255" s="704" t="s">
        <v>690</v>
      </c>
      <c r="C4255" s="704" t="s">
        <v>887</v>
      </c>
      <c r="D4255" s="704" t="s">
        <v>563</v>
      </c>
      <c r="E4255" s="704" t="s">
        <v>861</v>
      </c>
      <c r="F4255" s="709"/>
      <c r="G4255" s="705">
        <v>291.52569676993608</v>
      </c>
    </row>
    <row r="4256" spans="2:7" ht="11.25" hidden="1" customHeight="1" outlineLevel="2" x14ac:dyDescent="0.25">
      <c r="B4256" s="704" t="s">
        <v>691</v>
      </c>
      <c r="C4256" s="704" t="s">
        <v>887</v>
      </c>
      <c r="D4256" s="704" t="s">
        <v>563</v>
      </c>
      <c r="E4256" s="704" t="s">
        <v>861</v>
      </c>
      <c r="F4256" s="709"/>
      <c r="G4256" s="705">
        <v>214.04601545325977</v>
      </c>
    </row>
    <row r="4257" spans="2:7" ht="11.25" hidden="1" customHeight="1" outlineLevel="2" x14ac:dyDescent="0.25">
      <c r="B4257" s="704" t="s">
        <v>692</v>
      </c>
      <c r="C4257" s="704" t="s">
        <v>887</v>
      </c>
      <c r="D4257" s="704" t="s">
        <v>563</v>
      </c>
      <c r="E4257" s="704" t="s">
        <v>861</v>
      </c>
      <c r="F4257" s="709"/>
      <c r="G4257" s="705">
        <v>17.532640108658658</v>
      </c>
    </row>
    <row r="4258" spans="2:7" ht="11.25" hidden="1" customHeight="1" outlineLevel="2" x14ac:dyDescent="0.25">
      <c r="B4258" s="704" t="s">
        <v>693</v>
      </c>
      <c r="C4258" s="704" t="s">
        <v>887</v>
      </c>
      <c r="D4258" s="704" t="s">
        <v>563</v>
      </c>
      <c r="E4258" s="704" t="s">
        <v>861</v>
      </c>
      <c r="F4258" s="709"/>
      <c r="G4258" s="705">
        <v>9.4445470664095783</v>
      </c>
    </row>
    <row r="4259" spans="2:7" ht="11.25" hidden="1" customHeight="1" outlineLevel="2" x14ac:dyDescent="0.25">
      <c r="B4259" s="704" t="s">
        <v>694</v>
      </c>
      <c r="C4259" s="704" t="s">
        <v>887</v>
      </c>
      <c r="D4259" s="704" t="s">
        <v>563</v>
      </c>
      <c r="E4259" s="704" t="s">
        <v>861</v>
      </c>
      <c r="F4259" s="709"/>
      <c r="G4259" s="705">
        <v>6.4279601955530214</v>
      </c>
    </row>
    <row r="4260" spans="2:7" ht="11.25" hidden="1" customHeight="1" outlineLevel="2" x14ac:dyDescent="0.25">
      <c r="B4260" s="704" t="s">
        <v>695</v>
      </c>
      <c r="C4260" s="704" t="s">
        <v>887</v>
      </c>
      <c r="D4260" s="704" t="s">
        <v>563</v>
      </c>
      <c r="E4260" s="704" t="s">
        <v>861</v>
      </c>
      <c r="F4260" s="709"/>
      <c r="G4260" s="705">
        <v>45.167830162113887</v>
      </c>
    </row>
    <row r="4261" spans="2:7" ht="11.25" hidden="1" customHeight="1" outlineLevel="2" x14ac:dyDescent="0.25">
      <c r="B4261" s="704" t="s">
        <v>696</v>
      </c>
      <c r="C4261" s="704" t="s">
        <v>887</v>
      </c>
      <c r="D4261" s="704" t="s">
        <v>563</v>
      </c>
      <c r="E4261" s="704" t="s">
        <v>861</v>
      </c>
      <c r="F4261" s="709"/>
      <c r="G4261" s="705">
        <v>162.16680065271757</v>
      </c>
    </row>
    <row r="4262" spans="2:7" ht="11.25" hidden="1" customHeight="1" outlineLevel="2" x14ac:dyDescent="0.25">
      <c r="B4262" s="704" t="s">
        <v>697</v>
      </c>
      <c r="C4262" s="704" t="s">
        <v>887</v>
      </c>
      <c r="D4262" s="704" t="s">
        <v>563</v>
      </c>
      <c r="E4262" s="704" t="s">
        <v>861</v>
      </c>
      <c r="F4262" s="709"/>
      <c r="G4262" s="705">
        <v>81.953951546776935</v>
      </c>
    </row>
    <row r="4263" spans="2:7" ht="11.25" hidden="1" customHeight="1" outlineLevel="2" x14ac:dyDescent="0.25">
      <c r="B4263" s="704" t="s">
        <v>698</v>
      </c>
      <c r="C4263" s="704" t="s">
        <v>887</v>
      </c>
      <c r="D4263" s="704" t="s">
        <v>563</v>
      </c>
      <c r="E4263" s="704" t="s">
        <v>861</v>
      </c>
      <c r="F4263" s="708"/>
      <c r="G4263" s="705">
        <v>21.440033842338725</v>
      </c>
    </row>
    <row r="4264" spans="2:7" ht="11.25" hidden="1" customHeight="1" outlineLevel="2" x14ac:dyDescent="0.25">
      <c r="B4264" s="704" t="s">
        <v>699</v>
      </c>
      <c r="C4264" s="704" t="s">
        <v>887</v>
      </c>
      <c r="D4264" s="704" t="s">
        <v>563</v>
      </c>
      <c r="E4264" s="704" t="s">
        <v>861</v>
      </c>
      <c r="F4264" s="708"/>
      <c r="G4264" s="705">
        <v>390.93129382164426</v>
      </c>
    </row>
    <row r="4265" spans="2:7" ht="11.25" hidden="1" customHeight="1" outlineLevel="2" x14ac:dyDescent="0.25">
      <c r="B4265" s="704" t="s">
        <v>673</v>
      </c>
      <c r="C4265" s="704" t="s">
        <v>888</v>
      </c>
      <c r="D4265" s="704" t="s">
        <v>563</v>
      </c>
      <c r="E4265" s="704" t="s">
        <v>861</v>
      </c>
      <c r="F4265" s="709"/>
      <c r="G4265" s="705">
        <v>964.16756321826358</v>
      </c>
    </row>
    <row r="4266" spans="2:7" ht="11.25" hidden="1" customHeight="1" outlineLevel="2" x14ac:dyDescent="0.25">
      <c r="B4266" s="704" t="s">
        <v>677</v>
      </c>
      <c r="C4266" s="704" t="s">
        <v>888</v>
      </c>
      <c r="D4266" s="704" t="s">
        <v>563</v>
      </c>
      <c r="E4266" s="704" t="s">
        <v>861</v>
      </c>
      <c r="F4266" s="705">
        <v>0.11340818890118315</v>
      </c>
      <c r="G4266" s="705">
        <v>4085.373719001861</v>
      </c>
    </row>
    <row r="4267" spans="2:7" ht="11.25" hidden="1" customHeight="1" outlineLevel="2" x14ac:dyDescent="0.25">
      <c r="B4267" s="704" t="s">
        <v>678</v>
      </c>
      <c r="C4267" s="704" t="s">
        <v>888</v>
      </c>
      <c r="D4267" s="704" t="s">
        <v>563</v>
      </c>
      <c r="E4267" s="704" t="s">
        <v>861</v>
      </c>
      <c r="F4267" s="708"/>
      <c r="G4267" s="705">
        <v>7476.561428363455</v>
      </c>
    </row>
    <row r="4268" spans="2:7" ht="11.25" hidden="1" customHeight="1" outlineLevel="2" x14ac:dyDescent="0.25">
      <c r="B4268" s="704" t="s">
        <v>679</v>
      </c>
      <c r="C4268" s="704" t="s">
        <v>888</v>
      </c>
      <c r="D4268" s="704" t="s">
        <v>563</v>
      </c>
      <c r="E4268" s="704" t="s">
        <v>861</v>
      </c>
      <c r="F4268" s="708"/>
      <c r="G4268" s="705">
        <v>200.06041773682296</v>
      </c>
    </row>
    <row r="4269" spans="2:7" ht="11.25" hidden="1" customHeight="1" outlineLevel="2" x14ac:dyDescent="0.25">
      <c r="B4269" s="704" t="s">
        <v>680</v>
      </c>
      <c r="C4269" s="704" t="s">
        <v>888</v>
      </c>
      <c r="D4269" s="704" t="s">
        <v>563</v>
      </c>
      <c r="E4269" s="704" t="s">
        <v>861</v>
      </c>
      <c r="F4269" s="708"/>
      <c r="G4269" s="705">
        <v>484.7279720429778</v>
      </c>
    </row>
    <row r="4270" spans="2:7" ht="11.25" hidden="1" customHeight="1" outlineLevel="2" x14ac:dyDescent="0.25">
      <c r="B4270" s="704" t="s">
        <v>681</v>
      </c>
      <c r="C4270" s="704" t="s">
        <v>888</v>
      </c>
      <c r="D4270" s="704" t="s">
        <v>563</v>
      </c>
      <c r="E4270" s="704" t="s">
        <v>861</v>
      </c>
      <c r="F4270" s="708"/>
      <c r="G4270" s="705">
        <v>1042.0181119277756</v>
      </c>
    </row>
    <row r="4271" spans="2:7" ht="11.25" hidden="1" customHeight="1" outlineLevel="2" x14ac:dyDescent="0.25">
      <c r="B4271" s="704" t="s">
        <v>682</v>
      </c>
      <c r="C4271" s="704" t="s">
        <v>888</v>
      </c>
      <c r="D4271" s="704" t="s">
        <v>563</v>
      </c>
      <c r="E4271" s="704" t="s">
        <v>861</v>
      </c>
      <c r="F4271" s="708"/>
      <c r="G4271" s="705">
        <v>950.36023081743861</v>
      </c>
    </row>
    <row r="4272" spans="2:7" ht="11.25" hidden="1" customHeight="1" outlineLevel="2" x14ac:dyDescent="0.25">
      <c r="B4272" s="704" t="s">
        <v>683</v>
      </c>
      <c r="C4272" s="704" t="s">
        <v>888</v>
      </c>
      <c r="D4272" s="704" t="s">
        <v>563</v>
      </c>
      <c r="E4272" s="704" t="s">
        <v>861</v>
      </c>
      <c r="F4272" s="708"/>
      <c r="G4272" s="705">
        <v>330.34935218717442</v>
      </c>
    </row>
    <row r="4273" spans="2:7" ht="11.25" hidden="1" customHeight="1" outlineLevel="2" x14ac:dyDescent="0.25">
      <c r="B4273" s="704" t="s">
        <v>684</v>
      </c>
      <c r="C4273" s="704" t="s">
        <v>888</v>
      </c>
      <c r="D4273" s="704" t="s">
        <v>563</v>
      </c>
      <c r="E4273" s="704" t="s">
        <v>861</v>
      </c>
      <c r="F4273" s="708"/>
      <c r="G4273" s="705">
        <v>677.29722689060475</v>
      </c>
    </row>
    <row r="4274" spans="2:7" ht="11.25" hidden="1" customHeight="1" outlineLevel="2" x14ac:dyDescent="0.25">
      <c r="B4274" s="704" t="s">
        <v>685</v>
      </c>
      <c r="C4274" s="704" t="s">
        <v>888</v>
      </c>
      <c r="D4274" s="704" t="s">
        <v>563</v>
      </c>
      <c r="E4274" s="704" t="s">
        <v>861</v>
      </c>
      <c r="F4274" s="708"/>
      <c r="G4274" s="705">
        <v>2521.4658784254534</v>
      </c>
    </row>
    <row r="4275" spans="2:7" ht="11.25" hidden="1" customHeight="1" outlineLevel="2" x14ac:dyDescent="0.25">
      <c r="B4275" s="704" t="s">
        <v>686</v>
      </c>
      <c r="C4275" s="704" t="s">
        <v>888</v>
      </c>
      <c r="D4275" s="704" t="s">
        <v>563</v>
      </c>
      <c r="E4275" s="704" t="s">
        <v>861</v>
      </c>
      <c r="F4275" s="708"/>
      <c r="G4275" s="705">
        <v>247.7989172770869</v>
      </c>
    </row>
    <row r="4276" spans="2:7" ht="11.25" hidden="1" customHeight="1" outlineLevel="2" x14ac:dyDescent="0.25">
      <c r="B4276" s="704" t="s">
        <v>687</v>
      </c>
      <c r="C4276" s="704" t="s">
        <v>888</v>
      </c>
      <c r="D4276" s="704" t="s">
        <v>563</v>
      </c>
      <c r="E4276" s="704" t="s">
        <v>861</v>
      </c>
      <c r="F4276" s="708"/>
      <c r="G4276" s="705">
        <v>1682.7400805883935</v>
      </c>
    </row>
    <row r="4277" spans="2:7" ht="11.25" hidden="1" customHeight="1" outlineLevel="2" x14ac:dyDescent="0.25">
      <c r="B4277" s="704" t="s">
        <v>688</v>
      </c>
      <c r="C4277" s="704" t="s">
        <v>888</v>
      </c>
      <c r="D4277" s="704" t="s">
        <v>563</v>
      </c>
      <c r="E4277" s="704" t="s">
        <v>861</v>
      </c>
      <c r="F4277" s="708"/>
      <c r="G4277" s="705">
        <v>2285.4186549391093</v>
      </c>
    </row>
    <row r="4278" spans="2:7" ht="11.25" hidden="1" customHeight="1" outlineLevel="2" x14ac:dyDescent="0.25">
      <c r="B4278" s="704" t="s">
        <v>689</v>
      </c>
      <c r="C4278" s="704" t="s">
        <v>888</v>
      </c>
      <c r="D4278" s="704" t="s">
        <v>563</v>
      </c>
      <c r="E4278" s="704" t="s">
        <v>861</v>
      </c>
      <c r="F4278" s="708"/>
      <c r="G4278" s="705">
        <v>307.51919980269986</v>
      </c>
    </row>
    <row r="4279" spans="2:7" ht="11.25" hidden="1" customHeight="1" outlineLevel="2" x14ac:dyDescent="0.25">
      <c r="B4279" s="704" t="s">
        <v>690</v>
      </c>
      <c r="C4279" s="704" t="s">
        <v>888</v>
      </c>
      <c r="D4279" s="704" t="s">
        <v>563</v>
      </c>
      <c r="E4279" s="704" t="s">
        <v>861</v>
      </c>
      <c r="F4279" s="708"/>
      <c r="G4279" s="705">
        <v>4230.2041324484071</v>
      </c>
    </row>
    <row r="4280" spans="2:7" ht="11.25" hidden="1" customHeight="1" outlineLevel="2" x14ac:dyDescent="0.25">
      <c r="B4280" s="704" t="s">
        <v>691</v>
      </c>
      <c r="C4280" s="704" t="s">
        <v>888</v>
      </c>
      <c r="D4280" s="704" t="s">
        <v>563</v>
      </c>
      <c r="E4280" s="704" t="s">
        <v>861</v>
      </c>
      <c r="F4280" s="708"/>
      <c r="G4280" s="705">
        <v>3105.9309503026934</v>
      </c>
    </row>
    <row r="4281" spans="2:7" ht="11.25" hidden="1" customHeight="1" outlineLevel="2" x14ac:dyDescent="0.25">
      <c r="B4281" s="704" t="s">
        <v>692</v>
      </c>
      <c r="C4281" s="704" t="s">
        <v>888</v>
      </c>
      <c r="D4281" s="704" t="s">
        <v>563</v>
      </c>
      <c r="E4281" s="704" t="s">
        <v>861</v>
      </c>
      <c r="F4281" s="708"/>
      <c r="G4281" s="705">
        <v>254.40841713546894</v>
      </c>
    </row>
    <row r="4282" spans="2:7" ht="11.25" hidden="1" customHeight="1" outlineLevel="2" x14ac:dyDescent="0.25">
      <c r="B4282" s="704" t="s">
        <v>693</v>
      </c>
      <c r="C4282" s="704" t="s">
        <v>888</v>
      </c>
      <c r="D4282" s="704" t="s">
        <v>563</v>
      </c>
      <c r="E4282" s="704" t="s">
        <v>861</v>
      </c>
      <c r="F4282" s="708"/>
      <c r="G4282" s="705">
        <v>137.04581723302107</v>
      </c>
    </row>
    <row r="4283" spans="2:7" ht="11.25" hidden="1" customHeight="1" outlineLevel="2" x14ac:dyDescent="0.25">
      <c r="B4283" s="704" t="s">
        <v>694</v>
      </c>
      <c r="C4283" s="704" t="s">
        <v>888</v>
      </c>
      <c r="D4283" s="704" t="s">
        <v>563</v>
      </c>
      <c r="E4283" s="704" t="s">
        <v>861</v>
      </c>
      <c r="F4283" s="708"/>
      <c r="G4283" s="705">
        <v>93.273395419545835</v>
      </c>
    </row>
    <row r="4284" spans="2:7" ht="11.25" hidden="1" customHeight="1" outlineLevel="2" x14ac:dyDescent="0.25">
      <c r="B4284" s="704" t="s">
        <v>695</v>
      </c>
      <c r="C4284" s="704" t="s">
        <v>888</v>
      </c>
      <c r="D4284" s="704" t="s">
        <v>563</v>
      </c>
      <c r="E4284" s="704" t="s">
        <v>861</v>
      </c>
      <c r="F4284" s="708"/>
      <c r="G4284" s="705">
        <v>655.41089718192416</v>
      </c>
    </row>
    <row r="4285" spans="2:7" ht="11.25" hidden="1" customHeight="1" outlineLevel="2" x14ac:dyDescent="0.25">
      <c r="B4285" s="704" t="s">
        <v>696</v>
      </c>
      <c r="C4285" s="704" t="s">
        <v>888</v>
      </c>
      <c r="D4285" s="704" t="s">
        <v>563</v>
      </c>
      <c r="E4285" s="704" t="s">
        <v>861</v>
      </c>
      <c r="F4285" s="708"/>
      <c r="G4285" s="705">
        <v>2353.1347110182924</v>
      </c>
    </row>
    <row r="4286" spans="2:7" ht="11.25" hidden="1" customHeight="1" outlineLevel="2" x14ac:dyDescent="0.25">
      <c r="B4286" s="704" t="s">
        <v>697</v>
      </c>
      <c r="C4286" s="704" t="s">
        <v>888</v>
      </c>
      <c r="D4286" s="704" t="s">
        <v>563</v>
      </c>
      <c r="E4286" s="704" t="s">
        <v>861</v>
      </c>
      <c r="F4286" s="709"/>
      <c r="G4286" s="705">
        <v>1189.1987686792472</v>
      </c>
    </row>
    <row r="4287" spans="2:7" ht="11.25" hidden="1" customHeight="1" outlineLevel="2" x14ac:dyDescent="0.25">
      <c r="B4287" s="704" t="s">
        <v>698</v>
      </c>
      <c r="C4287" s="704" t="s">
        <v>888</v>
      </c>
      <c r="D4287" s="704" t="s">
        <v>563</v>
      </c>
      <c r="E4287" s="704" t="s">
        <v>861</v>
      </c>
      <c r="F4287" s="709"/>
      <c r="G4287" s="705">
        <v>311.10721438376669</v>
      </c>
    </row>
    <row r="4288" spans="2:7" ht="11.25" hidden="1" customHeight="1" outlineLevel="2" x14ac:dyDescent="0.25">
      <c r="B4288" s="704" t="s">
        <v>699</v>
      </c>
      <c r="C4288" s="704" t="s">
        <v>888</v>
      </c>
      <c r="D4288" s="704" t="s">
        <v>563</v>
      </c>
      <c r="E4288" s="704" t="s">
        <v>861</v>
      </c>
      <c r="F4288" s="709"/>
      <c r="G4288" s="705">
        <v>5672.6332235832742</v>
      </c>
    </row>
    <row r="4289" spans="2:7" ht="11.25" hidden="1" customHeight="1" outlineLevel="2" x14ac:dyDescent="0.25">
      <c r="B4289" s="704" t="s">
        <v>673</v>
      </c>
      <c r="C4289" s="704" t="s">
        <v>889</v>
      </c>
      <c r="D4289" s="704" t="s">
        <v>563</v>
      </c>
      <c r="E4289" s="704" t="s">
        <v>861</v>
      </c>
      <c r="F4289" s="709"/>
      <c r="G4289" s="705">
        <v>420.82737188225394</v>
      </c>
    </row>
    <row r="4290" spans="2:7" ht="11.25" hidden="1" customHeight="1" outlineLevel="2" x14ac:dyDescent="0.25">
      <c r="B4290" s="704" t="s">
        <v>677</v>
      </c>
      <c r="C4290" s="704" t="s">
        <v>889</v>
      </c>
      <c r="D4290" s="704" t="s">
        <v>563</v>
      </c>
      <c r="E4290" s="704" t="s">
        <v>861</v>
      </c>
      <c r="F4290" s="706">
        <v>6.0026738435033582E-2</v>
      </c>
      <c r="G4290" s="705">
        <v>1783.1313157881639</v>
      </c>
    </row>
    <row r="4291" spans="2:7" ht="11.25" hidden="1" customHeight="1" outlineLevel="2" x14ac:dyDescent="0.25">
      <c r="B4291" s="704" t="s">
        <v>678</v>
      </c>
      <c r="C4291" s="704" t="s">
        <v>889</v>
      </c>
      <c r="D4291" s="704" t="s">
        <v>563</v>
      </c>
      <c r="E4291" s="704" t="s">
        <v>861</v>
      </c>
      <c r="F4291" s="709"/>
      <c r="G4291" s="705">
        <v>3263.2725568514738</v>
      </c>
    </row>
    <row r="4292" spans="2:7" ht="11.25" hidden="1" customHeight="1" outlineLevel="2" x14ac:dyDescent="0.25">
      <c r="B4292" s="704" t="s">
        <v>679</v>
      </c>
      <c r="C4292" s="704" t="s">
        <v>889</v>
      </c>
      <c r="D4292" s="704" t="s">
        <v>563</v>
      </c>
      <c r="E4292" s="704" t="s">
        <v>861</v>
      </c>
      <c r="F4292" s="708"/>
      <c r="G4292" s="705">
        <v>87.319766867505265</v>
      </c>
    </row>
    <row r="4293" spans="2:7" ht="11.25" hidden="1" customHeight="1" outlineLevel="2" x14ac:dyDescent="0.25">
      <c r="B4293" s="704" t="s">
        <v>680</v>
      </c>
      <c r="C4293" s="704" t="s">
        <v>889</v>
      </c>
      <c r="D4293" s="704" t="s">
        <v>563</v>
      </c>
      <c r="E4293" s="704" t="s">
        <v>861</v>
      </c>
      <c r="F4293" s="708"/>
      <c r="G4293" s="705">
        <v>211.56768794948914</v>
      </c>
    </row>
    <row r="4294" spans="2:7" ht="11.25" hidden="1" customHeight="1" outlineLevel="2" x14ac:dyDescent="0.25">
      <c r="B4294" s="704" t="s">
        <v>681</v>
      </c>
      <c r="C4294" s="704" t="s">
        <v>889</v>
      </c>
      <c r="D4294" s="704" t="s">
        <v>563</v>
      </c>
      <c r="E4294" s="704" t="s">
        <v>861</v>
      </c>
      <c r="F4294" s="708"/>
      <c r="G4294" s="705">
        <v>454.80646969246669</v>
      </c>
    </row>
    <row r="4295" spans="2:7" ht="11.25" hidden="1" customHeight="1" outlineLevel="2" x14ac:dyDescent="0.25">
      <c r="B4295" s="704" t="s">
        <v>682</v>
      </c>
      <c r="C4295" s="704" t="s">
        <v>889</v>
      </c>
      <c r="D4295" s="704" t="s">
        <v>563</v>
      </c>
      <c r="E4295" s="704" t="s">
        <v>861</v>
      </c>
      <c r="F4295" s="708"/>
      <c r="G4295" s="705">
        <v>414.80105583686117</v>
      </c>
    </row>
    <row r="4296" spans="2:7" ht="11.25" hidden="1" customHeight="1" outlineLevel="2" x14ac:dyDescent="0.25">
      <c r="B4296" s="704" t="s">
        <v>683</v>
      </c>
      <c r="C4296" s="704" t="s">
        <v>889</v>
      </c>
      <c r="D4296" s="704" t="s">
        <v>563</v>
      </c>
      <c r="E4296" s="704" t="s">
        <v>861</v>
      </c>
      <c r="F4296" s="708"/>
      <c r="G4296" s="705">
        <v>144.18660601624151</v>
      </c>
    </row>
    <row r="4297" spans="2:7" ht="11.25" hidden="1" customHeight="1" outlineLevel="2" x14ac:dyDescent="0.25">
      <c r="B4297" s="704" t="s">
        <v>684</v>
      </c>
      <c r="C4297" s="704" t="s">
        <v>889</v>
      </c>
      <c r="D4297" s="704" t="s">
        <v>563</v>
      </c>
      <c r="E4297" s="704" t="s">
        <v>861</v>
      </c>
      <c r="F4297" s="708"/>
      <c r="G4297" s="705">
        <v>295.61780605150955</v>
      </c>
    </row>
    <row r="4298" spans="2:7" ht="11.25" hidden="1" customHeight="1" outlineLevel="2" x14ac:dyDescent="0.25">
      <c r="B4298" s="704" t="s">
        <v>685</v>
      </c>
      <c r="C4298" s="704" t="s">
        <v>889</v>
      </c>
      <c r="D4298" s="704" t="s">
        <v>563</v>
      </c>
      <c r="E4298" s="704" t="s">
        <v>861</v>
      </c>
      <c r="F4298" s="708"/>
      <c r="G4298" s="705">
        <v>1100.5367875009249</v>
      </c>
    </row>
    <row r="4299" spans="2:7" ht="11.25" hidden="1" customHeight="1" outlineLevel="2" x14ac:dyDescent="0.25">
      <c r="B4299" s="704" t="s">
        <v>686</v>
      </c>
      <c r="C4299" s="704" t="s">
        <v>889</v>
      </c>
      <c r="D4299" s="704" t="s">
        <v>563</v>
      </c>
      <c r="E4299" s="704" t="s">
        <v>861</v>
      </c>
      <c r="F4299" s="708"/>
      <c r="G4299" s="705">
        <v>108.15597380165377</v>
      </c>
    </row>
    <row r="4300" spans="2:7" ht="11.25" hidden="1" customHeight="1" outlineLevel="2" x14ac:dyDescent="0.25">
      <c r="B4300" s="704" t="s">
        <v>687</v>
      </c>
      <c r="C4300" s="704" t="s">
        <v>889</v>
      </c>
      <c r="D4300" s="704" t="s">
        <v>563</v>
      </c>
      <c r="E4300" s="704" t="s">
        <v>861</v>
      </c>
      <c r="F4300" s="708"/>
      <c r="G4300" s="705">
        <v>734.4606577538533</v>
      </c>
    </row>
    <row r="4301" spans="2:7" ht="11.25" hidden="1" customHeight="1" outlineLevel="2" x14ac:dyDescent="0.25">
      <c r="B4301" s="704" t="s">
        <v>688</v>
      </c>
      <c r="C4301" s="704" t="s">
        <v>889</v>
      </c>
      <c r="D4301" s="704" t="s">
        <v>563</v>
      </c>
      <c r="E4301" s="704" t="s">
        <v>861</v>
      </c>
      <c r="F4301" s="708"/>
      <c r="G4301" s="705">
        <v>997.50995852411472</v>
      </c>
    </row>
    <row r="4302" spans="2:7" ht="11.25" hidden="1" customHeight="1" outlineLevel="2" x14ac:dyDescent="0.25">
      <c r="B4302" s="704" t="s">
        <v>689</v>
      </c>
      <c r="C4302" s="704" t="s">
        <v>889</v>
      </c>
      <c r="D4302" s="704" t="s">
        <v>563</v>
      </c>
      <c r="E4302" s="704" t="s">
        <v>861</v>
      </c>
      <c r="F4302" s="708"/>
      <c r="G4302" s="705">
        <v>134.22194837111485</v>
      </c>
    </row>
    <row r="4303" spans="2:7" ht="11.25" hidden="1" customHeight="1" outlineLevel="2" x14ac:dyDescent="0.25">
      <c r="B4303" s="704" t="s">
        <v>690</v>
      </c>
      <c r="C4303" s="704" t="s">
        <v>889</v>
      </c>
      <c r="D4303" s="704" t="s">
        <v>563</v>
      </c>
      <c r="E4303" s="704" t="s">
        <v>861</v>
      </c>
      <c r="F4303" s="708"/>
      <c r="G4303" s="705">
        <v>1846.3459179634647</v>
      </c>
    </row>
    <row r="4304" spans="2:7" ht="11.25" hidden="1" customHeight="1" outlineLevel="2" x14ac:dyDescent="0.25">
      <c r="B4304" s="704" t="s">
        <v>691</v>
      </c>
      <c r="C4304" s="704" t="s">
        <v>889</v>
      </c>
      <c r="D4304" s="704" t="s">
        <v>563</v>
      </c>
      <c r="E4304" s="704" t="s">
        <v>861</v>
      </c>
      <c r="F4304" s="708"/>
      <c r="G4304" s="705">
        <v>1355.6365313813378</v>
      </c>
    </row>
    <row r="4305" spans="2:7" ht="11.25" hidden="1" customHeight="1" outlineLevel="2" x14ac:dyDescent="0.25">
      <c r="B4305" s="704" t="s">
        <v>692</v>
      </c>
      <c r="C4305" s="704" t="s">
        <v>889</v>
      </c>
      <c r="D4305" s="704" t="s">
        <v>563</v>
      </c>
      <c r="E4305" s="704" t="s">
        <v>861</v>
      </c>
      <c r="F4305" s="708"/>
      <c r="G4305" s="705">
        <v>111.04100873450035</v>
      </c>
    </row>
    <row r="4306" spans="2:7" ht="11.25" hidden="1" customHeight="1" outlineLevel="2" x14ac:dyDescent="0.25">
      <c r="B4306" s="704" t="s">
        <v>693</v>
      </c>
      <c r="C4306" s="704" t="s">
        <v>889</v>
      </c>
      <c r="D4306" s="704" t="s">
        <v>563</v>
      </c>
      <c r="E4306" s="704" t="s">
        <v>861</v>
      </c>
      <c r="F4306" s="708"/>
      <c r="G4306" s="705">
        <v>59.815969027499854</v>
      </c>
    </row>
    <row r="4307" spans="2:7" ht="11.25" hidden="1" customHeight="1" outlineLevel="2" x14ac:dyDescent="0.25">
      <c r="B4307" s="704" t="s">
        <v>694</v>
      </c>
      <c r="C4307" s="704" t="s">
        <v>889</v>
      </c>
      <c r="D4307" s="704" t="s">
        <v>563</v>
      </c>
      <c r="E4307" s="704" t="s">
        <v>861</v>
      </c>
      <c r="F4307" s="708"/>
      <c r="G4307" s="705">
        <v>40.710763955247138</v>
      </c>
    </row>
    <row r="4308" spans="2:7" ht="11.25" hidden="1" customHeight="1" outlineLevel="2" x14ac:dyDescent="0.25">
      <c r="B4308" s="704" t="s">
        <v>695</v>
      </c>
      <c r="C4308" s="704" t="s">
        <v>889</v>
      </c>
      <c r="D4308" s="704" t="s">
        <v>563</v>
      </c>
      <c r="E4308" s="704" t="s">
        <v>861</v>
      </c>
      <c r="F4308" s="708"/>
      <c r="G4308" s="705">
        <v>286.06523383300112</v>
      </c>
    </row>
    <row r="4309" spans="2:7" ht="11.25" hidden="1" customHeight="1" outlineLevel="2" x14ac:dyDescent="0.25">
      <c r="B4309" s="704" t="s">
        <v>696</v>
      </c>
      <c r="C4309" s="704" t="s">
        <v>889</v>
      </c>
      <c r="D4309" s="704" t="s">
        <v>563</v>
      </c>
      <c r="E4309" s="704" t="s">
        <v>861</v>
      </c>
      <c r="F4309" s="708"/>
      <c r="G4309" s="705">
        <v>1027.0652716025193</v>
      </c>
    </row>
    <row r="4310" spans="2:7" ht="11.25" hidden="1" customHeight="1" outlineLevel="2" x14ac:dyDescent="0.25">
      <c r="B4310" s="704" t="s">
        <v>697</v>
      </c>
      <c r="C4310" s="704" t="s">
        <v>889</v>
      </c>
      <c r="D4310" s="704" t="s">
        <v>563</v>
      </c>
      <c r="E4310" s="704" t="s">
        <v>861</v>
      </c>
      <c r="F4310" s="708"/>
      <c r="G4310" s="705">
        <v>519.04622186925076</v>
      </c>
    </row>
    <row r="4311" spans="2:7" ht="11.25" hidden="1" customHeight="1" outlineLevel="2" x14ac:dyDescent="0.25">
      <c r="B4311" s="704" t="s">
        <v>698</v>
      </c>
      <c r="C4311" s="704" t="s">
        <v>889</v>
      </c>
      <c r="D4311" s="704" t="s">
        <v>563</v>
      </c>
      <c r="E4311" s="704" t="s">
        <v>861</v>
      </c>
      <c r="F4311" s="708"/>
      <c r="G4311" s="705">
        <v>135.7880429634215</v>
      </c>
    </row>
    <row r="4312" spans="2:7" ht="11.25" hidden="1" customHeight="1" outlineLevel="2" x14ac:dyDescent="0.25">
      <c r="B4312" s="704" t="s">
        <v>699</v>
      </c>
      <c r="C4312" s="704" t="s">
        <v>889</v>
      </c>
      <c r="D4312" s="704" t="s">
        <v>563</v>
      </c>
      <c r="E4312" s="704" t="s">
        <v>861</v>
      </c>
      <c r="F4312" s="708"/>
      <c r="G4312" s="705">
        <v>2475.9197089843001</v>
      </c>
    </row>
    <row r="4313" spans="2:7" ht="11.25" hidden="1" customHeight="1" outlineLevel="2" x14ac:dyDescent="0.25">
      <c r="B4313" s="704" t="s">
        <v>673</v>
      </c>
      <c r="C4313" s="704" t="s">
        <v>890</v>
      </c>
      <c r="D4313" s="704" t="s">
        <v>563</v>
      </c>
      <c r="E4313" s="704" t="s">
        <v>861</v>
      </c>
      <c r="F4313" s="708"/>
      <c r="G4313" s="705">
        <v>427.13535143347184</v>
      </c>
    </row>
    <row r="4314" spans="2:7" ht="11.25" hidden="1" customHeight="1" outlineLevel="2" x14ac:dyDescent="0.25">
      <c r="B4314" s="704" t="s">
        <v>677</v>
      </c>
      <c r="C4314" s="704" t="s">
        <v>890</v>
      </c>
      <c r="D4314" s="704" t="s">
        <v>563</v>
      </c>
      <c r="E4314" s="704" t="s">
        <v>861</v>
      </c>
      <c r="F4314" s="705">
        <v>5.9286149430456549E-2</v>
      </c>
      <c r="G4314" s="705">
        <v>1809.8586097159537</v>
      </c>
    </row>
    <row r="4315" spans="2:7" ht="11.25" hidden="1" customHeight="1" outlineLevel="2" x14ac:dyDescent="0.25">
      <c r="B4315" s="704" t="s">
        <v>678</v>
      </c>
      <c r="C4315" s="704" t="s">
        <v>890</v>
      </c>
      <c r="D4315" s="704" t="s">
        <v>563</v>
      </c>
      <c r="E4315" s="704" t="s">
        <v>861</v>
      </c>
      <c r="F4315" s="708"/>
      <c r="G4315" s="705">
        <v>3312.1855242036368</v>
      </c>
    </row>
    <row r="4316" spans="2:7" ht="11.25" hidden="1" customHeight="1" outlineLevel="2" x14ac:dyDescent="0.25">
      <c r="B4316" s="704" t="s">
        <v>679</v>
      </c>
      <c r="C4316" s="704" t="s">
        <v>890</v>
      </c>
      <c r="D4316" s="704" t="s">
        <v>563</v>
      </c>
      <c r="E4316" s="704" t="s">
        <v>861</v>
      </c>
      <c r="F4316" s="708"/>
      <c r="G4316" s="705">
        <v>88.628604995621345</v>
      </c>
    </row>
    <row r="4317" spans="2:7" ht="11.25" hidden="1" customHeight="1" outlineLevel="2" x14ac:dyDescent="0.25">
      <c r="B4317" s="704" t="s">
        <v>680</v>
      </c>
      <c r="C4317" s="704" t="s">
        <v>890</v>
      </c>
      <c r="D4317" s="704" t="s">
        <v>563</v>
      </c>
      <c r="E4317" s="704" t="s">
        <v>861</v>
      </c>
      <c r="F4317" s="708"/>
      <c r="G4317" s="705">
        <v>214.73893747446098</v>
      </c>
    </row>
    <row r="4318" spans="2:7" ht="11.25" hidden="1" customHeight="1" outlineLevel="2" x14ac:dyDescent="0.25">
      <c r="B4318" s="704" t="s">
        <v>681</v>
      </c>
      <c r="C4318" s="704" t="s">
        <v>890</v>
      </c>
      <c r="D4318" s="704" t="s">
        <v>563</v>
      </c>
      <c r="E4318" s="704" t="s">
        <v>861</v>
      </c>
      <c r="F4318" s="708"/>
      <c r="G4318" s="705">
        <v>461.62362739134016</v>
      </c>
    </row>
    <row r="4319" spans="2:7" ht="11.25" hidden="1" customHeight="1" outlineLevel="2" x14ac:dyDescent="0.25">
      <c r="B4319" s="704" t="s">
        <v>682</v>
      </c>
      <c r="C4319" s="704" t="s">
        <v>890</v>
      </c>
      <c r="D4319" s="704" t="s">
        <v>563</v>
      </c>
      <c r="E4319" s="704" t="s">
        <v>861</v>
      </c>
      <c r="F4319" s="708"/>
      <c r="G4319" s="705">
        <v>421.01852841800468</v>
      </c>
    </row>
    <row r="4320" spans="2:7" ht="11.25" hidden="1" customHeight="1" outlineLevel="2" x14ac:dyDescent="0.25">
      <c r="B4320" s="704" t="s">
        <v>683</v>
      </c>
      <c r="C4320" s="704" t="s">
        <v>890</v>
      </c>
      <c r="D4320" s="704" t="s">
        <v>563</v>
      </c>
      <c r="E4320" s="704" t="s">
        <v>861</v>
      </c>
      <c r="F4320" s="708"/>
      <c r="G4320" s="705">
        <v>146.34783390126188</v>
      </c>
    </row>
    <row r="4321" spans="2:7" ht="11.25" hidden="1" customHeight="1" outlineLevel="2" x14ac:dyDescent="0.25">
      <c r="B4321" s="704" t="s">
        <v>684</v>
      </c>
      <c r="C4321" s="704" t="s">
        <v>890</v>
      </c>
      <c r="D4321" s="704" t="s">
        <v>563</v>
      </c>
      <c r="E4321" s="704" t="s">
        <v>861</v>
      </c>
      <c r="F4321" s="708"/>
      <c r="G4321" s="705">
        <v>300.04889109156073</v>
      </c>
    </row>
    <row r="4322" spans="2:7" ht="11.25" hidden="1" customHeight="1" outlineLevel="2" x14ac:dyDescent="0.25">
      <c r="B4322" s="704" t="s">
        <v>685</v>
      </c>
      <c r="C4322" s="704" t="s">
        <v>890</v>
      </c>
      <c r="D4322" s="704" t="s">
        <v>563</v>
      </c>
      <c r="E4322" s="704" t="s">
        <v>861</v>
      </c>
      <c r="F4322" s="708"/>
      <c r="G4322" s="705">
        <v>1117.0329701713424</v>
      </c>
    </row>
    <row r="4323" spans="2:7" ht="11.25" hidden="1" customHeight="1" outlineLevel="2" x14ac:dyDescent="0.25">
      <c r="B4323" s="704" t="s">
        <v>686</v>
      </c>
      <c r="C4323" s="704" t="s">
        <v>890</v>
      </c>
      <c r="D4323" s="704" t="s">
        <v>563</v>
      </c>
      <c r="E4323" s="704" t="s">
        <v>861</v>
      </c>
      <c r="F4323" s="708"/>
      <c r="G4323" s="705">
        <v>109.77711108783986</v>
      </c>
    </row>
    <row r="4324" spans="2:7" ht="11.25" hidden="1" customHeight="1" outlineLevel="2" x14ac:dyDescent="0.25">
      <c r="B4324" s="704" t="s">
        <v>687</v>
      </c>
      <c r="C4324" s="704" t="s">
        <v>890</v>
      </c>
      <c r="D4324" s="704" t="s">
        <v>563</v>
      </c>
      <c r="E4324" s="704" t="s">
        <v>861</v>
      </c>
      <c r="F4324" s="708"/>
      <c r="G4324" s="705">
        <v>745.46927106436704</v>
      </c>
    </row>
    <row r="4325" spans="2:7" ht="11.25" hidden="1" customHeight="1" outlineLevel="2" x14ac:dyDescent="0.25">
      <c r="B4325" s="704" t="s">
        <v>688</v>
      </c>
      <c r="C4325" s="704" t="s">
        <v>890</v>
      </c>
      <c r="D4325" s="704" t="s">
        <v>563</v>
      </c>
      <c r="E4325" s="704" t="s">
        <v>861</v>
      </c>
      <c r="F4325" s="708"/>
      <c r="G4325" s="705">
        <v>1012.4617727242946</v>
      </c>
    </row>
    <row r="4326" spans="2:7" ht="11.25" hidden="1" customHeight="1" outlineLevel="2" x14ac:dyDescent="0.25">
      <c r="B4326" s="704" t="s">
        <v>689</v>
      </c>
      <c r="C4326" s="704" t="s">
        <v>890</v>
      </c>
      <c r="D4326" s="704" t="s">
        <v>563</v>
      </c>
      <c r="E4326" s="704" t="s">
        <v>861</v>
      </c>
      <c r="F4326" s="708"/>
      <c r="G4326" s="705">
        <v>136.23380810522033</v>
      </c>
    </row>
    <row r="4327" spans="2:7" ht="11.25" hidden="1" customHeight="1" outlineLevel="2" x14ac:dyDescent="0.25">
      <c r="B4327" s="704" t="s">
        <v>690</v>
      </c>
      <c r="C4327" s="704" t="s">
        <v>890</v>
      </c>
      <c r="D4327" s="704" t="s">
        <v>563</v>
      </c>
      <c r="E4327" s="704" t="s">
        <v>861</v>
      </c>
      <c r="F4327" s="708"/>
      <c r="G4327" s="705">
        <v>1874.0200226123509</v>
      </c>
    </row>
    <row r="4328" spans="2:7" ht="11.25" hidden="1" customHeight="1" outlineLevel="2" x14ac:dyDescent="0.25">
      <c r="B4328" s="704" t="s">
        <v>691</v>
      </c>
      <c r="C4328" s="704" t="s">
        <v>890</v>
      </c>
      <c r="D4328" s="704" t="s">
        <v>563</v>
      </c>
      <c r="E4328" s="704" t="s">
        <v>861</v>
      </c>
      <c r="F4328" s="708"/>
      <c r="G4328" s="705">
        <v>1375.9563533279991</v>
      </c>
    </row>
    <row r="4329" spans="2:7" ht="11.25" hidden="1" customHeight="1" outlineLevel="2" x14ac:dyDescent="0.25">
      <c r="B4329" s="704" t="s">
        <v>692</v>
      </c>
      <c r="C4329" s="704" t="s">
        <v>890</v>
      </c>
      <c r="D4329" s="704" t="s">
        <v>563</v>
      </c>
      <c r="E4329" s="704" t="s">
        <v>861</v>
      </c>
      <c r="F4329" s="708"/>
      <c r="G4329" s="705">
        <v>112.70538373622929</v>
      </c>
    </row>
    <row r="4330" spans="2:7" ht="11.25" hidden="1" customHeight="1" outlineLevel="2" x14ac:dyDescent="0.25">
      <c r="B4330" s="704" t="s">
        <v>693</v>
      </c>
      <c r="C4330" s="704" t="s">
        <v>890</v>
      </c>
      <c r="D4330" s="704" t="s">
        <v>563</v>
      </c>
      <c r="E4330" s="704" t="s">
        <v>861</v>
      </c>
      <c r="F4330" s="708"/>
      <c r="G4330" s="705">
        <v>60.712559935906654</v>
      </c>
    </row>
    <row r="4331" spans="2:7" ht="11.25" hidden="1" customHeight="1" outlineLevel="2" x14ac:dyDescent="0.25">
      <c r="B4331" s="704" t="s">
        <v>694</v>
      </c>
      <c r="C4331" s="704" t="s">
        <v>890</v>
      </c>
      <c r="D4331" s="704" t="s">
        <v>563</v>
      </c>
      <c r="E4331" s="704" t="s">
        <v>861</v>
      </c>
      <c r="F4331" s="708"/>
      <c r="G4331" s="705">
        <v>41.320967911219398</v>
      </c>
    </row>
    <row r="4332" spans="2:7" ht="11.25" hidden="1" customHeight="1" outlineLevel="2" x14ac:dyDescent="0.25">
      <c r="B4332" s="704" t="s">
        <v>695</v>
      </c>
      <c r="C4332" s="704" t="s">
        <v>890</v>
      </c>
      <c r="D4332" s="704" t="s">
        <v>563</v>
      </c>
      <c r="E4332" s="704" t="s">
        <v>861</v>
      </c>
      <c r="F4332" s="709"/>
      <c r="G4332" s="705">
        <v>290.3529869570167</v>
      </c>
    </row>
    <row r="4333" spans="2:7" ht="11.25" hidden="1" customHeight="1" outlineLevel="2" x14ac:dyDescent="0.25">
      <c r="B4333" s="704" t="s">
        <v>696</v>
      </c>
      <c r="C4333" s="704" t="s">
        <v>890</v>
      </c>
      <c r="D4333" s="704" t="s">
        <v>563</v>
      </c>
      <c r="E4333" s="704" t="s">
        <v>861</v>
      </c>
      <c r="F4333" s="709"/>
      <c r="G4333" s="705">
        <v>1042.4598777585547</v>
      </c>
    </row>
    <row r="4334" spans="2:7" ht="11.25" hidden="1" customHeight="1" outlineLevel="2" x14ac:dyDescent="0.25">
      <c r="B4334" s="704" t="s">
        <v>697</v>
      </c>
      <c r="C4334" s="704" t="s">
        <v>890</v>
      </c>
      <c r="D4334" s="704" t="s">
        <v>563</v>
      </c>
      <c r="E4334" s="704" t="s">
        <v>861</v>
      </c>
      <c r="F4334" s="709"/>
      <c r="G4334" s="705">
        <v>526.826010541963</v>
      </c>
    </row>
    <row r="4335" spans="2:7" ht="11.25" hidden="1" customHeight="1" outlineLevel="2" x14ac:dyDescent="0.25">
      <c r="B4335" s="704" t="s">
        <v>698</v>
      </c>
      <c r="C4335" s="704" t="s">
        <v>890</v>
      </c>
      <c r="D4335" s="704" t="s">
        <v>563</v>
      </c>
      <c r="E4335" s="704" t="s">
        <v>861</v>
      </c>
      <c r="F4335" s="709"/>
      <c r="G4335" s="705">
        <v>137.82335472325181</v>
      </c>
    </row>
    <row r="4336" spans="2:7" ht="11.25" hidden="1" customHeight="1" outlineLevel="2" x14ac:dyDescent="0.25">
      <c r="B4336" s="704" t="s">
        <v>699</v>
      </c>
      <c r="C4336" s="704" t="s">
        <v>890</v>
      </c>
      <c r="D4336" s="704" t="s">
        <v>563</v>
      </c>
      <c r="E4336" s="704" t="s">
        <v>861</v>
      </c>
      <c r="F4336" s="709"/>
      <c r="G4336" s="705">
        <v>2513.0314417628451</v>
      </c>
    </row>
    <row r="4337" spans="2:7" ht="11.25" hidden="1" customHeight="1" outlineLevel="2" x14ac:dyDescent="0.25">
      <c r="B4337" s="704" t="s">
        <v>673</v>
      </c>
      <c r="C4337" s="704" t="s">
        <v>891</v>
      </c>
      <c r="D4337" s="704" t="s">
        <v>563</v>
      </c>
      <c r="E4337" s="704" t="s">
        <v>861</v>
      </c>
      <c r="F4337" s="709"/>
      <c r="G4337" s="705">
        <v>16.420604497432766</v>
      </c>
    </row>
    <row r="4338" spans="2:7" ht="11.25" hidden="1" customHeight="1" outlineLevel="2" x14ac:dyDescent="0.25">
      <c r="B4338" s="704" t="s">
        <v>677</v>
      </c>
      <c r="C4338" s="704" t="s">
        <v>891</v>
      </c>
      <c r="D4338" s="704" t="s">
        <v>563</v>
      </c>
      <c r="E4338" s="704" t="s">
        <v>861</v>
      </c>
      <c r="F4338" s="706">
        <v>2.9190354804197243E-3</v>
      </c>
      <c r="G4338" s="705">
        <v>69.577419224102485</v>
      </c>
    </row>
    <row r="4339" spans="2:7" ht="11.25" hidden="1" customHeight="1" outlineLevel="2" x14ac:dyDescent="0.25">
      <c r="B4339" s="704" t="s">
        <v>678</v>
      </c>
      <c r="C4339" s="704" t="s">
        <v>891</v>
      </c>
      <c r="D4339" s="704" t="s">
        <v>563</v>
      </c>
      <c r="E4339" s="704" t="s">
        <v>861</v>
      </c>
      <c r="F4339" s="709"/>
      <c r="G4339" s="705">
        <v>127.33219968834945</v>
      </c>
    </row>
    <row r="4340" spans="2:7" ht="11.25" hidden="1" customHeight="1" outlineLevel="2" x14ac:dyDescent="0.25">
      <c r="B4340" s="704" t="s">
        <v>679</v>
      </c>
      <c r="C4340" s="704" t="s">
        <v>891</v>
      </c>
      <c r="D4340" s="704" t="s">
        <v>563</v>
      </c>
      <c r="E4340" s="704" t="s">
        <v>861</v>
      </c>
      <c r="F4340" s="709"/>
      <c r="G4340" s="705">
        <v>3.4071999139075526</v>
      </c>
    </row>
    <row r="4341" spans="2:7" ht="11.25" hidden="1" customHeight="1" outlineLevel="2" x14ac:dyDescent="0.25">
      <c r="B4341" s="704" t="s">
        <v>680</v>
      </c>
      <c r="C4341" s="704" t="s">
        <v>891</v>
      </c>
      <c r="D4341" s="704" t="s">
        <v>563</v>
      </c>
      <c r="E4341" s="704" t="s">
        <v>861</v>
      </c>
      <c r="F4341" s="709"/>
      <c r="G4341" s="705">
        <v>8.2553299560391729</v>
      </c>
    </row>
    <row r="4342" spans="2:7" ht="11.25" hidden="1" customHeight="1" outlineLevel="2" x14ac:dyDescent="0.25">
      <c r="B4342" s="704" t="s">
        <v>681</v>
      </c>
      <c r="C4342" s="704" t="s">
        <v>891</v>
      </c>
      <c r="D4342" s="704" t="s">
        <v>563</v>
      </c>
      <c r="E4342" s="704" t="s">
        <v>861</v>
      </c>
      <c r="F4342" s="709"/>
      <c r="G4342" s="705">
        <v>17.746459918862445</v>
      </c>
    </row>
    <row r="4343" spans="2:7" ht="11.25" hidden="1" customHeight="1" outlineLevel="2" x14ac:dyDescent="0.25">
      <c r="B4343" s="704" t="s">
        <v>682</v>
      </c>
      <c r="C4343" s="704" t="s">
        <v>891</v>
      </c>
      <c r="D4343" s="704" t="s">
        <v>563</v>
      </c>
      <c r="E4343" s="704" t="s">
        <v>861</v>
      </c>
      <c r="F4343" s="709"/>
      <c r="G4343" s="705">
        <v>16.18545329909329</v>
      </c>
    </row>
    <row r="4344" spans="2:7" ht="11.25" hidden="1" customHeight="1" outlineLevel="2" x14ac:dyDescent="0.25">
      <c r="B4344" s="704" t="s">
        <v>683</v>
      </c>
      <c r="C4344" s="704" t="s">
        <v>891</v>
      </c>
      <c r="D4344" s="704" t="s">
        <v>563</v>
      </c>
      <c r="E4344" s="704" t="s">
        <v>861</v>
      </c>
      <c r="F4344" s="709"/>
      <c r="G4344" s="705">
        <v>5.6261341391241579</v>
      </c>
    </row>
    <row r="4345" spans="2:7" ht="11.25" hidden="1" customHeight="1" outlineLevel="2" x14ac:dyDescent="0.25">
      <c r="B4345" s="704" t="s">
        <v>684</v>
      </c>
      <c r="C4345" s="704" t="s">
        <v>891</v>
      </c>
      <c r="D4345" s="704" t="s">
        <v>563</v>
      </c>
      <c r="E4345" s="704" t="s">
        <v>861</v>
      </c>
      <c r="F4345" s="709"/>
      <c r="G4345" s="705">
        <v>11.534946771070983</v>
      </c>
    </row>
    <row r="4346" spans="2:7" ht="11.25" hidden="1" customHeight="1" outlineLevel="2" x14ac:dyDescent="0.25">
      <c r="B4346" s="704" t="s">
        <v>685</v>
      </c>
      <c r="C4346" s="704" t="s">
        <v>891</v>
      </c>
      <c r="D4346" s="704" t="s">
        <v>563</v>
      </c>
      <c r="E4346" s="704" t="s">
        <v>861</v>
      </c>
      <c r="F4346" s="709"/>
      <c r="G4346" s="705">
        <v>42.942735560875029</v>
      </c>
    </row>
    <row r="4347" spans="2:7" ht="11.25" hidden="1" customHeight="1" outlineLevel="2" x14ac:dyDescent="0.25">
      <c r="B4347" s="704" t="s">
        <v>686</v>
      </c>
      <c r="C4347" s="704" t="s">
        <v>891</v>
      </c>
      <c r="D4347" s="704" t="s">
        <v>563</v>
      </c>
      <c r="E4347" s="704" t="s">
        <v>861</v>
      </c>
      <c r="F4347" s="709"/>
      <c r="G4347" s="705">
        <v>4.2202248348910976</v>
      </c>
    </row>
    <row r="4348" spans="2:7" ht="11.25" hidden="1" customHeight="1" outlineLevel="2" x14ac:dyDescent="0.25">
      <c r="B4348" s="704" t="s">
        <v>687</v>
      </c>
      <c r="C4348" s="704" t="s">
        <v>891</v>
      </c>
      <c r="D4348" s="704" t="s">
        <v>563</v>
      </c>
      <c r="E4348" s="704" t="s">
        <v>861</v>
      </c>
      <c r="F4348" s="709"/>
      <c r="G4348" s="705">
        <v>28.658502356218367</v>
      </c>
    </row>
    <row r="4349" spans="2:7" ht="11.25" hidden="1" customHeight="1" outlineLevel="2" x14ac:dyDescent="0.25">
      <c r="B4349" s="704" t="s">
        <v>688</v>
      </c>
      <c r="C4349" s="704" t="s">
        <v>891</v>
      </c>
      <c r="D4349" s="704" t="s">
        <v>563</v>
      </c>
      <c r="E4349" s="704" t="s">
        <v>861</v>
      </c>
      <c r="F4349" s="709"/>
      <c r="G4349" s="705">
        <v>38.922630976660585</v>
      </c>
    </row>
    <row r="4350" spans="2:7" ht="11.25" hidden="1" customHeight="1" outlineLevel="2" x14ac:dyDescent="0.25">
      <c r="B4350" s="704" t="s">
        <v>689</v>
      </c>
      <c r="C4350" s="704" t="s">
        <v>891</v>
      </c>
      <c r="D4350" s="704" t="s">
        <v>563</v>
      </c>
      <c r="E4350" s="704" t="s">
        <v>861</v>
      </c>
      <c r="F4350" s="709"/>
      <c r="G4350" s="705">
        <v>5.2373122617885111</v>
      </c>
    </row>
    <row r="4351" spans="2:7" ht="11.25" hidden="1" customHeight="1" outlineLevel="2" x14ac:dyDescent="0.25">
      <c r="B4351" s="704" t="s">
        <v>690</v>
      </c>
      <c r="C4351" s="704" t="s">
        <v>891</v>
      </c>
      <c r="D4351" s="704" t="s">
        <v>563</v>
      </c>
      <c r="E4351" s="704" t="s">
        <v>861</v>
      </c>
      <c r="F4351" s="709"/>
      <c r="G4351" s="705">
        <v>72.043985497047956</v>
      </c>
    </row>
    <row r="4352" spans="2:7" ht="11.25" hidden="1" customHeight="1" outlineLevel="2" x14ac:dyDescent="0.25">
      <c r="B4352" s="704" t="s">
        <v>691</v>
      </c>
      <c r="C4352" s="704" t="s">
        <v>891</v>
      </c>
      <c r="D4352" s="704" t="s">
        <v>563</v>
      </c>
      <c r="E4352" s="704" t="s">
        <v>861</v>
      </c>
      <c r="F4352" s="709"/>
      <c r="G4352" s="705">
        <v>52.896664725519564</v>
      </c>
    </row>
    <row r="4353" spans="2:7" ht="11.25" hidden="1" customHeight="1" outlineLevel="2" x14ac:dyDescent="0.25">
      <c r="B4353" s="704" t="s">
        <v>692</v>
      </c>
      <c r="C4353" s="704" t="s">
        <v>891</v>
      </c>
      <c r="D4353" s="704" t="s">
        <v>563</v>
      </c>
      <c r="E4353" s="704" t="s">
        <v>861</v>
      </c>
      <c r="F4353" s="709"/>
      <c r="G4353" s="705">
        <v>4.3327957042858358</v>
      </c>
    </row>
    <row r="4354" spans="2:7" ht="11.25" hidden="1" customHeight="1" outlineLevel="2" x14ac:dyDescent="0.25">
      <c r="B4354" s="704" t="s">
        <v>693</v>
      </c>
      <c r="C4354" s="704" t="s">
        <v>891</v>
      </c>
      <c r="D4354" s="704" t="s">
        <v>563</v>
      </c>
      <c r="E4354" s="704" t="s">
        <v>861</v>
      </c>
      <c r="F4354" s="709"/>
      <c r="G4354" s="705">
        <v>2.3340073810470856</v>
      </c>
    </row>
    <row r="4355" spans="2:7" ht="11.25" hidden="1" customHeight="1" outlineLevel="2" x14ac:dyDescent="0.25">
      <c r="B4355" s="704" t="s">
        <v>694</v>
      </c>
      <c r="C4355" s="704" t="s">
        <v>891</v>
      </c>
      <c r="D4355" s="704" t="s">
        <v>563</v>
      </c>
      <c r="E4355" s="704" t="s">
        <v>861</v>
      </c>
      <c r="F4355" s="709"/>
      <c r="G4355" s="705">
        <v>1.5885259024588489</v>
      </c>
    </row>
    <row r="4356" spans="2:7" ht="11.25" hidden="1" customHeight="1" outlineLevel="2" x14ac:dyDescent="0.25">
      <c r="B4356" s="704" t="s">
        <v>695</v>
      </c>
      <c r="C4356" s="704" t="s">
        <v>891</v>
      </c>
      <c r="D4356" s="704" t="s">
        <v>563</v>
      </c>
      <c r="E4356" s="704" t="s">
        <v>861</v>
      </c>
      <c r="F4356" s="709"/>
      <c r="G4356" s="705">
        <v>11.162206115542936</v>
      </c>
    </row>
    <row r="4357" spans="2:7" ht="11.25" hidden="1" customHeight="1" outlineLevel="2" x14ac:dyDescent="0.25">
      <c r="B4357" s="704" t="s">
        <v>696</v>
      </c>
      <c r="C4357" s="704" t="s">
        <v>891</v>
      </c>
      <c r="D4357" s="704" t="s">
        <v>563</v>
      </c>
      <c r="E4357" s="704" t="s">
        <v>861</v>
      </c>
      <c r="F4357" s="708"/>
      <c r="G4357" s="705">
        <v>40.075866510922239</v>
      </c>
    </row>
    <row r="4358" spans="2:7" ht="11.25" hidden="1" customHeight="1" outlineLevel="2" x14ac:dyDescent="0.25">
      <c r="B4358" s="704" t="s">
        <v>697</v>
      </c>
      <c r="C4358" s="704" t="s">
        <v>891</v>
      </c>
      <c r="D4358" s="704" t="s">
        <v>563</v>
      </c>
      <c r="E4358" s="704" t="s">
        <v>861</v>
      </c>
      <c r="F4358" s="708"/>
      <c r="G4358" s="705">
        <v>20.253077445864474</v>
      </c>
    </row>
    <row r="4359" spans="2:7" ht="11.25" hidden="1" customHeight="1" outlineLevel="2" x14ac:dyDescent="0.25">
      <c r="B4359" s="704" t="s">
        <v>698</v>
      </c>
      <c r="C4359" s="704" t="s">
        <v>891</v>
      </c>
      <c r="D4359" s="704" t="s">
        <v>563</v>
      </c>
      <c r="E4359" s="704" t="s">
        <v>861</v>
      </c>
      <c r="F4359" s="708"/>
      <c r="G4359" s="705">
        <v>5.2984218559263185</v>
      </c>
    </row>
    <row r="4360" spans="2:7" ht="11.25" hidden="1" customHeight="1" outlineLevel="2" x14ac:dyDescent="0.25">
      <c r="B4360" s="704" t="s">
        <v>699</v>
      </c>
      <c r="C4360" s="704" t="s">
        <v>891</v>
      </c>
      <c r="D4360" s="704" t="s">
        <v>563</v>
      </c>
      <c r="E4360" s="704" t="s">
        <v>861</v>
      </c>
      <c r="F4360" s="708"/>
      <c r="G4360" s="705">
        <v>96.609876106145265</v>
      </c>
    </row>
    <row r="4361" spans="2:7" ht="11.25" hidden="1" customHeight="1" outlineLevel="2" x14ac:dyDescent="0.25">
      <c r="B4361" s="704" t="s">
        <v>673</v>
      </c>
      <c r="C4361" s="704" t="s">
        <v>892</v>
      </c>
      <c r="D4361" s="704" t="s">
        <v>563</v>
      </c>
      <c r="E4361" s="704" t="s">
        <v>861</v>
      </c>
      <c r="F4361" s="708"/>
      <c r="G4361" s="705">
        <v>1389.7914665156632</v>
      </c>
    </row>
    <row r="4362" spans="2:7" ht="11.25" hidden="1" customHeight="1" outlineLevel="2" x14ac:dyDescent="0.25">
      <c r="B4362" s="704" t="s">
        <v>677</v>
      </c>
      <c r="C4362" s="704" t="s">
        <v>892</v>
      </c>
      <c r="D4362" s="704" t="s">
        <v>563</v>
      </c>
      <c r="E4362" s="704" t="s">
        <v>861</v>
      </c>
      <c r="F4362" s="705">
        <v>0.34716001822801501</v>
      </c>
      <c r="G4362" s="705">
        <v>9429.7069584766014</v>
      </c>
    </row>
    <row r="4363" spans="2:7" ht="11.25" hidden="1" customHeight="1" outlineLevel="2" x14ac:dyDescent="0.25">
      <c r="B4363" s="704" t="s">
        <v>678</v>
      </c>
      <c r="C4363" s="704" t="s">
        <v>892</v>
      </c>
      <c r="D4363" s="704" t="s">
        <v>563</v>
      </c>
      <c r="E4363" s="704" t="s">
        <v>861</v>
      </c>
      <c r="F4363" s="708"/>
      <c r="G4363" s="705">
        <v>14435.690907101165</v>
      </c>
    </row>
    <row r="4364" spans="2:7" ht="11.25" hidden="1" customHeight="1" outlineLevel="2" x14ac:dyDescent="0.25">
      <c r="B4364" s="704" t="s">
        <v>679</v>
      </c>
      <c r="C4364" s="704" t="s">
        <v>892</v>
      </c>
      <c r="D4364" s="704" t="s">
        <v>563</v>
      </c>
      <c r="E4364" s="704" t="s">
        <v>861</v>
      </c>
      <c r="F4364" s="708"/>
      <c r="G4364" s="705">
        <v>1519.4956602554444</v>
      </c>
    </row>
    <row r="4365" spans="2:7" ht="11.25" hidden="1" customHeight="1" outlineLevel="2" x14ac:dyDescent="0.25">
      <c r="B4365" s="704" t="s">
        <v>680</v>
      </c>
      <c r="C4365" s="704" t="s">
        <v>892</v>
      </c>
      <c r="D4365" s="704" t="s">
        <v>563</v>
      </c>
      <c r="E4365" s="704" t="s">
        <v>861</v>
      </c>
      <c r="F4365" s="708"/>
      <c r="G4365" s="705">
        <v>569.95442395293242</v>
      </c>
    </row>
    <row r="4366" spans="2:7" ht="11.25" hidden="1" customHeight="1" outlineLevel="2" x14ac:dyDescent="0.25">
      <c r="B4366" s="704" t="s">
        <v>681</v>
      </c>
      <c r="C4366" s="704" t="s">
        <v>892</v>
      </c>
      <c r="D4366" s="704" t="s">
        <v>563</v>
      </c>
      <c r="E4366" s="704" t="s">
        <v>861</v>
      </c>
      <c r="F4366" s="708"/>
      <c r="G4366" s="705">
        <v>2992.281414077916</v>
      </c>
    </row>
    <row r="4367" spans="2:7" ht="11.25" hidden="1" customHeight="1" outlineLevel="2" x14ac:dyDescent="0.25">
      <c r="B4367" s="704" t="s">
        <v>682</v>
      </c>
      <c r="C4367" s="704" t="s">
        <v>892</v>
      </c>
      <c r="D4367" s="704" t="s">
        <v>563</v>
      </c>
      <c r="E4367" s="704" t="s">
        <v>861</v>
      </c>
      <c r="F4367" s="708"/>
      <c r="G4367" s="705">
        <v>1697.1855198050157</v>
      </c>
    </row>
    <row r="4368" spans="2:7" ht="11.25" hidden="1" customHeight="1" outlineLevel="2" x14ac:dyDescent="0.25">
      <c r="B4368" s="704" t="s">
        <v>683</v>
      </c>
      <c r="C4368" s="704" t="s">
        <v>892</v>
      </c>
      <c r="D4368" s="704" t="s">
        <v>563</v>
      </c>
      <c r="E4368" s="704" t="s">
        <v>861</v>
      </c>
      <c r="F4368" s="708"/>
      <c r="G4368" s="705">
        <v>2408.0360283179816</v>
      </c>
    </row>
    <row r="4369" spans="2:7" ht="11.25" hidden="1" customHeight="1" outlineLevel="2" x14ac:dyDescent="0.25">
      <c r="B4369" s="704" t="s">
        <v>684</v>
      </c>
      <c r="C4369" s="704" t="s">
        <v>892</v>
      </c>
      <c r="D4369" s="704" t="s">
        <v>563</v>
      </c>
      <c r="E4369" s="704" t="s">
        <v>861</v>
      </c>
      <c r="F4369" s="708"/>
      <c r="G4369" s="705">
        <v>572.7152177249485</v>
      </c>
    </row>
    <row r="4370" spans="2:7" ht="11.25" hidden="1" customHeight="1" outlineLevel="2" x14ac:dyDescent="0.25">
      <c r="B4370" s="704" t="s">
        <v>685</v>
      </c>
      <c r="C4370" s="704" t="s">
        <v>892</v>
      </c>
      <c r="D4370" s="704" t="s">
        <v>563</v>
      </c>
      <c r="E4370" s="704" t="s">
        <v>861</v>
      </c>
      <c r="F4370" s="708"/>
      <c r="G4370" s="705">
        <v>3927.2117245516311</v>
      </c>
    </row>
    <row r="4371" spans="2:7" ht="11.25" hidden="1" customHeight="1" outlineLevel="2" x14ac:dyDescent="0.25">
      <c r="B4371" s="704" t="s">
        <v>686</v>
      </c>
      <c r="C4371" s="704" t="s">
        <v>892</v>
      </c>
      <c r="D4371" s="704" t="s">
        <v>563</v>
      </c>
      <c r="E4371" s="704" t="s">
        <v>861</v>
      </c>
      <c r="F4371" s="708"/>
      <c r="G4371" s="705">
        <v>561.84073363483833</v>
      </c>
    </row>
    <row r="4372" spans="2:7" ht="11.25" hidden="1" customHeight="1" outlineLevel="2" x14ac:dyDescent="0.25">
      <c r="B4372" s="704" t="s">
        <v>687</v>
      </c>
      <c r="C4372" s="704" t="s">
        <v>892</v>
      </c>
      <c r="D4372" s="704" t="s">
        <v>563</v>
      </c>
      <c r="E4372" s="704" t="s">
        <v>861</v>
      </c>
      <c r="F4372" s="708"/>
      <c r="G4372" s="705">
        <v>4270.1208080855749</v>
      </c>
    </row>
    <row r="4373" spans="2:7" ht="11.25" hidden="1" customHeight="1" outlineLevel="2" x14ac:dyDescent="0.25">
      <c r="B4373" s="704" t="s">
        <v>688</v>
      </c>
      <c r="C4373" s="704" t="s">
        <v>892</v>
      </c>
      <c r="D4373" s="704" t="s">
        <v>563</v>
      </c>
      <c r="E4373" s="704" t="s">
        <v>861</v>
      </c>
      <c r="F4373" s="708"/>
      <c r="G4373" s="705">
        <v>4881.2636858415399</v>
      </c>
    </row>
    <row r="4374" spans="2:7" ht="11.25" hidden="1" customHeight="1" outlineLevel="2" x14ac:dyDescent="0.25">
      <c r="B4374" s="704" t="s">
        <v>689</v>
      </c>
      <c r="C4374" s="704" t="s">
        <v>892</v>
      </c>
      <c r="D4374" s="704" t="s">
        <v>563</v>
      </c>
      <c r="E4374" s="704" t="s">
        <v>861</v>
      </c>
      <c r="F4374" s="708"/>
      <c r="G4374" s="705">
        <v>498.73762222152556</v>
      </c>
    </row>
    <row r="4375" spans="2:7" ht="11.25" hidden="1" customHeight="1" outlineLevel="2" x14ac:dyDescent="0.25">
      <c r="B4375" s="704" t="s">
        <v>690</v>
      </c>
      <c r="C4375" s="704" t="s">
        <v>892</v>
      </c>
      <c r="D4375" s="704" t="s">
        <v>563</v>
      </c>
      <c r="E4375" s="704" t="s">
        <v>861</v>
      </c>
      <c r="F4375" s="708"/>
      <c r="G4375" s="705">
        <v>17015.696469152448</v>
      </c>
    </row>
    <row r="4376" spans="2:7" ht="11.25" hidden="1" customHeight="1" outlineLevel="2" x14ac:dyDescent="0.25">
      <c r="B4376" s="704" t="s">
        <v>691</v>
      </c>
      <c r="C4376" s="704" t="s">
        <v>892</v>
      </c>
      <c r="D4376" s="704" t="s">
        <v>563</v>
      </c>
      <c r="E4376" s="704" t="s">
        <v>861</v>
      </c>
      <c r="F4376" s="708"/>
      <c r="G4376" s="705">
        <v>15545.302471621861</v>
      </c>
    </row>
    <row r="4377" spans="2:7" ht="11.25" hidden="1" customHeight="1" outlineLevel="2" x14ac:dyDescent="0.25">
      <c r="B4377" s="704" t="s">
        <v>692</v>
      </c>
      <c r="C4377" s="704" t="s">
        <v>892</v>
      </c>
      <c r="D4377" s="704" t="s">
        <v>563</v>
      </c>
      <c r="E4377" s="704" t="s">
        <v>861</v>
      </c>
      <c r="F4377" s="709"/>
      <c r="G4377" s="705">
        <v>805.26417078854342</v>
      </c>
    </row>
    <row r="4378" spans="2:7" ht="11.25" hidden="1" customHeight="1" outlineLevel="2" x14ac:dyDescent="0.25">
      <c r="B4378" s="704" t="s">
        <v>693</v>
      </c>
      <c r="C4378" s="704" t="s">
        <v>892</v>
      </c>
      <c r="D4378" s="704" t="s">
        <v>563</v>
      </c>
      <c r="E4378" s="704" t="s">
        <v>861</v>
      </c>
      <c r="F4378" s="709"/>
      <c r="G4378" s="705">
        <v>1689.3912250738754</v>
      </c>
    </row>
    <row r="4379" spans="2:7" ht="11.25" hidden="1" customHeight="1" outlineLevel="2" x14ac:dyDescent="0.25">
      <c r="B4379" s="704" t="s">
        <v>694</v>
      </c>
      <c r="C4379" s="704" t="s">
        <v>892</v>
      </c>
      <c r="D4379" s="704" t="s">
        <v>563</v>
      </c>
      <c r="E4379" s="704" t="s">
        <v>861</v>
      </c>
      <c r="F4379" s="709"/>
      <c r="G4379" s="705">
        <v>478.26406213455232</v>
      </c>
    </row>
    <row r="4380" spans="2:7" ht="11.25" hidden="1" customHeight="1" outlineLevel="2" x14ac:dyDescent="0.25">
      <c r="B4380" s="704" t="s">
        <v>695</v>
      </c>
      <c r="C4380" s="704" t="s">
        <v>892</v>
      </c>
      <c r="D4380" s="704" t="s">
        <v>563</v>
      </c>
      <c r="E4380" s="704" t="s">
        <v>861</v>
      </c>
      <c r="F4380" s="709"/>
      <c r="G4380" s="705">
        <v>645.4548798533707</v>
      </c>
    </row>
    <row r="4381" spans="2:7" ht="11.25" hidden="1" customHeight="1" outlineLevel="2" x14ac:dyDescent="0.25">
      <c r="B4381" s="704" t="s">
        <v>696</v>
      </c>
      <c r="C4381" s="704" t="s">
        <v>892</v>
      </c>
      <c r="D4381" s="704" t="s">
        <v>563</v>
      </c>
      <c r="E4381" s="704" t="s">
        <v>861</v>
      </c>
      <c r="F4381" s="709"/>
      <c r="G4381" s="705">
        <v>2531.467368757093</v>
      </c>
    </row>
    <row r="4382" spans="2:7" ht="11.25" hidden="1" customHeight="1" outlineLevel="2" x14ac:dyDescent="0.25">
      <c r="B4382" s="704" t="s">
        <v>697</v>
      </c>
      <c r="C4382" s="704" t="s">
        <v>892</v>
      </c>
      <c r="D4382" s="704" t="s">
        <v>563</v>
      </c>
      <c r="E4382" s="704" t="s">
        <v>861</v>
      </c>
      <c r="F4382" s="709"/>
      <c r="G4382" s="705">
        <v>1618.2292911925458</v>
      </c>
    </row>
    <row r="4383" spans="2:7" ht="11.25" hidden="1" customHeight="1" outlineLevel="2" x14ac:dyDescent="0.25">
      <c r="B4383" s="704" t="s">
        <v>698</v>
      </c>
      <c r="C4383" s="704" t="s">
        <v>892</v>
      </c>
      <c r="D4383" s="704" t="s">
        <v>563</v>
      </c>
      <c r="E4383" s="704" t="s">
        <v>861</v>
      </c>
      <c r="F4383" s="709"/>
      <c r="G4383" s="705">
        <v>901.95047695305709</v>
      </c>
    </row>
    <row r="4384" spans="2:7" ht="11.25" hidden="1" customHeight="1" outlineLevel="2" x14ac:dyDescent="0.25">
      <c r="B4384" s="704" t="s">
        <v>699</v>
      </c>
      <c r="C4384" s="704" t="s">
        <v>892</v>
      </c>
      <c r="D4384" s="704" t="s">
        <v>563</v>
      </c>
      <c r="E4384" s="704" t="s">
        <v>861</v>
      </c>
      <c r="F4384" s="708"/>
      <c r="G4384" s="705">
        <v>11947.517405634475</v>
      </c>
    </row>
    <row r="4385" spans="2:7" ht="11.25" hidden="1" customHeight="1" outlineLevel="2" x14ac:dyDescent="0.25">
      <c r="B4385" s="704" t="s">
        <v>673</v>
      </c>
      <c r="C4385" s="704" t="s">
        <v>893</v>
      </c>
      <c r="D4385" s="704" t="s">
        <v>563</v>
      </c>
      <c r="E4385" s="704" t="s">
        <v>861</v>
      </c>
      <c r="F4385" s="708"/>
      <c r="G4385" s="705">
        <v>607.01783185409033</v>
      </c>
    </row>
    <row r="4386" spans="2:7" ht="11.25" hidden="1" customHeight="1" outlineLevel="2" x14ac:dyDescent="0.25">
      <c r="B4386" s="704" t="s">
        <v>677</v>
      </c>
      <c r="C4386" s="704" t="s">
        <v>893</v>
      </c>
      <c r="D4386" s="704" t="s">
        <v>563</v>
      </c>
      <c r="E4386" s="704" t="s">
        <v>861</v>
      </c>
      <c r="F4386" s="705">
        <v>7.6930378378637684E-2</v>
      </c>
      <c r="G4386" s="705">
        <v>2572.0578003392188</v>
      </c>
    </row>
    <row r="4387" spans="2:7" ht="11.25" hidden="1" customHeight="1" outlineLevel="2" x14ac:dyDescent="0.25">
      <c r="B4387" s="704" t="s">
        <v>678</v>
      </c>
      <c r="C4387" s="704" t="s">
        <v>893</v>
      </c>
      <c r="D4387" s="704" t="s">
        <v>563</v>
      </c>
      <c r="E4387" s="704" t="s">
        <v>861</v>
      </c>
      <c r="F4387" s="708"/>
      <c r="G4387" s="705">
        <v>4707.0697407743173</v>
      </c>
    </row>
    <row r="4388" spans="2:7" ht="11.25" hidden="1" customHeight="1" outlineLevel="2" x14ac:dyDescent="0.25">
      <c r="B4388" s="704" t="s">
        <v>679</v>
      </c>
      <c r="C4388" s="704" t="s">
        <v>893</v>
      </c>
      <c r="D4388" s="704" t="s">
        <v>563</v>
      </c>
      <c r="E4388" s="704" t="s">
        <v>861</v>
      </c>
      <c r="F4388" s="708"/>
      <c r="G4388" s="705">
        <v>125.95339813709955</v>
      </c>
    </row>
    <row r="4389" spans="2:7" ht="11.25" hidden="1" customHeight="1" outlineLevel="2" x14ac:dyDescent="0.25">
      <c r="B4389" s="704" t="s">
        <v>680</v>
      </c>
      <c r="C4389" s="704" t="s">
        <v>893</v>
      </c>
      <c r="D4389" s="704" t="s">
        <v>563</v>
      </c>
      <c r="E4389" s="704" t="s">
        <v>861</v>
      </c>
      <c r="F4389" s="708"/>
      <c r="G4389" s="705">
        <v>305.17360721034731</v>
      </c>
    </row>
    <row r="4390" spans="2:7" ht="11.25" hidden="1" customHeight="1" outlineLevel="2" x14ac:dyDescent="0.25">
      <c r="B4390" s="704" t="s">
        <v>681</v>
      </c>
      <c r="C4390" s="704" t="s">
        <v>893</v>
      </c>
      <c r="D4390" s="704" t="s">
        <v>563</v>
      </c>
      <c r="E4390" s="704" t="s">
        <v>861</v>
      </c>
      <c r="F4390" s="708"/>
      <c r="G4390" s="705">
        <v>656.03013850612604</v>
      </c>
    </row>
    <row r="4391" spans="2:7" ht="11.25" hidden="1" customHeight="1" outlineLevel="2" x14ac:dyDescent="0.25">
      <c r="B4391" s="704" t="s">
        <v>682</v>
      </c>
      <c r="C4391" s="704" t="s">
        <v>893</v>
      </c>
      <c r="D4391" s="704" t="s">
        <v>563</v>
      </c>
      <c r="E4391" s="704" t="s">
        <v>861</v>
      </c>
      <c r="F4391" s="708"/>
      <c r="G4391" s="705">
        <v>598.32503580396838</v>
      </c>
    </row>
    <row r="4392" spans="2:7" ht="11.25" hidden="1" customHeight="1" outlineLevel="2" x14ac:dyDescent="0.25">
      <c r="B4392" s="704" t="s">
        <v>683</v>
      </c>
      <c r="C4392" s="704" t="s">
        <v>893</v>
      </c>
      <c r="D4392" s="704" t="s">
        <v>563</v>
      </c>
      <c r="E4392" s="704" t="s">
        <v>861</v>
      </c>
      <c r="F4392" s="708"/>
      <c r="G4392" s="705">
        <v>207.98024047999135</v>
      </c>
    </row>
    <row r="4393" spans="2:7" ht="11.25" hidden="1" customHeight="1" outlineLevel="2" x14ac:dyDescent="0.25">
      <c r="B4393" s="704" t="s">
        <v>684</v>
      </c>
      <c r="C4393" s="704" t="s">
        <v>893</v>
      </c>
      <c r="D4393" s="704" t="s">
        <v>563</v>
      </c>
      <c r="E4393" s="704" t="s">
        <v>861</v>
      </c>
      <c r="F4393" s="708"/>
      <c r="G4393" s="705">
        <v>426.41071783502503</v>
      </c>
    </row>
    <row r="4394" spans="2:7" ht="11.25" hidden="1" customHeight="1" outlineLevel="2" x14ac:dyDescent="0.25">
      <c r="B4394" s="704" t="s">
        <v>685</v>
      </c>
      <c r="C4394" s="704" t="s">
        <v>893</v>
      </c>
      <c r="D4394" s="704" t="s">
        <v>563</v>
      </c>
      <c r="E4394" s="704" t="s">
        <v>861</v>
      </c>
      <c r="F4394" s="708"/>
      <c r="G4394" s="705">
        <v>1587.4564197371226</v>
      </c>
    </row>
    <row r="4395" spans="2:7" ht="11.25" hidden="1" customHeight="1" outlineLevel="2" x14ac:dyDescent="0.25">
      <c r="B4395" s="704" t="s">
        <v>686</v>
      </c>
      <c r="C4395" s="704" t="s">
        <v>893</v>
      </c>
      <c r="D4395" s="704" t="s">
        <v>563</v>
      </c>
      <c r="E4395" s="704" t="s">
        <v>861</v>
      </c>
      <c r="F4395" s="708"/>
      <c r="G4395" s="705">
        <v>156.00837594152705</v>
      </c>
    </row>
    <row r="4396" spans="2:7" ht="11.25" hidden="1" customHeight="1" outlineLevel="2" x14ac:dyDescent="0.25">
      <c r="B4396" s="704" t="s">
        <v>687</v>
      </c>
      <c r="C4396" s="704" t="s">
        <v>893</v>
      </c>
      <c r="D4396" s="704" t="s">
        <v>563</v>
      </c>
      <c r="E4396" s="704" t="s">
        <v>861</v>
      </c>
      <c r="F4396" s="708"/>
      <c r="G4396" s="705">
        <v>1059.4140776082343</v>
      </c>
    </row>
    <row r="4397" spans="2:7" ht="11.25" hidden="1" customHeight="1" outlineLevel="2" x14ac:dyDescent="0.25">
      <c r="B4397" s="704" t="s">
        <v>688</v>
      </c>
      <c r="C4397" s="704" t="s">
        <v>893</v>
      </c>
      <c r="D4397" s="704" t="s">
        <v>563</v>
      </c>
      <c r="E4397" s="704" t="s">
        <v>861</v>
      </c>
      <c r="F4397" s="708"/>
      <c r="G4397" s="705">
        <v>1438.8467342943018</v>
      </c>
    </row>
    <row r="4398" spans="2:7" ht="11.25" hidden="1" customHeight="1" outlineLevel="2" x14ac:dyDescent="0.25">
      <c r="B4398" s="704" t="s">
        <v>689</v>
      </c>
      <c r="C4398" s="704" t="s">
        <v>893</v>
      </c>
      <c r="D4398" s="704" t="s">
        <v>563</v>
      </c>
      <c r="E4398" s="704" t="s">
        <v>861</v>
      </c>
      <c r="F4398" s="708"/>
      <c r="G4398" s="705">
        <v>193.60686371485122</v>
      </c>
    </row>
    <row r="4399" spans="2:7" ht="11.25" hidden="1" customHeight="1" outlineLevel="2" x14ac:dyDescent="0.25">
      <c r="B4399" s="704" t="s">
        <v>690</v>
      </c>
      <c r="C4399" s="704" t="s">
        <v>893</v>
      </c>
      <c r="D4399" s="704" t="s">
        <v>563</v>
      </c>
      <c r="E4399" s="704" t="s">
        <v>861</v>
      </c>
      <c r="F4399" s="708"/>
      <c r="G4399" s="705">
        <v>2663.2389956805355</v>
      </c>
    </row>
    <row r="4400" spans="2:7" ht="11.25" hidden="1" customHeight="1" outlineLevel="2" x14ac:dyDescent="0.25">
      <c r="B4400" s="704" t="s">
        <v>691</v>
      </c>
      <c r="C4400" s="704" t="s">
        <v>893</v>
      </c>
      <c r="D4400" s="704" t="s">
        <v>563</v>
      </c>
      <c r="E4400" s="704" t="s">
        <v>861</v>
      </c>
      <c r="F4400" s="708"/>
      <c r="G4400" s="705">
        <v>1955.4222215357438</v>
      </c>
    </row>
    <row r="4401" spans="2:7" ht="11.25" hidden="1" customHeight="1" outlineLevel="2" x14ac:dyDescent="0.25">
      <c r="B4401" s="704" t="s">
        <v>692</v>
      </c>
      <c r="C4401" s="704" t="s">
        <v>893</v>
      </c>
      <c r="D4401" s="704" t="s">
        <v>563</v>
      </c>
      <c r="E4401" s="704" t="s">
        <v>861</v>
      </c>
      <c r="F4401" s="708"/>
      <c r="G4401" s="705">
        <v>160.16994117996566</v>
      </c>
    </row>
    <row r="4402" spans="2:7" ht="11.25" hidden="1" customHeight="1" outlineLevel="2" x14ac:dyDescent="0.25">
      <c r="B4402" s="704" t="s">
        <v>693</v>
      </c>
      <c r="C4402" s="704" t="s">
        <v>893</v>
      </c>
      <c r="D4402" s="704" t="s">
        <v>563</v>
      </c>
      <c r="E4402" s="704" t="s">
        <v>861</v>
      </c>
      <c r="F4402" s="708"/>
      <c r="G4402" s="705">
        <v>86.280877570141953</v>
      </c>
    </row>
    <row r="4403" spans="2:7" ht="11.25" hidden="1" customHeight="1" outlineLevel="2" x14ac:dyDescent="0.25">
      <c r="B4403" s="704" t="s">
        <v>694</v>
      </c>
      <c r="C4403" s="704" t="s">
        <v>893</v>
      </c>
      <c r="D4403" s="704" t="s">
        <v>563</v>
      </c>
      <c r="E4403" s="704" t="s">
        <v>861</v>
      </c>
      <c r="F4403" s="708"/>
      <c r="G4403" s="705">
        <v>58.722746654508413</v>
      </c>
    </row>
    <row r="4404" spans="2:7" ht="11.25" hidden="1" customHeight="1" outlineLevel="2" x14ac:dyDescent="0.25">
      <c r="B4404" s="704" t="s">
        <v>695</v>
      </c>
      <c r="C4404" s="704" t="s">
        <v>893</v>
      </c>
      <c r="D4404" s="704" t="s">
        <v>563</v>
      </c>
      <c r="E4404" s="704" t="s">
        <v>861</v>
      </c>
      <c r="F4404" s="708"/>
      <c r="G4404" s="705">
        <v>412.63144561905841</v>
      </c>
    </row>
    <row r="4405" spans="2:7" ht="11.25" hidden="1" customHeight="1" outlineLevel="2" x14ac:dyDescent="0.25">
      <c r="B4405" s="704" t="s">
        <v>696</v>
      </c>
      <c r="C4405" s="704" t="s">
        <v>893</v>
      </c>
      <c r="D4405" s="704" t="s">
        <v>563</v>
      </c>
      <c r="E4405" s="704" t="s">
        <v>861</v>
      </c>
      <c r="F4405" s="708"/>
      <c r="G4405" s="705">
        <v>1481.478106044116</v>
      </c>
    </row>
    <row r="4406" spans="2:7" ht="11.25" hidden="1" customHeight="1" outlineLevel="2" x14ac:dyDescent="0.25">
      <c r="B4406" s="704" t="s">
        <v>697</v>
      </c>
      <c r="C4406" s="704" t="s">
        <v>893</v>
      </c>
      <c r="D4406" s="704" t="s">
        <v>563</v>
      </c>
      <c r="E4406" s="704" t="s">
        <v>861</v>
      </c>
      <c r="F4406" s="708"/>
      <c r="G4406" s="705">
        <v>748.6921368370422</v>
      </c>
    </row>
    <row r="4407" spans="2:7" ht="11.25" hidden="1" customHeight="1" outlineLevel="2" x14ac:dyDescent="0.25">
      <c r="B4407" s="704" t="s">
        <v>698</v>
      </c>
      <c r="C4407" s="704" t="s">
        <v>893</v>
      </c>
      <c r="D4407" s="704" t="s">
        <v>563</v>
      </c>
      <c r="E4407" s="704" t="s">
        <v>861</v>
      </c>
      <c r="F4407" s="708"/>
      <c r="G4407" s="705">
        <v>195.86580753221844</v>
      </c>
    </row>
    <row r="4408" spans="2:7" ht="11.25" hidden="1" customHeight="1" outlineLevel="2" x14ac:dyDescent="0.25">
      <c r="B4408" s="704" t="s">
        <v>699</v>
      </c>
      <c r="C4408" s="704" t="s">
        <v>893</v>
      </c>
      <c r="D4408" s="704" t="s">
        <v>563</v>
      </c>
      <c r="E4408" s="704" t="s">
        <v>861</v>
      </c>
      <c r="F4408" s="708"/>
      <c r="G4408" s="705">
        <v>3571.3621852879669</v>
      </c>
    </row>
    <row r="4409" spans="2:7" ht="11.25" hidden="1" customHeight="1" outlineLevel="2" x14ac:dyDescent="0.25">
      <c r="B4409" s="704" t="s">
        <v>673</v>
      </c>
      <c r="C4409" s="704" t="s">
        <v>894</v>
      </c>
      <c r="D4409" s="704" t="s">
        <v>728</v>
      </c>
      <c r="E4409" s="704" t="s">
        <v>861</v>
      </c>
      <c r="F4409" s="708"/>
      <c r="G4409" s="705">
        <v>1.1998162028731316E-2</v>
      </c>
    </row>
    <row r="4410" spans="2:7" ht="11.25" hidden="1" customHeight="1" outlineLevel="2" x14ac:dyDescent="0.25">
      <c r="B4410" s="704" t="s">
        <v>677</v>
      </c>
      <c r="C4410" s="704" t="s">
        <v>894</v>
      </c>
      <c r="D4410" s="704" t="s">
        <v>728</v>
      </c>
      <c r="E4410" s="704" t="s">
        <v>861</v>
      </c>
      <c r="F4410" s="705">
        <v>2.345460143416961E-5</v>
      </c>
      <c r="G4410" s="705">
        <v>0.57495193200366446</v>
      </c>
    </row>
    <row r="4411" spans="2:7" ht="11.25" hidden="1" customHeight="1" outlineLevel="2" x14ac:dyDescent="0.25">
      <c r="B4411" s="704" t="s">
        <v>678</v>
      </c>
      <c r="C4411" s="704" t="s">
        <v>894</v>
      </c>
      <c r="D4411" s="704" t="s">
        <v>728</v>
      </c>
      <c r="E4411" s="704" t="s">
        <v>861</v>
      </c>
      <c r="F4411" s="708"/>
      <c r="G4411" s="705">
        <v>0.6910940108453576</v>
      </c>
    </row>
    <row r="4412" spans="2:7" ht="11.25" hidden="1" customHeight="1" outlineLevel="2" x14ac:dyDescent="0.25">
      <c r="B4412" s="704" t="s">
        <v>679</v>
      </c>
      <c r="C4412" s="704" t="s">
        <v>894</v>
      </c>
      <c r="D4412" s="704" t="s">
        <v>728</v>
      </c>
      <c r="E4412" s="704" t="s">
        <v>861</v>
      </c>
      <c r="F4412" s="708"/>
      <c r="G4412" s="705">
        <v>4.1273656989865237E-2</v>
      </c>
    </row>
    <row r="4413" spans="2:7" ht="11.25" hidden="1" customHeight="1" outlineLevel="2" x14ac:dyDescent="0.25">
      <c r="B4413" s="704" t="s">
        <v>680</v>
      </c>
      <c r="C4413" s="704" t="s">
        <v>894</v>
      </c>
      <c r="D4413" s="704" t="s">
        <v>728</v>
      </c>
      <c r="E4413" s="704" t="s">
        <v>861</v>
      </c>
      <c r="F4413" s="708"/>
      <c r="G4413" s="705">
        <v>1.2958012484047661E-2</v>
      </c>
    </row>
    <row r="4414" spans="2:7" ht="11.25" hidden="1" customHeight="1" outlineLevel="2" x14ac:dyDescent="0.25">
      <c r="B4414" s="704" t="s">
        <v>681</v>
      </c>
      <c r="C4414" s="704" t="s">
        <v>894</v>
      </c>
      <c r="D4414" s="704" t="s">
        <v>728</v>
      </c>
      <c r="E4414" s="704" t="s">
        <v>861</v>
      </c>
      <c r="F4414" s="708"/>
      <c r="G4414" s="705">
        <v>0.21788658108718578</v>
      </c>
    </row>
    <row r="4415" spans="2:7" ht="11.25" hidden="1" customHeight="1" outlineLevel="2" x14ac:dyDescent="0.25">
      <c r="B4415" s="704" t="s">
        <v>682</v>
      </c>
      <c r="C4415" s="704" t="s">
        <v>894</v>
      </c>
      <c r="D4415" s="704" t="s">
        <v>728</v>
      </c>
      <c r="E4415" s="704" t="s">
        <v>861</v>
      </c>
      <c r="F4415" s="708"/>
      <c r="G4415" s="705">
        <v>2.8315657555904029E-2</v>
      </c>
    </row>
    <row r="4416" spans="2:7" ht="11.25" hidden="1" customHeight="1" outlineLevel="2" x14ac:dyDescent="0.25">
      <c r="B4416" s="704" t="s">
        <v>683</v>
      </c>
      <c r="C4416" s="704" t="s">
        <v>894</v>
      </c>
      <c r="D4416" s="704" t="s">
        <v>728</v>
      </c>
      <c r="E4416" s="704" t="s">
        <v>861</v>
      </c>
      <c r="F4416" s="709"/>
      <c r="G4416" s="705">
        <v>5.951085950432513E-2</v>
      </c>
    </row>
    <row r="4417" spans="2:7" ht="11.25" hidden="1" customHeight="1" outlineLevel="2" x14ac:dyDescent="0.25">
      <c r="B4417" s="704" t="s">
        <v>684</v>
      </c>
      <c r="C4417" s="704" t="s">
        <v>894</v>
      </c>
      <c r="D4417" s="704" t="s">
        <v>728</v>
      </c>
      <c r="E4417" s="704" t="s">
        <v>861</v>
      </c>
      <c r="F4417" s="709"/>
      <c r="G4417" s="705">
        <v>7.6788212773714171E-2</v>
      </c>
    </row>
    <row r="4418" spans="2:7" ht="11.25" hidden="1" customHeight="1" outlineLevel="2" x14ac:dyDescent="0.25">
      <c r="B4418" s="704" t="s">
        <v>685</v>
      </c>
      <c r="C4418" s="704" t="s">
        <v>894</v>
      </c>
      <c r="D4418" s="704" t="s">
        <v>728</v>
      </c>
      <c r="E4418" s="704" t="s">
        <v>861</v>
      </c>
      <c r="F4418" s="709"/>
      <c r="G4418" s="705">
        <v>0.36186459385038555</v>
      </c>
    </row>
    <row r="4419" spans="2:7" ht="11.25" hidden="1" customHeight="1" outlineLevel="2" x14ac:dyDescent="0.25">
      <c r="B4419" s="704" t="s">
        <v>686</v>
      </c>
      <c r="C4419" s="704" t="s">
        <v>894</v>
      </c>
      <c r="D4419" s="704" t="s">
        <v>728</v>
      </c>
      <c r="E4419" s="704" t="s">
        <v>861</v>
      </c>
      <c r="F4419" s="709"/>
      <c r="G4419" s="705">
        <v>7.7268149244829012E-2</v>
      </c>
    </row>
    <row r="4420" spans="2:7" ht="11.25" hidden="1" customHeight="1" outlineLevel="2" x14ac:dyDescent="0.25">
      <c r="B4420" s="704" t="s">
        <v>687</v>
      </c>
      <c r="C4420" s="704" t="s">
        <v>894</v>
      </c>
      <c r="D4420" s="704" t="s">
        <v>728</v>
      </c>
      <c r="E4420" s="704" t="s">
        <v>861</v>
      </c>
      <c r="F4420" s="709"/>
      <c r="G4420" s="705">
        <v>0.15885563780174566</v>
      </c>
    </row>
    <row r="4421" spans="2:7" ht="11.25" hidden="1" customHeight="1" outlineLevel="2" x14ac:dyDescent="0.25">
      <c r="B4421" s="704" t="s">
        <v>688</v>
      </c>
      <c r="C4421" s="704" t="s">
        <v>894</v>
      </c>
      <c r="D4421" s="704" t="s">
        <v>728</v>
      </c>
      <c r="E4421" s="704" t="s">
        <v>861</v>
      </c>
      <c r="F4421" s="709"/>
      <c r="G4421" s="705">
        <v>0.46744820860197744</v>
      </c>
    </row>
    <row r="4422" spans="2:7" ht="11.25" hidden="1" customHeight="1" outlineLevel="2" x14ac:dyDescent="0.25">
      <c r="B4422" s="704" t="s">
        <v>689</v>
      </c>
      <c r="C4422" s="704" t="s">
        <v>894</v>
      </c>
      <c r="D4422" s="704" t="s">
        <v>728</v>
      </c>
      <c r="E4422" s="704" t="s">
        <v>861</v>
      </c>
      <c r="F4422" s="709"/>
      <c r="G4422" s="705">
        <v>4.5500497691978871E-2</v>
      </c>
    </row>
    <row r="4423" spans="2:7" ht="11.25" hidden="1" customHeight="1" outlineLevel="2" x14ac:dyDescent="0.25">
      <c r="B4423" s="704" t="s">
        <v>690</v>
      </c>
      <c r="C4423" s="704" t="s">
        <v>894</v>
      </c>
      <c r="D4423" s="704" t="s">
        <v>728</v>
      </c>
      <c r="E4423" s="704" t="s">
        <v>861</v>
      </c>
      <c r="F4423" s="708"/>
      <c r="G4423" s="705">
        <v>1.4292205341455246</v>
      </c>
    </row>
    <row r="4424" spans="2:7" ht="11.25" hidden="1" customHeight="1" outlineLevel="2" x14ac:dyDescent="0.25">
      <c r="B4424" s="704" t="s">
        <v>691</v>
      </c>
      <c r="C4424" s="704" t="s">
        <v>894</v>
      </c>
      <c r="D4424" s="704" t="s">
        <v>728</v>
      </c>
      <c r="E4424" s="704" t="s">
        <v>861</v>
      </c>
      <c r="F4424" s="708"/>
      <c r="G4424" s="705">
        <v>0.69829299392000821</v>
      </c>
    </row>
    <row r="4425" spans="2:7" ht="11.25" hidden="1" customHeight="1" outlineLevel="2" x14ac:dyDescent="0.25">
      <c r="B4425" s="704" t="s">
        <v>692</v>
      </c>
      <c r="C4425" s="704" t="s">
        <v>894</v>
      </c>
      <c r="D4425" s="704" t="s">
        <v>728</v>
      </c>
      <c r="E4425" s="704" t="s">
        <v>861</v>
      </c>
      <c r="F4425" s="708"/>
      <c r="G4425" s="705">
        <v>4.5593004670123588E-2</v>
      </c>
    </row>
    <row r="4426" spans="2:7" ht="11.25" hidden="1" customHeight="1" outlineLevel="2" x14ac:dyDescent="0.25">
      <c r="B4426" s="704" t="s">
        <v>693</v>
      </c>
      <c r="C4426" s="704" t="s">
        <v>894</v>
      </c>
      <c r="D4426" s="704" t="s">
        <v>728</v>
      </c>
      <c r="E4426" s="704" t="s">
        <v>861</v>
      </c>
      <c r="F4426" s="709"/>
      <c r="G4426" s="705">
        <v>3.5034629610201914E-2</v>
      </c>
    </row>
    <row r="4427" spans="2:7" ht="11.25" hidden="1" customHeight="1" outlineLevel="2" x14ac:dyDescent="0.25">
      <c r="B4427" s="704" t="s">
        <v>694</v>
      </c>
      <c r="C4427" s="704" t="s">
        <v>894</v>
      </c>
      <c r="D4427" s="704" t="s">
        <v>728</v>
      </c>
      <c r="E4427" s="704" t="s">
        <v>861</v>
      </c>
      <c r="F4427" s="708"/>
      <c r="G4427" s="705">
        <v>7.7268149244829012E-2</v>
      </c>
    </row>
    <row r="4428" spans="2:7" ht="11.25" hidden="1" customHeight="1" outlineLevel="2" x14ac:dyDescent="0.25">
      <c r="B4428" s="704" t="s">
        <v>695</v>
      </c>
      <c r="C4428" s="704" t="s">
        <v>894</v>
      </c>
      <c r="D4428" s="704" t="s">
        <v>728</v>
      </c>
      <c r="E4428" s="704" t="s">
        <v>861</v>
      </c>
      <c r="F4428" s="708"/>
      <c r="G4428" s="705">
        <v>7.5828384851565955E-2</v>
      </c>
    </row>
    <row r="4429" spans="2:7" ht="11.25" hidden="1" customHeight="1" outlineLevel="2" x14ac:dyDescent="0.25">
      <c r="B4429" s="704" t="s">
        <v>696</v>
      </c>
      <c r="C4429" s="704" t="s">
        <v>894</v>
      </c>
      <c r="D4429" s="704" t="s">
        <v>728</v>
      </c>
      <c r="E4429" s="704" t="s">
        <v>861</v>
      </c>
      <c r="F4429" s="709"/>
      <c r="G4429" s="705">
        <v>0.10846338127553809</v>
      </c>
    </row>
    <row r="4430" spans="2:7" ht="11.25" hidden="1" customHeight="1" outlineLevel="2" x14ac:dyDescent="0.25">
      <c r="B4430" s="704" t="s">
        <v>697</v>
      </c>
      <c r="C4430" s="704" t="s">
        <v>894</v>
      </c>
      <c r="D4430" s="704" t="s">
        <v>728</v>
      </c>
      <c r="E4430" s="704" t="s">
        <v>861</v>
      </c>
      <c r="F4430" s="708"/>
      <c r="G4430" s="705">
        <v>4.895248033170721E-2</v>
      </c>
    </row>
    <row r="4431" spans="2:7" ht="11.25" hidden="1" customHeight="1" outlineLevel="2" x14ac:dyDescent="0.25">
      <c r="B4431" s="704" t="s">
        <v>698</v>
      </c>
      <c r="C4431" s="704" t="s">
        <v>894</v>
      </c>
      <c r="D4431" s="704" t="s">
        <v>728</v>
      </c>
      <c r="E4431" s="704" t="s">
        <v>861</v>
      </c>
      <c r="F4431" s="708"/>
      <c r="G4431" s="705">
        <v>7.7268149243838666E-2</v>
      </c>
    </row>
    <row r="4432" spans="2:7" ht="11.25" hidden="1" customHeight="1" outlineLevel="2" x14ac:dyDescent="0.25">
      <c r="B4432" s="704" t="s">
        <v>699</v>
      </c>
      <c r="C4432" s="704" t="s">
        <v>894</v>
      </c>
      <c r="D4432" s="704" t="s">
        <v>728</v>
      </c>
      <c r="E4432" s="704" t="s">
        <v>861</v>
      </c>
      <c r="F4432" s="708"/>
      <c r="G4432" s="705">
        <v>8.6866669800039792E-2</v>
      </c>
    </row>
    <row r="4433" spans="2:7" ht="11.25" hidden="1" customHeight="1" outlineLevel="2" x14ac:dyDescent="0.25">
      <c r="B4433" s="704" t="s">
        <v>673</v>
      </c>
      <c r="C4433" s="704" t="s">
        <v>895</v>
      </c>
      <c r="D4433" s="704" t="s">
        <v>728</v>
      </c>
      <c r="E4433" s="704" t="s">
        <v>861</v>
      </c>
      <c r="F4433" s="709"/>
      <c r="G4433" s="705">
        <v>3.2064114795481493</v>
      </c>
    </row>
    <row r="4434" spans="2:7" ht="11.25" hidden="1" customHeight="1" outlineLevel="2" x14ac:dyDescent="0.25">
      <c r="B4434" s="704" t="s">
        <v>677</v>
      </c>
      <c r="C4434" s="704" t="s">
        <v>895</v>
      </c>
      <c r="D4434" s="704" t="s">
        <v>728</v>
      </c>
      <c r="E4434" s="704" t="s">
        <v>861</v>
      </c>
      <c r="F4434" s="706">
        <v>3.4254043259993143E-3</v>
      </c>
      <c r="G4434" s="705">
        <v>153.65123158384466</v>
      </c>
    </row>
    <row r="4435" spans="2:7" ht="11.25" hidden="1" customHeight="1" outlineLevel="2" x14ac:dyDescent="0.25">
      <c r="B4435" s="704" t="s">
        <v>678</v>
      </c>
      <c r="C4435" s="704" t="s">
        <v>895</v>
      </c>
      <c r="D4435" s="704" t="s">
        <v>728</v>
      </c>
      <c r="E4435" s="704" t="s">
        <v>861</v>
      </c>
      <c r="F4435" s="709"/>
      <c r="G4435" s="705">
        <v>184.68934547638278</v>
      </c>
    </row>
    <row r="4436" spans="2:7" ht="11.25" hidden="1" customHeight="1" outlineLevel="2" x14ac:dyDescent="0.25">
      <c r="B4436" s="704" t="s">
        <v>679</v>
      </c>
      <c r="C4436" s="704" t="s">
        <v>895</v>
      </c>
      <c r="D4436" s="704" t="s">
        <v>728</v>
      </c>
      <c r="E4436" s="704" t="s">
        <v>861</v>
      </c>
      <c r="F4436" s="708"/>
      <c r="G4436" s="705">
        <v>11.030056844473028</v>
      </c>
    </row>
    <row r="4437" spans="2:7" ht="11.25" hidden="1" customHeight="1" outlineLevel="2" x14ac:dyDescent="0.25">
      <c r="B4437" s="704" t="s">
        <v>680</v>
      </c>
      <c r="C4437" s="704" t="s">
        <v>895</v>
      </c>
      <c r="D4437" s="704" t="s">
        <v>728</v>
      </c>
      <c r="E4437" s="704" t="s">
        <v>861</v>
      </c>
      <c r="F4437" s="708"/>
      <c r="G4437" s="705">
        <v>2.6021645822646068E-29</v>
      </c>
    </row>
    <row r="4438" spans="2:7" ht="11.25" hidden="1" customHeight="1" outlineLevel="2" x14ac:dyDescent="0.25">
      <c r="B4438" s="704" t="s">
        <v>681</v>
      </c>
      <c r="C4438" s="704" t="s">
        <v>895</v>
      </c>
      <c r="D4438" s="704" t="s">
        <v>728</v>
      </c>
      <c r="E4438" s="704" t="s">
        <v>861</v>
      </c>
      <c r="F4438" s="708"/>
      <c r="G4438" s="705">
        <v>58.228450080055396</v>
      </c>
    </row>
    <row r="4439" spans="2:7" ht="11.25" hidden="1" customHeight="1" outlineLevel="2" x14ac:dyDescent="0.25">
      <c r="B4439" s="704" t="s">
        <v>682</v>
      </c>
      <c r="C4439" s="704" t="s">
        <v>895</v>
      </c>
      <c r="D4439" s="704" t="s">
        <v>728</v>
      </c>
      <c r="E4439" s="704" t="s">
        <v>861</v>
      </c>
      <c r="F4439" s="708"/>
      <c r="G4439" s="705">
        <v>7.5671357898725056</v>
      </c>
    </row>
    <row r="4440" spans="2:7" ht="11.25" hidden="1" customHeight="1" outlineLevel="2" x14ac:dyDescent="0.25">
      <c r="B4440" s="704" t="s">
        <v>683</v>
      </c>
      <c r="C4440" s="704" t="s">
        <v>895</v>
      </c>
      <c r="D4440" s="704" t="s">
        <v>728</v>
      </c>
      <c r="E4440" s="704" t="s">
        <v>861</v>
      </c>
      <c r="F4440" s="708"/>
      <c r="G4440" s="705">
        <v>15.903800947910694</v>
      </c>
    </row>
    <row r="4441" spans="2:7" ht="11.25" hidden="1" customHeight="1" outlineLevel="2" x14ac:dyDescent="0.25">
      <c r="B4441" s="704" t="s">
        <v>684</v>
      </c>
      <c r="C4441" s="704" t="s">
        <v>895</v>
      </c>
      <c r="D4441" s="704" t="s">
        <v>728</v>
      </c>
      <c r="E4441" s="704" t="s">
        <v>861</v>
      </c>
      <c r="F4441" s="708"/>
      <c r="G4441" s="705">
        <v>2.6021645822646068E-29</v>
      </c>
    </row>
    <row r="4442" spans="2:7" ht="11.25" hidden="1" customHeight="1" outlineLevel="2" x14ac:dyDescent="0.25">
      <c r="B4442" s="704" t="s">
        <v>685</v>
      </c>
      <c r="C4442" s="704" t="s">
        <v>895</v>
      </c>
      <c r="D4442" s="704" t="s">
        <v>728</v>
      </c>
      <c r="E4442" s="704" t="s">
        <v>861</v>
      </c>
      <c r="F4442" s="708"/>
      <c r="G4442" s="705">
        <v>96.705362551070351</v>
      </c>
    </row>
    <row r="4443" spans="2:7" ht="11.25" hidden="1" customHeight="1" outlineLevel="2" x14ac:dyDescent="0.25">
      <c r="B4443" s="704" t="s">
        <v>686</v>
      </c>
      <c r="C4443" s="704" t="s">
        <v>895</v>
      </c>
      <c r="D4443" s="704" t="s">
        <v>728</v>
      </c>
      <c r="E4443" s="704" t="s">
        <v>861</v>
      </c>
      <c r="F4443" s="708"/>
      <c r="G4443" s="705">
        <v>15.647293957154277</v>
      </c>
    </row>
    <row r="4444" spans="2:7" ht="11.25" hidden="1" customHeight="1" outlineLevel="2" x14ac:dyDescent="0.25">
      <c r="B4444" s="704" t="s">
        <v>687</v>
      </c>
      <c r="C4444" s="704" t="s">
        <v>895</v>
      </c>
      <c r="D4444" s="704" t="s">
        <v>728</v>
      </c>
      <c r="E4444" s="704" t="s">
        <v>861</v>
      </c>
      <c r="F4444" s="708"/>
      <c r="G4444" s="705">
        <v>42.452909528431597</v>
      </c>
    </row>
    <row r="4445" spans="2:7" ht="11.25" hidden="1" customHeight="1" outlineLevel="2" x14ac:dyDescent="0.25">
      <c r="B4445" s="704" t="s">
        <v>688</v>
      </c>
      <c r="C4445" s="704" t="s">
        <v>895</v>
      </c>
      <c r="D4445" s="704" t="s">
        <v>728</v>
      </c>
      <c r="E4445" s="704" t="s">
        <v>861</v>
      </c>
      <c r="F4445" s="708"/>
      <c r="G4445" s="705">
        <v>124.92191856571966</v>
      </c>
    </row>
    <row r="4446" spans="2:7" ht="11.25" hidden="1" customHeight="1" outlineLevel="2" x14ac:dyDescent="0.25">
      <c r="B4446" s="704" t="s">
        <v>689</v>
      </c>
      <c r="C4446" s="704" t="s">
        <v>895</v>
      </c>
      <c r="D4446" s="704" t="s">
        <v>728</v>
      </c>
      <c r="E4446" s="704" t="s">
        <v>861</v>
      </c>
      <c r="F4446" s="708"/>
      <c r="G4446" s="705">
        <v>13.408056245664625</v>
      </c>
    </row>
    <row r="4447" spans="2:7" ht="11.25" hidden="1" customHeight="1" outlineLevel="2" x14ac:dyDescent="0.25">
      <c r="B4447" s="704" t="s">
        <v>690</v>
      </c>
      <c r="C4447" s="704" t="s">
        <v>895</v>
      </c>
      <c r="D4447" s="704" t="s">
        <v>728</v>
      </c>
      <c r="E4447" s="704" t="s">
        <v>861</v>
      </c>
      <c r="F4447" s="709"/>
      <c r="G4447" s="705">
        <v>381.94785105815777</v>
      </c>
    </row>
    <row r="4448" spans="2:7" ht="11.25" hidden="1" customHeight="1" outlineLevel="2" x14ac:dyDescent="0.25">
      <c r="B4448" s="704" t="s">
        <v>691</v>
      </c>
      <c r="C4448" s="704" t="s">
        <v>895</v>
      </c>
      <c r="D4448" s="704" t="s">
        <v>728</v>
      </c>
      <c r="E4448" s="704" t="s">
        <v>861</v>
      </c>
      <c r="F4448" s="709"/>
      <c r="G4448" s="705">
        <v>186.61316161515191</v>
      </c>
    </row>
    <row r="4449" spans="2:7" ht="11.25" hidden="1" customHeight="1" outlineLevel="2" x14ac:dyDescent="0.25">
      <c r="B4449" s="704" t="s">
        <v>692</v>
      </c>
      <c r="C4449" s="704" t="s">
        <v>895</v>
      </c>
      <c r="D4449" s="704" t="s">
        <v>728</v>
      </c>
      <c r="E4449" s="704" t="s">
        <v>861</v>
      </c>
      <c r="F4449" s="708"/>
      <c r="G4449" s="705">
        <v>2.6021645822646023E-29</v>
      </c>
    </row>
    <row r="4450" spans="2:7" ht="11.25" hidden="1" customHeight="1" outlineLevel="2" x14ac:dyDescent="0.25">
      <c r="B4450" s="704" t="s">
        <v>693</v>
      </c>
      <c r="C4450" s="704" t="s">
        <v>895</v>
      </c>
      <c r="D4450" s="704" t="s">
        <v>728</v>
      </c>
      <c r="E4450" s="704" t="s">
        <v>861</v>
      </c>
      <c r="F4450" s="708"/>
      <c r="G4450" s="705">
        <v>9.3627251683353077</v>
      </c>
    </row>
    <row r="4451" spans="2:7" ht="11.25" hidden="1" customHeight="1" outlineLevel="2" x14ac:dyDescent="0.25">
      <c r="B4451" s="704" t="s">
        <v>694</v>
      </c>
      <c r="C4451" s="704" t="s">
        <v>895</v>
      </c>
      <c r="D4451" s="704" t="s">
        <v>728</v>
      </c>
      <c r="E4451" s="704" t="s">
        <v>861</v>
      </c>
      <c r="F4451" s="708"/>
      <c r="G4451" s="705">
        <v>2.6021645822646068E-29</v>
      </c>
    </row>
    <row r="4452" spans="2:7" ht="11.25" hidden="1" customHeight="1" outlineLevel="2" x14ac:dyDescent="0.25">
      <c r="B4452" s="704" t="s">
        <v>695</v>
      </c>
      <c r="C4452" s="704" t="s">
        <v>895</v>
      </c>
      <c r="D4452" s="704" t="s">
        <v>728</v>
      </c>
      <c r="E4452" s="704" t="s">
        <v>861</v>
      </c>
      <c r="F4452" s="708"/>
      <c r="G4452" s="705">
        <v>2.6021645822646068E-29</v>
      </c>
    </row>
    <row r="4453" spans="2:7" ht="11.25" hidden="1" customHeight="1" outlineLevel="2" x14ac:dyDescent="0.25">
      <c r="B4453" s="704" t="s">
        <v>696</v>
      </c>
      <c r="C4453" s="704" t="s">
        <v>895</v>
      </c>
      <c r="D4453" s="704" t="s">
        <v>728</v>
      </c>
      <c r="E4453" s="704" t="s">
        <v>861</v>
      </c>
      <c r="F4453" s="708"/>
      <c r="G4453" s="705">
        <v>28.985977098955715</v>
      </c>
    </row>
    <row r="4454" spans="2:7" ht="11.25" hidden="1" customHeight="1" outlineLevel="2" x14ac:dyDescent="0.25">
      <c r="B4454" s="704" t="s">
        <v>697</v>
      </c>
      <c r="C4454" s="704" t="s">
        <v>895</v>
      </c>
      <c r="D4454" s="704" t="s">
        <v>728</v>
      </c>
      <c r="E4454" s="704" t="s">
        <v>861</v>
      </c>
      <c r="F4454" s="708"/>
      <c r="G4454" s="705">
        <v>2.6001288280000003E-29</v>
      </c>
    </row>
    <row r="4455" spans="2:7" ht="11.25" hidden="1" customHeight="1" outlineLevel="2" x14ac:dyDescent="0.25">
      <c r="B4455" s="704" t="s">
        <v>698</v>
      </c>
      <c r="C4455" s="704" t="s">
        <v>895</v>
      </c>
      <c r="D4455" s="704" t="s">
        <v>728</v>
      </c>
      <c r="E4455" s="704" t="s">
        <v>861</v>
      </c>
      <c r="F4455" s="708"/>
      <c r="G4455" s="705">
        <v>2.6001288280000003E-29</v>
      </c>
    </row>
    <row r="4456" spans="2:7" ht="11.25" hidden="1" customHeight="1" outlineLevel="2" x14ac:dyDescent="0.25">
      <c r="B4456" s="704" t="s">
        <v>699</v>
      </c>
      <c r="C4456" s="704" t="s">
        <v>895</v>
      </c>
      <c r="D4456" s="704" t="s">
        <v>728</v>
      </c>
      <c r="E4456" s="704" t="s">
        <v>861</v>
      </c>
      <c r="F4456" s="708"/>
      <c r="G4456" s="705">
        <v>23.214422429791544</v>
      </c>
    </row>
    <row r="4457" spans="2:7" ht="11.25" hidden="1" customHeight="1" outlineLevel="2" x14ac:dyDescent="0.25">
      <c r="B4457" s="704" t="s">
        <v>673</v>
      </c>
      <c r="C4457" s="704" t="s">
        <v>896</v>
      </c>
      <c r="D4457" s="704" t="s">
        <v>728</v>
      </c>
      <c r="E4457" s="704" t="s">
        <v>861</v>
      </c>
      <c r="F4457" s="708"/>
      <c r="G4457" s="705">
        <v>83.900870991751745</v>
      </c>
    </row>
    <row r="4458" spans="2:7" ht="11.25" hidden="1" customHeight="1" outlineLevel="2" x14ac:dyDescent="0.25">
      <c r="B4458" s="704" t="s">
        <v>677</v>
      </c>
      <c r="C4458" s="704" t="s">
        <v>896</v>
      </c>
      <c r="D4458" s="704" t="s">
        <v>728</v>
      </c>
      <c r="E4458" s="704" t="s">
        <v>861</v>
      </c>
      <c r="F4458" s="705">
        <v>0.1783965451353498</v>
      </c>
      <c r="G4458" s="705">
        <v>4020.5302942067983</v>
      </c>
    </row>
    <row r="4459" spans="2:7" ht="11.25" hidden="1" customHeight="1" outlineLevel="2" x14ac:dyDescent="0.25">
      <c r="B4459" s="704" t="s">
        <v>678</v>
      </c>
      <c r="C4459" s="704" t="s">
        <v>896</v>
      </c>
      <c r="D4459" s="704" t="s">
        <v>728</v>
      </c>
      <c r="E4459" s="704" t="s">
        <v>861</v>
      </c>
      <c r="F4459" s="708"/>
      <c r="G4459" s="705">
        <v>4832.6898281569183</v>
      </c>
    </row>
    <row r="4460" spans="2:7" ht="11.25" hidden="1" customHeight="1" outlineLevel="2" x14ac:dyDescent="0.25">
      <c r="B4460" s="704" t="s">
        <v>679</v>
      </c>
      <c r="C4460" s="704" t="s">
        <v>896</v>
      </c>
      <c r="D4460" s="704" t="s">
        <v>728</v>
      </c>
      <c r="E4460" s="704" t="s">
        <v>861</v>
      </c>
      <c r="F4460" s="708"/>
      <c r="G4460" s="705">
        <v>288.61897974000595</v>
      </c>
    </row>
    <row r="4461" spans="2:7" ht="11.25" hidden="1" customHeight="1" outlineLevel="2" x14ac:dyDescent="0.25">
      <c r="B4461" s="704" t="s">
        <v>680</v>
      </c>
      <c r="C4461" s="704" t="s">
        <v>896</v>
      </c>
      <c r="D4461" s="704" t="s">
        <v>728</v>
      </c>
      <c r="E4461" s="704" t="s">
        <v>861</v>
      </c>
      <c r="F4461" s="708"/>
      <c r="G4461" s="705">
        <v>90.612929842838838</v>
      </c>
    </row>
    <row r="4462" spans="2:7" ht="11.25" hidden="1" customHeight="1" outlineLevel="2" x14ac:dyDescent="0.25">
      <c r="B4462" s="704" t="s">
        <v>681</v>
      </c>
      <c r="C4462" s="704" t="s">
        <v>896</v>
      </c>
      <c r="D4462" s="704" t="s">
        <v>728</v>
      </c>
      <c r="E4462" s="704" t="s">
        <v>861</v>
      </c>
      <c r="F4462" s="708"/>
      <c r="G4462" s="705">
        <v>1523.6395843298974</v>
      </c>
    </row>
    <row r="4463" spans="2:7" ht="11.25" hidden="1" customHeight="1" outlineLevel="2" x14ac:dyDescent="0.25">
      <c r="B4463" s="704" t="s">
        <v>682</v>
      </c>
      <c r="C4463" s="704" t="s">
        <v>896</v>
      </c>
      <c r="D4463" s="704" t="s">
        <v>728</v>
      </c>
      <c r="E4463" s="704" t="s">
        <v>861</v>
      </c>
      <c r="F4463" s="708"/>
      <c r="G4463" s="705">
        <v>198.00599656117365</v>
      </c>
    </row>
    <row r="4464" spans="2:7" ht="11.25" hidden="1" customHeight="1" outlineLevel="2" x14ac:dyDescent="0.25">
      <c r="B4464" s="704" t="s">
        <v>683</v>
      </c>
      <c r="C4464" s="704" t="s">
        <v>896</v>
      </c>
      <c r="D4464" s="704" t="s">
        <v>728</v>
      </c>
      <c r="E4464" s="704" t="s">
        <v>861</v>
      </c>
      <c r="F4464" s="709"/>
      <c r="G4464" s="705">
        <v>416.14820896023201</v>
      </c>
    </row>
    <row r="4465" spans="2:7" ht="11.25" hidden="1" customHeight="1" outlineLevel="2" x14ac:dyDescent="0.25">
      <c r="B4465" s="704" t="s">
        <v>684</v>
      </c>
      <c r="C4465" s="704" t="s">
        <v>896</v>
      </c>
      <c r="D4465" s="704" t="s">
        <v>728</v>
      </c>
      <c r="E4465" s="704" t="s">
        <v>861</v>
      </c>
      <c r="F4465" s="709"/>
      <c r="G4465" s="705">
        <v>536.96546391625645</v>
      </c>
    </row>
    <row r="4466" spans="2:7" ht="11.25" hidden="1" customHeight="1" outlineLevel="2" x14ac:dyDescent="0.25">
      <c r="B4466" s="704" t="s">
        <v>685</v>
      </c>
      <c r="C4466" s="704" t="s">
        <v>896</v>
      </c>
      <c r="D4466" s="704" t="s">
        <v>728</v>
      </c>
      <c r="E4466" s="704" t="s">
        <v>861</v>
      </c>
      <c r="F4466" s="709"/>
      <c r="G4466" s="705">
        <v>2530.4496440769017</v>
      </c>
    </row>
    <row r="4467" spans="2:7" ht="11.25" hidden="1" customHeight="1" outlineLevel="2" x14ac:dyDescent="0.25">
      <c r="B4467" s="704" t="s">
        <v>686</v>
      </c>
      <c r="C4467" s="704" t="s">
        <v>896</v>
      </c>
      <c r="D4467" s="704" t="s">
        <v>728</v>
      </c>
      <c r="E4467" s="704" t="s">
        <v>861</v>
      </c>
      <c r="F4467" s="709"/>
      <c r="G4467" s="705">
        <v>540.32149599598881</v>
      </c>
    </row>
    <row r="4468" spans="2:7" ht="11.25" hidden="1" customHeight="1" outlineLevel="2" x14ac:dyDescent="0.25">
      <c r="B4468" s="704" t="s">
        <v>687</v>
      </c>
      <c r="C4468" s="704" t="s">
        <v>896</v>
      </c>
      <c r="D4468" s="704" t="s">
        <v>728</v>
      </c>
      <c r="E4468" s="704" t="s">
        <v>861</v>
      </c>
      <c r="F4468" s="709"/>
      <c r="G4468" s="705">
        <v>1110.8472381772367</v>
      </c>
    </row>
    <row r="4469" spans="2:7" ht="11.25" hidden="1" customHeight="1" outlineLevel="2" x14ac:dyDescent="0.25">
      <c r="B4469" s="704" t="s">
        <v>688</v>
      </c>
      <c r="C4469" s="704" t="s">
        <v>896</v>
      </c>
      <c r="D4469" s="704" t="s">
        <v>728</v>
      </c>
      <c r="E4469" s="704" t="s">
        <v>861</v>
      </c>
      <c r="F4469" s="709"/>
      <c r="G4469" s="705">
        <v>3268.777193384949</v>
      </c>
    </row>
    <row r="4470" spans="2:7" ht="11.25" hidden="1" customHeight="1" outlineLevel="2" x14ac:dyDescent="0.25">
      <c r="B4470" s="704" t="s">
        <v>689</v>
      </c>
      <c r="C4470" s="704" t="s">
        <v>896</v>
      </c>
      <c r="D4470" s="704" t="s">
        <v>728</v>
      </c>
      <c r="E4470" s="704" t="s">
        <v>861</v>
      </c>
      <c r="F4470" s="709"/>
      <c r="G4470" s="705">
        <v>318.17627797599408</v>
      </c>
    </row>
    <row r="4471" spans="2:7" ht="11.25" hidden="1" customHeight="1" outlineLevel="2" x14ac:dyDescent="0.25">
      <c r="B4471" s="704" t="s">
        <v>690</v>
      </c>
      <c r="C4471" s="704" t="s">
        <v>896</v>
      </c>
      <c r="D4471" s="704" t="s">
        <v>728</v>
      </c>
      <c r="E4471" s="704" t="s">
        <v>861</v>
      </c>
      <c r="F4471" s="709"/>
      <c r="G4471" s="705">
        <v>9994.2693129035761</v>
      </c>
    </row>
    <row r="4472" spans="2:7" ht="11.25" hidden="1" customHeight="1" outlineLevel="2" x14ac:dyDescent="0.25">
      <c r="B4472" s="704" t="s">
        <v>691</v>
      </c>
      <c r="C4472" s="704" t="s">
        <v>896</v>
      </c>
      <c r="D4472" s="704" t="s">
        <v>728</v>
      </c>
      <c r="E4472" s="704" t="s">
        <v>861</v>
      </c>
      <c r="F4472" s="709"/>
      <c r="G4472" s="705">
        <v>4883.0292888303475</v>
      </c>
    </row>
    <row r="4473" spans="2:7" ht="11.25" hidden="1" customHeight="1" outlineLevel="2" x14ac:dyDescent="0.25">
      <c r="B4473" s="704" t="s">
        <v>692</v>
      </c>
      <c r="C4473" s="704" t="s">
        <v>896</v>
      </c>
      <c r="D4473" s="704" t="s">
        <v>728</v>
      </c>
      <c r="E4473" s="704" t="s">
        <v>861</v>
      </c>
      <c r="F4473" s="709"/>
      <c r="G4473" s="705">
        <v>318.82329993485723</v>
      </c>
    </row>
    <row r="4474" spans="2:7" ht="11.25" hidden="1" customHeight="1" outlineLevel="2" x14ac:dyDescent="0.25">
      <c r="B4474" s="704" t="s">
        <v>693</v>
      </c>
      <c r="C4474" s="704" t="s">
        <v>896</v>
      </c>
      <c r="D4474" s="704" t="s">
        <v>728</v>
      </c>
      <c r="E4474" s="704" t="s">
        <v>861</v>
      </c>
      <c r="F4474" s="708"/>
      <c r="G4474" s="705">
        <v>244.99043918104124</v>
      </c>
    </row>
    <row r="4475" spans="2:7" ht="11.25" hidden="1" customHeight="1" outlineLevel="2" x14ac:dyDescent="0.25">
      <c r="B4475" s="704" t="s">
        <v>694</v>
      </c>
      <c r="C4475" s="704" t="s">
        <v>896</v>
      </c>
      <c r="D4475" s="704" t="s">
        <v>728</v>
      </c>
      <c r="E4475" s="704" t="s">
        <v>861</v>
      </c>
      <c r="F4475" s="708"/>
      <c r="G4475" s="705">
        <v>540.32149599598881</v>
      </c>
    </row>
    <row r="4476" spans="2:7" ht="11.25" hidden="1" customHeight="1" outlineLevel="2" x14ac:dyDescent="0.25">
      <c r="B4476" s="704" t="s">
        <v>695</v>
      </c>
      <c r="C4476" s="704" t="s">
        <v>896</v>
      </c>
      <c r="D4476" s="704" t="s">
        <v>728</v>
      </c>
      <c r="E4476" s="704" t="s">
        <v>861</v>
      </c>
      <c r="F4476" s="709"/>
      <c r="G4476" s="705">
        <v>530.25332747577033</v>
      </c>
    </row>
    <row r="4477" spans="2:7" ht="11.25" hidden="1" customHeight="1" outlineLevel="2" x14ac:dyDescent="0.25">
      <c r="B4477" s="704" t="s">
        <v>696</v>
      </c>
      <c r="C4477" s="704" t="s">
        <v>896</v>
      </c>
      <c r="D4477" s="704" t="s">
        <v>728</v>
      </c>
      <c r="E4477" s="704" t="s">
        <v>861</v>
      </c>
      <c r="F4477" s="708"/>
      <c r="G4477" s="705">
        <v>758.46383147360336</v>
      </c>
    </row>
    <row r="4478" spans="2:7" ht="11.25" hidden="1" customHeight="1" outlineLevel="2" x14ac:dyDescent="0.25">
      <c r="B4478" s="704" t="s">
        <v>697</v>
      </c>
      <c r="C4478" s="704" t="s">
        <v>896</v>
      </c>
      <c r="D4478" s="704" t="s">
        <v>728</v>
      </c>
      <c r="E4478" s="704" t="s">
        <v>861</v>
      </c>
      <c r="F4478" s="708"/>
      <c r="G4478" s="705">
        <v>342.31549447706152</v>
      </c>
    </row>
    <row r="4479" spans="2:7" ht="11.25" hidden="1" customHeight="1" outlineLevel="2" x14ac:dyDescent="0.25">
      <c r="B4479" s="704" t="s">
        <v>698</v>
      </c>
      <c r="C4479" s="704" t="s">
        <v>896</v>
      </c>
      <c r="D4479" s="704" t="s">
        <v>728</v>
      </c>
      <c r="E4479" s="704" t="s">
        <v>861</v>
      </c>
      <c r="F4479" s="708"/>
      <c r="G4479" s="705">
        <v>540.3214960693191</v>
      </c>
    </row>
    <row r="4480" spans="2:7" ht="11.25" hidden="1" customHeight="1" outlineLevel="2" x14ac:dyDescent="0.25">
      <c r="B4480" s="704" t="s">
        <v>699</v>
      </c>
      <c r="C4480" s="704" t="s">
        <v>896</v>
      </c>
      <c r="D4480" s="704" t="s">
        <v>728</v>
      </c>
      <c r="E4480" s="704" t="s">
        <v>861</v>
      </c>
      <c r="F4480" s="708"/>
      <c r="G4480" s="705">
        <v>607.44220954041339</v>
      </c>
    </row>
    <row r="4481" spans="2:7" ht="11.25" hidden="1" customHeight="1" outlineLevel="2" x14ac:dyDescent="0.25">
      <c r="B4481" s="704" t="s">
        <v>673</v>
      </c>
      <c r="C4481" s="704" t="s">
        <v>897</v>
      </c>
      <c r="D4481" s="704" t="s">
        <v>728</v>
      </c>
      <c r="E4481" s="704" t="s">
        <v>861</v>
      </c>
      <c r="F4481" s="708"/>
      <c r="G4481" s="705">
        <v>17.314300642795118</v>
      </c>
    </row>
    <row r="4482" spans="2:7" ht="11.25" hidden="1" customHeight="1" outlineLevel="2" x14ac:dyDescent="0.25">
      <c r="B4482" s="704" t="s">
        <v>677</v>
      </c>
      <c r="C4482" s="704" t="s">
        <v>897</v>
      </c>
      <c r="D4482" s="704" t="s">
        <v>728</v>
      </c>
      <c r="E4482" s="704" t="s">
        <v>861</v>
      </c>
      <c r="F4482" s="705">
        <v>5.1808914362204771E-2</v>
      </c>
      <c r="G4482" s="705">
        <v>829.7012505210962</v>
      </c>
    </row>
    <row r="4483" spans="2:7" ht="11.25" hidden="1" customHeight="1" outlineLevel="2" x14ac:dyDescent="0.25">
      <c r="B4483" s="704" t="s">
        <v>678</v>
      </c>
      <c r="C4483" s="704" t="s">
        <v>897</v>
      </c>
      <c r="D4483" s="704" t="s">
        <v>728</v>
      </c>
      <c r="E4483" s="704" t="s">
        <v>861</v>
      </c>
      <c r="F4483" s="708"/>
      <c r="G4483" s="705">
        <v>997.30405529258462</v>
      </c>
    </row>
    <row r="4484" spans="2:7" ht="11.25" hidden="1" customHeight="1" outlineLevel="2" x14ac:dyDescent="0.25">
      <c r="B4484" s="704" t="s">
        <v>679</v>
      </c>
      <c r="C4484" s="704" t="s">
        <v>897</v>
      </c>
      <c r="D4484" s="704" t="s">
        <v>728</v>
      </c>
      <c r="E4484" s="704" t="s">
        <v>861</v>
      </c>
      <c r="F4484" s="708"/>
      <c r="G4484" s="705">
        <v>59.561188151646171</v>
      </c>
    </row>
    <row r="4485" spans="2:7" ht="11.25" hidden="1" customHeight="1" outlineLevel="2" x14ac:dyDescent="0.25">
      <c r="B4485" s="704" t="s">
        <v>680</v>
      </c>
      <c r="C4485" s="704" t="s">
        <v>897</v>
      </c>
      <c r="D4485" s="704" t="s">
        <v>728</v>
      </c>
      <c r="E4485" s="704" t="s">
        <v>861</v>
      </c>
      <c r="F4485" s="708"/>
      <c r="G4485" s="705">
        <v>18.699446512503656</v>
      </c>
    </row>
    <row r="4486" spans="2:7" ht="11.25" hidden="1" customHeight="1" outlineLevel="2" x14ac:dyDescent="0.25">
      <c r="B4486" s="704" t="s">
        <v>681</v>
      </c>
      <c r="C4486" s="704" t="s">
        <v>897</v>
      </c>
      <c r="D4486" s="704" t="s">
        <v>728</v>
      </c>
      <c r="E4486" s="704" t="s">
        <v>861</v>
      </c>
      <c r="F4486" s="708"/>
      <c r="G4486" s="705">
        <v>314.42756326910262</v>
      </c>
    </row>
    <row r="4487" spans="2:7" ht="11.25" hidden="1" customHeight="1" outlineLevel="2" x14ac:dyDescent="0.25">
      <c r="B4487" s="704" t="s">
        <v>682</v>
      </c>
      <c r="C4487" s="704" t="s">
        <v>897</v>
      </c>
      <c r="D4487" s="704" t="s">
        <v>728</v>
      </c>
      <c r="E4487" s="704" t="s">
        <v>861</v>
      </c>
      <c r="F4487" s="708"/>
      <c r="G4487" s="705">
        <v>40.861745300020679</v>
      </c>
    </row>
    <row r="4488" spans="2:7" ht="11.25" hidden="1" customHeight="1" outlineLevel="2" x14ac:dyDescent="0.25">
      <c r="B4488" s="704" t="s">
        <v>683</v>
      </c>
      <c r="C4488" s="704" t="s">
        <v>897</v>
      </c>
      <c r="D4488" s="704" t="s">
        <v>728</v>
      </c>
      <c r="E4488" s="704" t="s">
        <v>861</v>
      </c>
      <c r="F4488" s="708"/>
      <c r="G4488" s="705">
        <v>85.878869282056371</v>
      </c>
    </row>
    <row r="4489" spans="2:7" ht="11.25" hidden="1" customHeight="1" outlineLevel="2" x14ac:dyDescent="0.25">
      <c r="B4489" s="704" t="s">
        <v>684</v>
      </c>
      <c r="C4489" s="704" t="s">
        <v>897</v>
      </c>
      <c r="D4489" s="704" t="s">
        <v>728</v>
      </c>
      <c r="E4489" s="704" t="s">
        <v>861</v>
      </c>
      <c r="F4489" s="708"/>
      <c r="G4489" s="705">
        <v>110.8115112461734</v>
      </c>
    </row>
    <row r="4490" spans="2:7" ht="11.25" hidden="1" customHeight="1" outlineLevel="2" x14ac:dyDescent="0.25">
      <c r="B4490" s="704" t="s">
        <v>685</v>
      </c>
      <c r="C4490" s="704" t="s">
        <v>897</v>
      </c>
      <c r="D4490" s="704" t="s">
        <v>728</v>
      </c>
      <c r="E4490" s="704" t="s">
        <v>861</v>
      </c>
      <c r="F4490" s="708"/>
      <c r="G4490" s="705">
        <v>522.19909663467911</v>
      </c>
    </row>
    <row r="4491" spans="2:7" ht="11.25" hidden="1" customHeight="1" outlineLevel="2" x14ac:dyDescent="0.25">
      <c r="B4491" s="704" t="s">
        <v>686</v>
      </c>
      <c r="C4491" s="704" t="s">
        <v>897</v>
      </c>
      <c r="D4491" s="704" t="s">
        <v>728</v>
      </c>
      <c r="E4491" s="704" t="s">
        <v>861</v>
      </c>
      <c r="F4491" s="708"/>
      <c r="G4491" s="705">
        <v>111.50406737889084</v>
      </c>
    </row>
    <row r="4492" spans="2:7" ht="11.25" hidden="1" customHeight="1" outlineLevel="2" x14ac:dyDescent="0.25">
      <c r="B4492" s="704" t="s">
        <v>687</v>
      </c>
      <c r="C4492" s="704" t="s">
        <v>897</v>
      </c>
      <c r="D4492" s="704" t="s">
        <v>728</v>
      </c>
      <c r="E4492" s="704" t="s">
        <v>861</v>
      </c>
      <c r="F4492" s="708"/>
      <c r="G4492" s="705">
        <v>229.24122842607429</v>
      </c>
    </row>
    <row r="4493" spans="2:7" ht="11.25" hidden="1" customHeight="1" outlineLevel="2" x14ac:dyDescent="0.25">
      <c r="B4493" s="704" t="s">
        <v>688</v>
      </c>
      <c r="C4493" s="704" t="s">
        <v>897</v>
      </c>
      <c r="D4493" s="704" t="s">
        <v>728</v>
      </c>
      <c r="E4493" s="704" t="s">
        <v>861</v>
      </c>
      <c r="F4493" s="708"/>
      <c r="G4493" s="705">
        <v>674.5651197116722</v>
      </c>
    </row>
    <row r="4494" spans="2:7" ht="11.25" hidden="1" customHeight="1" outlineLevel="2" x14ac:dyDescent="0.25">
      <c r="B4494" s="704" t="s">
        <v>689</v>
      </c>
      <c r="C4494" s="704" t="s">
        <v>897</v>
      </c>
      <c r="D4494" s="704" t="s">
        <v>728</v>
      </c>
      <c r="E4494" s="704" t="s">
        <v>861</v>
      </c>
      <c r="F4494" s="708"/>
      <c r="G4494" s="705">
        <v>65.660823548959257</v>
      </c>
    </row>
    <row r="4495" spans="2:7" ht="11.25" hidden="1" customHeight="1" outlineLevel="2" x14ac:dyDescent="0.25">
      <c r="B4495" s="704" t="s">
        <v>690</v>
      </c>
      <c r="C4495" s="704" t="s">
        <v>897</v>
      </c>
      <c r="D4495" s="704" t="s">
        <v>728</v>
      </c>
      <c r="E4495" s="704" t="s">
        <v>861</v>
      </c>
      <c r="F4495" s="708"/>
      <c r="G4495" s="705">
        <v>2062.4786077436861</v>
      </c>
    </row>
    <row r="4496" spans="2:7" ht="11.25" hidden="1" customHeight="1" outlineLevel="2" x14ac:dyDescent="0.25">
      <c r="B4496" s="704" t="s">
        <v>691</v>
      </c>
      <c r="C4496" s="704" t="s">
        <v>897</v>
      </c>
      <c r="D4496" s="704" t="s">
        <v>728</v>
      </c>
      <c r="E4496" s="704" t="s">
        <v>861</v>
      </c>
      <c r="F4496" s="708"/>
      <c r="G4496" s="705">
        <v>1007.6922529913478</v>
      </c>
    </row>
    <row r="4497" spans="2:7" ht="11.25" hidden="1" customHeight="1" outlineLevel="2" x14ac:dyDescent="0.25">
      <c r="B4497" s="704" t="s">
        <v>692</v>
      </c>
      <c r="C4497" s="704" t="s">
        <v>897</v>
      </c>
      <c r="D4497" s="704" t="s">
        <v>728</v>
      </c>
      <c r="E4497" s="704" t="s">
        <v>861</v>
      </c>
      <c r="F4497" s="709"/>
      <c r="G4497" s="705">
        <v>65.79431006561272</v>
      </c>
    </row>
    <row r="4498" spans="2:7" ht="11.25" hidden="1" customHeight="1" outlineLevel="2" x14ac:dyDescent="0.25">
      <c r="B4498" s="704" t="s">
        <v>693</v>
      </c>
      <c r="C4498" s="704" t="s">
        <v>897</v>
      </c>
      <c r="D4498" s="704" t="s">
        <v>728</v>
      </c>
      <c r="E4498" s="704" t="s">
        <v>861</v>
      </c>
      <c r="F4498" s="709"/>
      <c r="G4498" s="705">
        <v>50.55776296018324</v>
      </c>
    </row>
    <row r="4499" spans="2:7" ht="11.25" hidden="1" customHeight="1" outlineLevel="2" x14ac:dyDescent="0.25">
      <c r="B4499" s="704" t="s">
        <v>694</v>
      </c>
      <c r="C4499" s="704" t="s">
        <v>897</v>
      </c>
      <c r="D4499" s="704" t="s">
        <v>728</v>
      </c>
      <c r="E4499" s="704" t="s">
        <v>861</v>
      </c>
      <c r="F4499" s="709"/>
      <c r="G4499" s="705">
        <v>111.50406737889084</v>
      </c>
    </row>
    <row r="4500" spans="2:7" ht="11.25" hidden="1" customHeight="1" outlineLevel="2" x14ac:dyDescent="0.25">
      <c r="B4500" s="704" t="s">
        <v>695</v>
      </c>
      <c r="C4500" s="704" t="s">
        <v>897</v>
      </c>
      <c r="D4500" s="704" t="s">
        <v>728</v>
      </c>
      <c r="E4500" s="704" t="s">
        <v>861</v>
      </c>
      <c r="F4500" s="709"/>
      <c r="G4500" s="705">
        <v>109.42632205002275</v>
      </c>
    </row>
    <row r="4501" spans="2:7" ht="11.25" hidden="1" customHeight="1" outlineLevel="2" x14ac:dyDescent="0.25">
      <c r="B4501" s="704" t="s">
        <v>696</v>
      </c>
      <c r="C4501" s="704" t="s">
        <v>897</v>
      </c>
      <c r="D4501" s="704" t="s">
        <v>728</v>
      </c>
      <c r="E4501" s="704" t="s">
        <v>861</v>
      </c>
      <c r="F4501" s="709"/>
      <c r="G4501" s="705">
        <v>156.52129293443102</v>
      </c>
    </row>
    <row r="4502" spans="2:7" ht="11.25" hidden="1" customHeight="1" outlineLevel="2" x14ac:dyDescent="0.25">
      <c r="B4502" s="704" t="s">
        <v>697</v>
      </c>
      <c r="C4502" s="704" t="s">
        <v>897</v>
      </c>
      <c r="D4502" s="704" t="s">
        <v>728</v>
      </c>
      <c r="E4502" s="704" t="s">
        <v>861</v>
      </c>
      <c r="F4502" s="709"/>
      <c r="G4502" s="705">
        <v>70.642363894968597</v>
      </c>
    </row>
    <row r="4503" spans="2:7" ht="11.25" hidden="1" customHeight="1" outlineLevel="2" x14ac:dyDescent="0.25">
      <c r="B4503" s="704" t="s">
        <v>698</v>
      </c>
      <c r="C4503" s="704" t="s">
        <v>897</v>
      </c>
      <c r="D4503" s="704" t="s">
        <v>728</v>
      </c>
      <c r="E4503" s="704" t="s">
        <v>861</v>
      </c>
      <c r="F4503" s="708"/>
      <c r="G4503" s="705">
        <v>111.50406738292817</v>
      </c>
    </row>
    <row r="4504" spans="2:7" ht="11.25" hidden="1" customHeight="1" outlineLevel="2" x14ac:dyDescent="0.25">
      <c r="B4504" s="704" t="s">
        <v>699</v>
      </c>
      <c r="C4504" s="704" t="s">
        <v>897</v>
      </c>
      <c r="D4504" s="704" t="s">
        <v>728</v>
      </c>
      <c r="E4504" s="704" t="s">
        <v>861</v>
      </c>
      <c r="F4504" s="708"/>
      <c r="G4504" s="705">
        <v>125.35549931894866</v>
      </c>
    </row>
    <row r="4505" spans="2:7" ht="11.25" hidden="1" customHeight="1" outlineLevel="2" x14ac:dyDescent="0.25">
      <c r="B4505" s="704" t="s">
        <v>673</v>
      </c>
      <c r="C4505" s="704" t="s">
        <v>898</v>
      </c>
      <c r="D4505" s="704" t="s">
        <v>728</v>
      </c>
      <c r="E4505" s="704" t="s">
        <v>861</v>
      </c>
      <c r="F4505" s="708"/>
      <c r="G4505" s="705">
        <v>114.22880460026066</v>
      </c>
    </row>
    <row r="4506" spans="2:7" ht="11.25" hidden="1" customHeight="1" outlineLevel="2" x14ac:dyDescent="0.25">
      <c r="B4506" s="704" t="s">
        <v>677</v>
      </c>
      <c r="C4506" s="704" t="s">
        <v>898</v>
      </c>
      <c r="D4506" s="704" t="s">
        <v>728</v>
      </c>
      <c r="E4506" s="704" t="s">
        <v>861</v>
      </c>
      <c r="F4506" s="705">
        <v>0.13483777688399134</v>
      </c>
      <c r="G4506" s="705">
        <v>5473.8443261483071</v>
      </c>
    </row>
    <row r="4507" spans="2:7" ht="11.25" hidden="1" customHeight="1" outlineLevel="2" x14ac:dyDescent="0.25">
      <c r="B4507" s="704" t="s">
        <v>678</v>
      </c>
      <c r="C4507" s="704" t="s">
        <v>898</v>
      </c>
      <c r="D4507" s="704" t="s">
        <v>728</v>
      </c>
      <c r="E4507" s="704" t="s">
        <v>861</v>
      </c>
      <c r="F4507" s="708"/>
      <c r="G4507" s="705">
        <v>6579.5789531181044</v>
      </c>
    </row>
    <row r="4508" spans="2:7" ht="11.25" hidden="1" customHeight="1" outlineLevel="2" x14ac:dyDescent="0.25">
      <c r="B4508" s="704" t="s">
        <v>679</v>
      </c>
      <c r="C4508" s="704" t="s">
        <v>898</v>
      </c>
      <c r="D4508" s="704" t="s">
        <v>728</v>
      </c>
      <c r="E4508" s="704" t="s">
        <v>861</v>
      </c>
      <c r="F4508" s="708"/>
      <c r="G4508" s="705">
        <v>392.94709168039361</v>
      </c>
    </row>
    <row r="4509" spans="2:7" ht="11.25" hidden="1" customHeight="1" outlineLevel="2" x14ac:dyDescent="0.25">
      <c r="B4509" s="704" t="s">
        <v>680</v>
      </c>
      <c r="C4509" s="704" t="s">
        <v>898</v>
      </c>
      <c r="D4509" s="704" t="s">
        <v>728</v>
      </c>
      <c r="E4509" s="704" t="s">
        <v>861</v>
      </c>
      <c r="F4509" s="708"/>
      <c r="G4509" s="705">
        <v>123.36713488400383</v>
      </c>
    </row>
    <row r="4510" spans="2:7" ht="11.25" hidden="1" customHeight="1" outlineLevel="2" x14ac:dyDescent="0.25">
      <c r="B4510" s="704" t="s">
        <v>681</v>
      </c>
      <c r="C4510" s="704" t="s">
        <v>898</v>
      </c>
      <c r="D4510" s="704" t="s">
        <v>728</v>
      </c>
      <c r="E4510" s="704" t="s">
        <v>861</v>
      </c>
      <c r="F4510" s="708"/>
      <c r="G4510" s="705">
        <v>2074.3947911072255</v>
      </c>
    </row>
    <row r="4511" spans="2:7" ht="11.25" hidden="1" customHeight="1" outlineLevel="2" x14ac:dyDescent="0.25">
      <c r="B4511" s="704" t="s">
        <v>682</v>
      </c>
      <c r="C4511" s="704" t="s">
        <v>898</v>
      </c>
      <c r="D4511" s="704" t="s">
        <v>728</v>
      </c>
      <c r="E4511" s="704" t="s">
        <v>861</v>
      </c>
      <c r="F4511" s="708"/>
      <c r="G4511" s="705">
        <v>269.57999294508249</v>
      </c>
    </row>
    <row r="4512" spans="2:7" ht="11.25" hidden="1" customHeight="1" outlineLevel="2" x14ac:dyDescent="0.25">
      <c r="B4512" s="704" t="s">
        <v>683</v>
      </c>
      <c r="C4512" s="704" t="s">
        <v>898</v>
      </c>
      <c r="D4512" s="704" t="s">
        <v>728</v>
      </c>
      <c r="E4512" s="704" t="s">
        <v>861</v>
      </c>
      <c r="F4512" s="708"/>
      <c r="G4512" s="705">
        <v>566.5747892983818</v>
      </c>
    </row>
    <row r="4513" spans="2:7" ht="11.25" hidden="1" customHeight="1" outlineLevel="2" x14ac:dyDescent="0.25">
      <c r="B4513" s="704" t="s">
        <v>684</v>
      </c>
      <c r="C4513" s="704" t="s">
        <v>898</v>
      </c>
      <c r="D4513" s="704" t="s">
        <v>728</v>
      </c>
      <c r="E4513" s="704" t="s">
        <v>861</v>
      </c>
      <c r="F4513" s="708"/>
      <c r="G4513" s="705">
        <v>731.06431952941193</v>
      </c>
    </row>
    <row r="4514" spans="2:7" ht="11.25" hidden="1" customHeight="1" outlineLevel="2" x14ac:dyDescent="0.25">
      <c r="B4514" s="704" t="s">
        <v>685</v>
      </c>
      <c r="C4514" s="704" t="s">
        <v>898</v>
      </c>
      <c r="D4514" s="704" t="s">
        <v>728</v>
      </c>
      <c r="E4514" s="704" t="s">
        <v>861</v>
      </c>
      <c r="F4514" s="708"/>
      <c r="G4514" s="705">
        <v>3445.1403425478238</v>
      </c>
    </row>
    <row r="4515" spans="2:7" ht="11.25" hidden="1" customHeight="1" outlineLevel="2" x14ac:dyDescent="0.25">
      <c r="B4515" s="704" t="s">
        <v>686</v>
      </c>
      <c r="C4515" s="704" t="s">
        <v>898</v>
      </c>
      <c r="D4515" s="704" t="s">
        <v>728</v>
      </c>
      <c r="E4515" s="704" t="s">
        <v>861</v>
      </c>
      <c r="F4515" s="708"/>
      <c r="G4515" s="705">
        <v>735.63337552939686</v>
      </c>
    </row>
    <row r="4516" spans="2:7" ht="11.25" hidden="1" customHeight="1" outlineLevel="2" x14ac:dyDescent="0.25">
      <c r="B4516" s="704" t="s">
        <v>687</v>
      </c>
      <c r="C4516" s="704" t="s">
        <v>898</v>
      </c>
      <c r="D4516" s="704" t="s">
        <v>728</v>
      </c>
      <c r="E4516" s="704" t="s">
        <v>861</v>
      </c>
      <c r="F4516" s="708"/>
      <c r="G4516" s="705">
        <v>1512.3893477226566</v>
      </c>
    </row>
    <row r="4517" spans="2:7" ht="11.25" hidden="1" customHeight="1" outlineLevel="2" x14ac:dyDescent="0.25">
      <c r="B4517" s="704" t="s">
        <v>688</v>
      </c>
      <c r="C4517" s="704" t="s">
        <v>898</v>
      </c>
      <c r="D4517" s="704" t="s">
        <v>728</v>
      </c>
      <c r="E4517" s="704" t="s">
        <v>861</v>
      </c>
      <c r="F4517" s="708"/>
      <c r="G4517" s="705">
        <v>4450.3529954877522</v>
      </c>
    </row>
    <row r="4518" spans="2:7" ht="11.25" hidden="1" customHeight="1" outlineLevel="2" x14ac:dyDescent="0.25">
      <c r="B4518" s="704" t="s">
        <v>689</v>
      </c>
      <c r="C4518" s="704" t="s">
        <v>898</v>
      </c>
      <c r="D4518" s="704" t="s">
        <v>728</v>
      </c>
      <c r="E4518" s="704" t="s">
        <v>861</v>
      </c>
      <c r="F4518" s="708"/>
      <c r="G4518" s="705">
        <v>433.18870314840188</v>
      </c>
    </row>
    <row r="4519" spans="2:7" ht="11.25" hidden="1" customHeight="1" outlineLevel="2" x14ac:dyDescent="0.25">
      <c r="B4519" s="704" t="s">
        <v>690</v>
      </c>
      <c r="C4519" s="704" t="s">
        <v>898</v>
      </c>
      <c r="D4519" s="704" t="s">
        <v>728</v>
      </c>
      <c r="E4519" s="704" t="s">
        <v>861</v>
      </c>
      <c r="F4519" s="708"/>
      <c r="G4519" s="705">
        <v>13606.934012804872</v>
      </c>
    </row>
    <row r="4520" spans="2:7" ht="11.25" hidden="1" customHeight="1" outlineLevel="2" x14ac:dyDescent="0.25">
      <c r="B4520" s="704" t="s">
        <v>691</v>
      </c>
      <c r="C4520" s="704" t="s">
        <v>898</v>
      </c>
      <c r="D4520" s="704" t="s">
        <v>728</v>
      </c>
      <c r="E4520" s="704" t="s">
        <v>861</v>
      </c>
      <c r="F4520" s="708"/>
      <c r="G4520" s="705">
        <v>6648.1161081175915</v>
      </c>
    </row>
    <row r="4521" spans="2:7" ht="11.25" hidden="1" customHeight="1" outlineLevel="2" x14ac:dyDescent="0.25">
      <c r="B4521" s="704" t="s">
        <v>692</v>
      </c>
      <c r="C4521" s="704" t="s">
        <v>898</v>
      </c>
      <c r="D4521" s="704" t="s">
        <v>728</v>
      </c>
      <c r="E4521" s="704" t="s">
        <v>861</v>
      </c>
      <c r="F4521" s="708"/>
      <c r="G4521" s="705">
        <v>434.06943155049373</v>
      </c>
    </row>
    <row r="4522" spans="2:7" ht="11.25" hidden="1" customHeight="1" outlineLevel="2" x14ac:dyDescent="0.25">
      <c r="B4522" s="704" t="s">
        <v>693</v>
      </c>
      <c r="C4522" s="704" t="s">
        <v>898</v>
      </c>
      <c r="D4522" s="704" t="s">
        <v>728</v>
      </c>
      <c r="E4522" s="704" t="s">
        <v>861</v>
      </c>
      <c r="F4522" s="708"/>
      <c r="G4522" s="705">
        <v>333.54806928777475</v>
      </c>
    </row>
    <row r="4523" spans="2:7" ht="11.25" hidden="1" customHeight="1" outlineLevel="2" x14ac:dyDescent="0.25">
      <c r="B4523" s="704" t="s">
        <v>694</v>
      </c>
      <c r="C4523" s="704" t="s">
        <v>898</v>
      </c>
      <c r="D4523" s="704" t="s">
        <v>728</v>
      </c>
      <c r="E4523" s="704" t="s">
        <v>861</v>
      </c>
      <c r="F4523" s="708"/>
      <c r="G4523" s="705">
        <v>735.63337552939686</v>
      </c>
    </row>
    <row r="4524" spans="2:7" ht="11.25" hidden="1" customHeight="1" outlineLevel="2" x14ac:dyDescent="0.25">
      <c r="B4524" s="704" t="s">
        <v>695</v>
      </c>
      <c r="C4524" s="704" t="s">
        <v>898</v>
      </c>
      <c r="D4524" s="704" t="s">
        <v>728</v>
      </c>
      <c r="E4524" s="704" t="s">
        <v>861</v>
      </c>
      <c r="F4524" s="708"/>
      <c r="G4524" s="705">
        <v>721.92610783959299</v>
      </c>
    </row>
    <row r="4525" spans="2:7" ht="11.25" hidden="1" customHeight="1" outlineLevel="2" x14ac:dyDescent="0.25">
      <c r="B4525" s="704" t="s">
        <v>696</v>
      </c>
      <c r="C4525" s="704" t="s">
        <v>898</v>
      </c>
      <c r="D4525" s="704" t="s">
        <v>728</v>
      </c>
      <c r="E4525" s="704" t="s">
        <v>861</v>
      </c>
      <c r="F4525" s="708"/>
      <c r="G4525" s="705">
        <v>1032.6284039372747</v>
      </c>
    </row>
    <row r="4526" spans="2:7" ht="11.25" hidden="1" customHeight="1" outlineLevel="2" x14ac:dyDescent="0.25">
      <c r="B4526" s="704" t="s">
        <v>697</v>
      </c>
      <c r="C4526" s="704" t="s">
        <v>898</v>
      </c>
      <c r="D4526" s="704" t="s">
        <v>728</v>
      </c>
      <c r="E4526" s="704" t="s">
        <v>861</v>
      </c>
      <c r="F4526" s="708"/>
      <c r="G4526" s="705">
        <v>466.05351416785169</v>
      </c>
    </row>
    <row r="4527" spans="2:7" ht="11.25" hidden="1" customHeight="1" outlineLevel="2" x14ac:dyDescent="0.25">
      <c r="B4527" s="704" t="s">
        <v>698</v>
      </c>
      <c r="C4527" s="704" t="s">
        <v>898</v>
      </c>
      <c r="D4527" s="704" t="s">
        <v>728</v>
      </c>
      <c r="E4527" s="704" t="s">
        <v>861</v>
      </c>
      <c r="F4527" s="708"/>
      <c r="G4527" s="705">
        <v>735.63337552004998</v>
      </c>
    </row>
    <row r="4528" spans="2:7" ht="11.25" hidden="1" customHeight="1" outlineLevel="2" x14ac:dyDescent="0.25">
      <c r="B4528" s="704" t="s">
        <v>699</v>
      </c>
      <c r="C4528" s="704" t="s">
        <v>898</v>
      </c>
      <c r="D4528" s="704" t="s">
        <v>728</v>
      </c>
      <c r="E4528" s="704" t="s">
        <v>861</v>
      </c>
      <c r="F4528" s="708"/>
      <c r="G4528" s="705">
        <v>827.01638951450514</v>
      </c>
    </row>
    <row r="4529" spans="2:7" ht="11.25" hidden="1" customHeight="1" outlineLevel="2" x14ac:dyDescent="0.25">
      <c r="B4529" s="704" t="s">
        <v>673</v>
      </c>
      <c r="C4529" s="704" t="s">
        <v>899</v>
      </c>
      <c r="D4529" s="704" t="s">
        <v>728</v>
      </c>
      <c r="E4529" s="704" t="s">
        <v>861</v>
      </c>
      <c r="F4529" s="708"/>
      <c r="G4529" s="705">
        <v>13.468560388639375</v>
      </c>
    </row>
    <row r="4530" spans="2:7" ht="11.25" hidden="1" customHeight="1" outlineLevel="2" x14ac:dyDescent="0.25">
      <c r="B4530" s="704" t="s">
        <v>677</v>
      </c>
      <c r="C4530" s="704" t="s">
        <v>899</v>
      </c>
      <c r="D4530" s="704" t="s">
        <v>728</v>
      </c>
      <c r="E4530" s="704" t="s">
        <v>861</v>
      </c>
      <c r="F4530" s="705">
        <v>2.5860788763594836E-2</v>
      </c>
      <c r="G4530" s="705">
        <v>645.41337422681465</v>
      </c>
    </row>
    <row r="4531" spans="2:7" ht="11.25" hidden="1" customHeight="1" outlineLevel="2" x14ac:dyDescent="0.25">
      <c r="B4531" s="704" t="s">
        <v>678</v>
      </c>
      <c r="C4531" s="704" t="s">
        <v>899</v>
      </c>
      <c r="D4531" s="704" t="s">
        <v>728</v>
      </c>
      <c r="E4531" s="704" t="s">
        <v>861</v>
      </c>
      <c r="F4531" s="708"/>
      <c r="G4531" s="705">
        <v>775.78913900107375</v>
      </c>
    </row>
    <row r="4532" spans="2:7" ht="11.25" hidden="1" customHeight="1" outlineLevel="2" x14ac:dyDescent="0.25">
      <c r="B4532" s="704" t="s">
        <v>679</v>
      </c>
      <c r="C4532" s="704" t="s">
        <v>899</v>
      </c>
      <c r="D4532" s="704" t="s">
        <v>728</v>
      </c>
      <c r="E4532" s="704" t="s">
        <v>861</v>
      </c>
      <c r="F4532" s="708"/>
      <c r="G4532" s="705">
        <v>46.331843866946443</v>
      </c>
    </row>
    <row r="4533" spans="2:7" ht="11.25" hidden="1" customHeight="1" outlineLevel="2" x14ac:dyDescent="0.25">
      <c r="B4533" s="704" t="s">
        <v>680</v>
      </c>
      <c r="C4533" s="704" t="s">
        <v>899</v>
      </c>
      <c r="D4533" s="704" t="s">
        <v>728</v>
      </c>
      <c r="E4533" s="704" t="s">
        <v>861</v>
      </c>
      <c r="F4533" s="708"/>
      <c r="G4533" s="705">
        <v>14.546045469014084</v>
      </c>
    </row>
    <row r="4534" spans="2:7" ht="11.25" hidden="1" customHeight="1" outlineLevel="2" x14ac:dyDescent="0.25">
      <c r="B4534" s="704" t="s">
        <v>681</v>
      </c>
      <c r="C4534" s="704" t="s">
        <v>899</v>
      </c>
      <c r="D4534" s="704" t="s">
        <v>728</v>
      </c>
      <c r="E4534" s="704" t="s">
        <v>861</v>
      </c>
      <c r="F4534" s="708"/>
      <c r="G4534" s="705">
        <v>244.58907132588095</v>
      </c>
    </row>
    <row r="4535" spans="2:7" ht="11.25" hidden="1" customHeight="1" outlineLevel="2" x14ac:dyDescent="0.25">
      <c r="B4535" s="704" t="s">
        <v>682</v>
      </c>
      <c r="C4535" s="704" t="s">
        <v>899</v>
      </c>
      <c r="D4535" s="704" t="s">
        <v>728</v>
      </c>
      <c r="E4535" s="704" t="s">
        <v>861</v>
      </c>
      <c r="F4535" s="708"/>
      <c r="G4535" s="705">
        <v>31.785793891183808</v>
      </c>
    </row>
    <row r="4536" spans="2:7" ht="11.25" hidden="1" customHeight="1" outlineLevel="2" x14ac:dyDescent="0.25">
      <c r="B4536" s="704" t="s">
        <v>683</v>
      </c>
      <c r="C4536" s="704" t="s">
        <v>899</v>
      </c>
      <c r="D4536" s="704" t="s">
        <v>728</v>
      </c>
      <c r="E4536" s="704" t="s">
        <v>861</v>
      </c>
      <c r="F4536" s="708"/>
      <c r="G4536" s="705">
        <v>66.804051326556987</v>
      </c>
    </row>
    <row r="4537" spans="2:7" ht="11.25" hidden="1" customHeight="1" outlineLevel="2" x14ac:dyDescent="0.25">
      <c r="B4537" s="704" t="s">
        <v>684</v>
      </c>
      <c r="C4537" s="704" t="s">
        <v>899</v>
      </c>
      <c r="D4537" s="704" t="s">
        <v>728</v>
      </c>
      <c r="E4537" s="704" t="s">
        <v>861</v>
      </c>
      <c r="F4537" s="708"/>
      <c r="G4537" s="705">
        <v>86.198779994437501</v>
      </c>
    </row>
    <row r="4538" spans="2:7" ht="11.25" hidden="1" customHeight="1" outlineLevel="2" x14ac:dyDescent="0.25">
      <c r="B4538" s="704" t="s">
        <v>685</v>
      </c>
      <c r="C4538" s="704" t="s">
        <v>899</v>
      </c>
      <c r="D4538" s="704" t="s">
        <v>728</v>
      </c>
      <c r="E4538" s="704" t="s">
        <v>861</v>
      </c>
      <c r="F4538" s="708"/>
      <c r="G4538" s="705">
        <v>406.2117401866999</v>
      </c>
    </row>
    <row r="4539" spans="2:7" ht="11.25" hidden="1" customHeight="1" outlineLevel="2" x14ac:dyDescent="0.25">
      <c r="B4539" s="704" t="s">
        <v>686</v>
      </c>
      <c r="C4539" s="704" t="s">
        <v>899</v>
      </c>
      <c r="D4539" s="704" t="s">
        <v>728</v>
      </c>
      <c r="E4539" s="704" t="s">
        <v>861</v>
      </c>
      <c r="F4539" s="708"/>
      <c r="G4539" s="705">
        <v>86.737528034707111</v>
      </c>
    </row>
    <row r="4540" spans="2:7" ht="11.25" hidden="1" customHeight="1" outlineLevel="2" x14ac:dyDescent="0.25">
      <c r="B4540" s="704" t="s">
        <v>687</v>
      </c>
      <c r="C4540" s="704" t="s">
        <v>899</v>
      </c>
      <c r="D4540" s="704" t="s">
        <v>728</v>
      </c>
      <c r="E4540" s="704" t="s">
        <v>861</v>
      </c>
      <c r="F4540" s="708"/>
      <c r="G4540" s="705">
        <v>178.32370929753625</v>
      </c>
    </row>
    <row r="4541" spans="2:7" ht="11.25" hidden="1" customHeight="1" outlineLevel="2" x14ac:dyDescent="0.25">
      <c r="B4541" s="704" t="s">
        <v>688</v>
      </c>
      <c r="C4541" s="704" t="s">
        <v>899</v>
      </c>
      <c r="D4541" s="704" t="s">
        <v>728</v>
      </c>
      <c r="E4541" s="704" t="s">
        <v>861</v>
      </c>
      <c r="F4541" s="708"/>
      <c r="G4541" s="705">
        <v>524.73516862056374</v>
      </c>
    </row>
    <row r="4542" spans="2:7" ht="11.25" hidden="1" customHeight="1" outlineLevel="2" x14ac:dyDescent="0.25">
      <c r="B4542" s="704" t="s">
        <v>689</v>
      </c>
      <c r="C4542" s="704" t="s">
        <v>899</v>
      </c>
      <c r="D4542" s="704" t="s">
        <v>728</v>
      </c>
      <c r="E4542" s="704" t="s">
        <v>861</v>
      </c>
      <c r="F4542" s="708"/>
      <c r="G4542" s="705">
        <v>51.076684723236369</v>
      </c>
    </row>
    <row r="4543" spans="2:7" ht="11.25" hidden="1" customHeight="1" outlineLevel="2" x14ac:dyDescent="0.25">
      <c r="B4543" s="704" t="s">
        <v>690</v>
      </c>
      <c r="C4543" s="704" t="s">
        <v>899</v>
      </c>
      <c r="D4543" s="704" t="s">
        <v>728</v>
      </c>
      <c r="E4543" s="704" t="s">
        <v>861</v>
      </c>
      <c r="F4543" s="709"/>
      <c r="G4543" s="705">
        <v>1604.3747800744782</v>
      </c>
    </row>
    <row r="4544" spans="2:7" ht="11.25" hidden="1" customHeight="1" outlineLevel="2" x14ac:dyDescent="0.25">
      <c r="B4544" s="704" t="s">
        <v>691</v>
      </c>
      <c r="C4544" s="704" t="s">
        <v>899</v>
      </c>
      <c r="D4544" s="704" t="s">
        <v>728</v>
      </c>
      <c r="E4544" s="704" t="s">
        <v>861</v>
      </c>
      <c r="F4544" s="709"/>
      <c r="G4544" s="705">
        <v>783.87033198002428</v>
      </c>
    </row>
    <row r="4545" spans="2:7" ht="11.25" hidden="1" customHeight="1" outlineLevel="2" x14ac:dyDescent="0.25">
      <c r="B4545" s="704" t="s">
        <v>692</v>
      </c>
      <c r="C4545" s="704" t="s">
        <v>899</v>
      </c>
      <c r="D4545" s="704" t="s">
        <v>728</v>
      </c>
      <c r="E4545" s="704" t="s">
        <v>861</v>
      </c>
      <c r="F4545" s="709"/>
      <c r="G4545" s="705">
        <v>51.180529217185828</v>
      </c>
    </row>
    <row r="4546" spans="2:7" ht="11.25" hidden="1" customHeight="1" outlineLevel="2" x14ac:dyDescent="0.25">
      <c r="B4546" s="704" t="s">
        <v>693</v>
      </c>
      <c r="C4546" s="704" t="s">
        <v>899</v>
      </c>
      <c r="D4546" s="704" t="s">
        <v>728</v>
      </c>
      <c r="E4546" s="704" t="s">
        <v>861</v>
      </c>
      <c r="F4546" s="709"/>
      <c r="G4546" s="705">
        <v>39.328203565459624</v>
      </c>
    </row>
    <row r="4547" spans="2:7" ht="11.25" hidden="1" customHeight="1" outlineLevel="2" x14ac:dyDescent="0.25">
      <c r="B4547" s="704" t="s">
        <v>694</v>
      </c>
      <c r="C4547" s="704" t="s">
        <v>899</v>
      </c>
      <c r="D4547" s="704" t="s">
        <v>728</v>
      </c>
      <c r="E4547" s="704" t="s">
        <v>861</v>
      </c>
      <c r="F4547" s="709"/>
      <c r="G4547" s="705">
        <v>86.737528034707111</v>
      </c>
    </row>
    <row r="4548" spans="2:7" ht="11.25" hidden="1" customHeight="1" outlineLevel="2" x14ac:dyDescent="0.25">
      <c r="B4548" s="704" t="s">
        <v>695</v>
      </c>
      <c r="C4548" s="704" t="s">
        <v>899</v>
      </c>
      <c r="D4548" s="704" t="s">
        <v>728</v>
      </c>
      <c r="E4548" s="704" t="s">
        <v>861</v>
      </c>
      <c r="F4548" s="709"/>
      <c r="G4548" s="705">
        <v>85.121290335723501</v>
      </c>
    </row>
    <row r="4549" spans="2:7" ht="11.25" hidden="1" customHeight="1" outlineLevel="2" x14ac:dyDescent="0.25">
      <c r="B4549" s="704" t="s">
        <v>696</v>
      </c>
      <c r="C4549" s="704" t="s">
        <v>899</v>
      </c>
      <c r="D4549" s="704" t="s">
        <v>728</v>
      </c>
      <c r="E4549" s="704" t="s">
        <v>861</v>
      </c>
      <c r="F4549" s="709"/>
      <c r="G4549" s="705">
        <v>121.75574246050925</v>
      </c>
    </row>
    <row r="4550" spans="2:7" ht="11.25" hidden="1" customHeight="1" outlineLevel="2" x14ac:dyDescent="0.25">
      <c r="B4550" s="704" t="s">
        <v>697</v>
      </c>
      <c r="C4550" s="704" t="s">
        <v>899</v>
      </c>
      <c r="D4550" s="704" t="s">
        <v>728</v>
      </c>
      <c r="E4550" s="704" t="s">
        <v>861</v>
      </c>
      <c r="F4550" s="709"/>
      <c r="G4550" s="705">
        <v>54.951728350653831</v>
      </c>
    </row>
    <row r="4551" spans="2:7" ht="11.25" hidden="1" customHeight="1" outlineLevel="2" x14ac:dyDescent="0.25">
      <c r="B4551" s="704" t="s">
        <v>698</v>
      </c>
      <c r="C4551" s="704" t="s">
        <v>899</v>
      </c>
      <c r="D4551" s="704" t="s">
        <v>728</v>
      </c>
      <c r="E4551" s="704" t="s">
        <v>861</v>
      </c>
      <c r="F4551" s="709"/>
      <c r="G4551" s="705">
        <v>86.737528034865477</v>
      </c>
    </row>
    <row r="4552" spans="2:7" ht="11.25" hidden="1" customHeight="1" outlineLevel="2" x14ac:dyDescent="0.25">
      <c r="B4552" s="704" t="s">
        <v>699</v>
      </c>
      <c r="C4552" s="704" t="s">
        <v>899</v>
      </c>
      <c r="D4552" s="704" t="s">
        <v>728</v>
      </c>
      <c r="E4552" s="704" t="s">
        <v>861</v>
      </c>
      <c r="F4552" s="709"/>
      <c r="G4552" s="705">
        <v>97.512386264789228</v>
      </c>
    </row>
    <row r="4553" spans="2:7" ht="11.25" hidden="1" customHeight="1" outlineLevel="2" x14ac:dyDescent="0.25">
      <c r="B4553" s="704" t="s">
        <v>673</v>
      </c>
      <c r="C4553" s="704" t="s">
        <v>900</v>
      </c>
      <c r="D4553" s="704" t="s">
        <v>728</v>
      </c>
      <c r="E4553" s="704" t="s">
        <v>861</v>
      </c>
      <c r="F4553" s="709"/>
      <c r="G4553" s="705">
        <v>0.32082952351062732</v>
      </c>
    </row>
    <row r="4554" spans="2:7" ht="11.25" hidden="1" customHeight="1" outlineLevel="2" x14ac:dyDescent="0.25">
      <c r="B4554" s="704" t="s">
        <v>677</v>
      </c>
      <c r="C4554" s="704" t="s">
        <v>900</v>
      </c>
      <c r="D4554" s="704" t="s">
        <v>728</v>
      </c>
      <c r="E4554" s="704" t="s">
        <v>861</v>
      </c>
      <c r="F4554" s="706">
        <v>5.400954619712426E-4</v>
      </c>
      <c r="G4554" s="705">
        <v>15.374149160054172</v>
      </c>
    </row>
    <row r="4555" spans="2:7" ht="11.25" hidden="1" customHeight="1" outlineLevel="2" x14ac:dyDescent="0.25">
      <c r="B4555" s="704" t="s">
        <v>678</v>
      </c>
      <c r="C4555" s="704" t="s">
        <v>900</v>
      </c>
      <c r="D4555" s="704" t="s">
        <v>728</v>
      </c>
      <c r="E4555" s="704" t="s">
        <v>861</v>
      </c>
      <c r="F4555" s="709"/>
      <c r="G4555" s="705">
        <v>18.47977974369487</v>
      </c>
    </row>
    <row r="4556" spans="2:7" ht="11.25" hidden="1" customHeight="1" outlineLevel="2" x14ac:dyDescent="0.25">
      <c r="B4556" s="704" t="s">
        <v>679</v>
      </c>
      <c r="C4556" s="704" t="s">
        <v>900</v>
      </c>
      <c r="D4556" s="704" t="s">
        <v>728</v>
      </c>
      <c r="E4556" s="704" t="s">
        <v>861</v>
      </c>
      <c r="F4556" s="709"/>
      <c r="G4556" s="705">
        <v>1.1036533018772345</v>
      </c>
    </row>
    <row r="4557" spans="2:7" ht="11.25" hidden="1" customHeight="1" outlineLevel="2" x14ac:dyDescent="0.25">
      <c r="B4557" s="704" t="s">
        <v>680</v>
      </c>
      <c r="C4557" s="704" t="s">
        <v>900</v>
      </c>
      <c r="D4557" s="704" t="s">
        <v>728</v>
      </c>
      <c r="E4557" s="704" t="s">
        <v>861</v>
      </c>
      <c r="F4557" s="709"/>
      <c r="G4557" s="705">
        <v>0.34649578994111901</v>
      </c>
    </row>
    <row r="4558" spans="2:7" ht="11.25" hidden="1" customHeight="1" outlineLevel="2" x14ac:dyDescent="0.25">
      <c r="B4558" s="704" t="s">
        <v>681</v>
      </c>
      <c r="C4558" s="704" t="s">
        <v>900</v>
      </c>
      <c r="D4558" s="704" t="s">
        <v>728</v>
      </c>
      <c r="E4558" s="704" t="s">
        <v>861</v>
      </c>
      <c r="F4558" s="709"/>
      <c r="G4558" s="705">
        <v>5.8262645405521658</v>
      </c>
    </row>
    <row r="4559" spans="2:7" ht="11.25" hidden="1" customHeight="1" outlineLevel="2" x14ac:dyDescent="0.25">
      <c r="B4559" s="704" t="s">
        <v>682</v>
      </c>
      <c r="C4559" s="704" t="s">
        <v>900</v>
      </c>
      <c r="D4559" s="704" t="s">
        <v>728</v>
      </c>
      <c r="E4559" s="704" t="s">
        <v>861</v>
      </c>
      <c r="F4559" s="709"/>
      <c r="G4559" s="705">
        <v>0.75715760812675015</v>
      </c>
    </row>
    <row r="4560" spans="2:7" ht="11.25" hidden="1" customHeight="1" outlineLevel="2" x14ac:dyDescent="0.25">
      <c r="B4560" s="704" t="s">
        <v>683</v>
      </c>
      <c r="C4560" s="704" t="s">
        <v>900</v>
      </c>
      <c r="D4560" s="704" t="s">
        <v>728</v>
      </c>
      <c r="E4560" s="704" t="s">
        <v>861</v>
      </c>
      <c r="F4560" s="709"/>
      <c r="G4560" s="705">
        <v>1.5913142809533578</v>
      </c>
    </row>
    <row r="4561" spans="2:7" ht="11.25" hidden="1" customHeight="1" outlineLevel="2" x14ac:dyDescent="0.25">
      <c r="B4561" s="704" t="s">
        <v>684</v>
      </c>
      <c r="C4561" s="704" t="s">
        <v>900</v>
      </c>
      <c r="D4561" s="704" t="s">
        <v>728</v>
      </c>
      <c r="E4561" s="704" t="s">
        <v>861</v>
      </c>
      <c r="F4561" s="709"/>
      <c r="G4561" s="705">
        <v>2.0533084642688482</v>
      </c>
    </row>
    <row r="4562" spans="2:7" ht="11.25" hidden="1" customHeight="1" outlineLevel="2" x14ac:dyDescent="0.25">
      <c r="B4562" s="704" t="s">
        <v>685</v>
      </c>
      <c r="C4562" s="704" t="s">
        <v>900</v>
      </c>
      <c r="D4562" s="704" t="s">
        <v>728</v>
      </c>
      <c r="E4562" s="704" t="s">
        <v>861</v>
      </c>
      <c r="F4562" s="709"/>
      <c r="G4562" s="705">
        <v>9.67621731830301</v>
      </c>
    </row>
    <row r="4563" spans="2:7" ht="11.25" hidden="1" customHeight="1" outlineLevel="2" x14ac:dyDescent="0.25">
      <c r="B4563" s="704" t="s">
        <v>686</v>
      </c>
      <c r="C4563" s="704" t="s">
        <v>900</v>
      </c>
      <c r="D4563" s="704" t="s">
        <v>728</v>
      </c>
      <c r="E4563" s="704" t="s">
        <v>861</v>
      </c>
      <c r="F4563" s="709"/>
      <c r="G4563" s="705">
        <v>2.0661424734008036</v>
      </c>
    </row>
    <row r="4564" spans="2:7" ht="11.25" hidden="1" customHeight="1" outlineLevel="2" x14ac:dyDescent="0.25">
      <c r="B4564" s="704" t="s">
        <v>687</v>
      </c>
      <c r="C4564" s="704" t="s">
        <v>900</v>
      </c>
      <c r="D4564" s="704" t="s">
        <v>728</v>
      </c>
      <c r="E4564" s="704" t="s">
        <v>861</v>
      </c>
      <c r="F4564" s="709"/>
      <c r="G4564" s="705">
        <v>4.2477832515043072</v>
      </c>
    </row>
    <row r="4565" spans="2:7" ht="11.25" hidden="1" customHeight="1" outlineLevel="2" x14ac:dyDescent="0.25">
      <c r="B4565" s="704" t="s">
        <v>688</v>
      </c>
      <c r="C4565" s="704" t="s">
        <v>900</v>
      </c>
      <c r="D4565" s="704" t="s">
        <v>728</v>
      </c>
      <c r="E4565" s="704" t="s">
        <v>861</v>
      </c>
      <c r="F4565" s="709"/>
      <c r="G4565" s="705">
        <v>12.499518230443339</v>
      </c>
    </row>
    <row r="4566" spans="2:7" ht="11.25" hidden="1" customHeight="1" outlineLevel="2" x14ac:dyDescent="0.25">
      <c r="B4566" s="704" t="s">
        <v>689</v>
      </c>
      <c r="C4566" s="704" t="s">
        <v>900</v>
      </c>
      <c r="D4566" s="704" t="s">
        <v>728</v>
      </c>
      <c r="E4566" s="704" t="s">
        <v>861</v>
      </c>
      <c r="F4566" s="709"/>
      <c r="G4566" s="705">
        <v>1.216678789128556</v>
      </c>
    </row>
    <row r="4567" spans="2:7" ht="11.25" hidden="1" customHeight="1" outlineLevel="2" x14ac:dyDescent="0.25">
      <c r="B4567" s="704" t="s">
        <v>690</v>
      </c>
      <c r="C4567" s="704" t="s">
        <v>900</v>
      </c>
      <c r="D4567" s="704" t="s">
        <v>728</v>
      </c>
      <c r="E4567" s="704" t="s">
        <v>861</v>
      </c>
      <c r="F4567" s="709"/>
      <c r="G4567" s="705">
        <v>38.217216136923085</v>
      </c>
    </row>
    <row r="4568" spans="2:7" ht="11.25" hidden="1" customHeight="1" outlineLevel="2" x14ac:dyDescent="0.25">
      <c r="B4568" s="704" t="s">
        <v>691</v>
      </c>
      <c r="C4568" s="704" t="s">
        <v>900</v>
      </c>
      <c r="D4568" s="704" t="s">
        <v>728</v>
      </c>
      <c r="E4568" s="704" t="s">
        <v>861</v>
      </c>
      <c r="F4568" s="708"/>
      <c r="G4568" s="705">
        <v>18.672277556558132</v>
      </c>
    </row>
    <row r="4569" spans="2:7" ht="11.25" hidden="1" customHeight="1" outlineLevel="2" x14ac:dyDescent="0.25">
      <c r="B4569" s="704" t="s">
        <v>692</v>
      </c>
      <c r="C4569" s="704" t="s">
        <v>900</v>
      </c>
      <c r="D4569" s="704" t="s">
        <v>728</v>
      </c>
      <c r="E4569" s="704" t="s">
        <v>861</v>
      </c>
      <c r="F4569" s="708"/>
      <c r="G4569" s="705">
        <v>1.2191520005109011</v>
      </c>
    </row>
    <row r="4570" spans="2:7" ht="11.25" hidden="1" customHeight="1" outlineLevel="2" x14ac:dyDescent="0.25">
      <c r="B4570" s="704" t="s">
        <v>693</v>
      </c>
      <c r="C4570" s="704" t="s">
        <v>900</v>
      </c>
      <c r="D4570" s="704" t="s">
        <v>728</v>
      </c>
      <c r="E4570" s="704" t="s">
        <v>861</v>
      </c>
      <c r="F4570" s="708"/>
      <c r="G4570" s="705">
        <v>0.93682220675024708</v>
      </c>
    </row>
    <row r="4571" spans="2:7" ht="11.25" hidden="1" customHeight="1" outlineLevel="2" x14ac:dyDescent="0.25">
      <c r="B4571" s="704" t="s">
        <v>694</v>
      </c>
      <c r="C4571" s="704" t="s">
        <v>900</v>
      </c>
      <c r="D4571" s="704" t="s">
        <v>728</v>
      </c>
      <c r="E4571" s="704" t="s">
        <v>861</v>
      </c>
      <c r="F4571" s="708"/>
      <c r="G4571" s="705">
        <v>2.0661424734008036</v>
      </c>
    </row>
    <row r="4572" spans="2:7" ht="11.25" hidden="1" customHeight="1" outlineLevel="2" x14ac:dyDescent="0.25">
      <c r="B4572" s="704" t="s">
        <v>695</v>
      </c>
      <c r="C4572" s="704" t="s">
        <v>900</v>
      </c>
      <c r="D4572" s="704" t="s">
        <v>728</v>
      </c>
      <c r="E4572" s="704" t="s">
        <v>861</v>
      </c>
      <c r="F4572" s="708"/>
      <c r="G4572" s="705">
        <v>2.0276423949913895</v>
      </c>
    </row>
    <row r="4573" spans="2:7" ht="11.25" hidden="1" customHeight="1" outlineLevel="2" x14ac:dyDescent="0.25">
      <c r="B4573" s="704" t="s">
        <v>696</v>
      </c>
      <c r="C4573" s="704" t="s">
        <v>900</v>
      </c>
      <c r="D4573" s="704" t="s">
        <v>728</v>
      </c>
      <c r="E4573" s="704" t="s">
        <v>861</v>
      </c>
      <c r="F4573" s="708"/>
      <c r="G4573" s="705">
        <v>2.9002983460274092</v>
      </c>
    </row>
    <row r="4574" spans="2:7" ht="11.25" hidden="1" customHeight="1" outlineLevel="2" x14ac:dyDescent="0.25">
      <c r="B4574" s="704" t="s">
        <v>697</v>
      </c>
      <c r="C4574" s="704" t="s">
        <v>900</v>
      </c>
      <c r="D4574" s="704" t="s">
        <v>728</v>
      </c>
      <c r="E4574" s="704" t="s">
        <v>861</v>
      </c>
      <c r="F4574" s="708"/>
      <c r="G4574" s="705">
        <v>1.3089845243992875</v>
      </c>
    </row>
    <row r="4575" spans="2:7" ht="11.25" hidden="1" customHeight="1" outlineLevel="2" x14ac:dyDescent="0.25">
      <c r="B4575" s="704" t="s">
        <v>698</v>
      </c>
      <c r="C4575" s="704" t="s">
        <v>900</v>
      </c>
      <c r="D4575" s="704" t="s">
        <v>728</v>
      </c>
      <c r="E4575" s="704" t="s">
        <v>861</v>
      </c>
      <c r="F4575" s="708"/>
      <c r="G4575" s="705">
        <v>2.0661424734243501</v>
      </c>
    </row>
    <row r="4576" spans="2:7" ht="11.25" hidden="1" customHeight="1" outlineLevel="2" x14ac:dyDescent="0.25">
      <c r="B4576" s="704" t="s">
        <v>699</v>
      </c>
      <c r="C4576" s="704" t="s">
        <v>900</v>
      </c>
      <c r="D4576" s="704" t="s">
        <v>728</v>
      </c>
      <c r="E4576" s="704" t="s">
        <v>861</v>
      </c>
      <c r="F4576" s="708"/>
      <c r="G4576" s="705">
        <v>2.322804858196895</v>
      </c>
    </row>
    <row r="4577" spans="2:7" ht="11.25" hidden="1" customHeight="1" outlineLevel="2" x14ac:dyDescent="0.25">
      <c r="B4577" s="704" t="s">
        <v>673</v>
      </c>
      <c r="C4577" s="704" t="s">
        <v>901</v>
      </c>
      <c r="D4577" s="704" t="s">
        <v>44</v>
      </c>
      <c r="E4577" s="704" t="s">
        <v>861</v>
      </c>
      <c r="F4577" s="708"/>
      <c r="G4577" s="705">
        <v>3.3456514020855851E-2</v>
      </c>
    </row>
    <row r="4578" spans="2:7" ht="11.25" hidden="1" customHeight="1" outlineLevel="2" x14ac:dyDescent="0.25">
      <c r="B4578" s="704" t="s">
        <v>677</v>
      </c>
      <c r="C4578" s="704" t="s">
        <v>901</v>
      </c>
      <c r="D4578" s="704" t="s">
        <v>44</v>
      </c>
      <c r="E4578" s="704" t="s">
        <v>861</v>
      </c>
      <c r="F4578" s="705">
        <v>5.5708340968698725E-6</v>
      </c>
      <c r="G4578" s="705">
        <v>6.219018949945785E-2</v>
      </c>
    </row>
    <row r="4579" spans="2:7" ht="11.25" hidden="1" customHeight="1" outlineLevel="2" x14ac:dyDescent="0.25">
      <c r="B4579" s="704" t="s">
        <v>678</v>
      </c>
      <c r="C4579" s="704" t="s">
        <v>901</v>
      </c>
      <c r="D4579" s="704" t="s">
        <v>44</v>
      </c>
      <c r="E4579" s="704" t="s">
        <v>861</v>
      </c>
      <c r="F4579" s="708"/>
      <c r="G4579" s="705">
        <v>0.12722594928147507</v>
      </c>
    </row>
    <row r="4580" spans="2:7" ht="11.25" hidden="1" customHeight="1" outlineLevel="2" x14ac:dyDescent="0.25">
      <c r="B4580" s="704" t="s">
        <v>679</v>
      </c>
      <c r="C4580" s="704" t="s">
        <v>901</v>
      </c>
      <c r="D4580" s="704" t="s">
        <v>44</v>
      </c>
      <c r="E4580" s="704" t="s">
        <v>861</v>
      </c>
      <c r="F4580" s="708"/>
      <c r="G4580" s="705">
        <v>4.4769528637189838E-2</v>
      </c>
    </row>
    <row r="4581" spans="2:7" ht="11.25" hidden="1" customHeight="1" outlineLevel="2" x14ac:dyDescent="0.25">
      <c r="B4581" s="704" t="s">
        <v>680</v>
      </c>
      <c r="C4581" s="704" t="s">
        <v>901</v>
      </c>
      <c r="D4581" s="704" t="s">
        <v>44</v>
      </c>
      <c r="E4581" s="704" t="s">
        <v>861</v>
      </c>
      <c r="F4581" s="708"/>
      <c r="G4581" s="705">
        <v>0.29141500293023287</v>
      </c>
    </row>
    <row r="4582" spans="2:7" ht="11.25" hidden="1" customHeight="1" outlineLevel="2" x14ac:dyDescent="0.25">
      <c r="B4582" s="704" t="s">
        <v>681</v>
      </c>
      <c r="C4582" s="704" t="s">
        <v>901</v>
      </c>
      <c r="D4582" s="704" t="s">
        <v>44</v>
      </c>
      <c r="E4582" s="704" t="s">
        <v>861</v>
      </c>
      <c r="F4582" s="708"/>
      <c r="G4582" s="705">
        <v>0.32980601949692007</v>
      </c>
    </row>
    <row r="4583" spans="2:7" ht="11.25" hidden="1" customHeight="1" outlineLevel="2" x14ac:dyDescent="0.25">
      <c r="B4583" s="704" t="s">
        <v>682</v>
      </c>
      <c r="C4583" s="704" t="s">
        <v>901</v>
      </c>
      <c r="D4583" s="704" t="s">
        <v>44</v>
      </c>
      <c r="E4583" s="704" t="s">
        <v>861</v>
      </c>
      <c r="F4583" s="708"/>
      <c r="G4583" s="705">
        <v>0.16037511920716455</v>
      </c>
    </row>
    <row r="4584" spans="2:7" ht="11.25" hidden="1" customHeight="1" outlineLevel="2" x14ac:dyDescent="0.25">
      <c r="B4584" s="704" t="s">
        <v>683</v>
      </c>
      <c r="C4584" s="704" t="s">
        <v>901</v>
      </c>
      <c r="D4584" s="704" t="s">
        <v>44</v>
      </c>
      <c r="E4584" s="704" t="s">
        <v>861</v>
      </c>
      <c r="F4584" s="708"/>
      <c r="G4584" s="705">
        <v>7.5387068535670496E-2</v>
      </c>
    </row>
    <row r="4585" spans="2:7" ht="11.25" hidden="1" customHeight="1" outlineLevel="2" x14ac:dyDescent="0.25">
      <c r="B4585" s="704" t="s">
        <v>684</v>
      </c>
      <c r="C4585" s="704" t="s">
        <v>901</v>
      </c>
      <c r="D4585" s="704" t="s">
        <v>44</v>
      </c>
      <c r="E4585" s="704" t="s">
        <v>861</v>
      </c>
      <c r="F4585" s="708"/>
      <c r="G4585" s="705">
        <v>0.26298216247193229</v>
      </c>
    </row>
    <row r="4586" spans="2:7" ht="11.25" hidden="1" customHeight="1" outlineLevel="2" x14ac:dyDescent="0.25">
      <c r="B4586" s="704" t="s">
        <v>685</v>
      </c>
      <c r="C4586" s="704" t="s">
        <v>901</v>
      </c>
      <c r="D4586" s="704" t="s">
        <v>44</v>
      </c>
      <c r="E4586" s="704" t="s">
        <v>861</v>
      </c>
      <c r="F4586" s="708"/>
      <c r="G4586" s="705">
        <v>0.40126335285226877</v>
      </c>
    </row>
    <row r="4587" spans="2:7" ht="11.25" hidden="1" customHeight="1" outlineLevel="2" x14ac:dyDescent="0.25">
      <c r="B4587" s="704" t="s">
        <v>686</v>
      </c>
      <c r="C4587" s="704" t="s">
        <v>901</v>
      </c>
      <c r="D4587" s="704" t="s">
        <v>44</v>
      </c>
      <c r="E4587" s="704" t="s">
        <v>861</v>
      </c>
      <c r="F4587" s="708"/>
      <c r="G4587" s="705">
        <v>0.12273453443120345</v>
      </c>
    </row>
    <row r="4588" spans="2:7" ht="11.25" hidden="1" customHeight="1" outlineLevel="2" x14ac:dyDescent="0.25">
      <c r="B4588" s="704" t="s">
        <v>687</v>
      </c>
      <c r="C4588" s="704" t="s">
        <v>901</v>
      </c>
      <c r="D4588" s="704" t="s">
        <v>44</v>
      </c>
      <c r="E4588" s="704" t="s">
        <v>861</v>
      </c>
      <c r="F4588" s="709"/>
      <c r="G4588" s="705">
        <v>0.1502354616987146</v>
      </c>
    </row>
    <row r="4589" spans="2:7" ht="11.25" hidden="1" customHeight="1" outlineLevel="2" x14ac:dyDescent="0.25">
      <c r="B4589" s="704" t="s">
        <v>688</v>
      </c>
      <c r="C4589" s="704" t="s">
        <v>901</v>
      </c>
      <c r="D4589" s="704" t="s">
        <v>44</v>
      </c>
      <c r="E4589" s="704" t="s">
        <v>861</v>
      </c>
      <c r="F4589" s="709"/>
      <c r="G4589" s="705">
        <v>6.8152440307595152E-2</v>
      </c>
    </row>
    <row r="4590" spans="2:7" ht="11.25" hidden="1" customHeight="1" outlineLevel="2" x14ac:dyDescent="0.25">
      <c r="B4590" s="704" t="s">
        <v>689</v>
      </c>
      <c r="C4590" s="704" t="s">
        <v>901</v>
      </c>
      <c r="D4590" s="704" t="s">
        <v>44</v>
      </c>
      <c r="E4590" s="704" t="s">
        <v>861</v>
      </c>
      <c r="F4590" s="709"/>
      <c r="G4590" s="705">
        <v>0.33290352753736768</v>
      </c>
    </row>
    <row r="4591" spans="2:7" ht="11.25" hidden="1" customHeight="1" outlineLevel="2" x14ac:dyDescent="0.25">
      <c r="B4591" s="704" t="s">
        <v>690</v>
      </c>
      <c r="C4591" s="704" t="s">
        <v>901</v>
      </c>
      <c r="D4591" s="704" t="s">
        <v>44</v>
      </c>
      <c r="E4591" s="704" t="s">
        <v>861</v>
      </c>
      <c r="F4591" s="709"/>
      <c r="G4591" s="705">
        <v>0.14595212361279411</v>
      </c>
    </row>
    <row r="4592" spans="2:7" ht="11.25" hidden="1" customHeight="1" outlineLevel="2" x14ac:dyDescent="0.25">
      <c r="B4592" s="704" t="s">
        <v>691</v>
      </c>
      <c r="C4592" s="704" t="s">
        <v>901</v>
      </c>
      <c r="D4592" s="704" t="s">
        <v>44</v>
      </c>
      <c r="E4592" s="704" t="s">
        <v>861</v>
      </c>
      <c r="F4592" s="709"/>
      <c r="G4592" s="705">
        <v>5.7064151977385943E-2</v>
      </c>
    </row>
    <row r="4593" spans="2:7" ht="11.25" hidden="1" customHeight="1" outlineLevel="2" x14ac:dyDescent="0.25">
      <c r="B4593" s="704" t="s">
        <v>692</v>
      </c>
      <c r="C4593" s="704" t="s">
        <v>901</v>
      </c>
      <c r="D4593" s="704" t="s">
        <v>44</v>
      </c>
      <c r="E4593" s="704" t="s">
        <v>861</v>
      </c>
      <c r="F4593" s="709"/>
      <c r="G4593" s="705">
        <v>0.41135675082889311</v>
      </c>
    </row>
    <row r="4594" spans="2:7" ht="11.25" hidden="1" customHeight="1" outlineLevel="2" x14ac:dyDescent="0.25">
      <c r="B4594" s="704" t="s">
        <v>693</v>
      </c>
      <c r="C4594" s="704" t="s">
        <v>901</v>
      </c>
      <c r="D4594" s="704" t="s">
        <v>44</v>
      </c>
      <c r="E4594" s="704" t="s">
        <v>861</v>
      </c>
      <c r="F4594" s="709"/>
      <c r="G4594" s="705">
        <v>0.11281288140024114</v>
      </c>
    </row>
    <row r="4595" spans="2:7" ht="11.25" hidden="1" customHeight="1" outlineLevel="2" x14ac:dyDescent="0.25">
      <c r="B4595" s="704" t="s">
        <v>694</v>
      </c>
      <c r="C4595" s="704" t="s">
        <v>901</v>
      </c>
      <c r="D4595" s="704" t="s">
        <v>44</v>
      </c>
      <c r="E4595" s="704" t="s">
        <v>861</v>
      </c>
      <c r="F4595" s="708"/>
      <c r="G4595" s="705">
        <v>0.10168193029243625</v>
      </c>
    </row>
    <row r="4596" spans="2:7" ht="11.25" hidden="1" customHeight="1" outlineLevel="2" x14ac:dyDescent="0.25">
      <c r="B4596" s="704" t="s">
        <v>695</v>
      </c>
      <c r="C4596" s="704" t="s">
        <v>901</v>
      </c>
      <c r="D4596" s="704" t="s">
        <v>44</v>
      </c>
      <c r="E4596" s="704" t="s">
        <v>861</v>
      </c>
      <c r="F4596" s="708"/>
      <c r="G4596" s="705">
        <v>0.26512378526951963</v>
      </c>
    </row>
    <row r="4597" spans="2:7" ht="11.25" hidden="1" customHeight="1" outlineLevel="2" x14ac:dyDescent="0.25">
      <c r="B4597" s="704" t="s">
        <v>696</v>
      </c>
      <c r="C4597" s="704" t="s">
        <v>901</v>
      </c>
      <c r="D4597" s="704" t="s">
        <v>44</v>
      </c>
      <c r="E4597" s="704" t="s">
        <v>861</v>
      </c>
      <c r="F4597" s="708"/>
      <c r="G4597" s="705">
        <v>0.24228956248418743</v>
      </c>
    </row>
    <row r="4598" spans="2:7" ht="11.25" hidden="1" customHeight="1" outlineLevel="2" x14ac:dyDescent="0.25">
      <c r="B4598" s="704" t="s">
        <v>697</v>
      </c>
      <c r="C4598" s="704" t="s">
        <v>901</v>
      </c>
      <c r="D4598" s="704" t="s">
        <v>44</v>
      </c>
      <c r="E4598" s="704" t="s">
        <v>861</v>
      </c>
      <c r="F4598" s="708"/>
      <c r="G4598" s="705">
        <v>0.18610777644276197</v>
      </c>
    </row>
    <row r="4599" spans="2:7" ht="11.25" hidden="1" customHeight="1" outlineLevel="2" x14ac:dyDescent="0.25">
      <c r="B4599" s="704" t="s">
        <v>698</v>
      </c>
      <c r="C4599" s="704" t="s">
        <v>901</v>
      </c>
      <c r="D4599" s="704" t="s">
        <v>44</v>
      </c>
      <c r="E4599" s="704" t="s">
        <v>861</v>
      </c>
      <c r="F4599" s="708"/>
      <c r="G4599" s="705">
        <v>0.28293770298027537</v>
      </c>
    </row>
    <row r="4600" spans="2:7" ht="11.25" hidden="1" customHeight="1" outlineLevel="2" x14ac:dyDescent="0.25">
      <c r="B4600" s="704" t="s">
        <v>699</v>
      </c>
      <c r="C4600" s="704" t="s">
        <v>901</v>
      </c>
      <c r="D4600" s="704" t="s">
        <v>44</v>
      </c>
      <c r="E4600" s="704" t="s">
        <v>861</v>
      </c>
      <c r="F4600" s="708"/>
      <c r="G4600" s="705">
        <v>5.4461997501739343E-36</v>
      </c>
    </row>
    <row r="4601" spans="2:7" ht="11.25" hidden="1" customHeight="1" outlineLevel="2" x14ac:dyDescent="0.25">
      <c r="B4601" s="704" t="s">
        <v>673</v>
      </c>
      <c r="C4601" s="704" t="s">
        <v>902</v>
      </c>
      <c r="D4601" s="704" t="s">
        <v>44</v>
      </c>
      <c r="E4601" s="704" t="s">
        <v>861</v>
      </c>
      <c r="F4601" s="708"/>
      <c r="G4601" s="705">
        <v>1446.4053030323942</v>
      </c>
    </row>
    <row r="4602" spans="2:7" ht="11.25" hidden="1" customHeight="1" outlineLevel="2" x14ac:dyDescent="0.25">
      <c r="B4602" s="704" t="s">
        <v>677</v>
      </c>
      <c r="C4602" s="704" t="s">
        <v>902</v>
      </c>
      <c r="D4602" s="704" t="s">
        <v>44</v>
      </c>
      <c r="E4602" s="704" t="s">
        <v>861</v>
      </c>
      <c r="F4602" s="705">
        <v>7.591361101367966E-2</v>
      </c>
      <c r="G4602" s="705">
        <v>2688.6305600069909</v>
      </c>
    </row>
    <row r="4603" spans="2:7" ht="11.25" hidden="1" customHeight="1" outlineLevel="2" x14ac:dyDescent="0.25">
      <c r="B4603" s="704" t="s">
        <v>678</v>
      </c>
      <c r="C4603" s="704" t="s">
        <v>902</v>
      </c>
      <c r="D4603" s="704" t="s">
        <v>44</v>
      </c>
      <c r="E4603" s="704" t="s">
        <v>861</v>
      </c>
      <c r="F4603" s="708"/>
      <c r="G4603" s="705">
        <v>5500.2828290000116</v>
      </c>
    </row>
    <row r="4604" spans="2:7" ht="11.25" hidden="1" customHeight="1" outlineLevel="2" x14ac:dyDescent="0.25">
      <c r="B4604" s="704" t="s">
        <v>679</v>
      </c>
      <c r="C4604" s="704" t="s">
        <v>902</v>
      </c>
      <c r="D4604" s="704" t="s">
        <v>44</v>
      </c>
      <c r="E4604" s="704" t="s">
        <v>861</v>
      </c>
      <c r="F4604" s="708"/>
      <c r="G4604" s="705">
        <v>1935.49386126543</v>
      </c>
    </row>
    <row r="4605" spans="2:7" ht="11.25" hidden="1" customHeight="1" outlineLevel="2" x14ac:dyDescent="0.25">
      <c r="B4605" s="704" t="s">
        <v>680</v>
      </c>
      <c r="C4605" s="704" t="s">
        <v>902</v>
      </c>
      <c r="D4605" s="704" t="s">
        <v>44</v>
      </c>
      <c r="E4605" s="704" t="s">
        <v>861</v>
      </c>
      <c r="F4605" s="708"/>
      <c r="G4605" s="705">
        <v>12598.570747964222</v>
      </c>
    </row>
    <row r="4606" spans="2:7" ht="11.25" hidden="1" customHeight="1" outlineLevel="2" x14ac:dyDescent="0.25">
      <c r="B4606" s="704" t="s">
        <v>681</v>
      </c>
      <c r="C4606" s="704" t="s">
        <v>902</v>
      </c>
      <c r="D4606" s="704" t="s">
        <v>44</v>
      </c>
      <c r="E4606" s="704" t="s">
        <v>861</v>
      </c>
      <c r="F4606" s="708"/>
      <c r="G4606" s="705">
        <v>14258.303681287831</v>
      </c>
    </row>
    <row r="4607" spans="2:7" ht="11.25" hidden="1" customHeight="1" outlineLevel="2" x14ac:dyDescent="0.25">
      <c r="B4607" s="704" t="s">
        <v>682</v>
      </c>
      <c r="C4607" s="704" t="s">
        <v>902</v>
      </c>
      <c r="D4607" s="704" t="s">
        <v>44</v>
      </c>
      <c r="E4607" s="704" t="s">
        <v>861</v>
      </c>
      <c r="F4607" s="708"/>
      <c r="G4607" s="705">
        <v>6933.4004184210798</v>
      </c>
    </row>
    <row r="4608" spans="2:7" ht="11.25" hidden="1" customHeight="1" outlineLevel="2" x14ac:dyDescent="0.25">
      <c r="B4608" s="704" t="s">
        <v>683</v>
      </c>
      <c r="C4608" s="704" t="s">
        <v>902</v>
      </c>
      <c r="D4608" s="704" t="s">
        <v>44</v>
      </c>
      <c r="E4608" s="704" t="s">
        <v>861</v>
      </c>
      <c r="F4608" s="708"/>
      <c r="G4608" s="705">
        <v>3259.1625763979682</v>
      </c>
    </row>
    <row r="4609" spans="2:7" ht="11.25" hidden="1" customHeight="1" outlineLevel="2" x14ac:dyDescent="0.25">
      <c r="B4609" s="704" t="s">
        <v>684</v>
      </c>
      <c r="C4609" s="704" t="s">
        <v>902</v>
      </c>
      <c r="D4609" s="704" t="s">
        <v>44</v>
      </c>
      <c r="E4609" s="704" t="s">
        <v>861</v>
      </c>
      <c r="F4609" s="708"/>
      <c r="G4609" s="705">
        <v>11369.348375419426</v>
      </c>
    </row>
    <row r="4610" spans="2:7" ht="11.25" hidden="1" customHeight="1" outlineLevel="2" x14ac:dyDescent="0.25">
      <c r="B4610" s="704" t="s">
        <v>685</v>
      </c>
      <c r="C4610" s="704" t="s">
        <v>902</v>
      </c>
      <c r="D4610" s="704" t="s">
        <v>44</v>
      </c>
      <c r="E4610" s="704" t="s">
        <v>861</v>
      </c>
      <c r="F4610" s="708"/>
      <c r="G4610" s="705">
        <v>17347.577280931982</v>
      </c>
    </row>
    <row r="4611" spans="2:7" ht="11.25" hidden="1" customHeight="1" outlineLevel="2" x14ac:dyDescent="0.25">
      <c r="B4611" s="704" t="s">
        <v>686</v>
      </c>
      <c r="C4611" s="704" t="s">
        <v>902</v>
      </c>
      <c r="D4611" s="704" t="s">
        <v>44</v>
      </c>
      <c r="E4611" s="704" t="s">
        <v>861</v>
      </c>
      <c r="F4611" s="708"/>
      <c r="G4611" s="705">
        <v>5306.1047393930148</v>
      </c>
    </row>
    <row r="4612" spans="2:7" ht="11.25" hidden="1" customHeight="1" outlineLevel="2" x14ac:dyDescent="0.25">
      <c r="B4612" s="704" t="s">
        <v>687</v>
      </c>
      <c r="C4612" s="704" t="s">
        <v>902</v>
      </c>
      <c r="D4612" s="704" t="s">
        <v>44</v>
      </c>
      <c r="E4612" s="704" t="s">
        <v>861</v>
      </c>
      <c r="F4612" s="708"/>
      <c r="G4612" s="705">
        <v>6495.0351823221745</v>
      </c>
    </row>
    <row r="4613" spans="2:7" ht="11.25" hidden="1" customHeight="1" outlineLevel="2" x14ac:dyDescent="0.25">
      <c r="B4613" s="704" t="s">
        <v>688</v>
      </c>
      <c r="C4613" s="704" t="s">
        <v>902</v>
      </c>
      <c r="D4613" s="704" t="s">
        <v>44</v>
      </c>
      <c r="E4613" s="704" t="s">
        <v>861</v>
      </c>
      <c r="F4613" s="708"/>
      <c r="G4613" s="705">
        <v>2946.3912625322996</v>
      </c>
    </row>
    <row r="4614" spans="2:7" ht="11.25" hidden="1" customHeight="1" outlineLevel="2" x14ac:dyDescent="0.25">
      <c r="B4614" s="704" t="s">
        <v>689</v>
      </c>
      <c r="C4614" s="704" t="s">
        <v>902</v>
      </c>
      <c r="D4614" s="704" t="s">
        <v>44</v>
      </c>
      <c r="E4614" s="704" t="s">
        <v>861</v>
      </c>
      <c r="F4614" s="708"/>
      <c r="G4614" s="705">
        <v>14392.211294073415</v>
      </c>
    </row>
    <row r="4615" spans="2:7" ht="11.25" hidden="1" customHeight="1" outlineLevel="2" x14ac:dyDescent="0.25">
      <c r="B4615" s="704" t="s">
        <v>690</v>
      </c>
      <c r="C4615" s="704" t="s">
        <v>902</v>
      </c>
      <c r="D4615" s="704" t="s">
        <v>44</v>
      </c>
      <c r="E4615" s="704" t="s">
        <v>861</v>
      </c>
      <c r="F4615" s="708"/>
      <c r="G4615" s="705">
        <v>6309.8596357959514</v>
      </c>
    </row>
    <row r="4616" spans="2:7" ht="11.25" hidden="1" customHeight="1" outlineLevel="2" x14ac:dyDescent="0.25">
      <c r="B4616" s="704" t="s">
        <v>691</v>
      </c>
      <c r="C4616" s="704" t="s">
        <v>902</v>
      </c>
      <c r="D4616" s="704" t="s">
        <v>44</v>
      </c>
      <c r="E4616" s="704" t="s">
        <v>861</v>
      </c>
      <c r="F4616" s="708"/>
      <c r="G4616" s="705">
        <v>2467.0189766709268</v>
      </c>
    </row>
    <row r="4617" spans="2:7" ht="11.25" hidden="1" customHeight="1" outlineLevel="2" x14ac:dyDescent="0.25">
      <c r="B4617" s="704" t="s">
        <v>692</v>
      </c>
      <c r="C4617" s="704" t="s">
        <v>902</v>
      </c>
      <c r="D4617" s="704" t="s">
        <v>44</v>
      </c>
      <c r="E4617" s="704" t="s">
        <v>861</v>
      </c>
      <c r="F4617" s="708"/>
      <c r="G4617" s="705">
        <v>17783.940385431873</v>
      </c>
    </row>
    <row r="4618" spans="2:7" ht="11.25" hidden="1" customHeight="1" outlineLevel="2" x14ac:dyDescent="0.25">
      <c r="B4618" s="704" t="s">
        <v>693</v>
      </c>
      <c r="C4618" s="704" t="s">
        <v>902</v>
      </c>
      <c r="D4618" s="704" t="s">
        <v>44</v>
      </c>
      <c r="E4618" s="704" t="s">
        <v>861</v>
      </c>
      <c r="F4618" s="708"/>
      <c r="G4618" s="705">
        <v>4877.1704471672283</v>
      </c>
    </row>
    <row r="4619" spans="2:7" ht="11.25" hidden="1" customHeight="1" outlineLevel="2" x14ac:dyDescent="0.25">
      <c r="B4619" s="704" t="s">
        <v>694</v>
      </c>
      <c r="C4619" s="704" t="s">
        <v>902</v>
      </c>
      <c r="D4619" s="704" t="s">
        <v>44</v>
      </c>
      <c r="E4619" s="704" t="s">
        <v>861</v>
      </c>
      <c r="F4619" s="708"/>
      <c r="G4619" s="705">
        <v>4395.9540108853525</v>
      </c>
    </row>
    <row r="4620" spans="2:7" ht="11.25" hidden="1" customHeight="1" outlineLevel="2" x14ac:dyDescent="0.25">
      <c r="B4620" s="704" t="s">
        <v>695</v>
      </c>
      <c r="C4620" s="704" t="s">
        <v>902</v>
      </c>
      <c r="D4620" s="704" t="s">
        <v>44</v>
      </c>
      <c r="E4620" s="704" t="s">
        <v>861</v>
      </c>
      <c r="F4620" s="708"/>
      <c r="G4620" s="705">
        <v>11461.935152314667</v>
      </c>
    </row>
    <row r="4621" spans="2:7" ht="11.25" hidden="1" customHeight="1" outlineLevel="2" x14ac:dyDescent="0.25">
      <c r="B4621" s="704" t="s">
        <v>696</v>
      </c>
      <c r="C4621" s="704" t="s">
        <v>902</v>
      </c>
      <c r="D4621" s="704" t="s">
        <v>44</v>
      </c>
      <c r="E4621" s="704" t="s">
        <v>861</v>
      </c>
      <c r="F4621" s="708"/>
      <c r="G4621" s="705">
        <v>10474.754908187642</v>
      </c>
    </row>
    <row r="4622" spans="2:7" ht="11.25" hidden="1" customHeight="1" outlineLevel="2" x14ac:dyDescent="0.25">
      <c r="B4622" s="704" t="s">
        <v>697</v>
      </c>
      <c r="C4622" s="704" t="s">
        <v>902</v>
      </c>
      <c r="D4622" s="704" t="s">
        <v>44</v>
      </c>
      <c r="E4622" s="704" t="s">
        <v>861</v>
      </c>
      <c r="F4622" s="708"/>
      <c r="G4622" s="705">
        <v>8045.8875259068309</v>
      </c>
    </row>
    <row r="4623" spans="2:7" ht="11.25" hidden="1" customHeight="1" outlineLevel="2" x14ac:dyDescent="0.25">
      <c r="B4623" s="704" t="s">
        <v>698</v>
      </c>
      <c r="C4623" s="704" t="s">
        <v>902</v>
      </c>
      <c r="D4623" s="704" t="s">
        <v>44</v>
      </c>
      <c r="E4623" s="704" t="s">
        <v>861</v>
      </c>
      <c r="F4623" s="708"/>
      <c r="G4623" s="705">
        <v>12232.077089572012</v>
      </c>
    </row>
    <row r="4624" spans="2:7" ht="11.25" hidden="1" customHeight="1" outlineLevel="2" x14ac:dyDescent="0.25">
      <c r="B4624" s="704" t="s">
        <v>699</v>
      </c>
      <c r="C4624" s="704" t="s">
        <v>902</v>
      </c>
      <c r="D4624" s="704" t="s">
        <v>44</v>
      </c>
      <c r="E4624" s="704" t="s">
        <v>861</v>
      </c>
      <c r="F4624" s="708"/>
      <c r="G4624" s="705">
        <v>4.8596835975054899E-28</v>
      </c>
    </row>
    <row r="4625" spans="2:7" ht="11.25" hidden="1" customHeight="1" outlineLevel="2" x14ac:dyDescent="0.25">
      <c r="B4625" s="704" t="s">
        <v>673</v>
      </c>
      <c r="C4625" s="704" t="s">
        <v>903</v>
      </c>
      <c r="D4625" s="704" t="s">
        <v>44</v>
      </c>
      <c r="E4625" s="704" t="s">
        <v>861</v>
      </c>
      <c r="F4625" s="708"/>
      <c r="G4625" s="705">
        <v>129.78666739986681</v>
      </c>
    </row>
    <row r="4626" spans="2:7" ht="11.25" hidden="1" customHeight="1" outlineLevel="2" x14ac:dyDescent="0.25">
      <c r="B4626" s="704" t="s">
        <v>677</v>
      </c>
      <c r="C4626" s="704" t="s">
        <v>903</v>
      </c>
      <c r="D4626" s="704" t="s">
        <v>44</v>
      </c>
      <c r="E4626" s="704" t="s">
        <v>861</v>
      </c>
      <c r="F4626" s="705">
        <v>5.7095484283100715E-3</v>
      </c>
      <c r="G4626" s="705">
        <v>241.25228628463543</v>
      </c>
    </row>
    <row r="4627" spans="2:7" ht="11.25" hidden="1" customHeight="1" outlineLevel="2" x14ac:dyDescent="0.25">
      <c r="B4627" s="704" t="s">
        <v>678</v>
      </c>
      <c r="C4627" s="704" t="s">
        <v>903</v>
      </c>
      <c r="D4627" s="704" t="s">
        <v>44</v>
      </c>
      <c r="E4627" s="704" t="s">
        <v>861</v>
      </c>
      <c r="F4627" s="709"/>
      <c r="G4627" s="705">
        <v>493.54329037037172</v>
      </c>
    </row>
    <row r="4628" spans="2:7" ht="11.25" hidden="1" customHeight="1" outlineLevel="2" x14ac:dyDescent="0.25">
      <c r="B4628" s="704" t="s">
        <v>679</v>
      </c>
      <c r="C4628" s="704" t="s">
        <v>903</v>
      </c>
      <c r="D4628" s="704" t="s">
        <v>44</v>
      </c>
      <c r="E4628" s="704" t="s">
        <v>861</v>
      </c>
      <c r="F4628" s="709"/>
      <c r="G4628" s="705">
        <v>173.67289391436199</v>
      </c>
    </row>
    <row r="4629" spans="2:7" ht="11.25" hidden="1" customHeight="1" outlineLevel="2" x14ac:dyDescent="0.25">
      <c r="B4629" s="704" t="s">
        <v>680</v>
      </c>
      <c r="C4629" s="704" t="s">
        <v>903</v>
      </c>
      <c r="D4629" s="704" t="s">
        <v>44</v>
      </c>
      <c r="E4629" s="704" t="s">
        <v>861</v>
      </c>
      <c r="F4629" s="709"/>
      <c r="G4629" s="705">
        <v>1130.4763311048457</v>
      </c>
    </row>
    <row r="4630" spans="2:7" ht="11.25" hidden="1" customHeight="1" outlineLevel="2" x14ac:dyDescent="0.25">
      <c r="B4630" s="704" t="s">
        <v>681</v>
      </c>
      <c r="C4630" s="704" t="s">
        <v>903</v>
      </c>
      <c r="D4630" s="704" t="s">
        <v>44</v>
      </c>
      <c r="E4630" s="704" t="s">
        <v>861</v>
      </c>
      <c r="F4630" s="709"/>
      <c r="G4630" s="705">
        <v>1279.4047710411257</v>
      </c>
    </row>
    <row r="4631" spans="2:7" ht="11.25" hidden="1" customHeight="1" outlineLevel="2" x14ac:dyDescent="0.25">
      <c r="B4631" s="704" t="s">
        <v>682</v>
      </c>
      <c r="C4631" s="704" t="s">
        <v>903</v>
      </c>
      <c r="D4631" s="704" t="s">
        <v>44</v>
      </c>
      <c r="E4631" s="704" t="s">
        <v>861</v>
      </c>
      <c r="F4631" s="709"/>
      <c r="G4631" s="705">
        <v>622.13768561217785</v>
      </c>
    </row>
    <row r="4632" spans="2:7" ht="11.25" hidden="1" customHeight="1" outlineLevel="2" x14ac:dyDescent="0.25">
      <c r="B4632" s="704" t="s">
        <v>683</v>
      </c>
      <c r="C4632" s="704" t="s">
        <v>903</v>
      </c>
      <c r="D4632" s="704" t="s">
        <v>44</v>
      </c>
      <c r="E4632" s="704" t="s">
        <v>861</v>
      </c>
      <c r="F4632" s="709"/>
      <c r="G4632" s="705">
        <v>292.44630708957425</v>
      </c>
    </row>
    <row r="4633" spans="2:7" ht="11.25" hidden="1" customHeight="1" outlineLevel="2" x14ac:dyDescent="0.25">
      <c r="B4633" s="704" t="s">
        <v>684</v>
      </c>
      <c r="C4633" s="704" t="s">
        <v>903</v>
      </c>
      <c r="D4633" s="704" t="s">
        <v>44</v>
      </c>
      <c r="E4633" s="704" t="s">
        <v>861</v>
      </c>
      <c r="F4633" s="709"/>
      <c r="G4633" s="705">
        <v>1020.1775000577402</v>
      </c>
    </row>
    <row r="4634" spans="2:7" ht="11.25" hidden="1" customHeight="1" outlineLevel="2" x14ac:dyDescent="0.25">
      <c r="B4634" s="704" t="s">
        <v>685</v>
      </c>
      <c r="C4634" s="704" t="s">
        <v>903</v>
      </c>
      <c r="D4634" s="704" t="s">
        <v>44</v>
      </c>
      <c r="E4634" s="704" t="s">
        <v>861</v>
      </c>
      <c r="F4634" s="708"/>
      <c r="G4634" s="705">
        <v>1556.6072194200224</v>
      </c>
    </row>
    <row r="4635" spans="2:7" ht="11.25" hidden="1" customHeight="1" outlineLevel="2" x14ac:dyDescent="0.25">
      <c r="B4635" s="704" t="s">
        <v>686</v>
      </c>
      <c r="C4635" s="704" t="s">
        <v>903</v>
      </c>
      <c r="D4635" s="704" t="s">
        <v>44</v>
      </c>
      <c r="E4635" s="704" t="s">
        <v>861</v>
      </c>
      <c r="F4635" s="708"/>
      <c r="G4635" s="705">
        <v>476.11956555469538</v>
      </c>
    </row>
    <row r="4636" spans="2:7" ht="11.25" hidden="1" customHeight="1" outlineLevel="2" x14ac:dyDescent="0.25">
      <c r="B4636" s="704" t="s">
        <v>687</v>
      </c>
      <c r="C4636" s="704" t="s">
        <v>903</v>
      </c>
      <c r="D4636" s="704" t="s">
        <v>44</v>
      </c>
      <c r="E4636" s="704" t="s">
        <v>861</v>
      </c>
      <c r="F4636" s="708"/>
      <c r="G4636" s="705">
        <v>582.80278300850466</v>
      </c>
    </row>
    <row r="4637" spans="2:7" ht="11.25" hidden="1" customHeight="1" outlineLevel="2" x14ac:dyDescent="0.25">
      <c r="B4637" s="704" t="s">
        <v>688</v>
      </c>
      <c r="C4637" s="704" t="s">
        <v>903</v>
      </c>
      <c r="D4637" s="704" t="s">
        <v>44</v>
      </c>
      <c r="E4637" s="704" t="s">
        <v>861</v>
      </c>
      <c r="F4637" s="709"/>
      <c r="G4637" s="705">
        <v>264.38133759925324</v>
      </c>
    </row>
    <row r="4638" spans="2:7" ht="11.25" hidden="1" customHeight="1" outlineLevel="2" x14ac:dyDescent="0.25">
      <c r="B4638" s="704" t="s">
        <v>689</v>
      </c>
      <c r="C4638" s="704" t="s">
        <v>903</v>
      </c>
      <c r="D4638" s="704" t="s">
        <v>44</v>
      </c>
      <c r="E4638" s="704" t="s">
        <v>861</v>
      </c>
      <c r="F4638" s="708"/>
      <c r="G4638" s="705">
        <v>1291.420332457722</v>
      </c>
    </row>
    <row r="4639" spans="2:7" ht="11.25" hidden="1" customHeight="1" outlineLevel="2" x14ac:dyDescent="0.25">
      <c r="B4639" s="704" t="s">
        <v>690</v>
      </c>
      <c r="C4639" s="704" t="s">
        <v>903</v>
      </c>
      <c r="D4639" s="704" t="s">
        <v>44</v>
      </c>
      <c r="E4639" s="704" t="s">
        <v>861</v>
      </c>
      <c r="F4639" s="708"/>
      <c r="G4639" s="705">
        <v>566.18701526424775</v>
      </c>
    </row>
    <row r="4640" spans="2:7" ht="11.25" hidden="1" customHeight="1" outlineLevel="2" x14ac:dyDescent="0.25">
      <c r="B4640" s="704" t="s">
        <v>691</v>
      </c>
      <c r="C4640" s="704" t="s">
        <v>903</v>
      </c>
      <c r="D4640" s="704" t="s">
        <v>44</v>
      </c>
      <c r="E4640" s="704" t="s">
        <v>861</v>
      </c>
      <c r="F4640" s="709"/>
      <c r="G4640" s="705">
        <v>221.36696082244919</v>
      </c>
    </row>
    <row r="4641" spans="2:7" ht="11.25" hidden="1" customHeight="1" outlineLevel="2" x14ac:dyDescent="0.25">
      <c r="B4641" s="704" t="s">
        <v>692</v>
      </c>
      <c r="C4641" s="704" t="s">
        <v>903</v>
      </c>
      <c r="D4641" s="704" t="s">
        <v>44</v>
      </c>
      <c r="E4641" s="704" t="s">
        <v>861</v>
      </c>
      <c r="F4641" s="708"/>
      <c r="G4641" s="705">
        <v>1595.7621144784241</v>
      </c>
    </row>
    <row r="4642" spans="2:7" ht="11.25" hidden="1" customHeight="1" outlineLevel="2" x14ac:dyDescent="0.25">
      <c r="B4642" s="704" t="s">
        <v>693</v>
      </c>
      <c r="C4642" s="704" t="s">
        <v>903</v>
      </c>
      <c r="D4642" s="704" t="s">
        <v>44</v>
      </c>
      <c r="E4642" s="704" t="s">
        <v>861</v>
      </c>
      <c r="F4642" s="708"/>
      <c r="G4642" s="705">
        <v>437.63109751607777</v>
      </c>
    </row>
    <row r="4643" spans="2:7" ht="11.25" hidden="1" customHeight="1" outlineLevel="2" x14ac:dyDescent="0.25">
      <c r="B4643" s="704" t="s">
        <v>694</v>
      </c>
      <c r="C4643" s="704" t="s">
        <v>903</v>
      </c>
      <c r="D4643" s="704" t="s">
        <v>44</v>
      </c>
      <c r="E4643" s="704" t="s">
        <v>861</v>
      </c>
      <c r="F4643" s="708"/>
      <c r="G4643" s="705">
        <v>394.45118064923759</v>
      </c>
    </row>
    <row r="4644" spans="2:7" ht="11.25" hidden="1" customHeight="1" outlineLevel="2" x14ac:dyDescent="0.25">
      <c r="B4644" s="704" t="s">
        <v>695</v>
      </c>
      <c r="C4644" s="704" t="s">
        <v>903</v>
      </c>
      <c r="D4644" s="704" t="s">
        <v>44</v>
      </c>
      <c r="E4644" s="704" t="s">
        <v>861</v>
      </c>
      <c r="F4644" s="709"/>
      <c r="G4644" s="705">
        <v>1028.4853386226332</v>
      </c>
    </row>
    <row r="4645" spans="2:7" ht="11.25" hidden="1" customHeight="1" outlineLevel="2" x14ac:dyDescent="0.25">
      <c r="B4645" s="704" t="s">
        <v>696</v>
      </c>
      <c r="C4645" s="704" t="s">
        <v>903</v>
      </c>
      <c r="D4645" s="704" t="s">
        <v>44</v>
      </c>
      <c r="E4645" s="704" t="s">
        <v>861</v>
      </c>
      <c r="F4645" s="709"/>
      <c r="G4645" s="705">
        <v>939.90517367932432</v>
      </c>
    </row>
    <row r="4646" spans="2:7" ht="11.25" hidden="1" customHeight="1" outlineLevel="2" x14ac:dyDescent="0.25">
      <c r="B4646" s="704" t="s">
        <v>697</v>
      </c>
      <c r="C4646" s="704" t="s">
        <v>903</v>
      </c>
      <c r="D4646" s="704" t="s">
        <v>44</v>
      </c>
      <c r="E4646" s="704" t="s">
        <v>861</v>
      </c>
      <c r="F4646" s="709"/>
      <c r="G4646" s="705">
        <v>721.96167891038374</v>
      </c>
    </row>
    <row r="4647" spans="2:7" ht="11.25" hidden="1" customHeight="1" outlineLevel="2" x14ac:dyDescent="0.25">
      <c r="B4647" s="704" t="s">
        <v>698</v>
      </c>
      <c r="C4647" s="704" t="s">
        <v>903</v>
      </c>
      <c r="D4647" s="704" t="s">
        <v>44</v>
      </c>
      <c r="E4647" s="704" t="s">
        <v>861</v>
      </c>
      <c r="F4647" s="708"/>
      <c r="G4647" s="705">
        <v>1097.5903288672137</v>
      </c>
    </row>
    <row r="4648" spans="2:7" ht="11.25" hidden="1" customHeight="1" outlineLevel="2" x14ac:dyDescent="0.25">
      <c r="B4648" s="704" t="s">
        <v>699</v>
      </c>
      <c r="C4648" s="704" t="s">
        <v>903</v>
      </c>
      <c r="D4648" s="704" t="s">
        <v>44</v>
      </c>
      <c r="E4648" s="704" t="s">
        <v>861</v>
      </c>
      <c r="F4648" s="708"/>
      <c r="G4648" s="705">
        <v>1.0979987026936561E-28</v>
      </c>
    </row>
    <row r="4649" spans="2:7" ht="11.25" hidden="1" customHeight="1" outlineLevel="2" x14ac:dyDescent="0.25">
      <c r="B4649" s="704" t="s">
        <v>673</v>
      </c>
      <c r="C4649" s="704" t="s">
        <v>904</v>
      </c>
      <c r="D4649" s="704" t="s">
        <v>44</v>
      </c>
      <c r="E4649" s="704" t="s">
        <v>861</v>
      </c>
      <c r="F4649" s="708"/>
      <c r="G4649" s="705">
        <v>0.7214365704901381</v>
      </c>
    </row>
    <row r="4650" spans="2:7" ht="11.25" hidden="1" customHeight="1" outlineLevel="2" x14ac:dyDescent="0.25">
      <c r="B4650" s="704" t="s">
        <v>677</v>
      </c>
      <c r="C4650" s="704" t="s">
        <v>904</v>
      </c>
      <c r="D4650" s="704" t="s">
        <v>44</v>
      </c>
      <c r="E4650" s="704" t="s">
        <v>861</v>
      </c>
      <c r="F4650" s="705">
        <v>3.4775931108175498E-5</v>
      </c>
      <c r="G4650" s="705">
        <v>1.341032897925073</v>
      </c>
    </row>
    <row r="4651" spans="2:7" ht="11.25" hidden="1" customHeight="1" outlineLevel="2" x14ac:dyDescent="0.25">
      <c r="B4651" s="704" t="s">
        <v>678</v>
      </c>
      <c r="C4651" s="704" t="s">
        <v>904</v>
      </c>
      <c r="D4651" s="704" t="s">
        <v>44</v>
      </c>
      <c r="E4651" s="704" t="s">
        <v>861</v>
      </c>
      <c r="F4651" s="708"/>
      <c r="G4651" s="705">
        <v>2.7434266858076253</v>
      </c>
    </row>
    <row r="4652" spans="2:7" ht="11.25" hidden="1" customHeight="1" outlineLevel="2" x14ac:dyDescent="0.25">
      <c r="B4652" s="704" t="s">
        <v>679</v>
      </c>
      <c r="C4652" s="704" t="s">
        <v>904</v>
      </c>
      <c r="D4652" s="704" t="s">
        <v>44</v>
      </c>
      <c r="E4652" s="704" t="s">
        <v>861</v>
      </c>
      <c r="F4652" s="708"/>
      <c r="G4652" s="705">
        <v>0.96538388597748936</v>
      </c>
    </row>
    <row r="4653" spans="2:7" ht="11.25" hidden="1" customHeight="1" outlineLevel="2" x14ac:dyDescent="0.25">
      <c r="B4653" s="704" t="s">
        <v>680</v>
      </c>
      <c r="C4653" s="704" t="s">
        <v>904</v>
      </c>
      <c r="D4653" s="704" t="s">
        <v>44</v>
      </c>
      <c r="E4653" s="704" t="s">
        <v>861</v>
      </c>
      <c r="F4653" s="708"/>
      <c r="G4653" s="705">
        <v>6.2839037136132836</v>
      </c>
    </row>
    <row r="4654" spans="2:7" ht="11.25" hidden="1" customHeight="1" outlineLevel="2" x14ac:dyDescent="0.25">
      <c r="B4654" s="704" t="s">
        <v>681</v>
      </c>
      <c r="C4654" s="704" t="s">
        <v>904</v>
      </c>
      <c r="D4654" s="704" t="s">
        <v>44</v>
      </c>
      <c r="E4654" s="704" t="s">
        <v>861</v>
      </c>
      <c r="F4654" s="708"/>
      <c r="G4654" s="705">
        <v>7.1117433419020708</v>
      </c>
    </row>
    <row r="4655" spans="2:7" ht="11.25" hidden="1" customHeight="1" outlineLevel="2" x14ac:dyDescent="0.25">
      <c r="B4655" s="704" t="s">
        <v>682</v>
      </c>
      <c r="C4655" s="704" t="s">
        <v>904</v>
      </c>
      <c r="D4655" s="704" t="s">
        <v>44</v>
      </c>
      <c r="E4655" s="704" t="s">
        <v>861</v>
      </c>
      <c r="F4655" s="708"/>
      <c r="G4655" s="705">
        <v>3.4582360060621604</v>
      </c>
    </row>
    <row r="4656" spans="2:7" ht="11.25" hidden="1" customHeight="1" outlineLevel="2" x14ac:dyDescent="0.25">
      <c r="B4656" s="704" t="s">
        <v>683</v>
      </c>
      <c r="C4656" s="704" t="s">
        <v>904</v>
      </c>
      <c r="D4656" s="704" t="s">
        <v>44</v>
      </c>
      <c r="E4656" s="704" t="s">
        <v>861</v>
      </c>
      <c r="F4656" s="708"/>
      <c r="G4656" s="705">
        <v>1.6256021151539979</v>
      </c>
    </row>
    <row r="4657" spans="2:7" ht="11.25" hidden="1" customHeight="1" outlineLevel="2" x14ac:dyDescent="0.25">
      <c r="B4657" s="704" t="s">
        <v>684</v>
      </c>
      <c r="C4657" s="704" t="s">
        <v>904</v>
      </c>
      <c r="D4657" s="704" t="s">
        <v>44</v>
      </c>
      <c r="E4657" s="704" t="s">
        <v>861</v>
      </c>
      <c r="F4657" s="708"/>
      <c r="G4657" s="705">
        <v>5.670792286756142</v>
      </c>
    </row>
    <row r="4658" spans="2:7" ht="11.25" hidden="1" customHeight="1" outlineLevel="2" x14ac:dyDescent="0.25">
      <c r="B4658" s="704" t="s">
        <v>685</v>
      </c>
      <c r="C4658" s="704" t="s">
        <v>904</v>
      </c>
      <c r="D4658" s="704" t="s">
        <v>44</v>
      </c>
      <c r="E4658" s="704" t="s">
        <v>861</v>
      </c>
      <c r="F4658" s="709"/>
      <c r="G4658" s="705">
        <v>8.6526060550124022</v>
      </c>
    </row>
    <row r="4659" spans="2:7" ht="11.25" hidden="1" customHeight="1" outlineLevel="2" x14ac:dyDescent="0.25">
      <c r="B4659" s="704" t="s">
        <v>686</v>
      </c>
      <c r="C4659" s="704" t="s">
        <v>904</v>
      </c>
      <c r="D4659" s="704" t="s">
        <v>44</v>
      </c>
      <c r="E4659" s="704" t="s">
        <v>861</v>
      </c>
      <c r="F4659" s="709"/>
      <c r="G4659" s="705">
        <v>2.6465752012736274</v>
      </c>
    </row>
    <row r="4660" spans="2:7" ht="11.25" hidden="1" customHeight="1" outlineLevel="2" x14ac:dyDescent="0.25">
      <c r="B4660" s="704" t="s">
        <v>687</v>
      </c>
      <c r="C4660" s="704" t="s">
        <v>904</v>
      </c>
      <c r="D4660" s="704" t="s">
        <v>44</v>
      </c>
      <c r="E4660" s="704" t="s">
        <v>861</v>
      </c>
      <c r="F4660" s="708"/>
      <c r="G4660" s="705">
        <v>3.239588224031074</v>
      </c>
    </row>
    <row r="4661" spans="2:7" ht="11.25" hidden="1" customHeight="1" outlineLevel="2" x14ac:dyDescent="0.25">
      <c r="B4661" s="704" t="s">
        <v>688</v>
      </c>
      <c r="C4661" s="704" t="s">
        <v>904</v>
      </c>
      <c r="D4661" s="704" t="s">
        <v>44</v>
      </c>
      <c r="E4661" s="704" t="s">
        <v>861</v>
      </c>
      <c r="F4661" s="708"/>
      <c r="G4661" s="705">
        <v>1.4695985608535682</v>
      </c>
    </row>
    <row r="4662" spans="2:7" ht="11.25" hidden="1" customHeight="1" outlineLevel="2" x14ac:dyDescent="0.25">
      <c r="B4662" s="704" t="s">
        <v>689</v>
      </c>
      <c r="C4662" s="704" t="s">
        <v>904</v>
      </c>
      <c r="D4662" s="704" t="s">
        <v>44</v>
      </c>
      <c r="E4662" s="704" t="s">
        <v>861</v>
      </c>
      <c r="F4662" s="708"/>
      <c r="G4662" s="705">
        <v>7.1785348723716753</v>
      </c>
    </row>
    <row r="4663" spans="2:7" ht="11.25" hidden="1" customHeight="1" outlineLevel="2" x14ac:dyDescent="0.25">
      <c r="B4663" s="704" t="s">
        <v>690</v>
      </c>
      <c r="C4663" s="704" t="s">
        <v>904</v>
      </c>
      <c r="D4663" s="704" t="s">
        <v>44</v>
      </c>
      <c r="E4663" s="704" t="s">
        <v>861</v>
      </c>
      <c r="F4663" s="708"/>
      <c r="G4663" s="705">
        <v>3.1472258544413418</v>
      </c>
    </row>
    <row r="4664" spans="2:7" ht="11.25" hidden="1" customHeight="1" outlineLevel="2" x14ac:dyDescent="0.25">
      <c r="B4664" s="704" t="s">
        <v>691</v>
      </c>
      <c r="C4664" s="704" t="s">
        <v>904</v>
      </c>
      <c r="D4664" s="704" t="s">
        <v>44</v>
      </c>
      <c r="E4664" s="704" t="s">
        <v>861</v>
      </c>
      <c r="F4664" s="708"/>
      <c r="G4664" s="705">
        <v>1.2304974979885466</v>
      </c>
    </row>
    <row r="4665" spans="2:7" ht="11.25" hidden="1" customHeight="1" outlineLevel="2" x14ac:dyDescent="0.25">
      <c r="B4665" s="704" t="s">
        <v>692</v>
      </c>
      <c r="C4665" s="704" t="s">
        <v>904</v>
      </c>
      <c r="D4665" s="704" t="s">
        <v>44</v>
      </c>
      <c r="E4665" s="704" t="s">
        <v>861</v>
      </c>
      <c r="F4665" s="708"/>
      <c r="G4665" s="705">
        <v>8.870256988129297</v>
      </c>
    </row>
    <row r="4666" spans="2:7" ht="11.25" hidden="1" customHeight="1" outlineLevel="2" x14ac:dyDescent="0.25">
      <c r="B4666" s="704" t="s">
        <v>693</v>
      </c>
      <c r="C4666" s="704" t="s">
        <v>904</v>
      </c>
      <c r="D4666" s="704" t="s">
        <v>44</v>
      </c>
      <c r="E4666" s="704" t="s">
        <v>861</v>
      </c>
      <c r="F4666" s="708"/>
      <c r="G4666" s="705">
        <v>2.4326309109128976</v>
      </c>
    </row>
    <row r="4667" spans="2:7" ht="11.25" hidden="1" customHeight="1" outlineLevel="2" x14ac:dyDescent="0.25">
      <c r="B4667" s="704" t="s">
        <v>694</v>
      </c>
      <c r="C4667" s="704" t="s">
        <v>904</v>
      </c>
      <c r="D4667" s="704" t="s">
        <v>44</v>
      </c>
      <c r="E4667" s="704" t="s">
        <v>861</v>
      </c>
      <c r="F4667" s="708"/>
      <c r="G4667" s="705">
        <v>2.1926098127378615</v>
      </c>
    </row>
    <row r="4668" spans="2:7" ht="11.25" hidden="1" customHeight="1" outlineLevel="2" x14ac:dyDescent="0.25">
      <c r="B4668" s="704" t="s">
        <v>695</v>
      </c>
      <c r="C4668" s="704" t="s">
        <v>904</v>
      </c>
      <c r="D4668" s="704" t="s">
        <v>44</v>
      </c>
      <c r="E4668" s="704" t="s">
        <v>861</v>
      </c>
      <c r="F4668" s="708"/>
      <c r="G4668" s="705">
        <v>5.7169746698979962</v>
      </c>
    </row>
    <row r="4669" spans="2:7" ht="11.25" hidden="1" customHeight="1" outlineLevel="2" x14ac:dyDescent="0.25">
      <c r="B4669" s="704" t="s">
        <v>696</v>
      </c>
      <c r="C4669" s="704" t="s">
        <v>904</v>
      </c>
      <c r="D4669" s="704" t="s">
        <v>44</v>
      </c>
      <c r="E4669" s="704" t="s">
        <v>861</v>
      </c>
      <c r="F4669" s="708"/>
      <c r="G4669" s="705">
        <v>5.2245898437738143</v>
      </c>
    </row>
    <row r="4670" spans="2:7" ht="11.25" hidden="1" customHeight="1" outlineLevel="2" x14ac:dyDescent="0.25">
      <c r="B4670" s="704" t="s">
        <v>697</v>
      </c>
      <c r="C4670" s="704" t="s">
        <v>904</v>
      </c>
      <c r="D4670" s="704" t="s">
        <v>44</v>
      </c>
      <c r="E4670" s="704" t="s">
        <v>861</v>
      </c>
      <c r="F4670" s="708"/>
      <c r="G4670" s="705">
        <v>4.0131210431438324</v>
      </c>
    </row>
    <row r="4671" spans="2:7" ht="11.25" hidden="1" customHeight="1" outlineLevel="2" x14ac:dyDescent="0.25">
      <c r="B4671" s="704" t="s">
        <v>698</v>
      </c>
      <c r="C4671" s="704" t="s">
        <v>904</v>
      </c>
      <c r="D4671" s="704" t="s">
        <v>44</v>
      </c>
      <c r="E4671" s="704" t="s">
        <v>861</v>
      </c>
      <c r="F4671" s="708"/>
      <c r="G4671" s="705">
        <v>6.1011044395495988</v>
      </c>
    </row>
    <row r="4672" spans="2:7" ht="11.25" hidden="1" customHeight="1" outlineLevel="2" x14ac:dyDescent="0.25">
      <c r="B4672" s="704" t="s">
        <v>699</v>
      </c>
      <c r="C4672" s="704" t="s">
        <v>904</v>
      </c>
      <c r="D4672" s="704" t="s">
        <v>44</v>
      </c>
      <c r="E4672" s="704" t="s">
        <v>861</v>
      </c>
      <c r="F4672" s="708"/>
      <c r="G4672" s="705">
        <v>5.6168157526635201E-32</v>
      </c>
    </row>
    <row r="4673" spans="2:7" ht="11.25" hidden="1" customHeight="1" outlineLevel="2" x14ac:dyDescent="0.25">
      <c r="B4673" s="704" t="s">
        <v>673</v>
      </c>
      <c r="C4673" s="704" t="s">
        <v>905</v>
      </c>
      <c r="D4673" s="704" t="s">
        <v>44</v>
      </c>
      <c r="E4673" s="704" t="s">
        <v>861</v>
      </c>
      <c r="F4673" s="708"/>
      <c r="G4673" s="705">
        <v>0.14807385192438766</v>
      </c>
    </row>
    <row r="4674" spans="2:7" ht="11.25" hidden="1" customHeight="1" outlineLevel="2" x14ac:dyDescent="0.25">
      <c r="B4674" s="704" t="s">
        <v>677</v>
      </c>
      <c r="C4674" s="704" t="s">
        <v>905</v>
      </c>
      <c r="D4674" s="704" t="s">
        <v>44</v>
      </c>
      <c r="E4674" s="704" t="s">
        <v>861</v>
      </c>
      <c r="F4674" s="705">
        <v>7.4846185154332063E-6</v>
      </c>
      <c r="G4674" s="705">
        <v>0.2752452274343512</v>
      </c>
    </row>
    <row r="4675" spans="2:7" ht="11.25" hidden="1" customHeight="1" outlineLevel="2" x14ac:dyDescent="0.25">
      <c r="B4675" s="704" t="s">
        <v>678</v>
      </c>
      <c r="C4675" s="704" t="s">
        <v>905</v>
      </c>
      <c r="D4675" s="704" t="s">
        <v>44</v>
      </c>
      <c r="E4675" s="704" t="s">
        <v>861</v>
      </c>
      <c r="F4675" s="709"/>
      <c r="G4675" s="705">
        <v>0.56308431002487314</v>
      </c>
    </row>
    <row r="4676" spans="2:7" ht="11.25" hidden="1" customHeight="1" outlineLevel="2" x14ac:dyDescent="0.25">
      <c r="B4676" s="704" t="s">
        <v>679</v>
      </c>
      <c r="C4676" s="704" t="s">
        <v>905</v>
      </c>
      <c r="D4676" s="704" t="s">
        <v>44</v>
      </c>
      <c r="E4676" s="704" t="s">
        <v>861</v>
      </c>
      <c r="F4676" s="709"/>
      <c r="G4676" s="705">
        <v>0.19814355887326254</v>
      </c>
    </row>
    <row r="4677" spans="2:7" ht="11.25" hidden="1" customHeight="1" outlineLevel="2" x14ac:dyDescent="0.25">
      <c r="B4677" s="704" t="s">
        <v>680</v>
      </c>
      <c r="C4677" s="704" t="s">
        <v>905</v>
      </c>
      <c r="D4677" s="704" t="s">
        <v>44</v>
      </c>
      <c r="E4677" s="704" t="s">
        <v>861</v>
      </c>
      <c r="F4677" s="709"/>
      <c r="G4677" s="705">
        <v>1.2897627418767206</v>
      </c>
    </row>
    <row r="4678" spans="2:7" ht="11.25" hidden="1" customHeight="1" outlineLevel="2" x14ac:dyDescent="0.25">
      <c r="B4678" s="704" t="s">
        <v>681</v>
      </c>
      <c r="C4678" s="704" t="s">
        <v>905</v>
      </c>
      <c r="D4678" s="704" t="s">
        <v>44</v>
      </c>
      <c r="E4678" s="704" t="s">
        <v>861</v>
      </c>
      <c r="F4678" s="709"/>
      <c r="G4678" s="705">
        <v>1.4596758000206738</v>
      </c>
    </row>
    <row r="4679" spans="2:7" ht="11.25" hidden="1" customHeight="1" outlineLevel="2" x14ac:dyDescent="0.25">
      <c r="B4679" s="704" t="s">
        <v>682</v>
      </c>
      <c r="C4679" s="704" t="s">
        <v>905</v>
      </c>
      <c r="D4679" s="704" t="s">
        <v>44</v>
      </c>
      <c r="E4679" s="704" t="s">
        <v>861</v>
      </c>
      <c r="F4679" s="709"/>
      <c r="G4679" s="705">
        <v>0.70979787596128829</v>
      </c>
    </row>
    <row r="4680" spans="2:7" ht="11.25" hidden="1" customHeight="1" outlineLevel="2" x14ac:dyDescent="0.25">
      <c r="B4680" s="704" t="s">
        <v>683</v>
      </c>
      <c r="C4680" s="704" t="s">
        <v>905</v>
      </c>
      <c r="D4680" s="704" t="s">
        <v>44</v>
      </c>
      <c r="E4680" s="704" t="s">
        <v>861</v>
      </c>
      <c r="F4680" s="709"/>
      <c r="G4680" s="705">
        <v>0.33365251807731028</v>
      </c>
    </row>
    <row r="4681" spans="2:7" ht="11.25" hidden="1" customHeight="1" outlineLevel="2" x14ac:dyDescent="0.25">
      <c r="B4681" s="704" t="s">
        <v>684</v>
      </c>
      <c r="C4681" s="704" t="s">
        <v>905</v>
      </c>
      <c r="D4681" s="704" t="s">
        <v>44</v>
      </c>
      <c r="E4681" s="704" t="s">
        <v>861</v>
      </c>
      <c r="F4681" s="709"/>
      <c r="G4681" s="705">
        <v>1.1639219378973105</v>
      </c>
    </row>
    <row r="4682" spans="2:7" ht="11.25" hidden="1" customHeight="1" outlineLevel="2" x14ac:dyDescent="0.25">
      <c r="B4682" s="704" t="s">
        <v>685</v>
      </c>
      <c r="C4682" s="704" t="s">
        <v>905</v>
      </c>
      <c r="D4682" s="704" t="s">
        <v>44</v>
      </c>
      <c r="E4682" s="704" t="s">
        <v>861</v>
      </c>
      <c r="F4682" s="709"/>
      <c r="G4682" s="705">
        <v>1.7759351343787664</v>
      </c>
    </row>
    <row r="4683" spans="2:7" ht="11.25" hidden="1" customHeight="1" outlineLevel="2" x14ac:dyDescent="0.25">
      <c r="B4683" s="704" t="s">
        <v>686</v>
      </c>
      <c r="C4683" s="704" t="s">
        <v>905</v>
      </c>
      <c r="D4683" s="704" t="s">
        <v>44</v>
      </c>
      <c r="E4683" s="704" t="s">
        <v>861</v>
      </c>
      <c r="F4683" s="709"/>
      <c r="G4683" s="705">
        <v>0.54320566562483918</v>
      </c>
    </row>
    <row r="4684" spans="2:7" ht="11.25" hidden="1" customHeight="1" outlineLevel="2" x14ac:dyDescent="0.25">
      <c r="B4684" s="704" t="s">
        <v>687</v>
      </c>
      <c r="C4684" s="704" t="s">
        <v>905</v>
      </c>
      <c r="D4684" s="704" t="s">
        <v>44</v>
      </c>
      <c r="E4684" s="704" t="s">
        <v>861</v>
      </c>
      <c r="F4684" s="709"/>
      <c r="G4684" s="705">
        <v>0.66492070588807461</v>
      </c>
    </row>
    <row r="4685" spans="2:7" ht="11.25" hidden="1" customHeight="1" outlineLevel="2" x14ac:dyDescent="0.25">
      <c r="B4685" s="704" t="s">
        <v>688</v>
      </c>
      <c r="C4685" s="704" t="s">
        <v>905</v>
      </c>
      <c r="D4685" s="704" t="s">
        <v>44</v>
      </c>
      <c r="E4685" s="704" t="s">
        <v>861</v>
      </c>
      <c r="F4685" s="708"/>
      <c r="G4685" s="705">
        <v>0.30163304895824067</v>
      </c>
    </row>
    <row r="4686" spans="2:7" ht="11.25" hidden="1" customHeight="1" outlineLevel="2" x14ac:dyDescent="0.25">
      <c r="B4686" s="704" t="s">
        <v>689</v>
      </c>
      <c r="C4686" s="704" t="s">
        <v>905</v>
      </c>
      <c r="D4686" s="704" t="s">
        <v>44</v>
      </c>
      <c r="E4686" s="704" t="s">
        <v>861</v>
      </c>
      <c r="F4686" s="708"/>
      <c r="G4686" s="705">
        <v>1.4733833395586828</v>
      </c>
    </row>
    <row r="4687" spans="2:7" ht="11.25" hidden="1" customHeight="1" outlineLevel="2" x14ac:dyDescent="0.25">
      <c r="B4687" s="704" t="s">
        <v>690</v>
      </c>
      <c r="C4687" s="704" t="s">
        <v>905</v>
      </c>
      <c r="D4687" s="704" t="s">
        <v>44</v>
      </c>
      <c r="E4687" s="704" t="s">
        <v>861</v>
      </c>
      <c r="F4687" s="709"/>
      <c r="G4687" s="705">
        <v>0.64596337958175765</v>
      </c>
    </row>
    <row r="4688" spans="2:7" ht="11.25" hidden="1" customHeight="1" outlineLevel="2" x14ac:dyDescent="0.25">
      <c r="B4688" s="704" t="s">
        <v>691</v>
      </c>
      <c r="C4688" s="704" t="s">
        <v>905</v>
      </c>
      <c r="D4688" s="704" t="s">
        <v>44</v>
      </c>
      <c r="E4688" s="704" t="s">
        <v>861</v>
      </c>
      <c r="F4688" s="708"/>
      <c r="G4688" s="705">
        <v>0.25255776988333783</v>
      </c>
    </row>
    <row r="4689" spans="2:7" ht="11.25" hidden="1" customHeight="1" outlineLevel="2" x14ac:dyDescent="0.25">
      <c r="B4689" s="704" t="s">
        <v>692</v>
      </c>
      <c r="C4689" s="704" t="s">
        <v>905</v>
      </c>
      <c r="D4689" s="704" t="s">
        <v>44</v>
      </c>
      <c r="E4689" s="704" t="s">
        <v>861</v>
      </c>
      <c r="F4689" s="708"/>
      <c r="G4689" s="705">
        <v>1.8206077339672686</v>
      </c>
    </row>
    <row r="4690" spans="2:7" ht="11.25" hidden="1" customHeight="1" outlineLevel="2" x14ac:dyDescent="0.25">
      <c r="B4690" s="704" t="s">
        <v>693</v>
      </c>
      <c r="C4690" s="704" t="s">
        <v>905</v>
      </c>
      <c r="D4690" s="704" t="s">
        <v>44</v>
      </c>
      <c r="E4690" s="704" t="s">
        <v>861</v>
      </c>
      <c r="F4690" s="708"/>
      <c r="G4690" s="705">
        <v>0.49929406555280859</v>
      </c>
    </row>
    <row r="4691" spans="2:7" ht="11.25" hidden="1" customHeight="1" outlineLevel="2" x14ac:dyDescent="0.25">
      <c r="B4691" s="704" t="s">
        <v>694</v>
      </c>
      <c r="C4691" s="704" t="s">
        <v>905</v>
      </c>
      <c r="D4691" s="704" t="s">
        <v>44</v>
      </c>
      <c r="E4691" s="704" t="s">
        <v>861</v>
      </c>
      <c r="F4691" s="708"/>
      <c r="G4691" s="705">
        <v>0.45002998573222991</v>
      </c>
    </row>
    <row r="4692" spans="2:7" ht="11.25" hidden="1" customHeight="1" outlineLevel="2" x14ac:dyDescent="0.25">
      <c r="B4692" s="704" t="s">
        <v>695</v>
      </c>
      <c r="C4692" s="704" t="s">
        <v>905</v>
      </c>
      <c r="D4692" s="704" t="s">
        <v>44</v>
      </c>
      <c r="E4692" s="704" t="s">
        <v>861</v>
      </c>
      <c r="F4692" s="708"/>
      <c r="G4692" s="705">
        <v>1.1734009836068384</v>
      </c>
    </row>
    <row r="4693" spans="2:7" ht="11.25" hidden="1" customHeight="1" outlineLevel="2" x14ac:dyDescent="0.25">
      <c r="B4693" s="704" t="s">
        <v>696</v>
      </c>
      <c r="C4693" s="704" t="s">
        <v>905</v>
      </c>
      <c r="D4693" s="704" t="s">
        <v>44</v>
      </c>
      <c r="E4693" s="704" t="s">
        <v>861</v>
      </c>
      <c r="F4693" s="708"/>
      <c r="G4693" s="705">
        <v>1.0723393081190162</v>
      </c>
    </row>
    <row r="4694" spans="2:7" ht="11.25" hidden="1" customHeight="1" outlineLevel="2" x14ac:dyDescent="0.25">
      <c r="B4694" s="704" t="s">
        <v>697</v>
      </c>
      <c r="C4694" s="704" t="s">
        <v>905</v>
      </c>
      <c r="D4694" s="704" t="s">
        <v>44</v>
      </c>
      <c r="E4694" s="704" t="s">
        <v>861</v>
      </c>
      <c r="F4694" s="708"/>
      <c r="G4694" s="705">
        <v>0.82368760201841917</v>
      </c>
    </row>
    <row r="4695" spans="2:7" ht="11.25" hidden="1" customHeight="1" outlineLevel="2" x14ac:dyDescent="0.25">
      <c r="B4695" s="704" t="s">
        <v>698</v>
      </c>
      <c r="C4695" s="704" t="s">
        <v>905</v>
      </c>
      <c r="D4695" s="704" t="s">
        <v>44</v>
      </c>
      <c r="E4695" s="704" t="s">
        <v>861</v>
      </c>
      <c r="F4695" s="708"/>
      <c r="G4695" s="705">
        <v>1.2522428520113245</v>
      </c>
    </row>
    <row r="4696" spans="2:7" ht="11.25" hidden="1" customHeight="1" outlineLevel="2" x14ac:dyDescent="0.25">
      <c r="B4696" s="704" t="s">
        <v>699</v>
      </c>
      <c r="C4696" s="704" t="s">
        <v>905</v>
      </c>
      <c r="D4696" s="704" t="s">
        <v>44</v>
      </c>
      <c r="E4696" s="704" t="s">
        <v>861</v>
      </c>
      <c r="F4696" s="708"/>
      <c r="G4696" s="705">
        <v>3.5778994380424386E-35</v>
      </c>
    </row>
    <row r="4697" spans="2:7" ht="11.25" hidden="1" customHeight="1" outlineLevel="2" x14ac:dyDescent="0.25">
      <c r="B4697" s="704" t="s">
        <v>673</v>
      </c>
      <c r="C4697" s="704" t="s">
        <v>906</v>
      </c>
      <c r="D4697" s="704" t="s">
        <v>44</v>
      </c>
      <c r="E4697" s="704" t="s">
        <v>861</v>
      </c>
      <c r="F4697" s="708"/>
      <c r="G4697" s="705">
        <v>11.017324150749189</v>
      </c>
    </row>
    <row r="4698" spans="2:7" ht="11.25" hidden="1" customHeight="1" outlineLevel="2" x14ac:dyDescent="0.25">
      <c r="B4698" s="704" t="s">
        <v>677</v>
      </c>
      <c r="C4698" s="704" t="s">
        <v>906</v>
      </c>
      <c r="D4698" s="704" t="s">
        <v>44</v>
      </c>
      <c r="E4698" s="704" t="s">
        <v>861</v>
      </c>
      <c r="F4698" s="705">
        <v>4.9421665841808157E-4</v>
      </c>
      <c r="G4698" s="705">
        <v>20.479403310092888</v>
      </c>
    </row>
    <row r="4699" spans="2:7" ht="11.25" hidden="1" customHeight="1" outlineLevel="2" x14ac:dyDescent="0.25">
      <c r="B4699" s="704" t="s">
        <v>678</v>
      </c>
      <c r="C4699" s="704" t="s">
        <v>906</v>
      </c>
      <c r="D4699" s="704" t="s">
        <v>44</v>
      </c>
      <c r="E4699" s="704" t="s">
        <v>861</v>
      </c>
      <c r="F4699" s="708"/>
      <c r="G4699" s="705">
        <v>41.895865909008975</v>
      </c>
    </row>
    <row r="4700" spans="2:7" ht="11.25" hidden="1" customHeight="1" outlineLevel="2" x14ac:dyDescent="0.25">
      <c r="B4700" s="704" t="s">
        <v>679</v>
      </c>
      <c r="C4700" s="704" t="s">
        <v>906</v>
      </c>
      <c r="D4700" s="704" t="s">
        <v>44</v>
      </c>
      <c r="E4700" s="704" t="s">
        <v>861</v>
      </c>
      <c r="F4700" s="708"/>
      <c r="G4700" s="705">
        <v>14.742731197750869</v>
      </c>
    </row>
    <row r="4701" spans="2:7" ht="11.25" hidden="1" customHeight="1" outlineLevel="2" x14ac:dyDescent="0.25">
      <c r="B4701" s="704" t="s">
        <v>680</v>
      </c>
      <c r="C4701" s="704" t="s">
        <v>906</v>
      </c>
      <c r="D4701" s="704" t="s">
        <v>44</v>
      </c>
      <c r="E4701" s="704" t="s">
        <v>861</v>
      </c>
      <c r="F4701" s="708"/>
      <c r="G4701" s="705">
        <v>95.963802761381245</v>
      </c>
    </row>
    <row r="4702" spans="2:7" ht="11.25" hidden="1" customHeight="1" outlineLevel="2" x14ac:dyDescent="0.25">
      <c r="B4702" s="704" t="s">
        <v>681</v>
      </c>
      <c r="C4702" s="704" t="s">
        <v>906</v>
      </c>
      <c r="D4702" s="704" t="s">
        <v>44</v>
      </c>
      <c r="E4702" s="704" t="s">
        <v>861</v>
      </c>
      <c r="F4702" s="708"/>
      <c r="G4702" s="705">
        <v>108.60603486935501</v>
      </c>
    </row>
    <row r="4703" spans="2:7" ht="11.25" hidden="1" customHeight="1" outlineLevel="2" x14ac:dyDescent="0.25">
      <c r="B4703" s="704" t="s">
        <v>682</v>
      </c>
      <c r="C4703" s="704" t="s">
        <v>906</v>
      </c>
      <c r="D4703" s="704" t="s">
        <v>44</v>
      </c>
      <c r="E4703" s="704" t="s">
        <v>861</v>
      </c>
      <c r="F4703" s="708"/>
      <c r="G4703" s="705">
        <v>52.811982925073693</v>
      </c>
    </row>
    <row r="4704" spans="2:7" ht="11.25" hidden="1" customHeight="1" outlineLevel="2" x14ac:dyDescent="0.25">
      <c r="B4704" s="704" t="s">
        <v>683</v>
      </c>
      <c r="C4704" s="704" t="s">
        <v>906</v>
      </c>
      <c r="D4704" s="704" t="s">
        <v>44</v>
      </c>
      <c r="E4704" s="704" t="s">
        <v>861</v>
      </c>
      <c r="F4704" s="708"/>
      <c r="G4704" s="705">
        <v>24.825170243437945</v>
      </c>
    </row>
    <row r="4705" spans="2:7" ht="11.25" hidden="1" customHeight="1" outlineLevel="2" x14ac:dyDescent="0.25">
      <c r="B4705" s="704" t="s">
        <v>684</v>
      </c>
      <c r="C4705" s="704" t="s">
        <v>906</v>
      </c>
      <c r="D4705" s="704" t="s">
        <v>44</v>
      </c>
      <c r="E4705" s="704" t="s">
        <v>861</v>
      </c>
      <c r="F4705" s="708"/>
      <c r="G4705" s="705">
        <v>86.600760315249133</v>
      </c>
    </row>
    <row r="4706" spans="2:7" ht="11.25" hidden="1" customHeight="1" outlineLevel="2" x14ac:dyDescent="0.25">
      <c r="B4706" s="704" t="s">
        <v>685</v>
      </c>
      <c r="C4706" s="704" t="s">
        <v>906</v>
      </c>
      <c r="D4706" s="704" t="s">
        <v>44</v>
      </c>
      <c r="E4706" s="704" t="s">
        <v>861</v>
      </c>
      <c r="F4706" s="708"/>
      <c r="G4706" s="705">
        <v>132.13713834145312</v>
      </c>
    </row>
    <row r="4707" spans="2:7" ht="11.25" hidden="1" customHeight="1" outlineLevel="2" x14ac:dyDescent="0.25">
      <c r="B4707" s="704" t="s">
        <v>686</v>
      </c>
      <c r="C4707" s="704" t="s">
        <v>906</v>
      </c>
      <c r="D4707" s="704" t="s">
        <v>44</v>
      </c>
      <c r="E4707" s="704" t="s">
        <v>861</v>
      </c>
      <c r="F4707" s="708"/>
      <c r="G4707" s="705">
        <v>40.416800485362387</v>
      </c>
    </row>
    <row r="4708" spans="2:7" ht="11.25" hidden="1" customHeight="1" outlineLevel="2" x14ac:dyDescent="0.25">
      <c r="B4708" s="704" t="s">
        <v>687</v>
      </c>
      <c r="C4708" s="704" t="s">
        <v>906</v>
      </c>
      <c r="D4708" s="704" t="s">
        <v>44</v>
      </c>
      <c r="E4708" s="704" t="s">
        <v>861</v>
      </c>
      <c r="F4708" s="709"/>
      <c r="G4708" s="705">
        <v>49.472926876175698</v>
      </c>
    </row>
    <row r="4709" spans="2:7" ht="11.25" hidden="1" customHeight="1" outlineLevel="2" x14ac:dyDescent="0.25">
      <c r="B4709" s="704" t="s">
        <v>688</v>
      </c>
      <c r="C4709" s="704" t="s">
        <v>906</v>
      </c>
      <c r="D4709" s="704" t="s">
        <v>44</v>
      </c>
      <c r="E4709" s="704" t="s">
        <v>861</v>
      </c>
      <c r="F4709" s="709"/>
      <c r="G4709" s="705">
        <v>22.442780075340124</v>
      </c>
    </row>
    <row r="4710" spans="2:7" ht="11.25" hidden="1" customHeight="1" outlineLevel="2" x14ac:dyDescent="0.25">
      <c r="B4710" s="704" t="s">
        <v>689</v>
      </c>
      <c r="C4710" s="704" t="s">
        <v>906</v>
      </c>
      <c r="D4710" s="704" t="s">
        <v>44</v>
      </c>
      <c r="E4710" s="704" t="s">
        <v>861</v>
      </c>
      <c r="F4710" s="709"/>
      <c r="G4710" s="705">
        <v>109.62605153524565</v>
      </c>
    </row>
    <row r="4711" spans="2:7" ht="11.25" hidden="1" customHeight="1" outlineLevel="2" x14ac:dyDescent="0.25">
      <c r="B4711" s="704" t="s">
        <v>690</v>
      </c>
      <c r="C4711" s="704" t="s">
        <v>906</v>
      </c>
      <c r="D4711" s="704" t="s">
        <v>44</v>
      </c>
      <c r="E4711" s="704" t="s">
        <v>861</v>
      </c>
      <c r="F4711" s="709"/>
      <c r="G4711" s="705">
        <v>48.062448595231452</v>
      </c>
    </row>
    <row r="4712" spans="2:7" ht="11.25" hidden="1" customHeight="1" outlineLevel="2" x14ac:dyDescent="0.25">
      <c r="B4712" s="704" t="s">
        <v>691</v>
      </c>
      <c r="C4712" s="704" t="s">
        <v>906</v>
      </c>
      <c r="D4712" s="704" t="s">
        <v>44</v>
      </c>
      <c r="E4712" s="704" t="s">
        <v>861</v>
      </c>
      <c r="F4712" s="709"/>
      <c r="G4712" s="705">
        <v>18.791377593876206</v>
      </c>
    </row>
    <row r="4713" spans="2:7" ht="11.25" hidden="1" customHeight="1" outlineLevel="2" x14ac:dyDescent="0.25">
      <c r="B4713" s="704" t="s">
        <v>692</v>
      </c>
      <c r="C4713" s="704" t="s">
        <v>906</v>
      </c>
      <c r="D4713" s="704" t="s">
        <v>44</v>
      </c>
      <c r="E4713" s="704" t="s">
        <v>861</v>
      </c>
      <c r="F4713" s="709"/>
      <c r="G4713" s="705">
        <v>135.46096728331955</v>
      </c>
    </row>
    <row r="4714" spans="2:7" ht="11.25" hidden="1" customHeight="1" outlineLevel="2" x14ac:dyDescent="0.25">
      <c r="B4714" s="704" t="s">
        <v>693</v>
      </c>
      <c r="C4714" s="704" t="s">
        <v>906</v>
      </c>
      <c r="D4714" s="704" t="s">
        <v>44</v>
      </c>
      <c r="E4714" s="704" t="s">
        <v>861</v>
      </c>
      <c r="F4714" s="708"/>
      <c r="G4714" s="705">
        <v>37.149600597385636</v>
      </c>
    </row>
    <row r="4715" spans="2:7" ht="11.25" hidden="1" customHeight="1" outlineLevel="2" x14ac:dyDescent="0.25">
      <c r="B4715" s="704" t="s">
        <v>694</v>
      </c>
      <c r="C4715" s="704" t="s">
        <v>906</v>
      </c>
      <c r="D4715" s="704" t="s">
        <v>44</v>
      </c>
      <c r="E4715" s="704" t="s">
        <v>861</v>
      </c>
      <c r="F4715" s="708"/>
      <c r="G4715" s="705">
        <v>33.48414774084452</v>
      </c>
    </row>
    <row r="4716" spans="2:7" ht="11.25" hidden="1" customHeight="1" outlineLevel="2" x14ac:dyDescent="0.25">
      <c r="B4716" s="704" t="s">
        <v>695</v>
      </c>
      <c r="C4716" s="704" t="s">
        <v>906</v>
      </c>
      <c r="D4716" s="704" t="s">
        <v>44</v>
      </c>
      <c r="E4716" s="704" t="s">
        <v>861</v>
      </c>
      <c r="F4716" s="708"/>
      <c r="G4716" s="705">
        <v>87.306026459601966</v>
      </c>
    </row>
    <row r="4717" spans="2:7" ht="11.25" hidden="1" customHeight="1" outlineLevel="2" x14ac:dyDescent="0.25">
      <c r="B4717" s="704" t="s">
        <v>696</v>
      </c>
      <c r="C4717" s="704" t="s">
        <v>906</v>
      </c>
      <c r="D4717" s="704" t="s">
        <v>44</v>
      </c>
      <c r="E4717" s="704" t="s">
        <v>861</v>
      </c>
      <c r="F4717" s="708"/>
      <c r="G4717" s="705">
        <v>79.786643482630453</v>
      </c>
    </row>
    <row r="4718" spans="2:7" ht="11.25" hidden="1" customHeight="1" outlineLevel="2" x14ac:dyDescent="0.25">
      <c r="B4718" s="704" t="s">
        <v>697</v>
      </c>
      <c r="C4718" s="704" t="s">
        <v>906</v>
      </c>
      <c r="D4718" s="704" t="s">
        <v>44</v>
      </c>
      <c r="E4718" s="704" t="s">
        <v>861</v>
      </c>
      <c r="F4718" s="708"/>
      <c r="G4718" s="705">
        <v>61.285843822354501</v>
      </c>
    </row>
    <row r="4719" spans="2:7" ht="11.25" hidden="1" customHeight="1" outlineLevel="2" x14ac:dyDescent="0.25">
      <c r="B4719" s="704" t="s">
        <v>698</v>
      </c>
      <c r="C4719" s="704" t="s">
        <v>906</v>
      </c>
      <c r="D4719" s="704" t="s">
        <v>44</v>
      </c>
      <c r="E4719" s="704" t="s">
        <v>861</v>
      </c>
      <c r="F4719" s="708"/>
      <c r="G4719" s="705">
        <v>93.172210550254633</v>
      </c>
    </row>
    <row r="4720" spans="2:7" ht="11.25" hidden="1" customHeight="1" outlineLevel="2" x14ac:dyDescent="0.25">
      <c r="B4720" s="704" t="s">
        <v>699</v>
      </c>
      <c r="C4720" s="704" t="s">
        <v>906</v>
      </c>
      <c r="D4720" s="704" t="s">
        <v>44</v>
      </c>
      <c r="E4720" s="704" t="s">
        <v>861</v>
      </c>
      <c r="F4720" s="708"/>
      <c r="G4720" s="705">
        <v>3.7452592939091155E-31</v>
      </c>
    </row>
    <row r="4721" spans="2:7" ht="11.25" hidden="1" customHeight="1" outlineLevel="2" x14ac:dyDescent="0.25">
      <c r="B4721" s="704" t="s">
        <v>673</v>
      </c>
      <c r="C4721" s="704" t="s">
        <v>907</v>
      </c>
      <c r="D4721" s="704" t="s">
        <v>44</v>
      </c>
      <c r="E4721" s="704" t="s">
        <v>861</v>
      </c>
      <c r="F4721" s="708"/>
      <c r="G4721" s="705">
        <v>2.7594361322636186E-2</v>
      </c>
    </row>
    <row r="4722" spans="2:7" ht="11.25" hidden="1" customHeight="1" outlineLevel="2" x14ac:dyDescent="0.25">
      <c r="B4722" s="704" t="s">
        <v>677</v>
      </c>
      <c r="C4722" s="704" t="s">
        <v>907</v>
      </c>
      <c r="D4722" s="704" t="s">
        <v>44</v>
      </c>
      <c r="E4722" s="704" t="s">
        <v>861</v>
      </c>
      <c r="F4722" s="705">
        <v>1.059922675584318E-6</v>
      </c>
      <c r="G4722" s="705">
        <v>5.1293407108130198E-2</v>
      </c>
    </row>
    <row r="4723" spans="2:7" ht="11.25" hidden="1" customHeight="1" outlineLevel="2" x14ac:dyDescent="0.25">
      <c r="B4723" s="704" t="s">
        <v>678</v>
      </c>
      <c r="C4723" s="704" t="s">
        <v>907</v>
      </c>
      <c r="D4723" s="704" t="s">
        <v>44</v>
      </c>
      <c r="E4723" s="704" t="s">
        <v>861</v>
      </c>
      <c r="F4723" s="708"/>
      <c r="G4723" s="705">
        <v>0.10493379531791923</v>
      </c>
    </row>
    <row r="4724" spans="2:7" ht="11.25" hidden="1" customHeight="1" outlineLevel="2" x14ac:dyDescent="0.25">
      <c r="B4724" s="704" t="s">
        <v>679</v>
      </c>
      <c r="C4724" s="704" t="s">
        <v>907</v>
      </c>
      <c r="D4724" s="704" t="s">
        <v>44</v>
      </c>
      <c r="E4724" s="704" t="s">
        <v>861</v>
      </c>
      <c r="F4724" s="708"/>
      <c r="G4724" s="705">
        <v>3.6925133051812199E-2</v>
      </c>
    </row>
    <row r="4725" spans="2:7" ht="11.25" hidden="1" customHeight="1" outlineLevel="2" x14ac:dyDescent="0.25">
      <c r="B4725" s="704" t="s">
        <v>680</v>
      </c>
      <c r="C4725" s="704" t="s">
        <v>907</v>
      </c>
      <c r="D4725" s="704" t="s">
        <v>44</v>
      </c>
      <c r="E4725" s="704" t="s">
        <v>861</v>
      </c>
      <c r="F4725" s="708"/>
      <c r="G4725" s="705">
        <v>0.24035403438550634</v>
      </c>
    </row>
    <row r="4726" spans="2:7" ht="11.25" hidden="1" customHeight="1" outlineLevel="2" x14ac:dyDescent="0.25">
      <c r="B4726" s="704" t="s">
        <v>681</v>
      </c>
      <c r="C4726" s="704" t="s">
        <v>907</v>
      </c>
      <c r="D4726" s="704" t="s">
        <v>44</v>
      </c>
      <c r="E4726" s="704" t="s">
        <v>861</v>
      </c>
      <c r="F4726" s="708"/>
      <c r="G4726" s="705">
        <v>0.26831382715914309</v>
      </c>
    </row>
    <row r="4727" spans="2:7" ht="11.25" hidden="1" customHeight="1" outlineLevel="2" x14ac:dyDescent="0.25">
      <c r="B4727" s="704" t="s">
        <v>682</v>
      </c>
      <c r="C4727" s="704" t="s">
        <v>907</v>
      </c>
      <c r="D4727" s="704" t="s">
        <v>44</v>
      </c>
      <c r="E4727" s="704" t="s">
        <v>861</v>
      </c>
      <c r="F4727" s="708"/>
      <c r="G4727" s="705">
        <v>0.13227460551797254</v>
      </c>
    </row>
    <row r="4728" spans="2:7" ht="11.25" hidden="1" customHeight="1" outlineLevel="2" x14ac:dyDescent="0.25">
      <c r="B4728" s="704" t="s">
        <v>683</v>
      </c>
      <c r="C4728" s="704" t="s">
        <v>907</v>
      </c>
      <c r="D4728" s="704" t="s">
        <v>44</v>
      </c>
      <c r="E4728" s="704" t="s">
        <v>861</v>
      </c>
      <c r="F4728" s="708"/>
      <c r="G4728" s="705">
        <v>6.2177938475616625E-2</v>
      </c>
    </row>
    <row r="4729" spans="2:7" ht="11.25" hidden="1" customHeight="1" outlineLevel="2" x14ac:dyDescent="0.25">
      <c r="B4729" s="704" t="s">
        <v>684</v>
      </c>
      <c r="C4729" s="704" t="s">
        <v>907</v>
      </c>
      <c r="D4729" s="704" t="s">
        <v>44</v>
      </c>
      <c r="E4729" s="704" t="s">
        <v>861</v>
      </c>
      <c r="F4729" s="708"/>
      <c r="G4729" s="705">
        <v>0.21690321576909077</v>
      </c>
    </row>
    <row r="4730" spans="2:7" ht="11.25" hidden="1" customHeight="1" outlineLevel="2" x14ac:dyDescent="0.25">
      <c r="B4730" s="704" t="s">
        <v>685</v>
      </c>
      <c r="C4730" s="704" t="s">
        <v>907</v>
      </c>
      <c r="D4730" s="704" t="s">
        <v>44</v>
      </c>
      <c r="E4730" s="704" t="s">
        <v>861</v>
      </c>
      <c r="F4730" s="708"/>
      <c r="G4730" s="705">
        <v>0.3309550391823185</v>
      </c>
    </row>
    <row r="4731" spans="2:7" ht="11.25" hidden="1" customHeight="1" outlineLevel="2" x14ac:dyDescent="0.25">
      <c r="B4731" s="704" t="s">
        <v>686</v>
      </c>
      <c r="C4731" s="704" t="s">
        <v>907</v>
      </c>
      <c r="D4731" s="704" t="s">
        <v>44</v>
      </c>
      <c r="E4731" s="704" t="s">
        <v>861</v>
      </c>
      <c r="F4731" s="708"/>
      <c r="G4731" s="705">
        <v>0.1012292817848494</v>
      </c>
    </row>
    <row r="4732" spans="2:7" ht="11.25" hidden="1" customHeight="1" outlineLevel="2" x14ac:dyDescent="0.25">
      <c r="B4732" s="704" t="s">
        <v>687</v>
      </c>
      <c r="C4732" s="704" t="s">
        <v>907</v>
      </c>
      <c r="D4732" s="704" t="s">
        <v>44</v>
      </c>
      <c r="E4732" s="704" t="s">
        <v>861</v>
      </c>
      <c r="F4732" s="708"/>
      <c r="G4732" s="705">
        <v>0.12391157534506413</v>
      </c>
    </row>
    <row r="4733" spans="2:7" ht="11.25" hidden="1" customHeight="1" outlineLevel="2" x14ac:dyDescent="0.25">
      <c r="B4733" s="704" t="s">
        <v>688</v>
      </c>
      <c r="C4733" s="704" t="s">
        <v>907</v>
      </c>
      <c r="D4733" s="704" t="s">
        <v>44</v>
      </c>
      <c r="E4733" s="704" t="s">
        <v>861</v>
      </c>
      <c r="F4733" s="708"/>
      <c r="G4733" s="705">
        <v>5.62109184706708E-2</v>
      </c>
    </row>
    <row r="4734" spans="2:7" ht="11.25" hidden="1" customHeight="1" outlineLevel="2" x14ac:dyDescent="0.25">
      <c r="B4734" s="704" t="s">
        <v>689</v>
      </c>
      <c r="C4734" s="704" t="s">
        <v>907</v>
      </c>
      <c r="D4734" s="704" t="s">
        <v>44</v>
      </c>
      <c r="E4734" s="704" t="s">
        <v>861</v>
      </c>
      <c r="F4734" s="708"/>
      <c r="G4734" s="705">
        <v>0.27457300070126561</v>
      </c>
    </row>
    <row r="4735" spans="2:7" ht="11.25" hidden="1" customHeight="1" outlineLevel="2" x14ac:dyDescent="0.25">
      <c r="B4735" s="704" t="s">
        <v>690</v>
      </c>
      <c r="C4735" s="704" t="s">
        <v>907</v>
      </c>
      <c r="D4735" s="704" t="s">
        <v>44</v>
      </c>
      <c r="E4735" s="704" t="s">
        <v>861</v>
      </c>
      <c r="F4735" s="708"/>
      <c r="G4735" s="705">
        <v>0.12037878120142176</v>
      </c>
    </row>
    <row r="4736" spans="2:7" ht="11.25" hidden="1" customHeight="1" outlineLevel="2" x14ac:dyDescent="0.25">
      <c r="B4736" s="704" t="s">
        <v>691</v>
      </c>
      <c r="C4736" s="704" t="s">
        <v>907</v>
      </c>
      <c r="D4736" s="704" t="s">
        <v>44</v>
      </c>
      <c r="E4736" s="704" t="s">
        <v>861</v>
      </c>
      <c r="F4736" s="708"/>
      <c r="G4736" s="705">
        <v>4.7065496591518374E-2</v>
      </c>
    </row>
    <row r="4737" spans="2:7" ht="11.25" hidden="1" customHeight="1" outlineLevel="2" x14ac:dyDescent="0.25">
      <c r="B4737" s="704" t="s">
        <v>692</v>
      </c>
      <c r="C4737" s="704" t="s">
        <v>907</v>
      </c>
      <c r="D4737" s="704" t="s">
        <v>44</v>
      </c>
      <c r="E4737" s="704" t="s">
        <v>861</v>
      </c>
      <c r="F4737" s="708"/>
      <c r="G4737" s="705">
        <v>0.33928011739530589</v>
      </c>
    </row>
    <row r="4738" spans="2:7" ht="11.25" hidden="1" customHeight="1" outlineLevel="2" x14ac:dyDescent="0.25">
      <c r="B4738" s="704" t="s">
        <v>693</v>
      </c>
      <c r="C4738" s="704" t="s">
        <v>907</v>
      </c>
      <c r="D4738" s="704" t="s">
        <v>44</v>
      </c>
      <c r="E4738" s="704" t="s">
        <v>861</v>
      </c>
      <c r="F4738" s="708"/>
      <c r="G4738" s="705">
        <v>9.3046087829646407E-2</v>
      </c>
    </row>
    <row r="4739" spans="2:7" ht="11.25" hidden="1" customHeight="1" outlineLevel="2" x14ac:dyDescent="0.25">
      <c r="B4739" s="704" t="s">
        <v>694</v>
      </c>
      <c r="C4739" s="704" t="s">
        <v>907</v>
      </c>
      <c r="D4739" s="704" t="s">
        <v>44</v>
      </c>
      <c r="E4739" s="704" t="s">
        <v>861</v>
      </c>
      <c r="F4739" s="708"/>
      <c r="G4739" s="705">
        <v>8.3865502436421685E-2</v>
      </c>
    </row>
    <row r="4740" spans="2:7" ht="11.25" hidden="1" customHeight="1" outlineLevel="2" x14ac:dyDescent="0.25">
      <c r="B4740" s="704" t="s">
        <v>695</v>
      </c>
      <c r="C4740" s="704" t="s">
        <v>907</v>
      </c>
      <c r="D4740" s="704" t="s">
        <v>44</v>
      </c>
      <c r="E4740" s="704" t="s">
        <v>861</v>
      </c>
      <c r="F4740" s="708"/>
      <c r="G4740" s="705">
        <v>0.21866965126155821</v>
      </c>
    </row>
    <row r="4741" spans="2:7" ht="11.25" hidden="1" customHeight="1" outlineLevel="2" x14ac:dyDescent="0.25">
      <c r="B4741" s="704" t="s">
        <v>696</v>
      </c>
      <c r="C4741" s="704" t="s">
        <v>907</v>
      </c>
      <c r="D4741" s="704" t="s">
        <v>44</v>
      </c>
      <c r="E4741" s="704" t="s">
        <v>861</v>
      </c>
      <c r="F4741" s="708"/>
      <c r="G4741" s="705">
        <v>0.19983616003619828</v>
      </c>
    </row>
    <row r="4742" spans="2:7" ht="11.25" hidden="1" customHeight="1" outlineLevel="2" x14ac:dyDescent="0.25">
      <c r="B4742" s="704" t="s">
        <v>697</v>
      </c>
      <c r="C4742" s="704" t="s">
        <v>907</v>
      </c>
      <c r="D4742" s="704" t="s">
        <v>44</v>
      </c>
      <c r="E4742" s="704" t="s">
        <v>861</v>
      </c>
      <c r="F4742" s="708"/>
      <c r="G4742" s="705">
        <v>0.15349855454929506</v>
      </c>
    </row>
    <row r="4743" spans="2:7" ht="11.25" hidden="1" customHeight="1" outlineLevel="2" x14ac:dyDescent="0.25">
      <c r="B4743" s="704" t="s">
        <v>698</v>
      </c>
      <c r="C4743" s="704" t="s">
        <v>907</v>
      </c>
      <c r="D4743" s="704" t="s">
        <v>44</v>
      </c>
      <c r="E4743" s="704" t="s">
        <v>861</v>
      </c>
      <c r="F4743" s="708"/>
      <c r="G4743" s="705">
        <v>0.23336224832429675</v>
      </c>
    </row>
    <row r="4744" spans="2:7" ht="11.25" hidden="1" customHeight="1" outlineLevel="2" x14ac:dyDescent="0.25">
      <c r="B4744" s="704" t="s">
        <v>699</v>
      </c>
      <c r="C4744" s="704" t="s">
        <v>907</v>
      </c>
      <c r="D4744" s="704" t="s">
        <v>44</v>
      </c>
      <c r="E4744" s="704" t="s">
        <v>861</v>
      </c>
      <c r="F4744" s="708"/>
      <c r="G4744" s="705">
        <v>1.0268559227017843E-34</v>
      </c>
    </row>
    <row r="4745" spans="2:7" ht="11.25" hidden="1" customHeight="1" outlineLevel="2" x14ac:dyDescent="0.25">
      <c r="B4745" s="704" t="s">
        <v>673</v>
      </c>
      <c r="C4745" s="704" t="s">
        <v>908</v>
      </c>
      <c r="D4745" s="704" t="s">
        <v>44</v>
      </c>
      <c r="E4745" s="704" t="s">
        <v>861</v>
      </c>
      <c r="F4745" s="708"/>
      <c r="G4745" s="705">
        <v>10.183025679151571</v>
      </c>
    </row>
    <row r="4746" spans="2:7" ht="11.25" hidden="1" customHeight="1" outlineLevel="2" x14ac:dyDescent="0.25">
      <c r="B4746" s="704" t="s">
        <v>677</v>
      </c>
      <c r="C4746" s="704" t="s">
        <v>908</v>
      </c>
      <c r="D4746" s="704" t="s">
        <v>44</v>
      </c>
      <c r="E4746" s="704" t="s">
        <v>861</v>
      </c>
      <c r="F4746" s="705">
        <v>4.7445631506761452E-4</v>
      </c>
      <c r="G4746" s="705">
        <v>18.928580510523975</v>
      </c>
    </row>
    <row r="4747" spans="2:7" ht="11.25" hidden="1" customHeight="1" outlineLevel="2" x14ac:dyDescent="0.25">
      <c r="B4747" s="704" t="s">
        <v>678</v>
      </c>
      <c r="C4747" s="704" t="s">
        <v>908</v>
      </c>
      <c r="D4747" s="704" t="s">
        <v>44</v>
      </c>
      <c r="E4747" s="704" t="s">
        <v>861</v>
      </c>
      <c r="F4747" s="708"/>
      <c r="G4747" s="705">
        <v>38.72325093205616</v>
      </c>
    </row>
    <row r="4748" spans="2:7" ht="11.25" hidden="1" customHeight="1" outlineLevel="2" x14ac:dyDescent="0.25">
      <c r="B4748" s="704" t="s">
        <v>679</v>
      </c>
      <c r="C4748" s="704" t="s">
        <v>908</v>
      </c>
      <c r="D4748" s="704" t="s">
        <v>44</v>
      </c>
      <c r="E4748" s="704" t="s">
        <v>861</v>
      </c>
      <c r="F4748" s="708"/>
      <c r="G4748" s="705">
        <v>13.626323306626809</v>
      </c>
    </row>
    <row r="4749" spans="2:7" ht="11.25" hidden="1" customHeight="1" outlineLevel="2" x14ac:dyDescent="0.25">
      <c r="B4749" s="704" t="s">
        <v>680</v>
      </c>
      <c r="C4749" s="704" t="s">
        <v>908</v>
      </c>
      <c r="D4749" s="704" t="s">
        <v>44</v>
      </c>
      <c r="E4749" s="704" t="s">
        <v>861</v>
      </c>
      <c r="F4749" s="708"/>
      <c r="G4749" s="705">
        <v>88.69680194152825</v>
      </c>
    </row>
    <row r="4750" spans="2:7" ht="11.25" hidden="1" customHeight="1" outlineLevel="2" x14ac:dyDescent="0.25">
      <c r="B4750" s="704" t="s">
        <v>681</v>
      </c>
      <c r="C4750" s="704" t="s">
        <v>908</v>
      </c>
      <c r="D4750" s="704" t="s">
        <v>44</v>
      </c>
      <c r="E4750" s="704" t="s">
        <v>861</v>
      </c>
      <c r="F4750" s="708"/>
      <c r="G4750" s="705">
        <v>99.014719983292778</v>
      </c>
    </row>
    <row r="4751" spans="2:7" ht="11.25" hidden="1" customHeight="1" outlineLevel="2" x14ac:dyDescent="0.25">
      <c r="B4751" s="704" t="s">
        <v>682</v>
      </c>
      <c r="C4751" s="704" t="s">
        <v>908</v>
      </c>
      <c r="D4751" s="704" t="s">
        <v>44</v>
      </c>
      <c r="E4751" s="704" t="s">
        <v>861</v>
      </c>
      <c r="F4751" s="708"/>
      <c r="G4751" s="705">
        <v>48.812736588412648</v>
      </c>
    </row>
    <row r="4752" spans="2:7" ht="11.25" hidden="1" customHeight="1" outlineLevel="2" x14ac:dyDescent="0.25">
      <c r="B4752" s="704" t="s">
        <v>683</v>
      </c>
      <c r="C4752" s="704" t="s">
        <v>908</v>
      </c>
      <c r="D4752" s="704" t="s">
        <v>44</v>
      </c>
      <c r="E4752" s="704" t="s">
        <v>861</v>
      </c>
      <c r="F4752" s="708"/>
      <c r="G4752" s="705">
        <v>22.945239316110879</v>
      </c>
    </row>
    <row r="4753" spans="2:7" ht="11.25" hidden="1" customHeight="1" outlineLevel="2" x14ac:dyDescent="0.25">
      <c r="B4753" s="704" t="s">
        <v>684</v>
      </c>
      <c r="C4753" s="704" t="s">
        <v>908</v>
      </c>
      <c r="D4753" s="704" t="s">
        <v>44</v>
      </c>
      <c r="E4753" s="704" t="s">
        <v>861</v>
      </c>
      <c r="F4753" s="708"/>
      <c r="G4753" s="705">
        <v>80.04283420745513</v>
      </c>
    </row>
    <row r="4754" spans="2:7" ht="11.25" hidden="1" customHeight="1" outlineLevel="2" x14ac:dyDescent="0.25">
      <c r="B4754" s="704" t="s">
        <v>685</v>
      </c>
      <c r="C4754" s="704" t="s">
        <v>908</v>
      </c>
      <c r="D4754" s="704" t="s">
        <v>44</v>
      </c>
      <c r="E4754" s="704" t="s">
        <v>861</v>
      </c>
      <c r="F4754" s="709"/>
      <c r="G4754" s="705">
        <v>122.13090888575901</v>
      </c>
    </row>
    <row r="4755" spans="2:7" ht="11.25" hidden="1" customHeight="1" outlineLevel="2" x14ac:dyDescent="0.25">
      <c r="B4755" s="704" t="s">
        <v>686</v>
      </c>
      <c r="C4755" s="704" t="s">
        <v>908</v>
      </c>
      <c r="D4755" s="704" t="s">
        <v>44</v>
      </c>
      <c r="E4755" s="704" t="s">
        <v>861</v>
      </c>
      <c r="F4755" s="709"/>
      <c r="G4755" s="705">
        <v>37.356185970564724</v>
      </c>
    </row>
    <row r="4756" spans="2:7" ht="11.25" hidden="1" customHeight="1" outlineLevel="2" x14ac:dyDescent="0.25">
      <c r="B4756" s="704" t="s">
        <v>687</v>
      </c>
      <c r="C4756" s="704" t="s">
        <v>908</v>
      </c>
      <c r="D4756" s="704" t="s">
        <v>44</v>
      </c>
      <c r="E4756" s="704" t="s">
        <v>861</v>
      </c>
      <c r="F4756" s="709"/>
      <c r="G4756" s="705">
        <v>45.726534127736457</v>
      </c>
    </row>
    <row r="4757" spans="2:7" ht="11.25" hidden="1" customHeight="1" outlineLevel="2" x14ac:dyDescent="0.25">
      <c r="B4757" s="704" t="s">
        <v>688</v>
      </c>
      <c r="C4757" s="704" t="s">
        <v>908</v>
      </c>
      <c r="D4757" s="704" t="s">
        <v>44</v>
      </c>
      <c r="E4757" s="704" t="s">
        <v>861</v>
      </c>
      <c r="F4757" s="709"/>
      <c r="G4757" s="705">
        <v>20.743272270349735</v>
      </c>
    </row>
    <row r="4758" spans="2:7" ht="11.25" hidden="1" customHeight="1" outlineLevel="2" x14ac:dyDescent="0.25">
      <c r="B4758" s="704" t="s">
        <v>689</v>
      </c>
      <c r="C4758" s="704" t="s">
        <v>908</v>
      </c>
      <c r="D4758" s="704" t="s">
        <v>44</v>
      </c>
      <c r="E4758" s="704" t="s">
        <v>861</v>
      </c>
      <c r="F4758" s="709"/>
      <c r="G4758" s="705">
        <v>101.32445802647196</v>
      </c>
    </row>
    <row r="4759" spans="2:7" ht="11.25" hidden="1" customHeight="1" outlineLevel="2" x14ac:dyDescent="0.25">
      <c r="B4759" s="704" t="s">
        <v>690</v>
      </c>
      <c r="C4759" s="704" t="s">
        <v>908</v>
      </c>
      <c r="D4759" s="704" t="s">
        <v>44</v>
      </c>
      <c r="E4759" s="704" t="s">
        <v>861</v>
      </c>
      <c r="F4759" s="709"/>
      <c r="G4759" s="705">
        <v>44.422852662994622</v>
      </c>
    </row>
    <row r="4760" spans="2:7" ht="11.25" hidden="1" customHeight="1" outlineLevel="2" x14ac:dyDescent="0.25">
      <c r="B4760" s="704" t="s">
        <v>691</v>
      </c>
      <c r="C4760" s="704" t="s">
        <v>908</v>
      </c>
      <c r="D4760" s="704" t="s">
        <v>44</v>
      </c>
      <c r="E4760" s="704" t="s">
        <v>861</v>
      </c>
      <c r="F4760" s="709"/>
      <c r="G4760" s="705">
        <v>17.368372866302117</v>
      </c>
    </row>
    <row r="4761" spans="2:7" ht="11.25" hidden="1" customHeight="1" outlineLevel="2" x14ac:dyDescent="0.25">
      <c r="B4761" s="704" t="s">
        <v>692</v>
      </c>
      <c r="C4761" s="704" t="s">
        <v>908</v>
      </c>
      <c r="D4761" s="704" t="s">
        <v>44</v>
      </c>
      <c r="E4761" s="704" t="s">
        <v>861</v>
      </c>
      <c r="F4761" s="709"/>
      <c r="G4761" s="705">
        <v>125.20301293654849</v>
      </c>
    </row>
    <row r="4762" spans="2:7" ht="11.25" hidden="1" customHeight="1" outlineLevel="2" x14ac:dyDescent="0.25">
      <c r="B4762" s="704" t="s">
        <v>693</v>
      </c>
      <c r="C4762" s="704" t="s">
        <v>908</v>
      </c>
      <c r="D4762" s="704" t="s">
        <v>44</v>
      </c>
      <c r="E4762" s="704" t="s">
        <v>861</v>
      </c>
      <c r="F4762" s="709"/>
      <c r="G4762" s="705">
        <v>34.336400085605774</v>
      </c>
    </row>
    <row r="4763" spans="2:7" ht="11.25" hidden="1" customHeight="1" outlineLevel="2" x14ac:dyDescent="0.25">
      <c r="B4763" s="704" t="s">
        <v>694</v>
      </c>
      <c r="C4763" s="704" t="s">
        <v>908</v>
      </c>
      <c r="D4763" s="704" t="s">
        <v>44</v>
      </c>
      <c r="E4763" s="704" t="s">
        <v>861</v>
      </c>
      <c r="F4763" s="709"/>
      <c r="G4763" s="705">
        <v>30.948526691705531</v>
      </c>
    </row>
    <row r="4764" spans="2:7" ht="11.25" hidden="1" customHeight="1" outlineLevel="2" x14ac:dyDescent="0.25">
      <c r="B4764" s="704" t="s">
        <v>695</v>
      </c>
      <c r="C4764" s="704" t="s">
        <v>908</v>
      </c>
      <c r="D4764" s="704" t="s">
        <v>44</v>
      </c>
      <c r="E4764" s="704" t="s">
        <v>861</v>
      </c>
      <c r="F4764" s="709"/>
      <c r="G4764" s="705">
        <v>80.694650593849516</v>
      </c>
    </row>
    <row r="4765" spans="2:7" ht="11.25" hidden="1" customHeight="1" outlineLevel="2" x14ac:dyDescent="0.25">
      <c r="B4765" s="704" t="s">
        <v>696</v>
      </c>
      <c r="C4765" s="704" t="s">
        <v>908</v>
      </c>
      <c r="D4765" s="704" t="s">
        <v>44</v>
      </c>
      <c r="E4765" s="704" t="s">
        <v>861</v>
      </c>
      <c r="F4765" s="709"/>
      <c r="G4765" s="705">
        <v>73.744684358536276</v>
      </c>
    </row>
    <row r="4766" spans="2:7" ht="11.25" hidden="1" customHeight="1" outlineLevel="2" x14ac:dyDescent="0.25">
      <c r="B4766" s="704" t="s">
        <v>697</v>
      </c>
      <c r="C4766" s="704" t="s">
        <v>908</v>
      </c>
      <c r="D4766" s="704" t="s">
        <v>44</v>
      </c>
      <c r="E4766" s="704" t="s">
        <v>861</v>
      </c>
      <c r="F4766" s="709"/>
      <c r="G4766" s="705">
        <v>56.644891292917542</v>
      </c>
    </row>
    <row r="4767" spans="2:7" ht="11.25" hidden="1" customHeight="1" outlineLevel="2" x14ac:dyDescent="0.25">
      <c r="B4767" s="704" t="s">
        <v>698</v>
      </c>
      <c r="C4767" s="704" t="s">
        <v>908</v>
      </c>
      <c r="D4767" s="704" t="s">
        <v>44</v>
      </c>
      <c r="E4767" s="704" t="s">
        <v>861</v>
      </c>
      <c r="F4767" s="709"/>
      <c r="G4767" s="705">
        <v>86.116623850581817</v>
      </c>
    </row>
    <row r="4768" spans="2:7" ht="11.25" hidden="1" customHeight="1" outlineLevel="2" x14ac:dyDescent="0.25">
      <c r="B4768" s="704" t="s">
        <v>699</v>
      </c>
      <c r="C4768" s="704" t="s">
        <v>908</v>
      </c>
      <c r="D4768" s="704" t="s">
        <v>44</v>
      </c>
      <c r="E4768" s="704" t="s">
        <v>861</v>
      </c>
      <c r="F4768" s="709"/>
      <c r="G4768" s="705">
        <v>1.3029741115138325E-30</v>
      </c>
    </row>
    <row r="4769" spans="2:7" ht="11.25" hidden="1" customHeight="1" outlineLevel="2" x14ac:dyDescent="0.25">
      <c r="B4769" s="704" t="s">
        <v>673</v>
      </c>
      <c r="C4769" s="704" t="s">
        <v>909</v>
      </c>
      <c r="D4769" s="704" t="s">
        <v>44</v>
      </c>
      <c r="E4769" s="704" t="s">
        <v>861</v>
      </c>
      <c r="F4769" s="709"/>
      <c r="G4769" s="705">
        <v>28.285758239622794</v>
      </c>
    </row>
    <row r="4770" spans="2:7" ht="11.25" hidden="1" customHeight="1" outlineLevel="2" x14ac:dyDescent="0.25">
      <c r="B4770" s="704" t="s">
        <v>677</v>
      </c>
      <c r="C4770" s="704" t="s">
        <v>909</v>
      </c>
      <c r="D4770" s="704" t="s">
        <v>44</v>
      </c>
      <c r="E4770" s="704" t="s">
        <v>861</v>
      </c>
      <c r="F4770" s="706">
        <v>1.3395457533123207E-3</v>
      </c>
      <c r="G4770" s="705">
        <v>52.578603723110895</v>
      </c>
    </row>
    <row r="4771" spans="2:7" ht="11.25" hidden="1" customHeight="1" outlineLevel="2" x14ac:dyDescent="0.25">
      <c r="B4771" s="704" t="s">
        <v>678</v>
      </c>
      <c r="C4771" s="704" t="s">
        <v>909</v>
      </c>
      <c r="D4771" s="704" t="s">
        <v>44</v>
      </c>
      <c r="E4771" s="704" t="s">
        <v>861</v>
      </c>
      <c r="F4771" s="709"/>
      <c r="G4771" s="705">
        <v>107.56304795310963</v>
      </c>
    </row>
    <row r="4772" spans="2:7" ht="11.25" hidden="1" customHeight="1" outlineLevel="2" x14ac:dyDescent="0.25">
      <c r="B4772" s="704" t="s">
        <v>679</v>
      </c>
      <c r="C4772" s="704" t="s">
        <v>909</v>
      </c>
      <c r="D4772" s="704" t="s">
        <v>44</v>
      </c>
      <c r="E4772" s="704" t="s">
        <v>861</v>
      </c>
      <c r="F4772" s="709"/>
      <c r="G4772" s="705">
        <v>37.850336346076574</v>
      </c>
    </row>
    <row r="4773" spans="2:7" ht="11.25" hidden="1" customHeight="1" outlineLevel="2" x14ac:dyDescent="0.25">
      <c r="B4773" s="704" t="s">
        <v>680</v>
      </c>
      <c r="C4773" s="704" t="s">
        <v>909</v>
      </c>
      <c r="D4773" s="704" t="s">
        <v>44</v>
      </c>
      <c r="E4773" s="704" t="s">
        <v>861</v>
      </c>
      <c r="F4773" s="709"/>
      <c r="G4773" s="705">
        <v>246.37647444100796</v>
      </c>
    </row>
    <row r="4774" spans="2:7" ht="11.25" hidden="1" customHeight="1" outlineLevel="2" x14ac:dyDescent="0.25">
      <c r="B4774" s="704" t="s">
        <v>681</v>
      </c>
      <c r="C4774" s="704" t="s">
        <v>909</v>
      </c>
      <c r="D4774" s="704" t="s">
        <v>44</v>
      </c>
      <c r="E4774" s="704" t="s">
        <v>861</v>
      </c>
      <c r="F4774" s="709"/>
      <c r="G4774" s="705">
        <v>275.03685212351633</v>
      </c>
    </row>
    <row r="4775" spans="2:7" ht="11.25" hidden="1" customHeight="1" outlineLevel="2" x14ac:dyDescent="0.25">
      <c r="B4775" s="704" t="s">
        <v>682</v>
      </c>
      <c r="C4775" s="704" t="s">
        <v>909</v>
      </c>
      <c r="D4775" s="704" t="s">
        <v>44</v>
      </c>
      <c r="E4775" s="704" t="s">
        <v>861</v>
      </c>
      <c r="F4775" s="709"/>
      <c r="G4775" s="705">
        <v>135.58891337489544</v>
      </c>
    </row>
    <row r="4776" spans="2:7" ht="11.25" hidden="1" customHeight="1" outlineLevel="2" x14ac:dyDescent="0.25">
      <c r="B4776" s="704" t="s">
        <v>683</v>
      </c>
      <c r="C4776" s="704" t="s">
        <v>909</v>
      </c>
      <c r="D4776" s="704" t="s">
        <v>44</v>
      </c>
      <c r="E4776" s="704" t="s">
        <v>861</v>
      </c>
      <c r="F4776" s="709"/>
      <c r="G4776" s="705">
        <v>63.735870412953133</v>
      </c>
    </row>
    <row r="4777" spans="2:7" ht="11.25" hidden="1" customHeight="1" outlineLevel="2" x14ac:dyDescent="0.25">
      <c r="B4777" s="704" t="s">
        <v>684</v>
      </c>
      <c r="C4777" s="704" t="s">
        <v>909</v>
      </c>
      <c r="D4777" s="704" t="s">
        <v>44</v>
      </c>
      <c r="E4777" s="704" t="s">
        <v>861</v>
      </c>
      <c r="F4777" s="709"/>
      <c r="G4777" s="705">
        <v>222.33789830256848</v>
      </c>
    </row>
    <row r="4778" spans="2:7" ht="11.25" hidden="1" customHeight="1" outlineLevel="2" x14ac:dyDescent="0.25">
      <c r="B4778" s="704" t="s">
        <v>685</v>
      </c>
      <c r="C4778" s="704" t="s">
        <v>909</v>
      </c>
      <c r="D4778" s="704" t="s">
        <v>44</v>
      </c>
      <c r="E4778" s="704" t="s">
        <v>861</v>
      </c>
      <c r="F4778" s="709"/>
      <c r="G4778" s="705">
        <v>339.24754148615511</v>
      </c>
    </row>
    <row r="4779" spans="2:7" ht="11.25" hidden="1" customHeight="1" outlineLevel="2" x14ac:dyDescent="0.25">
      <c r="B4779" s="704" t="s">
        <v>686</v>
      </c>
      <c r="C4779" s="704" t="s">
        <v>909</v>
      </c>
      <c r="D4779" s="704" t="s">
        <v>44</v>
      </c>
      <c r="E4779" s="704" t="s">
        <v>861</v>
      </c>
      <c r="F4779" s="708"/>
      <c r="G4779" s="705">
        <v>103.76568813498633</v>
      </c>
    </row>
    <row r="4780" spans="2:7" ht="11.25" hidden="1" customHeight="1" outlineLevel="2" x14ac:dyDescent="0.25">
      <c r="B4780" s="704" t="s">
        <v>687</v>
      </c>
      <c r="C4780" s="704" t="s">
        <v>909</v>
      </c>
      <c r="D4780" s="704" t="s">
        <v>44</v>
      </c>
      <c r="E4780" s="704" t="s">
        <v>861</v>
      </c>
      <c r="F4780" s="708"/>
      <c r="G4780" s="705">
        <v>127.01629420824636</v>
      </c>
    </row>
    <row r="4781" spans="2:7" ht="11.25" hidden="1" customHeight="1" outlineLevel="2" x14ac:dyDescent="0.25">
      <c r="B4781" s="704" t="s">
        <v>688</v>
      </c>
      <c r="C4781" s="704" t="s">
        <v>909</v>
      </c>
      <c r="D4781" s="704" t="s">
        <v>44</v>
      </c>
      <c r="E4781" s="704" t="s">
        <v>861</v>
      </c>
      <c r="F4781" s="708"/>
      <c r="G4781" s="705">
        <v>57.619350256299974</v>
      </c>
    </row>
    <row r="4782" spans="2:7" ht="11.25" hidden="1" customHeight="1" outlineLevel="2" x14ac:dyDescent="0.25">
      <c r="B4782" s="704" t="s">
        <v>689</v>
      </c>
      <c r="C4782" s="704" t="s">
        <v>909</v>
      </c>
      <c r="D4782" s="704" t="s">
        <v>44</v>
      </c>
      <c r="E4782" s="704" t="s">
        <v>861</v>
      </c>
      <c r="F4782" s="708"/>
      <c r="G4782" s="705">
        <v>281.45275421916176</v>
      </c>
    </row>
    <row r="4783" spans="2:7" ht="11.25" hidden="1" customHeight="1" outlineLevel="2" x14ac:dyDescent="0.25">
      <c r="B4783" s="704" t="s">
        <v>690</v>
      </c>
      <c r="C4783" s="704" t="s">
        <v>909</v>
      </c>
      <c r="D4783" s="704" t="s">
        <v>44</v>
      </c>
      <c r="E4783" s="704" t="s">
        <v>861</v>
      </c>
      <c r="F4783" s="708"/>
      <c r="G4783" s="705">
        <v>123.39500090473058</v>
      </c>
    </row>
    <row r="4784" spans="2:7" ht="11.25" hidden="1" customHeight="1" outlineLevel="2" x14ac:dyDescent="0.25">
      <c r="B4784" s="704" t="s">
        <v>691</v>
      </c>
      <c r="C4784" s="704" t="s">
        <v>909</v>
      </c>
      <c r="D4784" s="704" t="s">
        <v>44</v>
      </c>
      <c r="E4784" s="704" t="s">
        <v>861</v>
      </c>
      <c r="F4784" s="708"/>
      <c r="G4784" s="705">
        <v>48.244788491639881</v>
      </c>
    </row>
    <row r="4785" spans="2:7" ht="11.25" hidden="1" customHeight="1" outlineLevel="2" x14ac:dyDescent="0.25">
      <c r="B4785" s="704" t="s">
        <v>692</v>
      </c>
      <c r="C4785" s="704" t="s">
        <v>909</v>
      </c>
      <c r="D4785" s="704" t="s">
        <v>44</v>
      </c>
      <c r="E4785" s="704" t="s">
        <v>861</v>
      </c>
      <c r="F4785" s="708"/>
      <c r="G4785" s="705">
        <v>347.78101059718119</v>
      </c>
    </row>
    <row r="4786" spans="2:7" ht="11.25" hidden="1" customHeight="1" outlineLevel="2" x14ac:dyDescent="0.25">
      <c r="B4786" s="704" t="s">
        <v>693</v>
      </c>
      <c r="C4786" s="704" t="s">
        <v>909</v>
      </c>
      <c r="D4786" s="704" t="s">
        <v>44</v>
      </c>
      <c r="E4786" s="704" t="s">
        <v>861</v>
      </c>
      <c r="F4786" s="708"/>
      <c r="G4786" s="705">
        <v>95.377505078119214</v>
      </c>
    </row>
    <row r="4787" spans="2:7" ht="11.25" hidden="1" customHeight="1" outlineLevel="2" x14ac:dyDescent="0.25">
      <c r="B4787" s="704" t="s">
        <v>694</v>
      </c>
      <c r="C4787" s="704" t="s">
        <v>909</v>
      </c>
      <c r="D4787" s="704" t="s">
        <v>44</v>
      </c>
      <c r="E4787" s="704" t="s">
        <v>861</v>
      </c>
      <c r="F4787" s="708"/>
      <c r="G4787" s="705">
        <v>85.966832069728909</v>
      </c>
    </row>
    <row r="4788" spans="2:7" ht="11.25" hidden="1" customHeight="1" outlineLevel="2" x14ac:dyDescent="0.25">
      <c r="B4788" s="704" t="s">
        <v>695</v>
      </c>
      <c r="C4788" s="704" t="s">
        <v>909</v>
      </c>
      <c r="D4788" s="704" t="s">
        <v>44</v>
      </c>
      <c r="E4788" s="704" t="s">
        <v>861</v>
      </c>
      <c r="F4788" s="708"/>
      <c r="G4788" s="705">
        <v>224.14857071263691</v>
      </c>
    </row>
    <row r="4789" spans="2:7" ht="11.25" hidden="1" customHeight="1" outlineLevel="2" x14ac:dyDescent="0.25">
      <c r="B4789" s="704" t="s">
        <v>696</v>
      </c>
      <c r="C4789" s="704" t="s">
        <v>909</v>
      </c>
      <c r="D4789" s="704" t="s">
        <v>44</v>
      </c>
      <c r="E4789" s="704" t="s">
        <v>861</v>
      </c>
      <c r="F4789" s="708"/>
      <c r="G4789" s="705">
        <v>204.84337885306908</v>
      </c>
    </row>
    <row r="4790" spans="2:7" ht="11.25" hidden="1" customHeight="1" outlineLevel="2" x14ac:dyDescent="0.25">
      <c r="B4790" s="704" t="s">
        <v>697</v>
      </c>
      <c r="C4790" s="704" t="s">
        <v>909</v>
      </c>
      <c r="D4790" s="704" t="s">
        <v>44</v>
      </c>
      <c r="E4790" s="704" t="s">
        <v>861</v>
      </c>
      <c r="F4790" s="708"/>
      <c r="G4790" s="705">
        <v>157.34463231973592</v>
      </c>
    </row>
    <row r="4791" spans="2:7" ht="11.25" hidden="1" customHeight="1" outlineLevel="2" x14ac:dyDescent="0.25">
      <c r="B4791" s="704" t="s">
        <v>698</v>
      </c>
      <c r="C4791" s="704" t="s">
        <v>909</v>
      </c>
      <c r="D4791" s="704" t="s">
        <v>44</v>
      </c>
      <c r="E4791" s="704" t="s">
        <v>861</v>
      </c>
      <c r="F4791" s="708"/>
      <c r="G4791" s="705">
        <v>239.20928830170703</v>
      </c>
    </row>
    <row r="4792" spans="2:7" ht="11.25" hidden="1" customHeight="1" outlineLevel="2" x14ac:dyDescent="0.25">
      <c r="B4792" s="704" t="s">
        <v>699</v>
      </c>
      <c r="C4792" s="704" t="s">
        <v>909</v>
      </c>
      <c r="D4792" s="704" t="s">
        <v>44</v>
      </c>
      <c r="E4792" s="704" t="s">
        <v>861</v>
      </c>
      <c r="F4792" s="708"/>
      <c r="G4792" s="705">
        <v>1.540882820570414E-32</v>
      </c>
    </row>
    <row r="4793" spans="2:7" ht="11.25" hidden="1" customHeight="1" outlineLevel="2" x14ac:dyDescent="0.25">
      <c r="B4793" s="704" t="s">
        <v>673</v>
      </c>
      <c r="C4793" s="704" t="s">
        <v>910</v>
      </c>
      <c r="D4793" s="704" t="s">
        <v>44</v>
      </c>
      <c r="E4793" s="704" t="s">
        <v>861</v>
      </c>
      <c r="F4793" s="708"/>
      <c r="G4793" s="705">
        <v>20.795545367537141</v>
      </c>
    </row>
    <row r="4794" spans="2:7" ht="11.25" hidden="1" customHeight="1" outlineLevel="2" x14ac:dyDescent="0.25">
      <c r="B4794" s="704" t="s">
        <v>677</v>
      </c>
      <c r="C4794" s="704" t="s">
        <v>910</v>
      </c>
      <c r="D4794" s="704" t="s">
        <v>44</v>
      </c>
      <c r="E4794" s="704" t="s">
        <v>861</v>
      </c>
      <c r="F4794" s="705">
        <v>1.2208815814322542E-3</v>
      </c>
      <c r="G4794" s="705">
        <v>38.655507139248847</v>
      </c>
    </row>
    <row r="4795" spans="2:7" ht="11.25" hidden="1" customHeight="1" outlineLevel="2" x14ac:dyDescent="0.25">
      <c r="B4795" s="704" t="s">
        <v>678</v>
      </c>
      <c r="C4795" s="704" t="s">
        <v>910</v>
      </c>
      <c r="D4795" s="704" t="s">
        <v>44</v>
      </c>
      <c r="E4795" s="704" t="s">
        <v>861</v>
      </c>
      <c r="F4795" s="708"/>
      <c r="G4795" s="705">
        <v>79.079760456691147</v>
      </c>
    </row>
    <row r="4796" spans="2:7" ht="11.25" hidden="1" customHeight="1" outlineLevel="2" x14ac:dyDescent="0.25">
      <c r="B4796" s="704" t="s">
        <v>679</v>
      </c>
      <c r="C4796" s="704" t="s">
        <v>910</v>
      </c>
      <c r="D4796" s="704" t="s">
        <v>44</v>
      </c>
      <c r="E4796" s="704" t="s">
        <v>861</v>
      </c>
      <c r="F4796" s="708"/>
      <c r="G4796" s="705">
        <v>27.82736031497026</v>
      </c>
    </row>
    <row r="4797" spans="2:7" ht="11.25" hidden="1" customHeight="1" outlineLevel="2" x14ac:dyDescent="0.25">
      <c r="B4797" s="704" t="s">
        <v>680</v>
      </c>
      <c r="C4797" s="704" t="s">
        <v>910</v>
      </c>
      <c r="D4797" s="704" t="s">
        <v>44</v>
      </c>
      <c r="E4797" s="704" t="s">
        <v>861</v>
      </c>
      <c r="F4797" s="708"/>
      <c r="G4797" s="705">
        <v>181.13464832459377</v>
      </c>
    </row>
    <row r="4798" spans="2:7" ht="11.25" hidden="1" customHeight="1" outlineLevel="2" x14ac:dyDescent="0.25">
      <c r="B4798" s="704" t="s">
        <v>681</v>
      </c>
      <c r="C4798" s="704" t="s">
        <v>910</v>
      </c>
      <c r="D4798" s="704" t="s">
        <v>44</v>
      </c>
      <c r="E4798" s="704" t="s">
        <v>861</v>
      </c>
      <c r="F4798" s="708"/>
      <c r="G4798" s="705">
        <v>202.20563236622567</v>
      </c>
    </row>
    <row r="4799" spans="2:7" ht="11.25" hidden="1" customHeight="1" outlineLevel="2" x14ac:dyDescent="0.25">
      <c r="B4799" s="704" t="s">
        <v>682</v>
      </c>
      <c r="C4799" s="704" t="s">
        <v>910</v>
      </c>
      <c r="D4799" s="704" t="s">
        <v>44</v>
      </c>
      <c r="E4799" s="704" t="s">
        <v>861</v>
      </c>
      <c r="F4799" s="709"/>
      <c r="G4799" s="705">
        <v>99.684272434038448</v>
      </c>
    </row>
    <row r="4800" spans="2:7" ht="11.25" hidden="1" customHeight="1" outlineLevel="2" x14ac:dyDescent="0.25">
      <c r="B4800" s="704" t="s">
        <v>683</v>
      </c>
      <c r="C4800" s="704" t="s">
        <v>910</v>
      </c>
      <c r="D4800" s="704" t="s">
        <v>44</v>
      </c>
      <c r="E4800" s="704" t="s">
        <v>861</v>
      </c>
      <c r="F4800" s="709"/>
      <c r="G4800" s="705">
        <v>46.858281472168187</v>
      </c>
    </row>
    <row r="4801" spans="2:7" ht="11.25" hidden="1" customHeight="1" outlineLevel="2" x14ac:dyDescent="0.25">
      <c r="B4801" s="704" t="s">
        <v>684</v>
      </c>
      <c r="C4801" s="704" t="s">
        <v>910</v>
      </c>
      <c r="D4801" s="704" t="s">
        <v>44</v>
      </c>
      <c r="E4801" s="704" t="s">
        <v>861</v>
      </c>
      <c r="F4801" s="709"/>
      <c r="G4801" s="705">
        <v>163.46163993283884</v>
      </c>
    </row>
    <row r="4802" spans="2:7" ht="11.25" hidden="1" customHeight="1" outlineLevel="2" x14ac:dyDescent="0.25">
      <c r="B4802" s="704" t="s">
        <v>685</v>
      </c>
      <c r="C4802" s="704" t="s">
        <v>910</v>
      </c>
      <c r="D4802" s="704" t="s">
        <v>44</v>
      </c>
      <c r="E4802" s="704" t="s">
        <v>861</v>
      </c>
      <c r="F4802" s="709"/>
      <c r="G4802" s="705">
        <v>249.41300317907019</v>
      </c>
    </row>
    <row r="4803" spans="2:7" ht="11.25" hidden="1" customHeight="1" outlineLevel="2" x14ac:dyDescent="0.25">
      <c r="B4803" s="704" t="s">
        <v>686</v>
      </c>
      <c r="C4803" s="704" t="s">
        <v>910</v>
      </c>
      <c r="D4803" s="704" t="s">
        <v>44</v>
      </c>
      <c r="E4803" s="704" t="s">
        <v>861</v>
      </c>
      <c r="F4803" s="709"/>
      <c r="G4803" s="705">
        <v>76.287978081635359</v>
      </c>
    </row>
    <row r="4804" spans="2:7" ht="11.25" hidden="1" customHeight="1" outlineLevel="2" x14ac:dyDescent="0.25">
      <c r="B4804" s="704" t="s">
        <v>687</v>
      </c>
      <c r="C4804" s="704" t="s">
        <v>910</v>
      </c>
      <c r="D4804" s="704" t="s">
        <v>44</v>
      </c>
      <c r="E4804" s="704" t="s">
        <v>861</v>
      </c>
      <c r="F4804" s="709"/>
      <c r="G4804" s="705">
        <v>93.381703617299223</v>
      </c>
    </row>
    <row r="4805" spans="2:7" ht="11.25" hidden="1" customHeight="1" outlineLevel="2" x14ac:dyDescent="0.25">
      <c r="B4805" s="704" t="s">
        <v>688</v>
      </c>
      <c r="C4805" s="704" t="s">
        <v>910</v>
      </c>
      <c r="D4805" s="704" t="s">
        <v>44</v>
      </c>
      <c r="E4805" s="704" t="s">
        <v>861</v>
      </c>
      <c r="F4805" s="709"/>
      <c r="G4805" s="705">
        <v>42.361451300908016</v>
      </c>
    </row>
    <row r="4806" spans="2:7" ht="11.25" hidden="1" customHeight="1" outlineLevel="2" x14ac:dyDescent="0.25">
      <c r="B4806" s="704" t="s">
        <v>689</v>
      </c>
      <c r="C4806" s="704" t="s">
        <v>910</v>
      </c>
      <c r="D4806" s="704" t="s">
        <v>44</v>
      </c>
      <c r="E4806" s="704" t="s">
        <v>861</v>
      </c>
      <c r="F4806" s="708"/>
      <c r="G4806" s="705">
        <v>206.92255401432075</v>
      </c>
    </row>
    <row r="4807" spans="2:7" ht="11.25" hidden="1" customHeight="1" outlineLevel="2" x14ac:dyDescent="0.25">
      <c r="B4807" s="704" t="s">
        <v>690</v>
      </c>
      <c r="C4807" s="704" t="s">
        <v>910</v>
      </c>
      <c r="D4807" s="704" t="s">
        <v>44</v>
      </c>
      <c r="E4807" s="704" t="s">
        <v>861</v>
      </c>
      <c r="F4807" s="708"/>
      <c r="G4807" s="705">
        <v>90.719363303972585</v>
      </c>
    </row>
    <row r="4808" spans="2:7" ht="11.25" hidden="1" customHeight="1" outlineLevel="2" x14ac:dyDescent="0.25">
      <c r="B4808" s="704" t="s">
        <v>691</v>
      </c>
      <c r="C4808" s="704" t="s">
        <v>910</v>
      </c>
      <c r="D4808" s="704" t="s">
        <v>44</v>
      </c>
      <c r="E4808" s="704" t="s">
        <v>861</v>
      </c>
      <c r="F4808" s="708"/>
      <c r="G4808" s="705">
        <v>35.469307378178527</v>
      </c>
    </row>
    <row r="4809" spans="2:7" ht="11.25" hidden="1" customHeight="1" outlineLevel="2" x14ac:dyDescent="0.25">
      <c r="B4809" s="704" t="s">
        <v>692</v>
      </c>
      <c r="C4809" s="704" t="s">
        <v>910</v>
      </c>
      <c r="D4809" s="704" t="s">
        <v>44</v>
      </c>
      <c r="E4809" s="704" t="s">
        <v>861</v>
      </c>
      <c r="F4809" s="708"/>
      <c r="G4809" s="705">
        <v>255.68679495760557</v>
      </c>
    </row>
    <row r="4810" spans="2:7" ht="11.25" hidden="1" customHeight="1" outlineLevel="2" x14ac:dyDescent="0.25">
      <c r="B4810" s="704" t="s">
        <v>693</v>
      </c>
      <c r="C4810" s="704" t="s">
        <v>910</v>
      </c>
      <c r="D4810" s="704" t="s">
        <v>44</v>
      </c>
      <c r="E4810" s="704" t="s">
        <v>861</v>
      </c>
      <c r="F4810" s="708"/>
      <c r="G4810" s="705">
        <v>70.121011811876031</v>
      </c>
    </row>
    <row r="4811" spans="2:7" ht="11.25" hidden="1" customHeight="1" outlineLevel="2" x14ac:dyDescent="0.25">
      <c r="B4811" s="704" t="s">
        <v>694</v>
      </c>
      <c r="C4811" s="704" t="s">
        <v>910</v>
      </c>
      <c r="D4811" s="704" t="s">
        <v>44</v>
      </c>
      <c r="E4811" s="704" t="s">
        <v>861</v>
      </c>
      <c r="F4811" s="708"/>
      <c r="G4811" s="705">
        <v>63.202372191583741</v>
      </c>
    </row>
    <row r="4812" spans="2:7" ht="11.25" hidden="1" customHeight="1" outlineLevel="2" x14ac:dyDescent="0.25">
      <c r="B4812" s="704" t="s">
        <v>695</v>
      </c>
      <c r="C4812" s="704" t="s">
        <v>910</v>
      </c>
      <c r="D4812" s="704" t="s">
        <v>44</v>
      </c>
      <c r="E4812" s="704" t="s">
        <v>861</v>
      </c>
      <c r="F4812" s="708"/>
      <c r="G4812" s="705">
        <v>164.79280336456816</v>
      </c>
    </row>
    <row r="4813" spans="2:7" ht="11.25" hidden="1" customHeight="1" outlineLevel="2" x14ac:dyDescent="0.25">
      <c r="B4813" s="704" t="s">
        <v>696</v>
      </c>
      <c r="C4813" s="704" t="s">
        <v>910</v>
      </c>
      <c r="D4813" s="704" t="s">
        <v>44</v>
      </c>
      <c r="E4813" s="704" t="s">
        <v>861</v>
      </c>
      <c r="F4813" s="708"/>
      <c r="G4813" s="705">
        <v>150.59973591377306</v>
      </c>
    </row>
    <row r="4814" spans="2:7" ht="11.25" hidden="1" customHeight="1" outlineLevel="2" x14ac:dyDescent="0.25">
      <c r="B4814" s="704" t="s">
        <v>697</v>
      </c>
      <c r="C4814" s="704" t="s">
        <v>910</v>
      </c>
      <c r="D4814" s="704" t="s">
        <v>44</v>
      </c>
      <c r="E4814" s="704" t="s">
        <v>861</v>
      </c>
      <c r="F4814" s="708"/>
      <c r="G4814" s="705">
        <v>115.67894580615162</v>
      </c>
    </row>
    <row r="4815" spans="2:7" ht="11.25" hidden="1" customHeight="1" outlineLevel="2" x14ac:dyDescent="0.25">
      <c r="B4815" s="704" t="s">
        <v>698</v>
      </c>
      <c r="C4815" s="704" t="s">
        <v>910</v>
      </c>
      <c r="D4815" s="704" t="s">
        <v>44</v>
      </c>
      <c r="E4815" s="704" t="s">
        <v>861</v>
      </c>
      <c r="F4815" s="708"/>
      <c r="G4815" s="705">
        <v>175.86544013752658</v>
      </c>
    </row>
    <row r="4816" spans="2:7" ht="11.25" hidden="1" customHeight="1" outlineLevel="2" x14ac:dyDescent="0.25">
      <c r="B4816" s="704" t="s">
        <v>699</v>
      </c>
      <c r="C4816" s="704" t="s">
        <v>910</v>
      </c>
      <c r="D4816" s="704" t="s">
        <v>44</v>
      </c>
      <c r="E4816" s="704" t="s">
        <v>861</v>
      </c>
      <c r="F4816" s="708"/>
      <c r="G4816" s="705">
        <v>1.8693729389601288E-30</v>
      </c>
    </row>
    <row r="4817" spans="2:7" ht="11.25" hidden="1" customHeight="1" outlineLevel="2" x14ac:dyDescent="0.25">
      <c r="B4817" s="704" t="s">
        <v>673</v>
      </c>
      <c r="C4817" s="704" t="s">
        <v>911</v>
      </c>
      <c r="D4817" s="704" t="s">
        <v>562</v>
      </c>
      <c r="E4817" s="704" t="s">
        <v>861</v>
      </c>
      <c r="F4817" s="708"/>
      <c r="G4817" s="705">
        <v>585.73383072857894</v>
      </c>
    </row>
    <row r="4818" spans="2:7" ht="11.25" hidden="1" customHeight="1" outlineLevel="2" x14ac:dyDescent="0.25">
      <c r="B4818" s="704" t="s">
        <v>677</v>
      </c>
      <c r="C4818" s="704" t="s">
        <v>911</v>
      </c>
      <c r="D4818" s="704" t="s">
        <v>562</v>
      </c>
      <c r="E4818" s="704" t="s">
        <v>861</v>
      </c>
      <c r="F4818" s="705">
        <v>0.17141661872200284</v>
      </c>
      <c r="G4818" s="705">
        <v>5864.7825924575491</v>
      </c>
    </row>
    <row r="4819" spans="2:7" ht="11.25" hidden="1" customHeight="1" outlineLevel="2" x14ac:dyDescent="0.25">
      <c r="B4819" s="704" t="s">
        <v>678</v>
      </c>
      <c r="C4819" s="704" t="s">
        <v>911</v>
      </c>
      <c r="D4819" s="704" t="s">
        <v>562</v>
      </c>
      <c r="E4819" s="704" t="s">
        <v>861</v>
      </c>
      <c r="F4819" s="708"/>
      <c r="G4819" s="705">
        <v>8970.713241220119</v>
      </c>
    </row>
    <row r="4820" spans="2:7" ht="11.25" hidden="1" customHeight="1" outlineLevel="2" x14ac:dyDescent="0.25">
      <c r="B4820" s="704" t="s">
        <v>679</v>
      </c>
      <c r="C4820" s="704" t="s">
        <v>911</v>
      </c>
      <c r="D4820" s="704" t="s">
        <v>562</v>
      </c>
      <c r="E4820" s="704" t="s">
        <v>861</v>
      </c>
      <c r="F4820" s="708"/>
      <c r="G4820" s="705">
        <v>329.28218213815569</v>
      </c>
    </row>
    <row r="4821" spans="2:7" ht="11.25" hidden="1" customHeight="1" outlineLevel="2" x14ac:dyDescent="0.25">
      <c r="B4821" s="704" t="s">
        <v>680</v>
      </c>
      <c r="C4821" s="704" t="s">
        <v>911</v>
      </c>
      <c r="D4821" s="704" t="s">
        <v>562</v>
      </c>
      <c r="E4821" s="704" t="s">
        <v>861</v>
      </c>
      <c r="F4821" s="708"/>
      <c r="G4821" s="705">
        <v>231.38747408109805</v>
      </c>
    </row>
    <row r="4822" spans="2:7" ht="11.25" hidden="1" customHeight="1" outlineLevel="2" x14ac:dyDescent="0.25">
      <c r="B4822" s="704" t="s">
        <v>681</v>
      </c>
      <c r="C4822" s="704" t="s">
        <v>911</v>
      </c>
      <c r="D4822" s="704" t="s">
        <v>562</v>
      </c>
      <c r="E4822" s="704" t="s">
        <v>861</v>
      </c>
      <c r="F4822" s="708"/>
      <c r="G4822" s="705">
        <v>1477.3199383849005</v>
      </c>
    </row>
    <row r="4823" spans="2:7" ht="11.25" hidden="1" customHeight="1" outlineLevel="2" x14ac:dyDescent="0.25">
      <c r="B4823" s="704" t="s">
        <v>682</v>
      </c>
      <c r="C4823" s="704" t="s">
        <v>911</v>
      </c>
      <c r="D4823" s="704" t="s">
        <v>562</v>
      </c>
      <c r="E4823" s="704" t="s">
        <v>861</v>
      </c>
      <c r="F4823" s="708"/>
      <c r="G4823" s="705">
        <v>569.56913568653567</v>
      </c>
    </row>
    <row r="4824" spans="2:7" ht="11.25" hidden="1" customHeight="1" outlineLevel="2" x14ac:dyDescent="0.25">
      <c r="B4824" s="704" t="s">
        <v>683</v>
      </c>
      <c r="C4824" s="704" t="s">
        <v>911</v>
      </c>
      <c r="D4824" s="704" t="s">
        <v>562</v>
      </c>
      <c r="E4824" s="704" t="s">
        <v>861</v>
      </c>
      <c r="F4824" s="708"/>
      <c r="G4824" s="705">
        <v>676.36349042196366</v>
      </c>
    </row>
    <row r="4825" spans="2:7" ht="11.25" hidden="1" customHeight="1" outlineLevel="2" x14ac:dyDescent="0.25">
      <c r="B4825" s="704" t="s">
        <v>684</v>
      </c>
      <c r="C4825" s="704" t="s">
        <v>911</v>
      </c>
      <c r="D4825" s="704" t="s">
        <v>562</v>
      </c>
      <c r="E4825" s="704" t="s">
        <v>861</v>
      </c>
      <c r="F4825" s="708"/>
      <c r="G4825" s="705">
        <v>418.27734181256534</v>
      </c>
    </row>
    <row r="4826" spans="2:7" ht="11.25" hidden="1" customHeight="1" outlineLevel="2" x14ac:dyDescent="0.25">
      <c r="B4826" s="704" t="s">
        <v>685</v>
      </c>
      <c r="C4826" s="704" t="s">
        <v>911</v>
      </c>
      <c r="D4826" s="704" t="s">
        <v>562</v>
      </c>
      <c r="E4826" s="704" t="s">
        <v>861</v>
      </c>
      <c r="F4826" s="708"/>
      <c r="G4826" s="705">
        <v>2082.4869279698496</v>
      </c>
    </row>
    <row r="4827" spans="2:7" ht="11.25" hidden="1" customHeight="1" outlineLevel="2" x14ac:dyDescent="0.25">
      <c r="B4827" s="704" t="s">
        <v>686</v>
      </c>
      <c r="C4827" s="704" t="s">
        <v>911</v>
      </c>
      <c r="D4827" s="704" t="s">
        <v>562</v>
      </c>
      <c r="E4827" s="704" t="s">
        <v>861</v>
      </c>
      <c r="F4827" s="708"/>
      <c r="G4827" s="705">
        <v>311.48317081668608</v>
      </c>
    </row>
    <row r="4828" spans="2:7" ht="11.25" hidden="1" customHeight="1" outlineLevel="2" x14ac:dyDescent="0.25">
      <c r="B4828" s="704" t="s">
        <v>687</v>
      </c>
      <c r="C4828" s="704" t="s">
        <v>911</v>
      </c>
      <c r="D4828" s="704" t="s">
        <v>562</v>
      </c>
      <c r="E4828" s="704" t="s">
        <v>861</v>
      </c>
      <c r="F4828" s="708"/>
      <c r="G4828" s="705">
        <v>2002.3915727239646</v>
      </c>
    </row>
    <row r="4829" spans="2:7" ht="11.25" hidden="1" customHeight="1" outlineLevel="2" x14ac:dyDescent="0.25">
      <c r="B4829" s="704" t="s">
        <v>688</v>
      </c>
      <c r="C4829" s="704" t="s">
        <v>911</v>
      </c>
      <c r="D4829" s="704" t="s">
        <v>562</v>
      </c>
      <c r="E4829" s="704" t="s">
        <v>861</v>
      </c>
      <c r="F4829" s="708"/>
      <c r="G4829" s="705">
        <v>5321.9118384811973</v>
      </c>
    </row>
    <row r="4830" spans="2:7" ht="11.25" hidden="1" customHeight="1" outlineLevel="2" x14ac:dyDescent="0.25">
      <c r="B4830" s="704" t="s">
        <v>689</v>
      </c>
      <c r="C4830" s="704" t="s">
        <v>911</v>
      </c>
      <c r="D4830" s="704" t="s">
        <v>562</v>
      </c>
      <c r="E4830" s="704" t="s">
        <v>861</v>
      </c>
      <c r="F4830" s="708"/>
      <c r="G4830" s="705">
        <v>329.48391964223151</v>
      </c>
    </row>
    <row r="4831" spans="2:7" ht="11.25" hidden="1" customHeight="1" outlineLevel="2" x14ac:dyDescent="0.25">
      <c r="B4831" s="704" t="s">
        <v>690</v>
      </c>
      <c r="C4831" s="704" t="s">
        <v>911</v>
      </c>
      <c r="D4831" s="704" t="s">
        <v>562</v>
      </c>
      <c r="E4831" s="704" t="s">
        <v>861</v>
      </c>
      <c r="F4831" s="708"/>
      <c r="G4831" s="705">
        <v>7840.4765827600477</v>
      </c>
    </row>
    <row r="4832" spans="2:7" ht="11.25" hidden="1" customHeight="1" outlineLevel="2" x14ac:dyDescent="0.25">
      <c r="B4832" s="704" t="s">
        <v>691</v>
      </c>
      <c r="C4832" s="704" t="s">
        <v>911</v>
      </c>
      <c r="D4832" s="704" t="s">
        <v>562</v>
      </c>
      <c r="E4832" s="704" t="s">
        <v>861</v>
      </c>
      <c r="F4832" s="708"/>
      <c r="G4832" s="705">
        <v>5989.3749209399357</v>
      </c>
    </row>
    <row r="4833" spans="2:7" ht="11.25" hidden="1" customHeight="1" outlineLevel="2" x14ac:dyDescent="0.25">
      <c r="B4833" s="704" t="s">
        <v>692</v>
      </c>
      <c r="C4833" s="704" t="s">
        <v>911</v>
      </c>
      <c r="D4833" s="704" t="s">
        <v>562</v>
      </c>
      <c r="E4833" s="704" t="s">
        <v>861</v>
      </c>
      <c r="F4833" s="708"/>
      <c r="G4833" s="705">
        <v>703.06191334968537</v>
      </c>
    </row>
    <row r="4834" spans="2:7" ht="11.25" hidden="1" customHeight="1" outlineLevel="2" x14ac:dyDescent="0.25">
      <c r="B4834" s="704" t="s">
        <v>693</v>
      </c>
      <c r="C4834" s="704" t="s">
        <v>911</v>
      </c>
      <c r="D4834" s="704" t="s">
        <v>562</v>
      </c>
      <c r="E4834" s="704" t="s">
        <v>861</v>
      </c>
      <c r="F4834" s="708"/>
      <c r="G4834" s="705">
        <v>320.38265623720895</v>
      </c>
    </row>
    <row r="4835" spans="2:7" ht="11.25" hidden="1" customHeight="1" outlineLevel="2" x14ac:dyDescent="0.25">
      <c r="B4835" s="704" t="s">
        <v>694</v>
      </c>
      <c r="C4835" s="704" t="s">
        <v>911</v>
      </c>
      <c r="D4835" s="704" t="s">
        <v>562</v>
      </c>
      <c r="E4835" s="704" t="s">
        <v>861</v>
      </c>
      <c r="F4835" s="708"/>
      <c r="G4835" s="705">
        <v>133.49279606888405</v>
      </c>
    </row>
    <row r="4836" spans="2:7" ht="11.25" hidden="1" customHeight="1" outlineLevel="2" x14ac:dyDescent="0.25">
      <c r="B4836" s="704" t="s">
        <v>695</v>
      </c>
      <c r="C4836" s="704" t="s">
        <v>911</v>
      </c>
      <c r="D4836" s="704" t="s">
        <v>562</v>
      </c>
      <c r="E4836" s="704" t="s">
        <v>861</v>
      </c>
      <c r="F4836" s="708"/>
      <c r="G4836" s="705">
        <v>596.26772387437336</v>
      </c>
    </row>
    <row r="4837" spans="2:7" ht="11.25" hidden="1" customHeight="1" outlineLevel="2" x14ac:dyDescent="0.25">
      <c r="B4837" s="704" t="s">
        <v>696</v>
      </c>
      <c r="C4837" s="704" t="s">
        <v>911</v>
      </c>
      <c r="D4837" s="704" t="s">
        <v>562</v>
      </c>
      <c r="E4837" s="704" t="s">
        <v>861</v>
      </c>
      <c r="F4837" s="708"/>
      <c r="G4837" s="705">
        <v>1343.8273722187325</v>
      </c>
    </row>
    <row r="4838" spans="2:7" ht="11.25" hidden="1" customHeight="1" outlineLevel="2" x14ac:dyDescent="0.25">
      <c r="B4838" s="704" t="s">
        <v>697</v>
      </c>
      <c r="C4838" s="704" t="s">
        <v>911</v>
      </c>
      <c r="D4838" s="704" t="s">
        <v>562</v>
      </c>
      <c r="E4838" s="704" t="s">
        <v>861</v>
      </c>
      <c r="F4838" s="709"/>
      <c r="G4838" s="705">
        <v>1165.8372272032475</v>
      </c>
    </row>
    <row r="4839" spans="2:7" ht="11.25" hidden="1" customHeight="1" outlineLevel="2" x14ac:dyDescent="0.25">
      <c r="B4839" s="704" t="s">
        <v>698</v>
      </c>
      <c r="C4839" s="704" t="s">
        <v>911</v>
      </c>
      <c r="D4839" s="704" t="s">
        <v>562</v>
      </c>
      <c r="E4839" s="704" t="s">
        <v>861</v>
      </c>
      <c r="F4839" s="709"/>
      <c r="G4839" s="705">
        <v>729.76053953719838</v>
      </c>
    </row>
    <row r="4840" spans="2:7" ht="11.25" hidden="1" customHeight="1" outlineLevel="2" x14ac:dyDescent="0.25">
      <c r="B4840" s="704" t="s">
        <v>699</v>
      </c>
      <c r="C4840" s="704" t="s">
        <v>911</v>
      </c>
      <c r="D4840" s="704" t="s">
        <v>562</v>
      </c>
      <c r="E4840" s="704" t="s">
        <v>861</v>
      </c>
      <c r="F4840" s="709"/>
      <c r="G4840" s="705">
        <v>5660.0941161375122</v>
      </c>
    </row>
    <row r="4841" spans="2:7" ht="11.25" hidden="1" customHeight="1" outlineLevel="2" x14ac:dyDescent="0.25">
      <c r="B4841" s="704" t="s">
        <v>673</v>
      </c>
      <c r="C4841" s="704" t="s">
        <v>912</v>
      </c>
      <c r="D4841" s="704" t="s">
        <v>562</v>
      </c>
      <c r="E4841" s="704" t="s">
        <v>861</v>
      </c>
      <c r="F4841" s="709"/>
      <c r="G4841" s="705">
        <v>136.48354666299397</v>
      </c>
    </row>
    <row r="4842" spans="2:7" ht="11.25" hidden="1" customHeight="1" outlineLevel="2" x14ac:dyDescent="0.25">
      <c r="B4842" s="704" t="s">
        <v>677</v>
      </c>
      <c r="C4842" s="704" t="s">
        <v>912</v>
      </c>
      <c r="D4842" s="704" t="s">
        <v>562</v>
      </c>
      <c r="E4842" s="704" t="s">
        <v>861</v>
      </c>
      <c r="F4842" s="706">
        <v>4.0264582391522627E-2</v>
      </c>
      <c r="G4842" s="705">
        <v>1383.7336298814432</v>
      </c>
    </row>
    <row r="4843" spans="2:7" ht="11.25" hidden="1" customHeight="1" outlineLevel="2" x14ac:dyDescent="0.25">
      <c r="B4843" s="704" t="s">
        <v>678</v>
      </c>
      <c r="C4843" s="704" t="s">
        <v>912</v>
      </c>
      <c r="D4843" s="704" t="s">
        <v>562</v>
      </c>
      <c r="E4843" s="704" t="s">
        <v>861</v>
      </c>
      <c r="F4843" s="709"/>
      <c r="G4843" s="705">
        <v>2116.5447755703744</v>
      </c>
    </row>
    <row r="4844" spans="2:7" ht="11.25" hidden="1" customHeight="1" outlineLevel="2" x14ac:dyDescent="0.25">
      <c r="B4844" s="704" t="s">
        <v>679</v>
      </c>
      <c r="C4844" s="704" t="s">
        <v>912</v>
      </c>
      <c r="D4844" s="704" t="s">
        <v>562</v>
      </c>
      <c r="E4844" s="704" t="s">
        <v>861</v>
      </c>
      <c r="F4844" s="709"/>
      <c r="G4844" s="705">
        <v>77.690621510703807</v>
      </c>
    </row>
    <row r="4845" spans="2:7" ht="11.25" hidden="1" customHeight="1" outlineLevel="2" x14ac:dyDescent="0.25">
      <c r="B4845" s="704" t="s">
        <v>680</v>
      </c>
      <c r="C4845" s="704" t="s">
        <v>912</v>
      </c>
      <c r="D4845" s="704" t="s">
        <v>562</v>
      </c>
      <c r="E4845" s="704" t="s">
        <v>861</v>
      </c>
      <c r="F4845" s="708"/>
      <c r="G4845" s="705">
        <v>54.593418688270759</v>
      </c>
    </row>
    <row r="4846" spans="2:7" ht="11.25" hidden="1" customHeight="1" outlineLevel="2" x14ac:dyDescent="0.25">
      <c r="B4846" s="704" t="s">
        <v>681</v>
      </c>
      <c r="C4846" s="704" t="s">
        <v>912</v>
      </c>
      <c r="D4846" s="704" t="s">
        <v>562</v>
      </c>
      <c r="E4846" s="704" t="s">
        <v>861</v>
      </c>
      <c r="F4846" s="708"/>
      <c r="G4846" s="705">
        <v>348.55792747647604</v>
      </c>
    </row>
    <row r="4847" spans="2:7" ht="11.25" hidden="1" customHeight="1" outlineLevel="2" x14ac:dyDescent="0.25">
      <c r="B4847" s="704" t="s">
        <v>682</v>
      </c>
      <c r="C4847" s="704" t="s">
        <v>912</v>
      </c>
      <c r="D4847" s="704" t="s">
        <v>562</v>
      </c>
      <c r="E4847" s="704" t="s">
        <v>861</v>
      </c>
      <c r="F4847" s="708"/>
      <c r="G4847" s="705">
        <v>134.38378850828261</v>
      </c>
    </row>
    <row r="4848" spans="2:7" ht="11.25" hidden="1" customHeight="1" outlineLevel="2" x14ac:dyDescent="0.25">
      <c r="B4848" s="704" t="s">
        <v>683</v>
      </c>
      <c r="C4848" s="704" t="s">
        <v>912</v>
      </c>
      <c r="D4848" s="704" t="s">
        <v>562</v>
      </c>
      <c r="E4848" s="704" t="s">
        <v>861</v>
      </c>
      <c r="F4848" s="709"/>
      <c r="G4848" s="705">
        <v>159.58069513023406</v>
      </c>
    </row>
    <row r="4849" spans="2:7" ht="11.25" hidden="1" customHeight="1" outlineLevel="2" x14ac:dyDescent="0.25">
      <c r="B4849" s="704" t="s">
        <v>684</v>
      </c>
      <c r="C4849" s="704" t="s">
        <v>912</v>
      </c>
      <c r="D4849" s="704" t="s">
        <v>562</v>
      </c>
      <c r="E4849" s="704" t="s">
        <v>861</v>
      </c>
      <c r="F4849" s="708"/>
      <c r="G4849" s="705">
        <v>98.68811954218009</v>
      </c>
    </row>
    <row r="4850" spans="2:7" ht="11.25" hidden="1" customHeight="1" outlineLevel="2" x14ac:dyDescent="0.25">
      <c r="B4850" s="704" t="s">
        <v>685</v>
      </c>
      <c r="C4850" s="704" t="s">
        <v>912</v>
      </c>
      <c r="D4850" s="704" t="s">
        <v>562</v>
      </c>
      <c r="E4850" s="704" t="s">
        <v>861</v>
      </c>
      <c r="F4850" s="708"/>
      <c r="G4850" s="705">
        <v>491.3408042023928</v>
      </c>
    </row>
    <row r="4851" spans="2:7" ht="11.25" hidden="1" customHeight="1" outlineLevel="2" x14ac:dyDescent="0.25">
      <c r="B4851" s="704" t="s">
        <v>686</v>
      </c>
      <c r="C4851" s="704" t="s">
        <v>912</v>
      </c>
      <c r="D4851" s="704" t="s">
        <v>562</v>
      </c>
      <c r="E4851" s="704" t="s">
        <v>861</v>
      </c>
      <c r="F4851" s="709"/>
      <c r="G4851" s="705">
        <v>73.491148968531419</v>
      </c>
    </row>
    <row r="4852" spans="2:7" ht="11.25" hidden="1" customHeight="1" outlineLevel="2" x14ac:dyDescent="0.25">
      <c r="B4852" s="704" t="s">
        <v>687</v>
      </c>
      <c r="C4852" s="704" t="s">
        <v>912</v>
      </c>
      <c r="D4852" s="704" t="s">
        <v>562</v>
      </c>
      <c r="E4852" s="704" t="s">
        <v>861</v>
      </c>
      <c r="F4852" s="708"/>
      <c r="G4852" s="705">
        <v>472.44289235975748</v>
      </c>
    </row>
    <row r="4853" spans="2:7" ht="11.25" hidden="1" customHeight="1" outlineLevel="2" x14ac:dyDescent="0.25">
      <c r="B4853" s="704" t="s">
        <v>688</v>
      </c>
      <c r="C4853" s="704" t="s">
        <v>912</v>
      </c>
      <c r="D4853" s="704" t="s">
        <v>562</v>
      </c>
      <c r="E4853" s="704" t="s">
        <v>861</v>
      </c>
      <c r="F4853" s="708"/>
      <c r="G4853" s="705">
        <v>1255.6486070370242</v>
      </c>
    </row>
    <row r="4854" spans="2:7" ht="11.25" hidden="1" customHeight="1" outlineLevel="2" x14ac:dyDescent="0.25">
      <c r="B4854" s="704" t="s">
        <v>689</v>
      </c>
      <c r="C4854" s="704" t="s">
        <v>912</v>
      </c>
      <c r="D4854" s="704" t="s">
        <v>562</v>
      </c>
      <c r="E4854" s="704" t="s">
        <v>861</v>
      </c>
      <c r="F4854" s="708"/>
      <c r="G4854" s="705">
        <v>77.738245769101965</v>
      </c>
    </row>
    <row r="4855" spans="2:7" ht="11.25" hidden="1" customHeight="1" outlineLevel="2" x14ac:dyDescent="0.25">
      <c r="B4855" s="704" t="s">
        <v>690</v>
      </c>
      <c r="C4855" s="704" t="s">
        <v>912</v>
      </c>
      <c r="D4855" s="704" t="s">
        <v>562</v>
      </c>
      <c r="E4855" s="704" t="s">
        <v>861</v>
      </c>
      <c r="F4855" s="709"/>
      <c r="G4855" s="705">
        <v>1849.8767335004391</v>
      </c>
    </row>
    <row r="4856" spans="2:7" ht="11.25" hidden="1" customHeight="1" outlineLevel="2" x14ac:dyDescent="0.25">
      <c r="B4856" s="704" t="s">
        <v>691</v>
      </c>
      <c r="C4856" s="704" t="s">
        <v>912</v>
      </c>
      <c r="D4856" s="704" t="s">
        <v>562</v>
      </c>
      <c r="E4856" s="704" t="s">
        <v>861</v>
      </c>
      <c r="F4856" s="709"/>
      <c r="G4856" s="705">
        <v>1413.1296793462102</v>
      </c>
    </row>
    <row r="4857" spans="2:7" ht="11.25" hidden="1" customHeight="1" outlineLevel="2" x14ac:dyDescent="0.25">
      <c r="B4857" s="704" t="s">
        <v>692</v>
      </c>
      <c r="C4857" s="704" t="s">
        <v>912</v>
      </c>
      <c r="D4857" s="704" t="s">
        <v>562</v>
      </c>
      <c r="E4857" s="704" t="s">
        <v>861</v>
      </c>
      <c r="F4857" s="709"/>
      <c r="G4857" s="705">
        <v>165.87999447565525</v>
      </c>
    </row>
    <row r="4858" spans="2:7" ht="11.25" hidden="1" customHeight="1" outlineLevel="2" x14ac:dyDescent="0.25">
      <c r="B4858" s="704" t="s">
        <v>693</v>
      </c>
      <c r="C4858" s="704" t="s">
        <v>912</v>
      </c>
      <c r="D4858" s="704" t="s">
        <v>562</v>
      </c>
      <c r="E4858" s="704" t="s">
        <v>861</v>
      </c>
      <c r="F4858" s="708"/>
      <c r="G4858" s="705">
        <v>75.590882048864742</v>
      </c>
    </row>
    <row r="4859" spans="2:7" ht="11.25" hidden="1" customHeight="1" outlineLevel="2" x14ac:dyDescent="0.25">
      <c r="B4859" s="704" t="s">
        <v>694</v>
      </c>
      <c r="C4859" s="704" t="s">
        <v>912</v>
      </c>
      <c r="D4859" s="704" t="s">
        <v>562</v>
      </c>
      <c r="E4859" s="704" t="s">
        <v>861</v>
      </c>
      <c r="F4859" s="708"/>
      <c r="G4859" s="705">
        <v>31.496196819563494</v>
      </c>
    </row>
    <row r="4860" spans="2:7" ht="11.25" hidden="1" customHeight="1" outlineLevel="2" x14ac:dyDescent="0.25">
      <c r="B4860" s="704" t="s">
        <v>695</v>
      </c>
      <c r="C4860" s="704" t="s">
        <v>912</v>
      </c>
      <c r="D4860" s="704" t="s">
        <v>562</v>
      </c>
      <c r="E4860" s="704" t="s">
        <v>861</v>
      </c>
      <c r="F4860" s="708"/>
      <c r="G4860" s="705">
        <v>140.68301668912616</v>
      </c>
    </row>
    <row r="4861" spans="2:7" ht="11.25" hidden="1" customHeight="1" outlineLevel="2" x14ac:dyDescent="0.25">
      <c r="B4861" s="704" t="s">
        <v>696</v>
      </c>
      <c r="C4861" s="704" t="s">
        <v>912</v>
      </c>
      <c r="D4861" s="704" t="s">
        <v>562</v>
      </c>
      <c r="E4861" s="704" t="s">
        <v>861</v>
      </c>
      <c r="F4861" s="708"/>
      <c r="G4861" s="705">
        <v>317.06175137997491</v>
      </c>
    </row>
    <row r="4862" spans="2:7" ht="11.25" hidden="1" customHeight="1" outlineLevel="2" x14ac:dyDescent="0.25">
      <c r="B4862" s="704" t="s">
        <v>697</v>
      </c>
      <c r="C4862" s="704" t="s">
        <v>912</v>
      </c>
      <c r="D4862" s="704" t="s">
        <v>562</v>
      </c>
      <c r="E4862" s="704" t="s">
        <v>861</v>
      </c>
      <c r="F4862" s="708"/>
      <c r="G4862" s="705">
        <v>275.06681161823451</v>
      </c>
    </row>
    <row r="4863" spans="2:7" ht="11.25" hidden="1" customHeight="1" outlineLevel="2" x14ac:dyDescent="0.25">
      <c r="B4863" s="704" t="s">
        <v>698</v>
      </c>
      <c r="C4863" s="704" t="s">
        <v>912</v>
      </c>
      <c r="D4863" s="704" t="s">
        <v>562</v>
      </c>
      <c r="E4863" s="704" t="s">
        <v>861</v>
      </c>
      <c r="F4863" s="708"/>
      <c r="G4863" s="705">
        <v>172.17924993111362</v>
      </c>
    </row>
    <row r="4864" spans="2:7" ht="11.25" hidden="1" customHeight="1" outlineLevel="2" x14ac:dyDescent="0.25">
      <c r="B4864" s="704" t="s">
        <v>699</v>
      </c>
      <c r="C4864" s="704" t="s">
        <v>912</v>
      </c>
      <c r="D4864" s="704" t="s">
        <v>562</v>
      </c>
      <c r="E4864" s="704" t="s">
        <v>861</v>
      </c>
      <c r="F4864" s="708"/>
      <c r="G4864" s="705">
        <v>1335.4392876193074</v>
      </c>
    </row>
    <row r="4865" spans="2:7" ht="11.25" hidden="1" customHeight="1" outlineLevel="2" x14ac:dyDescent="0.25">
      <c r="B4865" s="704" t="s">
        <v>673</v>
      </c>
      <c r="C4865" s="704" t="s">
        <v>913</v>
      </c>
      <c r="D4865" s="704" t="s">
        <v>562</v>
      </c>
      <c r="E4865" s="704" t="s">
        <v>861</v>
      </c>
      <c r="F4865" s="708"/>
      <c r="G4865" s="705">
        <v>378.68888805363827</v>
      </c>
    </row>
    <row r="4866" spans="2:7" ht="11.25" hidden="1" customHeight="1" outlineLevel="2" x14ac:dyDescent="0.25">
      <c r="B4866" s="704" t="s">
        <v>677</v>
      </c>
      <c r="C4866" s="704" t="s">
        <v>913</v>
      </c>
      <c r="D4866" s="704" t="s">
        <v>562</v>
      </c>
      <c r="E4866" s="704" t="s">
        <v>861</v>
      </c>
      <c r="F4866" s="705">
        <v>0.12299801942185914</v>
      </c>
      <c r="G4866" s="705">
        <v>3839.3247121136696</v>
      </c>
    </row>
    <row r="4867" spans="2:7" ht="11.25" hidden="1" customHeight="1" outlineLevel="2" x14ac:dyDescent="0.25">
      <c r="B4867" s="704" t="s">
        <v>678</v>
      </c>
      <c r="C4867" s="704" t="s">
        <v>913</v>
      </c>
      <c r="D4867" s="704" t="s">
        <v>562</v>
      </c>
      <c r="E4867" s="704" t="s">
        <v>861</v>
      </c>
      <c r="F4867" s="708"/>
      <c r="G4867" s="705">
        <v>5872.5924607387506</v>
      </c>
    </row>
    <row r="4868" spans="2:7" ht="11.25" hidden="1" customHeight="1" outlineLevel="2" x14ac:dyDescent="0.25">
      <c r="B4868" s="704" t="s">
        <v>679</v>
      </c>
      <c r="C4868" s="704" t="s">
        <v>913</v>
      </c>
      <c r="D4868" s="704" t="s">
        <v>562</v>
      </c>
      <c r="E4868" s="704" t="s">
        <v>861</v>
      </c>
      <c r="F4868" s="708"/>
      <c r="G4868" s="705">
        <v>215.56146089660345</v>
      </c>
    </row>
    <row r="4869" spans="2:7" ht="11.25" hidden="1" customHeight="1" outlineLevel="2" x14ac:dyDescent="0.25">
      <c r="B4869" s="704" t="s">
        <v>680</v>
      </c>
      <c r="C4869" s="704" t="s">
        <v>913</v>
      </c>
      <c r="D4869" s="704" t="s">
        <v>562</v>
      </c>
      <c r="E4869" s="704" t="s">
        <v>861</v>
      </c>
      <c r="F4869" s="709"/>
      <c r="G4869" s="705">
        <v>151.47563042406236</v>
      </c>
    </row>
    <row r="4870" spans="2:7" ht="11.25" hidden="1" customHeight="1" outlineLevel="2" x14ac:dyDescent="0.25">
      <c r="B4870" s="704" t="s">
        <v>681</v>
      </c>
      <c r="C4870" s="704" t="s">
        <v>913</v>
      </c>
      <c r="D4870" s="704" t="s">
        <v>562</v>
      </c>
      <c r="E4870" s="704" t="s">
        <v>861</v>
      </c>
      <c r="F4870" s="709"/>
      <c r="G4870" s="705">
        <v>967.11340291623799</v>
      </c>
    </row>
    <row r="4871" spans="2:7" ht="11.25" hidden="1" customHeight="1" outlineLevel="2" x14ac:dyDescent="0.25">
      <c r="B4871" s="704" t="s">
        <v>682</v>
      </c>
      <c r="C4871" s="704" t="s">
        <v>913</v>
      </c>
      <c r="D4871" s="704" t="s">
        <v>562</v>
      </c>
      <c r="E4871" s="704" t="s">
        <v>861</v>
      </c>
      <c r="F4871" s="708"/>
      <c r="G4871" s="705">
        <v>372.86296930752854</v>
      </c>
    </row>
    <row r="4872" spans="2:7" ht="11.25" hidden="1" customHeight="1" outlineLevel="2" x14ac:dyDescent="0.25">
      <c r="B4872" s="704" t="s">
        <v>683</v>
      </c>
      <c r="C4872" s="704" t="s">
        <v>913</v>
      </c>
      <c r="D4872" s="704" t="s">
        <v>562</v>
      </c>
      <c r="E4872" s="704" t="s">
        <v>861</v>
      </c>
      <c r="F4872" s="708"/>
      <c r="G4872" s="705">
        <v>442.77495823612981</v>
      </c>
    </row>
    <row r="4873" spans="2:7" ht="11.25" hidden="1" customHeight="1" outlineLevel="2" x14ac:dyDescent="0.25">
      <c r="B4873" s="704" t="s">
        <v>684</v>
      </c>
      <c r="C4873" s="704" t="s">
        <v>913</v>
      </c>
      <c r="D4873" s="704" t="s">
        <v>562</v>
      </c>
      <c r="E4873" s="704" t="s">
        <v>861</v>
      </c>
      <c r="F4873" s="708"/>
      <c r="G4873" s="705">
        <v>273.82127446328212</v>
      </c>
    </row>
    <row r="4874" spans="2:7" ht="11.25" hidden="1" customHeight="1" outlineLevel="2" x14ac:dyDescent="0.25">
      <c r="B4874" s="704" t="s">
        <v>685</v>
      </c>
      <c r="C4874" s="704" t="s">
        <v>913</v>
      </c>
      <c r="D4874" s="704" t="s">
        <v>562</v>
      </c>
      <c r="E4874" s="704" t="s">
        <v>861</v>
      </c>
      <c r="F4874" s="708"/>
      <c r="G4874" s="705">
        <v>1363.280257736601</v>
      </c>
    </row>
    <row r="4875" spans="2:7" ht="11.25" hidden="1" customHeight="1" outlineLevel="2" x14ac:dyDescent="0.25">
      <c r="B4875" s="704" t="s">
        <v>686</v>
      </c>
      <c r="C4875" s="704" t="s">
        <v>913</v>
      </c>
      <c r="D4875" s="704" t="s">
        <v>562</v>
      </c>
      <c r="E4875" s="704" t="s">
        <v>861</v>
      </c>
      <c r="F4875" s="708"/>
      <c r="G4875" s="705">
        <v>203.90948627354223</v>
      </c>
    </row>
    <row r="4876" spans="2:7" ht="11.25" hidden="1" customHeight="1" outlineLevel="2" x14ac:dyDescent="0.25">
      <c r="B4876" s="704" t="s">
        <v>687</v>
      </c>
      <c r="C4876" s="704" t="s">
        <v>913</v>
      </c>
      <c r="D4876" s="704" t="s">
        <v>562</v>
      </c>
      <c r="E4876" s="704" t="s">
        <v>861</v>
      </c>
      <c r="F4876" s="708"/>
      <c r="G4876" s="705">
        <v>1310.846653498279</v>
      </c>
    </row>
    <row r="4877" spans="2:7" ht="11.25" hidden="1" customHeight="1" outlineLevel="2" x14ac:dyDescent="0.25">
      <c r="B4877" s="704" t="s">
        <v>688</v>
      </c>
      <c r="C4877" s="704" t="s">
        <v>913</v>
      </c>
      <c r="D4877" s="704" t="s">
        <v>562</v>
      </c>
      <c r="E4877" s="704" t="s">
        <v>861</v>
      </c>
      <c r="F4877" s="708"/>
      <c r="G4877" s="705">
        <v>3483.9394782910499</v>
      </c>
    </row>
    <row r="4878" spans="2:7" ht="11.25" hidden="1" customHeight="1" outlineLevel="2" x14ac:dyDescent="0.25">
      <c r="B4878" s="704" t="s">
        <v>689</v>
      </c>
      <c r="C4878" s="704" t="s">
        <v>913</v>
      </c>
      <c r="D4878" s="704" t="s">
        <v>562</v>
      </c>
      <c r="E4878" s="704" t="s">
        <v>861</v>
      </c>
      <c r="F4878" s="708"/>
      <c r="G4878" s="705">
        <v>215.69354665665585</v>
      </c>
    </row>
    <row r="4879" spans="2:7" ht="11.25" hidden="1" customHeight="1" outlineLevel="2" x14ac:dyDescent="0.25">
      <c r="B4879" s="704" t="s">
        <v>690</v>
      </c>
      <c r="C4879" s="704" t="s">
        <v>913</v>
      </c>
      <c r="D4879" s="704" t="s">
        <v>562</v>
      </c>
      <c r="E4879" s="704" t="s">
        <v>861</v>
      </c>
      <c r="F4879" s="708"/>
      <c r="G4879" s="705">
        <v>5132.6925078705981</v>
      </c>
    </row>
    <row r="4880" spans="2:7" ht="11.25" hidden="1" customHeight="1" outlineLevel="2" x14ac:dyDescent="0.25">
      <c r="B4880" s="704" t="s">
        <v>691</v>
      </c>
      <c r="C4880" s="704" t="s">
        <v>913</v>
      </c>
      <c r="D4880" s="704" t="s">
        <v>562</v>
      </c>
      <c r="E4880" s="704" t="s">
        <v>861</v>
      </c>
      <c r="F4880" s="708"/>
      <c r="G4880" s="705">
        <v>3920.8877081330338</v>
      </c>
    </row>
    <row r="4881" spans="2:7" ht="11.25" hidden="1" customHeight="1" outlineLevel="2" x14ac:dyDescent="0.25">
      <c r="B4881" s="704" t="s">
        <v>692</v>
      </c>
      <c r="C4881" s="704" t="s">
        <v>913</v>
      </c>
      <c r="D4881" s="704" t="s">
        <v>562</v>
      </c>
      <c r="E4881" s="704" t="s">
        <v>861</v>
      </c>
      <c r="F4881" s="708"/>
      <c r="G4881" s="705">
        <v>460.25289164395497</v>
      </c>
    </row>
    <row r="4882" spans="2:7" ht="11.25" hidden="1" customHeight="1" outlineLevel="2" x14ac:dyDescent="0.25">
      <c r="B4882" s="704" t="s">
        <v>693</v>
      </c>
      <c r="C4882" s="704" t="s">
        <v>913</v>
      </c>
      <c r="D4882" s="704" t="s">
        <v>562</v>
      </c>
      <c r="E4882" s="704" t="s">
        <v>861</v>
      </c>
      <c r="F4882" s="708"/>
      <c r="G4882" s="705">
        <v>209.73545299563699</v>
      </c>
    </row>
    <row r="4883" spans="2:7" ht="11.25" hidden="1" customHeight="1" outlineLevel="2" x14ac:dyDescent="0.25">
      <c r="B4883" s="704" t="s">
        <v>694</v>
      </c>
      <c r="C4883" s="704" t="s">
        <v>913</v>
      </c>
      <c r="D4883" s="704" t="s">
        <v>562</v>
      </c>
      <c r="E4883" s="704" t="s">
        <v>861</v>
      </c>
      <c r="F4883" s="708"/>
      <c r="G4883" s="705">
        <v>87.38973520673801</v>
      </c>
    </row>
    <row r="4884" spans="2:7" ht="11.25" hidden="1" customHeight="1" outlineLevel="2" x14ac:dyDescent="0.25">
      <c r="B4884" s="704" t="s">
        <v>695</v>
      </c>
      <c r="C4884" s="704" t="s">
        <v>913</v>
      </c>
      <c r="D4884" s="704" t="s">
        <v>562</v>
      </c>
      <c r="E4884" s="704" t="s">
        <v>861</v>
      </c>
      <c r="F4884" s="708"/>
      <c r="G4884" s="705">
        <v>390.3409745847236</v>
      </c>
    </row>
    <row r="4885" spans="2:7" ht="11.25" hidden="1" customHeight="1" outlineLevel="2" x14ac:dyDescent="0.25">
      <c r="B4885" s="704" t="s">
        <v>696</v>
      </c>
      <c r="C4885" s="704" t="s">
        <v>913</v>
      </c>
      <c r="D4885" s="704" t="s">
        <v>562</v>
      </c>
      <c r="E4885" s="704" t="s">
        <v>861</v>
      </c>
      <c r="F4885" s="708"/>
      <c r="G4885" s="705">
        <v>879.72374165275039</v>
      </c>
    </row>
    <row r="4886" spans="2:7" ht="11.25" hidden="1" customHeight="1" outlineLevel="2" x14ac:dyDescent="0.25">
      <c r="B4886" s="704" t="s">
        <v>697</v>
      </c>
      <c r="C4886" s="704" t="s">
        <v>913</v>
      </c>
      <c r="D4886" s="704" t="s">
        <v>562</v>
      </c>
      <c r="E4886" s="704" t="s">
        <v>861</v>
      </c>
      <c r="F4886" s="709"/>
      <c r="G4886" s="705">
        <v>763.20409956412709</v>
      </c>
    </row>
    <row r="4887" spans="2:7" ht="11.25" hidden="1" customHeight="1" outlineLevel="2" x14ac:dyDescent="0.25">
      <c r="B4887" s="704" t="s">
        <v>698</v>
      </c>
      <c r="C4887" s="704" t="s">
        <v>913</v>
      </c>
      <c r="D4887" s="704" t="s">
        <v>562</v>
      </c>
      <c r="E4887" s="704" t="s">
        <v>861</v>
      </c>
      <c r="F4887" s="709"/>
      <c r="G4887" s="705">
        <v>477.73093688658491</v>
      </c>
    </row>
    <row r="4888" spans="2:7" ht="11.25" hidden="1" customHeight="1" outlineLevel="2" x14ac:dyDescent="0.25">
      <c r="B4888" s="704" t="s">
        <v>699</v>
      </c>
      <c r="C4888" s="704" t="s">
        <v>913</v>
      </c>
      <c r="D4888" s="704" t="s">
        <v>562</v>
      </c>
      <c r="E4888" s="704" t="s">
        <v>861</v>
      </c>
      <c r="F4888" s="709"/>
      <c r="G4888" s="705">
        <v>3705.326617768555</v>
      </c>
    </row>
    <row r="4889" spans="2:7" ht="11.25" hidden="1" customHeight="1" outlineLevel="2" x14ac:dyDescent="0.25">
      <c r="B4889" s="704" t="s">
        <v>673</v>
      </c>
      <c r="C4889" s="704" t="s">
        <v>914</v>
      </c>
      <c r="D4889" s="704" t="s">
        <v>562</v>
      </c>
      <c r="E4889" s="704" t="s">
        <v>861</v>
      </c>
      <c r="F4889" s="709"/>
      <c r="G4889" s="705">
        <v>192.28596424197795</v>
      </c>
    </row>
    <row r="4890" spans="2:7" ht="11.25" hidden="1" customHeight="1" outlineLevel="2" x14ac:dyDescent="0.25">
      <c r="B4890" s="704" t="s">
        <v>677</v>
      </c>
      <c r="C4890" s="704" t="s">
        <v>914</v>
      </c>
      <c r="D4890" s="704" t="s">
        <v>562</v>
      </c>
      <c r="E4890" s="704" t="s">
        <v>861</v>
      </c>
      <c r="F4890" s="706">
        <v>8.7448058575009827E-2</v>
      </c>
      <c r="G4890" s="705">
        <v>1949.4837018132544</v>
      </c>
    </row>
    <row r="4891" spans="2:7" ht="11.25" hidden="1" customHeight="1" outlineLevel="2" x14ac:dyDescent="0.25">
      <c r="B4891" s="704" t="s">
        <v>678</v>
      </c>
      <c r="C4891" s="704" t="s">
        <v>914</v>
      </c>
      <c r="D4891" s="704" t="s">
        <v>562</v>
      </c>
      <c r="E4891" s="704" t="s">
        <v>861</v>
      </c>
      <c r="F4891" s="709"/>
      <c r="G4891" s="705">
        <v>2981.9112184965397</v>
      </c>
    </row>
    <row r="4892" spans="2:7" ht="11.25" hidden="1" customHeight="1" outlineLevel="2" x14ac:dyDescent="0.25">
      <c r="B4892" s="704" t="s">
        <v>679</v>
      </c>
      <c r="C4892" s="704" t="s">
        <v>914</v>
      </c>
      <c r="D4892" s="704" t="s">
        <v>562</v>
      </c>
      <c r="E4892" s="704" t="s">
        <v>861</v>
      </c>
      <c r="F4892" s="709"/>
      <c r="G4892" s="705">
        <v>109.45511104844792</v>
      </c>
    </row>
    <row r="4893" spans="2:7" ht="11.25" hidden="1" customHeight="1" outlineLevel="2" x14ac:dyDescent="0.25">
      <c r="B4893" s="704" t="s">
        <v>680</v>
      </c>
      <c r="C4893" s="704" t="s">
        <v>914</v>
      </c>
      <c r="D4893" s="704" t="s">
        <v>562</v>
      </c>
      <c r="E4893" s="704" t="s">
        <v>861</v>
      </c>
      <c r="F4893" s="709"/>
      <c r="G4893" s="705">
        <v>76.914414292915538</v>
      </c>
    </row>
    <row r="4894" spans="2:7" ht="11.25" hidden="1" customHeight="1" outlineLevel="2" x14ac:dyDescent="0.25">
      <c r="B4894" s="704" t="s">
        <v>681</v>
      </c>
      <c r="C4894" s="704" t="s">
        <v>914</v>
      </c>
      <c r="D4894" s="704" t="s">
        <v>562</v>
      </c>
      <c r="E4894" s="704" t="s">
        <v>861</v>
      </c>
      <c r="F4894" s="709"/>
      <c r="G4894" s="705">
        <v>491.06871590513663</v>
      </c>
    </row>
    <row r="4895" spans="2:7" ht="11.25" hidden="1" customHeight="1" outlineLevel="2" x14ac:dyDescent="0.25">
      <c r="B4895" s="704" t="s">
        <v>682</v>
      </c>
      <c r="C4895" s="704" t="s">
        <v>914</v>
      </c>
      <c r="D4895" s="704" t="s">
        <v>562</v>
      </c>
      <c r="E4895" s="704" t="s">
        <v>861</v>
      </c>
      <c r="F4895" s="709"/>
      <c r="G4895" s="705">
        <v>189.327740445486</v>
      </c>
    </row>
    <row r="4896" spans="2:7" ht="11.25" hidden="1" customHeight="1" outlineLevel="2" x14ac:dyDescent="0.25">
      <c r="B4896" s="704" t="s">
        <v>683</v>
      </c>
      <c r="C4896" s="704" t="s">
        <v>914</v>
      </c>
      <c r="D4896" s="704" t="s">
        <v>562</v>
      </c>
      <c r="E4896" s="704" t="s">
        <v>861</v>
      </c>
      <c r="F4896" s="708"/>
      <c r="G4896" s="705">
        <v>224.82668286322004</v>
      </c>
    </row>
    <row r="4897" spans="2:7" ht="11.25" hidden="1" customHeight="1" outlineLevel="2" x14ac:dyDescent="0.25">
      <c r="B4897" s="704" t="s">
        <v>684</v>
      </c>
      <c r="C4897" s="704" t="s">
        <v>914</v>
      </c>
      <c r="D4897" s="704" t="s">
        <v>562</v>
      </c>
      <c r="E4897" s="704" t="s">
        <v>861</v>
      </c>
      <c r="F4897" s="708"/>
      <c r="G4897" s="705">
        <v>139.03752008417314</v>
      </c>
    </row>
    <row r="4898" spans="2:7" ht="11.25" hidden="1" customHeight="1" outlineLevel="2" x14ac:dyDescent="0.25">
      <c r="B4898" s="704" t="s">
        <v>685</v>
      </c>
      <c r="C4898" s="704" t="s">
        <v>914</v>
      </c>
      <c r="D4898" s="704" t="s">
        <v>562</v>
      </c>
      <c r="E4898" s="704" t="s">
        <v>861</v>
      </c>
      <c r="F4898" s="709"/>
      <c r="G4898" s="705">
        <v>692.22962385077051</v>
      </c>
    </row>
    <row r="4899" spans="2:7" ht="11.25" hidden="1" customHeight="1" outlineLevel="2" x14ac:dyDescent="0.25">
      <c r="B4899" s="704" t="s">
        <v>686</v>
      </c>
      <c r="C4899" s="704" t="s">
        <v>914</v>
      </c>
      <c r="D4899" s="704" t="s">
        <v>562</v>
      </c>
      <c r="E4899" s="704" t="s">
        <v>861</v>
      </c>
      <c r="F4899" s="708"/>
      <c r="G4899" s="705">
        <v>103.53859250606941</v>
      </c>
    </row>
    <row r="4900" spans="2:7" ht="11.25" hidden="1" customHeight="1" outlineLevel="2" x14ac:dyDescent="0.25">
      <c r="B4900" s="704" t="s">
        <v>687</v>
      </c>
      <c r="C4900" s="704" t="s">
        <v>914</v>
      </c>
      <c r="D4900" s="704" t="s">
        <v>562</v>
      </c>
      <c r="E4900" s="704" t="s">
        <v>861</v>
      </c>
      <c r="F4900" s="708"/>
      <c r="G4900" s="705">
        <v>665.60550651228209</v>
      </c>
    </row>
    <row r="4901" spans="2:7" ht="11.25" hidden="1" customHeight="1" outlineLevel="2" x14ac:dyDescent="0.25">
      <c r="B4901" s="704" t="s">
        <v>688</v>
      </c>
      <c r="C4901" s="704" t="s">
        <v>914</v>
      </c>
      <c r="D4901" s="704" t="s">
        <v>562</v>
      </c>
      <c r="E4901" s="704" t="s">
        <v>861</v>
      </c>
      <c r="F4901" s="708"/>
      <c r="G4901" s="705">
        <v>1769.0311974163974</v>
      </c>
    </row>
    <row r="4902" spans="2:7" ht="11.25" hidden="1" customHeight="1" outlineLevel="2" x14ac:dyDescent="0.25">
      <c r="B4902" s="704" t="s">
        <v>689</v>
      </c>
      <c r="C4902" s="704" t="s">
        <v>914</v>
      </c>
      <c r="D4902" s="704" t="s">
        <v>562</v>
      </c>
      <c r="E4902" s="704" t="s">
        <v>861</v>
      </c>
      <c r="F4902" s="708"/>
      <c r="G4902" s="705">
        <v>109.52217700691291</v>
      </c>
    </row>
    <row r="4903" spans="2:7" ht="11.25" hidden="1" customHeight="1" outlineLevel="2" x14ac:dyDescent="0.25">
      <c r="B4903" s="704" t="s">
        <v>690</v>
      </c>
      <c r="C4903" s="704" t="s">
        <v>914</v>
      </c>
      <c r="D4903" s="704" t="s">
        <v>562</v>
      </c>
      <c r="E4903" s="704" t="s">
        <v>861</v>
      </c>
      <c r="F4903" s="708"/>
      <c r="G4903" s="705">
        <v>2606.2144858817987</v>
      </c>
    </row>
    <row r="4904" spans="2:7" ht="11.25" hidden="1" customHeight="1" outlineLevel="2" x14ac:dyDescent="0.25">
      <c r="B4904" s="704" t="s">
        <v>691</v>
      </c>
      <c r="C4904" s="704" t="s">
        <v>914</v>
      </c>
      <c r="D4904" s="704" t="s">
        <v>562</v>
      </c>
      <c r="E4904" s="704" t="s">
        <v>861</v>
      </c>
      <c r="F4904" s="708"/>
      <c r="G4904" s="705">
        <v>1990.8990980372341</v>
      </c>
    </row>
    <row r="4905" spans="2:7" ht="11.25" hidden="1" customHeight="1" outlineLevel="2" x14ac:dyDescent="0.25">
      <c r="B4905" s="704" t="s">
        <v>692</v>
      </c>
      <c r="C4905" s="704" t="s">
        <v>914</v>
      </c>
      <c r="D4905" s="704" t="s">
        <v>562</v>
      </c>
      <c r="E4905" s="704" t="s">
        <v>861</v>
      </c>
      <c r="F4905" s="708"/>
      <c r="G4905" s="705">
        <v>233.7013781967953</v>
      </c>
    </row>
    <row r="4906" spans="2:7" ht="11.25" hidden="1" customHeight="1" outlineLevel="2" x14ac:dyDescent="0.25">
      <c r="B4906" s="704" t="s">
        <v>693</v>
      </c>
      <c r="C4906" s="704" t="s">
        <v>914</v>
      </c>
      <c r="D4906" s="704" t="s">
        <v>562</v>
      </c>
      <c r="E4906" s="704" t="s">
        <v>861</v>
      </c>
      <c r="F4906" s="708"/>
      <c r="G4906" s="705">
        <v>106.49685390972913</v>
      </c>
    </row>
    <row r="4907" spans="2:7" ht="11.25" hidden="1" customHeight="1" outlineLevel="2" x14ac:dyDescent="0.25">
      <c r="B4907" s="704" t="s">
        <v>694</v>
      </c>
      <c r="C4907" s="704" t="s">
        <v>914</v>
      </c>
      <c r="D4907" s="704" t="s">
        <v>562</v>
      </c>
      <c r="E4907" s="704" t="s">
        <v>861</v>
      </c>
      <c r="F4907" s="708"/>
      <c r="G4907" s="705">
        <v>44.373688935511097</v>
      </c>
    </row>
    <row r="4908" spans="2:7" ht="11.25" hidden="1" customHeight="1" outlineLevel="2" x14ac:dyDescent="0.25">
      <c r="B4908" s="704" t="s">
        <v>695</v>
      </c>
      <c r="C4908" s="704" t="s">
        <v>914</v>
      </c>
      <c r="D4908" s="704" t="s">
        <v>562</v>
      </c>
      <c r="E4908" s="704" t="s">
        <v>861</v>
      </c>
      <c r="F4908" s="708"/>
      <c r="G4908" s="705">
        <v>198.20246063453419</v>
      </c>
    </row>
    <row r="4909" spans="2:7" ht="11.25" hidden="1" customHeight="1" outlineLevel="2" x14ac:dyDescent="0.25">
      <c r="B4909" s="704" t="s">
        <v>696</v>
      </c>
      <c r="C4909" s="704" t="s">
        <v>914</v>
      </c>
      <c r="D4909" s="704" t="s">
        <v>562</v>
      </c>
      <c r="E4909" s="704" t="s">
        <v>861</v>
      </c>
      <c r="F4909" s="708"/>
      <c r="G4909" s="705">
        <v>446.69508995442351</v>
      </c>
    </row>
    <row r="4910" spans="2:7" ht="11.25" hidden="1" customHeight="1" outlineLevel="2" x14ac:dyDescent="0.25">
      <c r="B4910" s="704" t="s">
        <v>697</v>
      </c>
      <c r="C4910" s="704" t="s">
        <v>914</v>
      </c>
      <c r="D4910" s="704" t="s">
        <v>562</v>
      </c>
      <c r="E4910" s="704" t="s">
        <v>861</v>
      </c>
      <c r="F4910" s="708"/>
      <c r="G4910" s="705">
        <v>387.53015098087985</v>
      </c>
    </row>
    <row r="4911" spans="2:7" ht="11.25" hidden="1" customHeight="1" outlineLevel="2" x14ac:dyDescent="0.25">
      <c r="B4911" s="704" t="s">
        <v>698</v>
      </c>
      <c r="C4911" s="704" t="s">
        <v>914</v>
      </c>
      <c r="D4911" s="704" t="s">
        <v>562</v>
      </c>
      <c r="E4911" s="704" t="s">
        <v>861</v>
      </c>
      <c r="F4911" s="708"/>
      <c r="G4911" s="705">
        <v>242.5761156934758</v>
      </c>
    </row>
    <row r="4912" spans="2:7" ht="11.25" hidden="1" customHeight="1" outlineLevel="2" x14ac:dyDescent="0.25">
      <c r="B4912" s="704" t="s">
        <v>699</v>
      </c>
      <c r="C4912" s="704" t="s">
        <v>914</v>
      </c>
      <c r="D4912" s="704" t="s">
        <v>562</v>
      </c>
      <c r="E4912" s="704" t="s">
        <v>861</v>
      </c>
      <c r="F4912" s="708"/>
      <c r="G4912" s="705">
        <v>1881.4439426397366</v>
      </c>
    </row>
    <row r="4913" spans="2:7" ht="11.25" hidden="1" customHeight="1" outlineLevel="2" x14ac:dyDescent="0.25">
      <c r="B4913" s="704" t="s">
        <v>673</v>
      </c>
      <c r="C4913" s="704" t="s">
        <v>915</v>
      </c>
      <c r="D4913" s="704" t="s">
        <v>562</v>
      </c>
      <c r="E4913" s="704" t="s">
        <v>861</v>
      </c>
      <c r="F4913" s="708"/>
      <c r="G4913" s="705">
        <v>18.472194354192006</v>
      </c>
    </row>
    <row r="4914" spans="2:7" ht="11.25" hidden="1" customHeight="1" outlineLevel="2" x14ac:dyDescent="0.25">
      <c r="B4914" s="704" t="s">
        <v>677</v>
      </c>
      <c r="C4914" s="704" t="s">
        <v>915</v>
      </c>
      <c r="D4914" s="704" t="s">
        <v>562</v>
      </c>
      <c r="E4914" s="704" t="s">
        <v>861</v>
      </c>
      <c r="F4914" s="705">
        <v>5.1802243113613297E-3</v>
      </c>
      <c r="G4914" s="705">
        <v>187.27960591098969</v>
      </c>
    </row>
    <row r="4915" spans="2:7" ht="11.25" hidden="1" customHeight="1" outlineLevel="2" x14ac:dyDescent="0.25">
      <c r="B4915" s="704" t="s">
        <v>678</v>
      </c>
      <c r="C4915" s="704" t="s">
        <v>915</v>
      </c>
      <c r="D4915" s="704" t="s">
        <v>562</v>
      </c>
      <c r="E4915" s="704" t="s">
        <v>861</v>
      </c>
      <c r="F4915" s="708"/>
      <c r="G4915" s="705">
        <v>286.46107521720245</v>
      </c>
    </row>
    <row r="4916" spans="2:7" ht="11.25" hidden="1" customHeight="1" outlineLevel="2" x14ac:dyDescent="0.25">
      <c r="B4916" s="704" t="s">
        <v>679</v>
      </c>
      <c r="C4916" s="704" t="s">
        <v>915</v>
      </c>
      <c r="D4916" s="704" t="s">
        <v>562</v>
      </c>
      <c r="E4916" s="704" t="s">
        <v>861</v>
      </c>
      <c r="F4916" s="708"/>
      <c r="G4916" s="705">
        <v>10.514939883582437</v>
      </c>
    </row>
    <row r="4917" spans="2:7" ht="11.25" hidden="1" customHeight="1" outlineLevel="2" x14ac:dyDescent="0.25">
      <c r="B4917" s="704" t="s">
        <v>680</v>
      </c>
      <c r="C4917" s="704" t="s">
        <v>915</v>
      </c>
      <c r="D4917" s="704" t="s">
        <v>562</v>
      </c>
      <c r="E4917" s="704" t="s">
        <v>861</v>
      </c>
      <c r="F4917" s="708"/>
      <c r="G4917" s="705">
        <v>7.3888769617925014</v>
      </c>
    </row>
    <row r="4918" spans="2:7" ht="11.25" hidden="1" customHeight="1" outlineLevel="2" x14ac:dyDescent="0.25">
      <c r="B4918" s="704" t="s">
        <v>681</v>
      </c>
      <c r="C4918" s="704" t="s">
        <v>915</v>
      </c>
      <c r="D4918" s="704" t="s">
        <v>562</v>
      </c>
      <c r="E4918" s="704" t="s">
        <v>861</v>
      </c>
      <c r="F4918" s="708"/>
      <c r="G4918" s="705">
        <v>47.175137575942578</v>
      </c>
    </row>
    <row r="4919" spans="2:7" ht="11.25" hidden="1" customHeight="1" outlineLevel="2" x14ac:dyDescent="0.25">
      <c r="B4919" s="704" t="s">
        <v>682</v>
      </c>
      <c r="C4919" s="704" t="s">
        <v>915</v>
      </c>
      <c r="D4919" s="704" t="s">
        <v>562</v>
      </c>
      <c r="E4919" s="704" t="s">
        <v>861</v>
      </c>
      <c r="F4919" s="709"/>
      <c r="G4919" s="705">
        <v>18.188003028591279</v>
      </c>
    </row>
    <row r="4920" spans="2:7" ht="11.25" hidden="1" customHeight="1" outlineLevel="2" x14ac:dyDescent="0.25">
      <c r="B4920" s="704" t="s">
        <v>683</v>
      </c>
      <c r="C4920" s="704" t="s">
        <v>915</v>
      </c>
      <c r="D4920" s="704" t="s">
        <v>562</v>
      </c>
      <c r="E4920" s="704" t="s">
        <v>861</v>
      </c>
      <c r="F4920" s="709"/>
      <c r="G4920" s="705">
        <v>21.598254760556177</v>
      </c>
    </row>
    <row r="4921" spans="2:7" ht="11.25" hidden="1" customHeight="1" outlineLevel="2" x14ac:dyDescent="0.25">
      <c r="B4921" s="704" t="s">
        <v>684</v>
      </c>
      <c r="C4921" s="704" t="s">
        <v>915</v>
      </c>
      <c r="D4921" s="704" t="s">
        <v>562</v>
      </c>
      <c r="E4921" s="704" t="s">
        <v>861</v>
      </c>
      <c r="F4921" s="709"/>
      <c r="G4921" s="705">
        <v>13.356816101550981</v>
      </c>
    </row>
    <row r="4922" spans="2:7" ht="11.25" hidden="1" customHeight="1" outlineLevel="2" x14ac:dyDescent="0.25">
      <c r="B4922" s="704" t="s">
        <v>685</v>
      </c>
      <c r="C4922" s="704" t="s">
        <v>915</v>
      </c>
      <c r="D4922" s="704" t="s">
        <v>562</v>
      </c>
      <c r="E4922" s="704" t="s">
        <v>861</v>
      </c>
      <c r="F4922" s="709"/>
      <c r="G4922" s="705">
        <v>66.499899586583794</v>
      </c>
    </row>
    <row r="4923" spans="2:7" ht="11.25" hidden="1" customHeight="1" outlineLevel="2" x14ac:dyDescent="0.25">
      <c r="B4923" s="704" t="s">
        <v>686</v>
      </c>
      <c r="C4923" s="704" t="s">
        <v>915</v>
      </c>
      <c r="D4923" s="704" t="s">
        <v>562</v>
      </c>
      <c r="E4923" s="704" t="s">
        <v>861</v>
      </c>
      <c r="F4923" s="709"/>
      <c r="G4923" s="705">
        <v>9.9465641343640279</v>
      </c>
    </row>
    <row r="4924" spans="2:7" ht="11.25" hidden="1" customHeight="1" outlineLevel="2" x14ac:dyDescent="0.25">
      <c r="B4924" s="704" t="s">
        <v>687</v>
      </c>
      <c r="C4924" s="704" t="s">
        <v>915</v>
      </c>
      <c r="D4924" s="704" t="s">
        <v>562</v>
      </c>
      <c r="E4924" s="704" t="s">
        <v>861</v>
      </c>
      <c r="F4924" s="709"/>
      <c r="G4924" s="705">
        <v>63.942195893677592</v>
      </c>
    </row>
    <row r="4925" spans="2:7" ht="11.25" hidden="1" customHeight="1" outlineLevel="2" x14ac:dyDescent="0.25">
      <c r="B4925" s="704" t="s">
        <v>688</v>
      </c>
      <c r="C4925" s="704" t="s">
        <v>915</v>
      </c>
      <c r="D4925" s="704" t="s">
        <v>562</v>
      </c>
      <c r="E4925" s="704" t="s">
        <v>861</v>
      </c>
      <c r="F4925" s="708"/>
      <c r="G4925" s="705">
        <v>169.94413547383414</v>
      </c>
    </row>
    <row r="4926" spans="2:7" ht="11.25" hidden="1" customHeight="1" outlineLevel="2" x14ac:dyDescent="0.25">
      <c r="B4926" s="704" t="s">
        <v>689</v>
      </c>
      <c r="C4926" s="704" t="s">
        <v>915</v>
      </c>
      <c r="D4926" s="704" t="s">
        <v>562</v>
      </c>
      <c r="E4926" s="704" t="s">
        <v>861</v>
      </c>
      <c r="F4926" s="708"/>
      <c r="G4926" s="705">
        <v>10.521383532948866</v>
      </c>
    </row>
    <row r="4927" spans="2:7" ht="11.25" hidden="1" customHeight="1" outlineLevel="2" x14ac:dyDescent="0.25">
      <c r="B4927" s="704" t="s">
        <v>690</v>
      </c>
      <c r="C4927" s="704" t="s">
        <v>915</v>
      </c>
      <c r="D4927" s="704" t="s">
        <v>562</v>
      </c>
      <c r="E4927" s="704" t="s">
        <v>861</v>
      </c>
      <c r="F4927" s="708"/>
      <c r="G4927" s="705">
        <v>250.36920222292625</v>
      </c>
    </row>
    <row r="4928" spans="2:7" ht="11.25" hidden="1" customHeight="1" outlineLevel="2" x14ac:dyDescent="0.25">
      <c r="B4928" s="704" t="s">
        <v>691</v>
      </c>
      <c r="C4928" s="704" t="s">
        <v>915</v>
      </c>
      <c r="D4928" s="704" t="s">
        <v>562</v>
      </c>
      <c r="E4928" s="704" t="s">
        <v>861</v>
      </c>
      <c r="F4928" s="708"/>
      <c r="G4928" s="705">
        <v>191.25824905285347</v>
      </c>
    </row>
    <row r="4929" spans="2:7" ht="11.25" hidden="1" customHeight="1" outlineLevel="2" x14ac:dyDescent="0.25">
      <c r="B4929" s="704" t="s">
        <v>692</v>
      </c>
      <c r="C4929" s="704" t="s">
        <v>915</v>
      </c>
      <c r="D4929" s="704" t="s">
        <v>562</v>
      </c>
      <c r="E4929" s="704" t="s">
        <v>861</v>
      </c>
      <c r="F4929" s="708"/>
      <c r="G4929" s="705">
        <v>22.450821852183669</v>
      </c>
    </row>
    <row r="4930" spans="2:7" ht="11.25" hidden="1" customHeight="1" outlineLevel="2" x14ac:dyDescent="0.25">
      <c r="B4930" s="704" t="s">
        <v>693</v>
      </c>
      <c r="C4930" s="704" t="s">
        <v>915</v>
      </c>
      <c r="D4930" s="704" t="s">
        <v>562</v>
      </c>
      <c r="E4930" s="704" t="s">
        <v>861</v>
      </c>
      <c r="F4930" s="708"/>
      <c r="G4930" s="705">
        <v>10.230750147334179</v>
      </c>
    </row>
    <row r="4931" spans="2:7" ht="11.25" hidden="1" customHeight="1" outlineLevel="2" x14ac:dyDescent="0.25">
      <c r="B4931" s="704" t="s">
        <v>694</v>
      </c>
      <c r="C4931" s="704" t="s">
        <v>915</v>
      </c>
      <c r="D4931" s="704" t="s">
        <v>562</v>
      </c>
      <c r="E4931" s="704" t="s">
        <v>861</v>
      </c>
      <c r="F4931" s="708"/>
      <c r="G4931" s="705">
        <v>4.2628130006015459</v>
      </c>
    </row>
    <row r="4932" spans="2:7" ht="11.25" hidden="1" customHeight="1" outlineLevel="2" x14ac:dyDescent="0.25">
      <c r="B4932" s="704" t="s">
        <v>695</v>
      </c>
      <c r="C4932" s="704" t="s">
        <v>915</v>
      </c>
      <c r="D4932" s="704" t="s">
        <v>562</v>
      </c>
      <c r="E4932" s="704" t="s">
        <v>861</v>
      </c>
      <c r="F4932" s="708"/>
      <c r="G4932" s="705">
        <v>19.040566633437617</v>
      </c>
    </row>
    <row r="4933" spans="2:7" ht="11.25" hidden="1" customHeight="1" outlineLevel="2" x14ac:dyDescent="0.25">
      <c r="B4933" s="704" t="s">
        <v>696</v>
      </c>
      <c r="C4933" s="704" t="s">
        <v>915</v>
      </c>
      <c r="D4933" s="704" t="s">
        <v>562</v>
      </c>
      <c r="E4933" s="704" t="s">
        <v>861</v>
      </c>
      <c r="F4933" s="708"/>
      <c r="G4933" s="705">
        <v>42.9123294389683</v>
      </c>
    </row>
    <row r="4934" spans="2:7" ht="11.25" hidden="1" customHeight="1" outlineLevel="2" x14ac:dyDescent="0.25">
      <c r="B4934" s="704" t="s">
        <v>697</v>
      </c>
      <c r="C4934" s="704" t="s">
        <v>915</v>
      </c>
      <c r="D4934" s="704" t="s">
        <v>562</v>
      </c>
      <c r="E4934" s="704" t="s">
        <v>861</v>
      </c>
      <c r="F4934" s="708"/>
      <c r="G4934" s="705">
        <v>37.228571553874872</v>
      </c>
    </row>
    <row r="4935" spans="2:7" ht="11.25" hidden="1" customHeight="1" outlineLevel="2" x14ac:dyDescent="0.25">
      <c r="B4935" s="704" t="s">
        <v>698</v>
      </c>
      <c r="C4935" s="704" t="s">
        <v>915</v>
      </c>
      <c r="D4935" s="704" t="s">
        <v>562</v>
      </c>
      <c r="E4935" s="704" t="s">
        <v>861</v>
      </c>
      <c r="F4935" s="708"/>
      <c r="G4935" s="705">
        <v>23.303376170697863</v>
      </c>
    </row>
    <row r="4936" spans="2:7" ht="11.25" hidden="1" customHeight="1" outlineLevel="2" x14ac:dyDescent="0.25">
      <c r="B4936" s="704" t="s">
        <v>699</v>
      </c>
      <c r="C4936" s="704" t="s">
        <v>915</v>
      </c>
      <c r="D4936" s="704" t="s">
        <v>562</v>
      </c>
      <c r="E4936" s="704" t="s">
        <v>861</v>
      </c>
      <c r="F4936" s="708"/>
      <c r="G4936" s="705">
        <v>180.74329653592577</v>
      </c>
    </row>
    <row r="4937" spans="2:7" ht="11.25" hidden="1" customHeight="1" outlineLevel="2" x14ac:dyDescent="0.25">
      <c r="B4937" s="704" t="s">
        <v>673</v>
      </c>
      <c r="C4937" s="704" t="s">
        <v>916</v>
      </c>
      <c r="D4937" s="704" t="s">
        <v>562</v>
      </c>
      <c r="E4937" s="704" t="s">
        <v>861</v>
      </c>
      <c r="F4937" s="708"/>
      <c r="G4937" s="705">
        <v>16.389019422585918</v>
      </c>
    </row>
    <row r="4938" spans="2:7" ht="11.25" hidden="1" customHeight="1" outlineLevel="2" x14ac:dyDescent="0.25">
      <c r="B4938" s="704" t="s">
        <v>677</v>
      </c>
      <c r="C4938" s="704" t="s">
        <v>916</v>
      </c>
      <c r="D4938" s="704" t="s">
        <v>562</v>
      </c>
      <c r="E4938" s="704" t="s">
        <v>861</v>
      </c>
      <c r="F4938" s="705">
        <v>5.7979484059478784E-3</v>
      </c>
      <c r="G4938" s="705">
        <v>166.15941357230355</v>
      </c>
    </row>
    <row r="4939" spans="2:7" ht="11.25" hidden="1" customHeight="1" outlineLevel="2" x14ac:dyDescent="0.25">
      <c r="B4939" s="704" t="s">
        <v>678</v>
      </c>
      <c r="C4939" s="704" t="s">
        <v>916</v>
      </c>
      <c r="D4939" s="704" t="s">
        <v>562</v>
      </c>
      <c r="E4939" s="704" t="s">
        <v>861</v>
      </c>
      <c r="F4939" s="708"/>
      <c r="G4939" s="705">
        <v>254.15581983890581</v>
      </c>
    </row>
    <row r="4940" spans="2:7" ht="11.25" hidden="1" customHeight="1" outlineLevel="2" x14ac:dyDescent="0.25">
      <c r="B4940" s="704" t="s">
        <v>679</v>
      </c>
      <c r="C4940" s="704" t="s">
        <v>916</v>
      </c>
      <c r="D4940" s="704" t="s">
        <v>562</v>
      </c>
      <c r="E4940" s="704" t="s">
        <v>861</v>
      </c>
      <c r="F4940" s="708"/>
      <c r="G4940" s="705">
        <v>9.329135801951951</v>
      </c>
    </row>
    <row r="4941" spans="2:7" ht="11.25" hidden="1" customHeight="1" outlineLevel="2" x14ac:dyDescent="0.25">
      <c r="B4941" s="704" t="s">
        <v>680</v>
      </c>
      <c r="C4941" s="704" t="s">
        <v>916</v>
      </c>
      <c r="D4941" s="704" t="s">
        <v>562</v>
      </c>
      <c r="E4941" s="704" t="s">
        <v>861</v>
      </c>
      <c r="F4941" s="708"/>
      <c r="G4941" s="705">
        <v>6.5556071528947273</v>
      </c>
    </row>
    <row r="4942" spans="2:7" ht="11.25" hidden="1" customHeight="1" outlineLevel="2" x14ac:dyDescent="0.25">
      <c r="B4942" s="704" t="s">
        <v>681</v>
      </c>
      <c r="C4942" s="704" t="s">
        <v>916</v>
      </c>
      <c r="D4942" s="704" t="s">
        <v>562</v>
      </c>
      <c r="E4942" s="704" t="s">
        <v>861</v>
      </c>
      <c r="F4942" s="708"/>
      <c r="G4942" s="705">
        <v>41.855032600512956</v>
      </c>
    </row>
    <row r="4943" spans="2:7" ht="11.25" hidden="1" customHeight="1" outlineLevel="2" x14ac:dyDescent="0.25">
      <c r="B4943" s="704" t="s">
        <v>682</v>
      </c>
      <c r="C4943" s="704" t="s">
        <v>916</v>
      </c>
      <c r="D4943" s="704" t="s">
        <v>562</v>
      </c>
      <c r="E4943" s="704" t="s">
        <v>861</v>
      </c>
      <c r="F4943" s="708"/>
      <c r="G4943" s="705">
        <v>16.136882733126861</v>
      </c>
    </row>
    <row r="4944" spans="2:7" ht="11.25" hidden="1" customHeight="1" outlineLevel="2" x14ac:dyDescent="0.25">
      <c r="B4944" s="704" t="s">
        <v>683</v>
      </c>
      <c r="C4944" s="704" t="s">
        <v>916</v>
      </c>
      <c r="D4944" s="704" t="s">
        <v>562</v>
      </c>
      <c r="E4944" s="704" t="s">
        <v>861</v>
      </c>
      <c r="F4944" s="708"/>
      <c r="G4944" s="705">
        <v>19.16254408592577</v>
      </c>
    </row>
    <row r="4945" spans="2:7" ht="11.25" hidden="1" customHeight="1" outlineLevel="2" x14ac:dyDescent="0.25">
      <c r="B4945" s="704" t="s">
        <v>684</v>
      </c>
      <c r="C4945" s="704" t="s">
        <v>916</v>
      </c>
      <c r="D4945" s="704" t="s">
        <v>562</v>
      </c>
      <c r="E4945" s="704" t="s">
        <v>861</v>
      </c>
      <c r="F4945" s="708"/>
      <c r="G4945" s="705">
        <v>11.850521449572073</v>
      </c>
    </row>
    <row r="4946" spans="2:7" ht="11.25" hidden="1" customHeight="1" outlineLevel="2" x14ac:dyDescent="0.25">
      <c r="B4946" s="704" t="s">
        <v>685</v>
      </c>
      <c r="C4946" s="704" t="s">
        <v>916</v>
      </c>
      <c r="D4946" s="704" t="s">
        <v>562</v>
      </c>
      <c r="E4946" s="704" t="s">
        <v>861</v>
      </c>
      <c r="F4946" s="708"/>
      <c r="G4946" s="705">
        <v>59.000459302741575</v>
      </c>
    </row>
    <row r="4947" spans="2:7" ht="11.25" hidden="1" customHeight="1" outlineLevel="2" x14ac:dyDescent="0.25">
      <c r="B4947" s="704" t="s">
        <v>686</v>
      </c>
      <c r="C4947" s="704" t="s">
        <v>916</v>
      </c>
      <c r="D4947" s="704" t="s">
        <v>562</v>
      </c>
      <c r="E4947" s="704" t="s">
        <v>861</v>
      </c>
      <c r="F4947" s="708"/>
      <c r="G4947" s="705">
        <v>8.8248573131628305</v>
      </c>
    </row>
    <row r="4948" spans="2:7" ht="11.25" hidden="1" customHeight="1" outlineLevel="2" x14ac:dyDescent="0.25">
      <c r="B4948" s="704" t="s">
        <v>687</v>
      </c>
      <c r="C4948" s="704" t="s">
        <v>916</v>
      </c>
      <c r="D4948" s="704" t="s">
        <v>562</v>
      </c>
      <c r="E4948" s="704" t="s">
        <v>861</v>
      </c>
      <c r="F4948" s="708"/>
      <c r="G4948" s="705">
        <v>56.731206658947208</v>
      </c>
    </row>
    <row r="4949" spans="2:7" ht="11.25" hidden="1" customHeight="1" outlineLevel="2" x14ac:dyDescent="0.25">
      <c r="B4949" s="704" t="s">
        <v>688</v>
      </c>
      <c r="C4949" s="704" t="s">
        <v>916</v>
      </c>
      <c r="D4949" s="704" t="s">
        <v>562</v>
      </c>
      <c r="E4949" s="704" t="s">
        <v>861</v>
      </c>
      <c r="F4949" s="708"/>
      <c r="G4949" s="705">
        <v>150.77900616723082</v>
      </c>
    </row>
    <row r="4950" spans="2:7" ht="11.25" hidden="1" customHeight="1" outlineLevel="2" x14ac:dyDescent="0.25">
      <c r="B4950" s="704" t="s">
        <v>689</v>
      </c>
      <c r="C4950" s="704" t="s">
        <v>916</v>
      </c>
      <c r="D4950" s="704" t="s">
        <v>562</v>
      </c>
      <c r="E4950" s="704" t="s">
        <v>861</v>
      </c>
      <c r="F4950" s="708"/>
      <c r="G4950" s="705">
        <v>9.3348530011260564</v>
      </c>
    </row>
    <row r="4951" spans="2:7" ht="11.25" hidden="1" customHeight="1" outlineLevel="2" x14ac:dyDescent="0.25">
      <c r="B4951" s="704" t="s">
        <v>690</v>
      </c>
      <c r="C4951" s="704" t="s">
        <v>916</v>
      </c>
      <c r="D4951" s="704" t="s">
        <v>562</v>
      </c>
      <c r="E4951" s="704" t="s">
        <v>861</v>
      </c>
      <c r="F4951" s="708"/>
      <c r="G4951" s="705">
        <v>222.13421905272094</v>
      </c>
    </row>
    <row r="4952" spans="2:7" ht="11.25" hidden="1" customHeight="1" outlineLevel="2" x14ac:dyDescent="0.25">
      <c r="B4952" s="704" t="s">
        <v>691</v>
      </c>
      <c r="C4952" s="704" t="s">
        <v>916</v>
      </c>
      <c r="D4952" s="704" t="s">
        <v>562</v>
      </c>
      <c r="E4952" s="704" t="s">
        <v>861</v>
      </c>
      <c r="F4952" s="708"/>
      <c r="G4952" s="705">
        <v>169.68934005574718</v>
      </c>
    </row>
    <row r="4953" spans="2:7" ht="11.25" hidden="1" customHeight="1" outlineLevel="2" x14ac:dyDescent="0.25">
      <c r="B4953" s="704" t="s">
        <v>692</v>
      </c>
      <c r="C4953" s="704" t="s">
        <v>916</v>
      </c>
      <c r="D4953" s="704" t="s">
        <v>562</v>
      </c>
      <c r="E4953" s="704" t="s">
        <v>861</v>
      </c>
      <c r="F4953" s="708"/>
      <c r="G4953" s="705">
        <v>19.918962585036532</v>
      </c>
    </row>
    <row r="4954" spans="2:7" ht="11.25" hidden="1" customHeight="1" outlineLevel="2" x14ac:dyDescent="0.25">
      <c r="B4954" s="704" t="s">
        <v>693</v>
      </c>
      <c r="C4954" s="704" t="s">
        <v>916</v>
      </c>
      <c r="D4954" s="704" t="s">
        <v>562</v>
      </c>
      <c r="E4954" s="704" t="s">
        <v>861</v>
      </c>
      <c r="F4954" s="708"/>
      <c r="G4954" s="705">
        <v>9.0769967728903111</v>
      </c>
    </row>
    <row r="4955" spans="2:7" ht="11.25" hidden="1" customHeight="1" outlineLevel="2" x14ac:dyDescent="0.25">
      <c r="B4955" s="704" t="s">
        <v>694</v>
      </c>
      <c r="C4955" s="704" t="s">
        <v>916</v>
      </c>
      <c r="D4955" s="704" t="s">
        <v>562</v>
      </c>
      <c r="E4955" s="704" t="s">
        <v>861</v>
      </c>
      <c r="F4955" s="708"/>
      <c r="G4955" s="705">
        <v>3.7820802762731436</v>
      </c>
    </row>
    <row r="4956" spans="2:7" ht="11.25" hidden="1" customHeight="1" outlineLevel="2" x14ac:dyDescent="0.25">
      <c r="B4956" s="704" t="s">
        <v>695</v>
      </c>
      <c r="C4956" s="704" t="s">
        <v>916</v>
      </c>
      <c r="D4956" s="704" t="s">
        <v>562</v>
      </c>
      <c r="E4956" s="704" t="s">
        <v>861</v>
      </c>
      <c r="F4956" s="708"/>
      <c r="G4956" s="705">
        <v>16.893296173503671</v>
      </c>
    </row>
    <row r="4957" spans="2:7" ht="11.25" hidden="1" customHeight="1" outlineLevel="2" x14ac:dyDescent="0.25">
      <c r="B4957" s="704" t="s">
        <v>696</v>
      </c>
      <c r="C4957" s="704" t="s">
        <v>916</v>
      </c>
      <c r="D4957" s="704" t="s">
        <v>562</v>
      </c>
      <c r="E4957" s="704" t="s">
        <v>861</v>
      </c>
      <c r="F4957" s="708"/>
      <c r="G4957" s="705">
        <v>38.072962253561748</v>
      </c>
    </row>
    <row r="4958" spans="2:7" ht="11.25" hidden="1" customHeight="1" outlineLevel="2" x14ac:dyDescent="0.25">
      <c r="B4958" s="704" t="s">
        <v>697</v>
      </c>
      <c r="C4958" s="704" t="s">
        <v>916</v>
      </c>
      <c r="D4958" s="704" t="s">
        <v>562</v>
      </c>
      <c r="E4958" s="704" t="s">
        <v>861</v>
      </c>
      <c r="F4958" s="708"/>
      <c r="G4958" s="705">
        <v>33.030173560982064</v>
      </c>
    </row>
    <row r="4959" spans="2:7" ht="11.25" hidden="1" customHeight="1" outlineLevel="2" x14ac:dyDescent="0.25">
      <c r="B4959" s="704" t="s">
        <v>698</v>
      </c>
      <c r="C4959" s="704" t="s">
        <v>916</v>
      </c>
      <c r="D4959" s="704" t="s">
        <v>562</v>
      </c>
      <c r="E4959" s="704" t="s">
        <v>861</v>
      </c>
      <c r="F4959" s="708"/>
      <c r="G4959" s="705">
        <v>20.675376971111305</v>
      </c>
    </row>
    <row r="4960" spans="2:7" ht="11.25" hidden="1" customHeight="1" outlineLevel="2" x14ac:dyDescent="0.25">
      <c r="B4960" s="704" t="s">
        <v>699</v>
      </c>
      <c r="C4960" s="704" t="s">
        <v>916</v>
      </c>
      <c r="D4960" s="704" t="s">
        <v>562</v>
      </c>
      <c r="E4960" s="704" t="s">
        <v>861</v>
      </c>
      <c r="F4960" s="708"/>
      <c r="G4960" s="705">
        <v>160.36022166420429</v>
      </c>
    </row>
    <row r="4961" spans="2:7" ht="11.25" hidden="1" customHeight="1" outlineLevel="2" x14ac:dyDescent="0.25">
      <c r="B4961" s="704" t="s">
        <v>673</v>
      </c>
      <c r="C4961" s="704" t="s">
        <v>917</v>
      </c>
      <c r="D4961" s="704" t="s">
        <v>745</v>
      </c>
      <c r="E4961" s="704" t="s">
        <v>861</v>
      </c>
      <c r="F4961" s="708"/>
      <c r="G4961" s="705">
        <v>644.23711407806172</v>
      </c>
    </row>
    <row r="4962" spans="2:7" ht="11.25" hidden="1" customHeight="1" outlineLevel="2" x14ac:dyDescent="0.25">
      <c r="B4962" s="704" t="s">
        <v>677</v>
      </c>
      <c r="C4962" s="704" t="s">
        <v>917</v>
      </c>
      <c r="D4962" s="704" t="s">
        <v>745</v>
      </c>
      <c r="E4962" s="704" t="s">
        <v>861</v>
      </c>
      <c r="F4962" s="705">
        <v>1.7736484479236297E-2</v>
      </c>
      <c r="G4962" s="705">
        <v>589.45238494461307</v>
      </c>
    </row>
    <row r="4963" spans="2:7" ht="11.25" hidden="1" customHeight="1" outlineLevel="2" x14ac:dyDescent="0.25">
      <c r="B4963" s="704" t="s">
        <v>678</v>
      </c>
      <c r="C4963" s="704" t="s">
        <v>917</v>
      </c>
      <c r="D4963" s="704" t="s">
        <v>745</v>
      </c>
      <c r="E4963" s="704" t="s">
        <v>861</v>
      </c>
      <c r="F4963" s="708"/>
      <c r="G4963" s="705">
        <v>328.18196273844922</v>
      </c>
    </row>
    <row r="4964" spans="2:7" ht="11.25" hidden="1" customHeight="1" outlineLevel="2" x14ac:dyDescent="0.25">
      <c r="B4964" s="704" t="s">
        <v>679</v>
      </c>
      <c r="C4964" s="704" t="s">
        <v>917</v>
      </c>
      <c r="D4964" s="704" t="s">
        <v>745</v>
      </c>
      <c r="E4964" s="704" t="s">
        <v>861</v>
      </c>
      <c r="F4964" s="708"/>
      <c r="G4964" s="705">
        <v>383.9966136891872</v>
      </c>
    </row>
    <row r="4965" spans="2:7" ht="11.25" hidden="1" customHeight="1" outlineLevel="2" x14ac:dyDescent="0.25">
      <c r="B4965" s="704" t="s">
        <v>680</v>
      </c>
      <c r="C4965" s="704" t="s">
        <v>917</v>
      </c>
      <c r="D4965" s="704" t="s">
        <v>745</v>
      </c>
      <c r="E4965" s="704" t="s">
        <v>861</v>
      </c>
      <c r="F4965" s="709"/>
      <c r="G4965" s="705">
        <v>264.91603424066614</v>
      </c>
    </row>
    <row r="4966" spans="2:7" ht="11.25" hidden="1" customHeight="1" outlineLevel="2" x14ac:dyDescent="0.25">
      <c r="B4966" s="704" t="s">
        <v>681</v>
      </c>
      <c r="C4966" s="704" t="s">
        <v>917</v>
      </c>
      <c r="D4966" s="704" t="s">
        <v>745</v>
      </c>
      <c r="E4966" s="704" t="s">
        <v>861</v>
      </c>
      <c r="F4966" s="709"/>
      <c r="G4966" s="705">
        <v>247.16547225372301</v>
      </c>
    </row>
    <row r="4967" spans="2:7" ht="11.25" hidden="1" customHeight="1" outlineLevel="2" x14ac:dyDescent="0.25">
      <c r="B4967" s="704" t="s">
        <v>682</v>
      </c>
      <c r="C4967" s="704" t="s">
        <v>917</v>
      </c>
      <c r="D4967" s="704" t="s">
        <v>745</v>
      </c>
      <c r="E4967" s="704" t="s">
        <v>861</v>
      </c>
      <c r="F4967" s="709"/>
      <c r="G4967" s="705">
        <v>25.117736361345759</v>
      </c>
    </row>
    <row r="4968" spans="2:7" ht="11.25" hidden="1" customHeight="1" outlineLevel="2" x14ac:dyDescent="0.25">
      <c r="B4968" s="704" t="s">
        <v>683</v>
      </c>
      <c r="C4968" s="704" t="s">
        <v>917</v>
      </c>
      <c r="D4968" s="704" t="s">
        <v>745</v>
      </c>
      <c r="E4968" s="704" t="s">
        <v>861</v>
      </c>
      <c r="F4968" s="709"/>
      <c r="G4968" s="705">
        <v>988.48691428226732</v>
      </c>
    </row>
    <row r="4969" spans="2:7" ht="11.25" hidden="1" customHeight="1" outlineLevel="2" x14ac:dyDescent="0.25">
      <c r="B4969" s="704" t="s">
        <v>684</v>
      </c>
      <c r="C4969" s="704" t="s">
        <v>917</v>
      </c>
      <c r="D4969" s="704" t="s">
        <v>745</v>
      </c>
      <c r="E4969" s="704" t="s">
        <v>861</v>
      </c>
      <c r="F4969" s="709"/>
      <c r="G4969" s="705">
        <v>814.71378933249014</v>
      </c>
    </row>
    <row r="4970" spans="2:7" ht="11.25" hidden="1" customHeight="1" outlineLevel="2" x14ac:dyDescent="0.25">
      <c r="B4970" s="704" t="s">
        <v>685</v>
      </c>
      <c r="C4970" s="704" t="s">
        <v>917</v>
      </c>
      <c r="D4970" s="704" t="s">
        <v>745</v>
      </c>
      <c r="E4970" s="704" t="s">
        <v>861</v>
      </c>
      <c r="F4970" s="709"/>
      <c r="G4970" s="705">
        <v>138.8085835261833</v>
      </c>
    </row>
    <row r="4971" spans="2:7" ht="11.25" hidden="1" customHeight="1" outlineLevel="2" x14ac:dyDescent="0.25">
      <c r="B4971" s="704" t="s">
        <v>686</v>
      </c>
      <c r="C4971" s="704" t="s">
        <v>917</v>
      </c>
      <c r="D4971" s="704" t="s">
        <v>745</v>
      </c>
      <c r="E4971" s="704" t="s">
        <v>861</v>
      </c>
      <c r="F4971" s="709"/>
      <c r="G4971" s="705">
        <v>1411.2711801671114</v>
      </c>
    </row>
    <row r="4972" spans="2:7" ht="11.25" hidden="1" customHeight="1" outlineLevel="2" x14ac:dyDescent="0.25">
      <c r="B4972" s="704" t="s">
        <v>687</v>
      </c>
      <c r="C4972" s="704" t="s">
        <v>917</v>
      </c>
      <c r="D4972" s="704" t="s">
        <v>745</v>
      </c>
      <c r="E4972" s="704" t="s">
        <v>861</v>
      </c>
      <c r="F4972" s="709"/>
      <c r="G4972" s="705">
        <v>373.35943868605199</v>
      </c>
    </row>
    <row r="4973" spans="2:7" ht="11.25" hidden="1" customHeight="1" outlineLevel="2" x14ac:dyDescent="0.25">
      <c r="B4973" s="704" t="s">
        <v>688</v>
      </c>
      <c r="C4973" s="704" t="s">
        <v>917</v>
      </c>
      <c r="D4973" s="704" t="s">
        <v>745</v>
      </c>
      <c r="E4973" s="704" t="s">
        <v>861</v>
      </c>
      <c r="F4973" s="709"/>
      <c r="G4973" s="705">
        <v>168.40297060030616</v>
      </c>
    </row>
    <row r="4974" spans="2:7" ht="11.25" hidden="1" customHeight="1" outlineLevel="2" x14ac:dyDescent="0.25">
      <c r="B4974" s="704" t="s">
        <v>689</v>
      </c>
      <c r="C4974" s="704" t="s">
        <v>917</v>
      </c>
      <c r="D4974" s="704" t="s">
        <v>745</v>
      </c>
      <c r="E4974" s="704" t="s">
        <v>861</v>
      </c>
      <c r="F4974" s="709"/>
      <c r="G4974" s="705">
        <v>201.95335889543961</v>
      </c>
    </row>
    <row r="4975" spans="2:7" ht="11.25" hidden="1" customHeight="1" outlineLevel="2" x14ac:dyDescent="0.25">
      <c r="B4975" s="704" t="s">
        <v>690</v>
      </c>
      <c r="C4975" s="704" t="s">
        <v>917</v>
      </c>
      <c r="D4975" s="704" t="s">
        <v>745</v>
      </c>
      <c r="E4975" s="704" t="s">
        <v>861</v>
      </c>
      <c r="F4975" s="709"/>
      <c r="G4975" s="705">
        <v>105.72095573337965</v>
      </c>
    </row>
    <row r="4976" spans="2:7" ht="11.25" hidden="1" customHeight="1" outlineLevel="2" x14ac:dyDescent="0.25">
      <c r="B4976" s="704" t="s">
        <v>691</v>
      </c>
      <c r="C4976" s="704" t="s">
        <v>917</v>
      </c>
      <c r="D4976" s="704" t="s">
        <v>745</v>
      </c>
      <c r="E4976" s="704" t="s">
        <v>861</v>
      </c>
      <c r="F4976" s="709"/>
      <c r="G4976" s="705">
        <v>401.97059524972798</v>
      </c>
    </row>
    <row r="4977" spans="2:7" ht="11.25" hidden="1" customHeight="1" outlineLevel="2" x14ac:dyDescent="0.25">
      <c r="B4977" s="704" t="s">
        <v>692</v>
      </c>
      <c r="C4977" s="704" t="s">
        <v>917</v>
      </c>
      <c r="D4977" s="704" t="s">
        <v>745</v>
      </c>
      <c r="E4977" s="704" t="s">
        <v>861</v>
      </c>
      <c r="F4977" s="709"/>
      <c r="G4977" s="705">
        <v>275.20789235953862</v>
      </c>
    </row>
    <row r="4978" spans="2:7" ht="11.25" hidden="1" customHeight="1" outlineLevel="2" x14ac:dyDescent="0.25">
      <c r="B4978" s="704" t="s">
        <v>693</v>
      </c>
      <c r="C4978" s="704" t="s">
        <v>917</v>
      </c>
      <c r="D4978" s="704" t="s">
        <v>745</v>
      </c>
      <c r="E4978" s="704" t="s">
        <v>861</v>
      </c>
      <c r="F4978" s="709"/>
      <c r="G4978" s="705">
        <v>566.02769447817309</v>
      </c>
    </row>
    <row r="4979" spans="2:7" ht="11.25" hidden="1" customHeight="1" outlineLevel="2" x14ac:dyDescent="0.25">
      <c r="B4979" s="704" t="s">
        <v>694</v>
      </c>
      <c r="C4979" s="704" t="s">
        <v>917</v>
      </c>
      <c r="D4979" s="704" t="s">
        <v>745</v>
      </c>
      <c r="E4979" s="704" t="s">
        <v>861</v>
      </c>
      <c r="F4979" s="709"/>
      <c r="G4979" s="705">
        <v>499.87870960659404</v>
      </c>
    </row>
    <row r="4980" spans="2:7" ht="11.25" hidden="1" customHeight="1" outlineLevel="2" x14ac:dyDescent="0.25">
      <c r="B4980" s="704" t="s">
        <v>695</v>
      </c>
      <c r="C4980" s="704" t="s">
        <v>917</v>
      </c>
      <c r="D4980" s="704" t="s">
        <v>745</v>
      </c>
      <c r="E4980" s="704" t="s">
        <v>861</v>
      </c>
      <c r="F4980" s="709"/>
      <c r="G4980" s="705">
        <v>304.21260182194868</v>
      </c>
    </row>
    <row r="4981" spans="2:7" ht="11.25" hidden="1" customHeight="1" outlineLevel="2" x14ac:dyDescent="0.25">
      <c r="B4981" s="704" t="s">
        <v>696</v>
      </c>
      <c r="C4981" s="704" t="s">
        <v>917</v>
      </c>
      <c r="D4981" s="704" t="s">
        <v>745</v>
      </c>
      <c r="E4981" s="704" t="s">
        <v>861</v>
      </c>
      <c r="F4981" s="709"/>
      <c r="G4981" s="705">
        <v>118.73512888054715</v>
      </c>
    </row>
    <row r="4982" spans="2:7" ht="11.25" hidden="1" customHeight="1" outlineLevel="2" x14ac:dyDescent="0.25">
      <c r="B4982" s="704" t="s">
        <v>697</v>
      </c>
      <c r="C4982" s="704" t="s">
        <v>917</v>
      </c>
      <c r="D4982" s="704" t="s">
        <v>745</v>
      </c>
      <c r="E4982" s="704" t="s">
        <v>861</v>
      </c>
      <c r="F4982" s="709"/>
      <c r="G4982" s="705">
        <v>1181.141502274781</v>
      </c>
    </row>
    <row r="4983" spans="2:7" ht="11.25" hidden="1" customHeight="1" outlineLevel="2" x14ac:dyDescent="0.25">
      <c r="B4983" s="704" t="s">
        <v>698</v>
      </c>
      <c r="C4983" s="704" t="s">
        <v>917</v>
      </c>
      <c r="D4983" s="704" t="s">
        <v>745</v>
      </c>
      <c r="E4983" s="704" t="s">
        <v>861</v>
      </c>
      <c r="F4983" s="709"/>
      <c r="G4983" s="705">
        <v>994.66451391479893</v>
      </c>
    </row>
    <row r="4984" spans="2:7" ht="11.25" hidden="1" customHeight="1" outlineLevel="2" x14ac:dyDescent="0.25">
      <c r="B4984" s="704" t="s">
        <v>699</v>
      </c>
      <c r="C4984" s="704" t="s">
        <v>917</v>
      </c>
      <c r="D4984" s="704" t="s">
        <v>745</v>
      </c>
      <c r="E4984" s="704" t="s">
        <v>861</v>
      </c>
      <c r="F4984" s="709"/>
      <c r="G4984" s="705">
        <v>1.4161849396318106E-29</v>
      </c>
    </row>
    <row r="4985" spans="2:7" ht="11.25" hidden="1" customHeight="1" outlineLevel="2" x14ac:dyDescent="0.25">
      <c r="B4985" s="704" t="s">
        <v>673</v>
      </c>
      <c r="C4985" s="704" t="s">
        <v>918</v>
      </c>
      <c r="D4985" s="704" t="s">
        <v>815</v>
      </c>
      <c r="E4985" s="704" t="s">
        <v>861</v>
      </c>
      <c r="F4985" s="709"/>
      <c r="G4985" s="705">
        <v>1.0800699774071823E-29</v>
      </c>
    </row>
    <row r="4986" spans="2:7" ht="11.25" hidden="1" customHeight="1" outlineLevel="2" x14ac:dyDescent="0.25">
      <c r="B4986" s="704" t="s">
        <v>677</v>
      </c>
      <c r="C4986" s="704" t="s">
        <v>918</v>
      </c>
      <c r="D4986" s="704" t="s">
        <v>815</v>
      </c>
      <c r="E4986" s="704" t="s">
        <v>861</v>
      </c>
      <c r="F4986" s="706">
        <v>0.57705415091552159</v>
      </c>
      <c r="G4986" s="705">
        <v>19083.152012938397</v>
      </c>
    </row>
    <row r="4987" spans="2:7" ht="11.25" hidden="1" customHeight="1" outlineLevel="2" x14ac:dyDescent="0.25">
      <c r="B4987" s="704" t="s">
        <v>678</v>
      </c>
      <c r="C4987" s="704" t="s">
        <v>918</v>
      </c>
      <c r="D4987" s="704" t="s">
        <v>815</v>
      </c>
      <c r="E4987" s="704" t="s">
        <v>861</v>
      </c>
      <c r="F4987" s="709"/>
      <c r="G4987" s="705">
        <v>13.7021273564749</v>
      </c>
    </row>
    <row r="4988" spans="2:7" ht="11.25" hidden="1" customHeight="1" outlineLevel="2" x14ac:dyDescent="0.25">
      <c r="B4988" s="704" t="s">
        <v>679</v>
      </c>
      <c r="C4988" s="704" t="s">
        <v>918</v>
      </c>
      <c r="D4988" s="704" t="s">
        <v>815</v>
      </c>
      <c r="E4988" s="704" t="s">
        <v>861</v>
      </c>
      <c r="F4988" s="709"/>
      <c r="G4988" s="705">
        <v>1.3196731293639925E-29</v>
      </c>
    </row>
    <row r="4989" spans="2:7" ht="11.25" hidden="1" customHeight="1" outlineLevel="2" x14ac:dyDescent="0.25">
      <c r="B4989" s="704" t="s">
        <v>680</v>
      </c>
      <c r="C4989" s="704" t="s">
        <v>918</v>
      </c>
      <c r="D4989" s="704" t="s">
        <v>815</v>
      </c>
      <c r="E4989" s="704" t="s">
        <v>861</v>
      </c>
      <c r="F4989" s="709"/>
      <c r="G4989" s="705">
        <v>1.2941865666466332E-29</v>
      </c>
    </row>
    <row r="4990" spans="2:7" ht="11.25" hidden="1" customHeight="1" outlineLevel="2" x14ac:dyDescent="0.25">
      <c r="B4990" s="704" t="s">
        <v>681</v>
      </c>
      <c r="C4990" s="704" t="s">
        <v>918</v>
      </c>
      <c r="D4990" s="704" t="s">
        <v>815</v>
      </c>
      <c r="E4990" s="704" t="s">
        <v>861</v>
      </c>
      <c r="F4990" s="708"/>
      <c r="G4990" s="705">
        <v>5.1709206365457501</v>
      </c>
    </row>
    <row r="4991" spans="2:7" ht="11.25" hidden="1" customHeight="1" outlineLevel="2" x14ac:dyDescent="0.25">
      <c r="B4991" s="704" t="s">
        <v>682</v>
      </c>
      <c r="C4991" s="704" t="s">
        <v>918</v>
      </c>
      <c r="D4991" s="704" t="s">
        <v>815</v>
      </c>
      <c r="E4991" s="704" t="s">
        <v>861</v>
      </c>
      <c r="F4991" s="708"/>
      <c r="G4991" s="705">
        <v>2.8862541582913706E-30</v>
      </c>
    </row>
    <row r="4992" spans="2:7" ht="11.25" hidden="1" customHeight="1" outlineLevel="2" x14ac:dyDescent="0.25">
      <c r="B4992" s="704" t="s">
        <v>683</v>
      </c>
      <c r="C4992" s="704" t="s">
        <v>918</v>
      </c>
      <c r="D4992" s="704" t="s">
        <v>815</v>
      </c>
      <c r="E4992" s="704" t="s">
        <v>861</v>
      </c>
      <c r="F4992" s="708"/>
      <c r="G4992" s="705">
        <v>2.1486815209001712E-28</v>
      </c>
    </row>
    <row r="4993" spans="2:7" ht="11.25" hidden="1" customHeight="1" outlineLevel="2" x14ac:dyDescent="0.25">
      <c r="B4993" s="704" t="s">
        <v>684</v>
      </c>
      <c r="C4993" s="704" t="s">
        <v>918</v>
      </c>
      <c r="D4993" s="704" t="s">
        <v>815</v>
      </c>
      <c r="E4993" s="704" t="s">
        <v>861</v>
      </c>
      <c r="F4993" s="708"/>
      <c r="G4993" s="705">
        <v>0.44042558424449618</v>
      </c>
    </row>
    <row r="4994" spans="2:7" ht="11.25" hidden="1" customHeight="1" outlineLevel="2" x14ac:dyDescent="0.25">
      <c r="B4994" s="704" t="s">
        <v>685</v>
      </c>
      <c r="C4994" s="704" t="s">
        <v>918</v>
      </c>
      <c r="D4994" s="704" t="s">
        <v>815</v>
      </c>
      <c r="E4994" s="704" t="s">
        <v>861</v>
      </c>
      <c r="F4994" s="708"/>
      <c r="G4994" s="705">
        <v>5.5460958861494731</v>
      </c>
    </row>
    <row r="4995" spans="2:7" ht="11.25" hidden="1" customHeight="1" outlineLevel="2" x14ac:dyDescent="0.25">
      <c r="B4995" s="704" t="s">
        <v>686</v>
      </c>
      <c r="C4995" s="704" t="s">
        <v>918</v>
      </c>
      <c r="D4995" s="704" t="s">
        <v>815</v>
      </c>
      <c r="E4995" s="704" t="s">
        <v>861</v>
      </c>
      <c r="F4995" s="708"/>
      <c r="G4995" s="705">
        <v>0.32624110103422671</v>
      </c>
    </row>
    <row r="4996" spans="2:7" ht="11.25" hidden="1" customHeight="1" outlineLevel="2" x14ac:dyDescent="0.25">
      <c r="B4996" s="704" t="s">
        <v>687</v>
      </c>
      <c r="C4996" s="704" t="s">
        <v>918</v>
      </c>
      <c r="D4996" s="704" t="s">
        <v>815</v>
      </c>
      <c r="E4996" s="704" t="s">
        <v>861</v>
      </c>
      <c r="F4996" s="708"/>
      <c r="G4996" s="705">
        <v>2.6166589767479464E-28</v>
      </c>
    </row>
    <row r="4997" spans="2:7" ht="11.25" hidden="1" customHeight="1" outlineLevel="2" x14ac:dyDescent="0.25">
      <c r="B4997" s="704" t="s">
        <v>688</v>
      </c>
      <c r="C4997" s="704" t="s">
        <v>918</v>
      </c>
      <c r="D4997" s="704" t="s">
        <v>815</v>
      </c>
      <c r="E4997" s="704" t="s">
        <v>861</v>
      </c>
      <c r="F4997" s="708"/>
      <c r="G4997" s="705">
        <v>1.2545998713324452E-28</v>
      </c>
    </row>
    <row r="4998" spans="2:7" ht="11.25" hidden="1" customHeight="1" outlineLevel="2" x14ac:dyDescent="0.25">
      <c r="B4998" s="704" t="s">
        <v>689</v>
      </c>
      <c r="C4998" s="704" t="s">
        <v>918</v>
      </c>
      <c r="D4998" s="704" t="s">
        <v>815</v>
      </c>
      <c r="E4998" s="704" t="s">
        <v>861</v>
      </c>
      <c r="F4998" s="708"/>
      <c r="G4998" s="705">
        <v>2.963962154097215E-28</v>
      </c>
    </row>
    <row r="4999" spans="2:7" ht="11.25" hidden="1" customHeight="1" outlineLevel="2" x14ac:dyDescent="0.25">
      <c r="B4999" s="704" t="s">
        <v>690</v>
      </c>
      <c r="C4999" s="704" t="s">
        <v>918</v>
      </c>
      <c r="D4999" s="704" t="s">
        <v>815</v>
      </c>
      <c r="E4999" s="704" t="s">
        <v>861</v>
      </c>
      <c r="F4999" s="708"/>
      <c r="G4999" s="705">
        <v>11.418437984075728</v>
      </c>
    </row>
    <row r="5000" spans="2:7" ht="11.25" hidden="1" customHeight="1" outlineLevel="2" x14ac:dyDescent="0.25">
      <c r="B5000" s="704" t="s">
        <v>691</v>
      </c>
      <c r="C5000" s="704" t="s">
        <v>918</v>
      </c>
      <c r="D5000" s="704" t="s">
        <v>815</v>
      </c>
      <c r="E5000" s="704" t="s">
        <v>861</v>
      </c>
      <c r="F5000" s="708"/>
      <c r="G5000" s="705">
        <v>0.75035403335883288</v>
      </c>
    </row>
    <row r="5001" spans="2:7" ht="11.25" hidden="1" customHeight="1" outlineLevel="2" x14ac:dyDescent="0.25">
      <c r="B5001" s="704" t="s">
        <v>692</v>
      </c>
      <c r="C5001" s="704" t="s">
        <v>918</v>
      </c>
      <c r="D5001" s="704" t="s">
        <v>815</v>
      </c>
      <c r="E5001" s="704" t="s">
        <v>861</v>
      </c>
      <c r="F5001" s="708"/>
      <c r="G5001" s="705">
        <v>1.2070919861616314</v>
      </c>
    </row>
    <row r="5002" spans="2:7" ht="11.25" hidden="1" customHeight="1" outlineLevel="2" x14ac:dyDescent="0.25">
      <c r="B5002" s="704" t="s">
        <v>693</v>
      </c>
      <c r="C5002" s="704" t="s">
        <v>918</v>
      </c>
      <c r="D5002" s="704" t="s">
        <v>815</v>
      </c>
      <c r="E5002" s="704" t="s">
        <v>861</v>
      </c>
      <c r="F5002" s="708"/>
      <c r="G5002" s="705">
        <v>2.6262408646441644</v>
      </c>
    </row>
    <row r="5003" spans="2:7" ht="11.25" hidden="1" customHeight="1" outlineLevel="2" x14ac:dyDescent="0.25">
      <c r="B5003" s="704" t="s">
        <v>694</v>
      </c>
      <c r="C5003" s="704" t="s">
        <v>918</v>
      </c>
      <c r="D5003" s="704" t="s">
        <v>815</v>
      </c>
      <c r="E5003" s="704" t="s">
        <v>861</v>
      </c>
      <c r="F5003" s="708"/>
      <c r="G5003" s="705">
        <v>1.310900246665383E-29</v>
      </c>
    </row>
    <row r="5004" spans="2:7" ht="11.25" hidden="1" customHeight="1" outlineLevel="2" x14ac:dyDescent="0.25">
      <c r="B5004" s="704" t="s">
        <v>695</v>
      </c>
      <c r="C5004" s="704" t="s">
        <v>918</v>
      </c>
      <c r="D5004" s="704" t="s">
        <v>815</v>
      </c>
      <c r="E5004" s="704" t="s">
        <v>861</v>
      </c>
      <c r="F5004" s="708"/>
      <c r="G5004" s="705">
        <v>16.312053089128646</v>
      </c>
    </row>
    <row r="5005" spans="2:7" ht="11.25" hidden="1" customHeight="1" outlineLevel="2" x14ac:dyDescent="0.25">
      <c r="B5005" s="704" t="s">
        <v>696</v>
      </c>
      <c r="C5005" s="704" t="s">
        <v>918</v>
      </c>
      <c r="D5005" s="704" t="s">
        <v>815</v>
      </c>
      <c r="E5005" s="704" t="s">
        <v>861</v>
      </c>
      <c r="F5005" s="708"/>
      <c r="G5005" s="705">
        <v>95.262425811614619</v>
      </c>
    </row>
    <row r="5006" spans="2:7" ht="11.25" hidden="1" customHeight="1" outlineLevel="2" x14ac:dyDescent="0.25">
      <c r="B5006" s="704" t="s">
        <v>697</v>
      </c>
      <c r="C5006" s="704" t="s">
        <v>918</v>
      </c>
      <c r="D5006" s="704" t="s">
        <v>815</v>
      </c>
      <c r="E5006" s="704" t="s">
        <v>861</v>
      </c>
      <c r="F5006" s="708"/>
      <c r="G5006" s="705">
        <v>390.83676561208318</v>
      </c>
    </row>
    <row r="5007" spans="2:7" ht="11.25" hidden="1" customHeight="1" outlineLevel="2" x14ac:dyDescent="0.25">
      <c r="B5007" s="704" t="s">
        <v>698</v>
      </c>
      <c r="C5007" s="704" t="s">
        <v>918</v>
      </c>
      <c r="D5007" s="704" t="s">
        <v>815</v>
      </c>
      <c r="E5007" s="704" t="s">
        <v>861</v>
      </c>
      <c r="F5007" s="708"/>
      <c r="G5007" s="705">
        <v>1.0825125124E-29</v>
      </c>
    </row>
    <row r="5008" spans="2:7" ht="11.25" hidden="1" customHeight="1" outlineLevel="2" x14ac:dyDescent="0.25">
      <c r="B5008" s="704" t="s">
        <v>699</v>
      </c>
      <c r="C5008" s="704" t="s">
        <v>918</v>
      </c>
      <c r="D5008" s="704" t="s">
        <v>815</v>
      </c>
      <c r="E5008" s="704" t="s">
        <v>861</v>
      </c>
      <c r="F5008" s="708"/>
      <c r="G5008" s="705">
        <v>2.4695875283605399E-28</v>
      </c>
    </row>
    <row r="5009" spans="2:7" ht="11.25" hidden="1" customHeight="1" outlineLevel="2" x14ac:dyDescent="0.25">
      <c r="B5009" s="704" t="s">
        <v>673</v>
      </c>
      <c r="C5009" s="704" t="s">
        <v>919</v>
      </c>
      <c r="D5009" s="704" t="s">
        <v>920</v>
      </c>
      <c r="E5009" s="704" t="s">
        <v>861</v>
      </c>
      <c r="F5009" s="708"/>
      <c r="G5009" s="705">
        <v>6.5972143187212042</v>
      </c>
    </row>
    <row r="5010" spans="2:7" ht="11.25" hidden="1" customHeight="1" outlineLevel="2" x14ac:dyDescent="0.25">
      <c r="B5010" s="704" t="s">
        <v>677</v>
      </c>
      <c r="C5010" s="704" t="s">
        <v>919</v>
      </c>
      <c r="D5010" s="704" t="s">
        <v>920</v>
      </c>
      <c r="E5010" s="704" t="s">
        <v>861</v>
      </c>
      <c r="F5010" s="706">
        <v>1.5052875154613956E-33</v>
      </c>
      <c r="G5010" s="705">
        <v>1.6409897687458338E-29</v>
      </c>
    </row>
    <row r="5011" spans="2:7" ht="11.25" hidden="1" customHeight="1" outlineLevel="2" x14ac:dyDescent="0.25">
      <c r="B5011" s="704" t="s">
        <v>678</v>
      </c>
      <c r="C5011" s="704" t="s">
        <v>919</v>
      </c>
      <c r="D5011" s="704" t="s">
        <v>920</v>
      </c>
      <c r="E5011" s="704" t="s">
        <v>861</v>
      </c>
      <c r="F5011" s="709"/>
      <c r="G5011" s="705">
        <v>1.1859124293233922E-30</v>
      </c>
    </row>
    <row r="5012" spans="2:7" ht="11.25" hidden="1" customHeight="1" outlineLevel="2" x14ac:dyDescent="0.25">
      <c r="B5012" s="704" t="s">
        <v>679</v>
      </c>
      <c r="C5012" s="704" t="s">
        <v>919</v>
      </c>
      <c r="D5012" s="704" t="s">
        <v>920</v>
      </c>
      <c r="E5012" s="704" t="s">
        <v>861</v>
      </c>
      <c r="F5012" s="709"/>
      <c r="G5012" s="705">
        <v>2.0277223627944984E-29</v>
      </c>
    </row>
    <row r="5013" spans="2:7" ht="11.25" hidden="1" customHeight="1" outlineLevel="2" x14ac:dyDescent="0.25">
      <c r="B5013" s="704" t="s">
        <v>680</v>
      </c>
      <c r="C5013" s="704" t="s">
        <v>919</v>
      </c>
      <c r="D5013" s="704" t="s">
        <v>920</v>
      </c>
      <c r="E5013" s="704" t="s">
        <v>861</v>
      </c>
      <c r="F5013" s="709"/>
      <c r="G5013" s="705">
        <v>8.295574892227551E-30</v>
      </c>
    </row>
    <row r="5014" spans="2:7" ht="11.25" hidden="1" customHeight="1" outlineLevel="2" x14ac:dyDescent="0.25">
      <c r="B5014" s="704" t="s">
        <v>681</v>
      </c>
      <c r="C5014" s="704" t="s">
        <v>919</v>
      </c>
      <c r="D5014" s="704" t="s">
        <v>920</v>
      </c>
      <c r="E5014" s="704" t="s">
        <v>861</v>
      </c>
      <c r="F5014" s="709"/>
      <c r="G5014" s="705">
        <v>1.3456627778411454E-31</v>
      </c>
    </row>
    <row r="5015" spans="2:7" ht="11.25" hidden="1" customHeight="1" outlineLevel="2" x14ac:dyDescent="0.25">
      <c r="B5015" s="704" t="s">
        <v>682</v>
      </c>
      <c r="C5015" s="704" t="s">
        <v>919</v>
      </c>
      <c r="D5015" s="704" t="s">
        <v>920</v>
      </c>
      <c r="E5015" s="704" t="s">
        <v>861</v>
      </c>
      <c r="F5015" s="709"/>
      <c r="G5015" s="705">
        <v>3.0023057417662033E-30</v>
      </c>
    </row>
    <row r="5016" spans="2:7" ht="11.25" hidden="1" customHeight="1" outlineLevel="2" x14ac:dyDescent="0.25">
      <c r="B5016" s="704" t="s">
        <v>683</v>
      </c>
      <c r="C5016" s="704" t="s">
        <v>919</v>
      </c>
      <c r="D5016" s="704" t="s">
        <v>920</v>
      </c>
      <c r="E5016" s="704" t="s">
        <v>861</v>
      </c>
      <c r="F5016" s="709"/>
      <c r="G5016" s="705">
        <v>2.6063399786129779E-29</v>
      </c>
    </row>
    <row r="5017" spans="2:7" ht="11.25" hidden="1" customHeight="1" outlineLevel="2" x14ac:dyDescent="0.25">
      <c r="B5017" s="704" t="s">
        <v>684</v>
      </c>
      <c r="C5017" s="704" t="s">
        <v>919</v>
      </c>
      <c r="D5017" s="704" t="s">
        <v>920</v>
      </c>
      <c r="E5017" s="704" t="s">
        <v>861</v>
      </c>
      <c r="F5017" s="708"/>
      <c r="G5017" s="705">
        <v>3.0680674812669762E-29</v>
      </c>
    </row>
    <row r="5018" spans="2:7" ht="11.25" hidden="1" customHeight="1" outlineLevel="2" x14ac:dyDescent="0.25">
      <c r="B5018" s="704" t="s">
        <v>685</v>
      </c>
      <c r="C5018" s="704" t="s">
        <v>919</v>
      </c>
      <c r="D5018" s="704" t="s">
        <v>920</v>
      </c>
      <c r="E5018" s="704" t="s">
        <v>861</v>
      </c>
      <c r="F5018" s="708"/>
      <c r="G5018" s="705">
        <v>1.3149400217429464E-31</v>
      </c>
    </row>
    <row r="5019" spans="2:7" ht="11.25" hidden="1" customHeight="1" outlineLevel="2" x14ac:dyDescent="0.25">
      <c r="B5019" s="704" t="s">
        <v>686</v>
      </c>
      <c r="C5019" s="704" t="s">
        <v>919</v>
      </c>
      <c r="D5019" s="704" t="s">
        <v>920</v>
      </c>
      <c r="E5019" s="704" t="s">
        <v>861</v>
      </c>
      <c r="F5019" s="708"/>
      <c r="G5019" s="705">
        <v>3129.9053258562585</v>
      </c>
    </row>
    <row r="5020" spans="2:7" ht="11.25" hidden="1" customHeight="1" outlineLevel="2" x14ac:dyDescent="0.25">
      <c r="B5020" s="704" t="s">
        <v>687</v>
      </c>
      <c r="C5020" s="704" t="s">
        <v>919</v>
      </c>
      <c r="D5020" s="704" t="s">
        <v>920</v>
      </c>
      <c r="E5020" s="704" t="s">
        <v>861</v>
      </c>
      <c r="F5020" s="708"/>
      <c r="G5020" s="705">
        <v>3.0023057417662033E-30</v>
      </c>
    </row>
    <row r="5021" spans="2:7" ht="11.25" hidden="1" customHeight="1" outlineLevel="2" x14ac:dyDescent="0.25">
      <c r="B5021" s="704" t="s">
        <v>688</v>
      </c>
      <c r="C5021" s="704" t="s">
        <v>919</v>
      </c>
      <c r="D5021" s="704" t="s">
        <v>920</v>
      </c>
      <c r="E5021" s="704" t="s">
        <v>861</v>
      </c>
      <c r="F5021" s="708"/>
      <c r="G5021" s="705">
        <v>1.8151226406706658E-29</v>
      </c>
    </row>
    <row r="5022" spans="2:7" ht="11.25" hidden="1" customHeight="1" outlineLevel="2" x14ac:dyDescent="0.25">
      <c r="B5022" s="704" t="s">
        <v>689</v>
      </c>
      <c r="C5022" s="704" t="s">
        <v>919</v>
      </c>
      <c r="D5022" s="704" t="s">
        <v>920</v>
      </c>
      <c r="E5022" s="704" t="s">
        <v>861</v>
      </c>
      <c r="F5022" s="708"/>
      <c r="G5022" s="705">
        <v>3.5411677514379905E-30</v>
      </c>
    </row>
    <row r="5023" spans="2:7" ht="11.25" hidden="1" customHeight="1" outlineLevel="2" x14ac:dyDescent="0.25">
      <c r="B5023" s="704" t="s">
        <v>690</v>
      </c>
      <c r="C5023" s="704" t="s">
        <v>919</v>
      </c>
      <c r="D5023" s="704" t="s">
        <v>920</v>
      </c>
      <c r="E5023" s="704" t="s">
        <v>861</v>
      </c>
      <c r="F5023" s="708"/>
      <c r="G5023" s="705">
        <v>1.6409817621205942E-29</v>
      </c>
    </row>
    <row r="5024" spans="2:7" ht="11.25" hidden="1" customHeight="1" outlineLevel="2" x14ac:dyDescent="0.25">
      <c r="B5024" s="704" t="s">
        <v>691</v>
      </c>
      <c r="C5024" s="704" t="s">
        <v>919</v>
      </c>
      <c r="D5024" s="704" t="s">
        <v>920</v>
      </c>
      <c r="E5024" s="704" t="s">
        <v>861</v>
      </c>
      <c r="F5024" s="708"/>
      <c r="G5024" s="705">
        <v>1.6411632203999995E-29</v>
      </c>
    </row>
    <row r="5025" spans="2:7" ht="11.25" hidden="1" customHeight="1" outlineLevel="2" x14ac:dyDescent="0.25">
      <c r="B5025" s="704" t="s">
        <v>692</v>
      </c>
      <c r="C5025" s="704" t="s">
        <v>919</v>
      </c>
      <c r="D5025" s="704" t="s">
        <v>920</v>
      </c>
      <c r="E5025" s="704" t="s">
        <v>861</v>
      </c>
      <c r="F5025" s="708"/>
      <c r="G5025" s="705">
        <v>1.0497217153884028E-29</v>
      </c>
    </row>
    <row r="5026" spans="2:7" ht="11.25" hidden="1" customHeight="1" outlineLevel="2" x14ac:dyDescent="0.25">
      <c r="B5026" s="704" t="s">
        <v>693</v>
      </c>
      <c r="C5026" s="704" t="s">
        <v>919</v>
      </c>
      <c r="D5026" s="704" t="s">
        <v>920</v>
      </c>
      <c r="E5026" s="704" t="s">
        <v>861</v>
      </c>
      <c r="F5026" s="708"/>
      <c r="G5026" s="705">
        <v>1.2556964165000301E-30</v>
      </c>
    </row>
    <row r="5027" spans="2:7" ht="11.25" hidden="1" customHeight="1" outlineLevel="2" x14ac:dyDescent="0.25">
      <c r="B5027" s="704" t="s">
        <v>694</v>
      </c>
      <c r="C5027" s="704" t="s">
        <v>919</v>
      </c>
      <c r="D5027" s="704" t="s">
        <v>920</v>
      </c>
      <c r="E5027" s="704" t="s">
        <v>861</v>
      </c>
      <c r="F5027" s="708"/>
      <c r="G5027" s="705">
        <v>2.0277223627944984E-29</v>
      </c>
    </row>
    <row r="5028" spans="2:7" ht="11.25" hidden="1" customHeight="1" outlineLevel="2" x14ac:dyDescent="0.25">
      <c r="B5028" s="704" t="s">
        <v>695</v>
      </c>
      <c r="C5028" s="704" t="s">
        <v>919</v>
      </c>
      <c r="D5028" s="704" t="s">
        <v>920</v>
      </c>
      <c r="E5028" s="704" t="s">
        <v>861</v>
      </c>
      <c r="F5028" s="708"/>
      <c r="G5028" s="705">
        <v>7.3562761348962141E-30</v>
      </c>
    </row>
    <row r="5029" spans="2:7" ht="11.25" hidden="1" customHeight="1" outlineLevel="2" x14ac:dyDescent="0.25">
      <c r="B5029" s="704" t="s">
        <v>696</v>
      </c>
      <c r="C5029" s="704" t="s">
        <v>919</v>
      </c>
      <c r="D5029" s="704" t="s">
        <v>920</v>
      </c>
      <c r="E5029" s="704" t="s">
        <v>861</v>
      </c>
      <c r="F5029" s="708"/>
      <c r="G5029" s="705">
        <v>1.8944843593013732E-29</v>
      </c>
    </row>
    <row r="5030" spans="2:7" ht="11.25" hidden="1" customHeight="1" outlineLevel="2" x14ac:dyDescent="0.25">
      <c r="B5030" s="704" t="s">
        <v>697</v>
      </c>
      <c r="C5030" s="704" t="s">
        <v>919</v>
      </c>
      <c r="D5030" s="704" t="s">
        <v>920</v>
      </c>
      <c r="E5030" s="704" t="s">
        <v>861</v>
      </c>
      <c r="F5030" s="708"/>
      <c r="G5030" s="705">
        <v>3.0018436612999997E-30</v>
      </c>
    </row>
    <row r="5031" spans="2:7" ht="11.25" hidden="1" customHeight="1" outlineLevel="2" x14ac:dyDescent="0.25">
      <c r="B5031" s="704" t="s">
        <v>698</v>
      </c>
      <c r="C5031" s="704" t="s">
        <v>919</v>
      </c>
      <c r="D5031" s="704" t="s">
        <v>920</v>
      </c>
      <c r="E5031" s="704" t="s">
        <v>861</v>
      </c>
      <c r="F5031" s="708"/>
      <c r="G5031" s="705">
        <v>3.3823720964000013E-29</v>
      </c>
    </row>
    <row r="5032" spans="2:7" ht="11.25" hidden="1" customHeight="1" outlineLevel="2" x14ac:dyDescent="0.25">
      <c r="B5032" s="704" t="s">
        <v>699</v>
      </c>
      <c r="C5032" s="704" t="s">
        <v>919</v>
      </c>
      <c r="D5032" s="704" t="s">
        <v>920</v>
      </c>
      <c r="E5032" s="704" t="s">
        <v>861</v>
      </c>
      <c r="F5032" s="708"/>
      <c r="G5032" s="705">
        <v>3.0023057417662033E-30</v>
      </c>
    </row>
    <row r="5033" spans="2:7" ht="11.25" hidden="1" customHeight="1" outlineLevel="2" x14ac:dyDescent="0.25">
      <c r="B5033" s="704" t="s">
        <v>673</v>
      </c>
      <c r="C5033" s="704" t="s">
        <v>921</v>
      </c>
      <c r="D5033" s="704" t="s">
        <v>712</v>
      </c>
      <c r="E5033" s="704" t="s">
        <v>861</v>
      </c>
      <c r="F5033" s="708"/>
      <c r="G5033" s="705">
        <v>7.9720101268876722E-32</v>
      </c>
    </row>
    <row r="5034" spans="2:7" ht="11.25" hidden="1" customHeight="1" outlineLevel="2" x14ac:dyDescent="0.25">
      <c r="B5034" s="704" t="s">
        <v>677</v>
      </c>
      <c r="C5034" s="704" t="s">
        <v>921</v>
      </c>
      <c r="D5034" s="704" t="s">
        <v>712</v>
      </c>
      <c r="E5034" s="704" t="s">
        <v>861</v>
      </c>
      <c r="F5034" s="705">
        <v>2.3468378065165502E-36</v>
      </c>
      <c r="G5034" s="705">
        <v>7.9720101268876722E-32</v>
      </c>
    </row>
    <row r="5035" spans="2:7" ht="11.25" hidden="1" customHeight="1" outlineLevel="2" x14ac:dyDescent="0.25">
      <c r="B5035" s="704" t="s">
        <v>678</v>
      </c>
      <c r="C5035" s="704" t="s">
        <v>921</v>
      </c>
      <c r="D5035" s="704" t="s">
        <v>712</v>
      </c>
      <c r="E5035" s="704" t="s">
        <v>861</v>
      </c>
      <c r="F5035" s="708"/>
      <c r="G5035" s="705">
        <v>72.367194478489935</v>
      </c>
    </row>
    <row r="5036" spans="2:7" ht="11.25" hidden="1" customHeight="1" outlineLevel="2" x14ac:dyDescent="0.25">
      <c r="B5036" s="704" t="s">
        <v>679</v>
      </c>
      <c r="C5036" s="704" t="s">
        <v>921</v>
      </c>
      <c r="D5036" s="704" t="s">
        <v>712</v>
      </c>
      <c r="E5036" s="704" t="s">
        <v>861</v>
      </c>
      <c r="F5036" s="708"/>
      <c r="G5036" s="705">
        <v>7.9720101268876722E-32</v>
      </c>
    </row>
    <row r="5037" spans="2:7" ht="11.25" hidden="1" customHeight="1" outlineLevel="2" x14ac:dyDescent="0.25">
      <c r="B5037" s="704" t="s">
        <v>680</v>
      </c>
      <c r="C5037" s="704" t="s">
        <v>921</v>
      </c>
      <c r="D5037" s="704" t="s">
        <v>712</v>
      </c>
      <c r="E5037" s="704" t="s">
        <v>861</v>
      </c>
      <c r="F5037" s="708"/>
      <c r="G5037" s="705">
        <v>7.9720101268876722E-32</v>
      </c>
    </row>
    <row r="5038" spans="2:7" ht="11.25" hidden="1" customHeight="1" outlineLevel="2" x14ac:dyDescent="0.25">
      <c r="B5038" s="704" t="s">
        <v>681</v>
      </c>
      <c r="C5038" s="704" t="s">
        <v>921</v>
      </c>
      <c r="D5038" s="704" t="s">
        <v>712</v>
      </c>
      <c r="E5038" s="704" t="s">
        <v>861</v>
      </c>
      <c r="F5038" s="708"/>
      <c r="G5038" s="705">
        <v>72.367194478489935</v>
      </c>
    </row>
    <row r="5039" spans="2:7" ht="11.25" hidden="1" customHeight="1" outlineLevel="2" x14ac:dyDescent="0.25">
      <c r="B5039" s="704" t="s">
        <v>682</v>
      </c>
      <c r="C5039" s="704" t="s">
        <v>921</v>
      </c>
      <c r="D5039" s="704" t="s">
        <v>712</v>
      </c>
      <c r="E5039" s="704" t="s">
        <v>861</v>
      </c>
      <c r="F5039" s="708"/>
      <c r="G5039" s="705">
        <v>7.9720101268876722E-32</v>
      </c>
    </row>
    <row r="5040" spans="2:7" ht="11.25" hidden="1" customHeight="1" outlineLevel="2" x14ac:dyDescent="0.25">
      <c r="B5040" s="704" t="s">
        <v>683</v>
      </c>
      <c r="C5040" s="704" t="s">
        <v>921</v>
      </c>
      <c r="D5040" s="704" t="s">
        <v>712</v>
      </c>
      <c r="E5040" s="704" t="s">
        <v>861</v>
      </c>
      <c r="F5040" s="708"/>
      <c r="G5040" s="705">
        <v>7.9720101268876722E-32</v>
      </c>
    </row>
    <row r="5041" spans="2:7" ht="11.25" hidden="1" customHeight="1" outlineLevel="2" x14ac:dyDescent="0.25">
      <c r="B5041" s="704" t="s">
        <v>684</v>
      </c>
      <c r="C5041" s="704" t="s">
        <v>921</v>
      </c>
      <c r="D5041" s="704" t="s">
        <v>712</v>
      </c>
      <c r="E5041" s="704" t="s">
        <v>861</v>
      </c>
      <c r="F5041" s="708"/>
      <c r="G5041" s="705">
        <v>7.9720101268876722E-32</v>
      </c>
    </row>
    <row r="5042" spans="2:7" ht="11.25" hidden="1" customHeight="1" outlineLevel="2" x14ac:dyDescent="0.25">
      <c r="B5042" s="704" t="s">
        <v>685</v>
      </c>
      <c r="C5042" s="704" t="s">
        <v>921</v>
      </c>
      <c r="D5042" s="704" t="s">
        <v>712</v>
      </c>
      <c r="E5042" s="704" t="s">
        <v>861</v>
      </c>
      <c r="F5042" s="708"/>
      <c r="G5042" s="705">
        <v>7.9720101268876722E-32</v>
      </c>
    </row>
    <row r="5043" spans="2:7" ht="11.25" hidden="1" customHeight="1" outlineLevel="2" x14ac:dyDescent="0.25">
      <c r="B5043" s="704" t="s">
        <v>686</v>
      </c>
      <c r="C5043" s="704" t="s">
        <v>921</v>
      </c>
      <c r="D5043" s="704" t="s">
        <v>712</v>
      </c>
      <c r="E5043" s="704" t="s">
        <v>861</v>
      </c>
      <c r="F5043" s="708"/>
      <c r="G5043" s="705">
        <v>7.9720101268876722E-32</v>
      </c>
    </row>
    <row r="5044" spans="2:7" ht="11.25" hidden="1" customHeight="1" outlineLevel="2" x14ac:dyDescent="0.25">
      <c r="B5044" s="704" t="s">
        <v>687</v>
      </c>
      <c r="C5044" s="704" t="s">
        <v>921</v>
      </c>
      <c r="D5044" s="704" t="s">
        <v>712</v>
      </c>
      <c r="E5044" s="704" t="s">
        <v>861</v>
      </c>
      <c r="F5044" s="708"/>
      <c r="G5044" s="705">
        <v>32.894184444489994</v>
      </c>
    </row>
    <row r="5045" spans="2:7" ht="11.25" hidden="1" customHeight="1" outlineLevel="2" x14ac:dyDescent="0.25">
      <c r="B5045" s="704" t="s">
        <v>688</v>
      </c>
      <c r="C5045" s="704" t="s">
        <v>921</v>
      </c>
      <c r="D5045" s="704" t="s">
        <v>712</v>
      </c>
      <c r="E5045" s="704" t="s">
        <v>861</v>
      </c>
      <c r="F5045" s="708"/>
      <c r="G5045" s="705">
        <v>26.315340949307451</v>
      </c>
    </row>
    <row r="5046" spans="2:7" ht="11.25" hidden="1" customHeight="1" outlineLevel="2" x14ac:dyDescent="0.25">
      <c r="B5046" s="704" t="s">
        <v>689</v>
      </c>
      <c r="C5046" s="704" t="s">
        <v>921</v>
      </c>
      <c r="D5046" s="704" t="s">
        <v>712</v>
      </c>
      <c r="E5046" s="704" t="s">
        <v>861</v>
      </c>
      <c r="F5046" s="708"/>
      <c r="G5046" s="705">
        <v>97.666706199576709</v>
      </c>
    </row>
    <row r="5047" spans="2:7" ht="11.25" hidden="1" customHeight="1" outlineLevel="2" x14ac:dyDescent="0.25">
      <c r="B5047" s="704" t="s">
        <v>690</v>
      </c>
      <c r="C5047" s="704" t="s">
        <v>921</v>
      </c>
      <c r="D5047" s="704" t="s">
        <v>712</v>
      </c>
      <c r="E5047" s="704" t="s">
        <v>861</v>
      </c>
      <c r="F5047" s="708"/>
      <c r="G5047" s="705">
        <v>7.9720101268876722E-32</v>
      </c>
    </row>
    <row r="5048" spans="2:7" ht="11.25" hidden="1" customHeight="1" outlineLevel="2" x14ac:dyDescent="0.25">
      <c r="B5048" s="704" t="s">
        <v>691</v>
      </c>
      <c r="C5048" s="704" t="s">
        <v>921</v>
      </c>
      <c r="D5048" s="704" t="s">
        <v>712</v>
      </c>
      <c r="E5048" s="704" t="s">
        <v>861</v>
      </c>
      <c r="F5048" s="708"/>
      <c r="G5048" s="705">
        <v>7.9710240719999993E-32</v>
      </c>
    </row>
    <row r="5049" spans="2:7" ht="11.25" hidden="1" customHeight="1" outlineLevel="2" x14ac:dyDescent="0.25">
      <c r="B5049" s="704" t="s">
        <v>692</v>
      </c>
      <c r="C5049" s="704" t="s">
        <v>921</v>
      </c>
      <c r="D5049" s="704" t="s">
        <v>712</v>
      </c>
      <c r="E5049" s="704" t="s">
        <v>861</v>
      </c>
      <c r="F5049" s="709"/>
      <c r="G5049" s="705">
        <v>7.9720101268876426E-32</v>
      </c>
    </row>
    <row r="5050" spans="2:7" ht="11.25" hidden="1" customHeight="1" outlineLevel="2" x14ac:dyDescent="0.25">
      <c r="B5050" s="704" t="s">
        <v>693</v>
      </c>
      <c r="C5050" s="704" t="s">
        <v>921</v>
      </c>
      <c r="D5050" s="704" t="s">
        <v>712</v>
      </c>
      <c r="E5050" s="704" t="s">
        <v>861</v>
      </c>
      <c r="F5050" s="709"/>
      <c r="G5050" s="705">
        <v>7.9720101268876722E-32</v>
      </c>
    </row>
    <row r="5051" spans="2:7" ht="11.25" hidden="1" customHeight="1" outlineLevel="2" x14ac:dyDescent="0.25">
      <c r="B5051" s="704" t="s">
        <v>694</v>
      </c>
      <c r="C5051" s="704" t="s">
        <v>921</v>
      </c>
      <c r="D5051" s="704" t="s">
        <v>712</v>
      </c>
      <c r="E5051" s="704" t="s">
        <v>861</v>
      </c>
      <c r="F5051" s="709"/>
      <c r="G5051" s="705">
        <v>7.9720101268876722E-32</v>
      </c>
    </row>
    <row r="5052" spans="2:7" ht="11.25" hidden="1" customHeight="1" outlineLevel="2" x14ac:dyDescent="0.25">
      <c r="B5052" s="704" t="s">
        <v>695</v>
      </c>
      <c r="C5052" s="704" t="s">
        <v>921</v>
      </c>
      <c r="D5052" s="704" t="s">
        <v>712</v>
      </c>
      <c r="E5052" s="704" t="s">
        <v>861</v>
      </c>
      <c r="F5052" s="709"/>
      <c r="G5052" s="705">
        <v>7.9720101268876722E-32</v>
      </c>
    </row>
    <row r="5053" spans="2:7" ht="11.25" hidden="1" customHeight="1" outlineLevel="2" x14ac:dyDescent="0.25">
      <c r="B5053" s="704" t="s">
        <v>696</v>
      </c>
      <c r="C5053" s="704" t="s">
        <v>921</v>
      </c>
      <c r="D5053" s="704" t="s">
        <v>712</v>
      </c>
      <c r="E5053" s="704" t="s">
        <v>861</v>
      </c>
      <c r="F5053" s="709"/>
      <c r="G5053" s="705">
        <v>26.315340949307451</v>
      </c>
    </row>
    <row r="5054" spans="2:7" ht="11.25" hidden="1" customHeight="1" outlineLevel="2" x14ac:dyDescent="0.25">
      <c r="B5054" s="704" t="s">
        <v>697</v>
      </c>
      <c r="C5054" s="704" t="s">
        <v>921</v>
      </c>
      <c r="D5054" s="704" t="s">
        <v>712</v>
      </c>
      <c r="E5054" s="704" t="s">
        <v>861</v>
      </c>
      <c r="F5054" s="709"/>
      <c r="G5054" s="705">
        <v>7.9710240719999993E-32</v>
      </c>
    </row>
    <row r="5055" spans="2:7" ht="11.25" hidden="1" customHeight="1" outlineLevel="2" x14ac:dyDescent="0.25">
      <c r="B5055" s="704" t="s">
        <v>698</v>
      </c>
      <c r="C5055" s="704" t="s">
        <v>921</v>
      </c>
      <c r="D5055" s="704" t="s">
        <v>712</v>
      </c>
      <c r="E5055" s="704" t="s">
        <v>861</v>
      </c>
      <c r="F5055" s="709"/>
      <c r="G5055" s="705">
        <v>7.9710240719999993E-32</v>
      </c>
    </row>
    <row r="5056" spans="2:7" ht="11.25" hidden="1" customHeight="1" outlineLevel="2" x14ac:dyDescent="0.25">
      <c r="B5056" s="704" t="s">
        <v>699</v>
      </c>
      <c r="C5056" s="704" t="s">
        <v>921</v>
      </c>
      <c r="D5056" s="704" t="s">
        <v>712</v>
      </c>
      <c r="E5056" s="704" t="s">
        <v>861</v>
      </c>
      <c r="F5056" s="708"/>
      <c r="G5056" s="705">
        <v>72.367194478489935</v>
      </c>
    </row>
    <row r="5057" spans="2:7" ht="11.25" hidden="1" customHeight="1" outlineLevel="2" x14ac:dyDescent="0.25">
      <c r="B5057" s="704" t="s">
        <v>673</v>
      </c>
      <c r="C5057" s="704" t="s">
        <v>922</v>
      </c>
      <c r="D5057" s="704" t="s">
        <v>822</v>
      </c>
      <c r="E5057" s="704" t="s">
        <v>861</v>
      </c>
      <c r="F5057" s="708"/>
      <c r="G5057" s="705">
        <v>125.76542773134474</v>
      </c>
    </row>
    <row r="5058" spans="2:7" ht="11.25" hidden="1" customHeight="1" outlineLevel="2" x14ac:dyDescent="0.25">
      <c r="B5058" s="704" t="s">
        <v>677</v>
      </c>
      <c r="C5058" s="704" t="s">
        <v>922</v>
      </c>
      <c r="D5058" s="704" t="s">
        <v>822</v>
      </c>
      <c r="E5058" s="704" t="s">
        <v>861</v>
      </c>
      <c r="F5058" s="705">
        <v>6.6885691685737853E-3</v>
      </c>
      <c r="G5058" s="705">
        <v>155.96218990722787</v>
      </c>
    </row>
    <row r="5059" spans="2:7" ht="11.25" hidden="1" customHeight="1" outlineLevel="2" x14ac:dyDescent="0.25">
      <c r="B5059" s="704" t="s">
        <v>678</v>
      </c>
      <c r="C5059" s="704" t="s">
        <v>922</v>
      </c>
      <c r="D5059" s="704" t="s">
        <v>822</v>
      </c>
      <c r="E5059" s="704" t="s">
        <v>861</v>
      </c>
      <c r="F5059" s="709"/>
      <c r="G5059" s="705">
        <v>301.15392868910487</v>
      </c>
    </row>
    <row r="5060" spans="2:7" ht="11.25" hidden="1" customHeight="1" outlineLevel="2" x14ac:dyDescent="0.25">
      <c r="B5060" s="704" t="s">
        <v>679</v>
      </c>
      <c r="C5060" s="704" t="s">
        <v>922</v>
      </c>
      <c r="D5060" s="704" t="s">
        <v>822</v>
      </c>
      <c r="E5060" s="704" t="s">
        <v>861</v>
      </c>
      <c r="F5060" s="708"/>
      <c r="G5060" s="705">
        <v>6.3939927866126531E-30</v>
      </c>
    </row>
    <row r="5061" spans="2:7" ht="11.25" hidden="1" customHeight="1" outlineLevel="2" x14ac:dyDescent="0.25">
      <c r="B5061" s="704" t="s">
        <v>680</v>
      </c>
      <c r="C5061" s="704" t="s">
        <v>922</v>
      </c>
      <c r="D5061" s="704" t="s">
        <v>822</v>
      </c>
      <c r="E5061" s="704" t="s">
        <v>861</v>
      </c>
      <c r="F5061" s="708"/>
      <c r="G5061" s="705">
        <v>6.7959081952121128E-30</v>
      </c>
    </row>
    <row r="5062" spans="2:7" ht="11.25" hidden="1" customHeight="1" outlineLevel="2" x14ac:dyDescent="0.25">
      <c r="B5062" s="704" t="s">
        <v>681</v>
      </c>
      <c r="C5062" s="704" t="s">
        <v>922</v>
      </c>
      <c r="D5062" s="704" t="s">
        <v>822</v>
      </c>
      <c r="E5062" s="704" t="s">
        <v>861</v>
      </c>
      <c r="F5062" s="709"/>
      <c r="G5062" s="705">
        <v>86.34797149467262</v>
      </c>
    </row>
    <row r="5063" spans="2:7" ht="11.25" hidden="1" customHeight="1" outlineLevel="2" x14ac:dyDescent="0.25">
      <c r="B5063" s="704" t="s">
        <v>682</v>
      </c>
      <c r="C5063" s="704" t="s">
        <v>922</v>
      </c>
      <c r="D5063" s="704" t="s">
        <v>822</v>
      </c>
      <c r="E5063" s="704" t="s">
        <v>861</v>
      </c>
      <c r="F5063" s="708"/>
      <c r="G5063" s="705">
        <v>156.34202811417143</v>
      </c>
    </row>
    <row r="5064" spans="2:7" ht="11.25" hidden="1" customHeight="1" outlineLevel="2" x14ac:dyDescent="0.25">
      <c r="B5064" s="704" t="s">
        <v>683</v>
      </c>
      <c r="C5064" s="704" t="s">
        <v>922</v>
      </c>
      <c r="D5064" s="704" t="s">
        <v>822</v>
      </c>
      <c r="E5064" s="704" t="s">
        <v>861</v>
      </c>
      <c r="F5064" s="708"/>
      <c r="G5064" s="705">
        <v>3.5733218701167044</v>
      </c>
    </row>
    <row r="5065" spans="2:7" ht="11.25" hidden="1" customHeight="1" outlineLevel="2" x14ac:dyDescent="0.25">
      <c r="B5065" s="704" t="s">
        <v>684</v>
      </c>
      <c r="C5065" s="704" t="s">
        <v>922</v>
      </c>
      <c r="D5065" s="704" t="s">
        <v>822</v>
      </c>
      <c r="E5065" s="704" t="s">
        <v>861</v>
      </c>
      <c r="F5065" s="708"/>
      <c r="G5065" s="705">
        <v>1.2436048323365563E-30</v>
      </c>
    </row>
    <row r="5066" spans="2:7" ht="11.25" hidden="1" customHeight="1" outlineLevel="2" x14ac:dyDescent="0.25">
      <c r="B5066" s="704" t="s">
        <v>685</v>
      </c>
      <c r="C5066" s="704" t="s">
        <v>922</v>
      </c>
      <c r="D5066" s="704" t="s">
        <v>822</v>
      </c>
      <c r="E5066" s="704" t="s">
        <v>861</v>
      </c>
      <c r="F5066" s="709"/>
      <c r="G5066" s="705">
        <v>363.24167628879417</v>
      </c>
    </row>
    <row r="5067" spans="2:7" ht="11.25" hidden="1" customHeight="1" outlineLevel="2" x14ac:dyDescent="0.25">
      <c r="B5067" s="704" t="s">
        <v>686</v>
      </c>
      <c r="C5067" s="704" t="s">
        <v>922</v>
      </c>
      <c r="D5067" s="704" t="s">
        <v>822</v>
      </c>
      <c r="E5067" s="704" t="s">
        <v>861</v>
      </c>
      <c r="F5067" s="709"/>
      <c r="G5067" s="705">
        <v>19.584352636609502</v>
      </c>
    </row>
    <row r="5068" spans="2:7" ht="11.25" hidden="1" customHeight="1" outlineLevel="2" x14ac:dyDescent="0.25">
      <c r="B5068" s="704" t="s">
        <v>687</v>
      </c>
      <c r="C5068" s="704" t="s">
        <v>922</v>
      </c>
      <c r="D5068" s="704" t="s">
        <v>822</v>
      </c>
      <c r="E5068" s="704" t="s">
        <v>861</v>
      </c>
      <c r="F5068" s="709"/>
      <c r="G5068" s="705">
        <v>157.62616095091926</v>
      </c>
    </row>
    <row r="5069" spans="2:7" ht="11.25" hidden="1" customHeight="1" outlineLevel="2" x14ac:dyDescent="0.25">
      <c r="B5069" s="704" t="s">
        <v>688</v>
      </c>
      <c r="C5069" s="704" t="s">
        <v>922</v>
      </c>
      <c r="D5069" s="704" t="s">
        <v>822</v>
      </c>
      <c r="E5069" s="704" t="s">
        <v>861</v>
      </c>
      <c r="F5069" s="708"/>
      <c r="G5069" s="705">
        <v>197.93776471432295</v>
      </c>
    </row>
    <row r="5070" spans="2:7" ht="11.25" hidden="1" customHeight="1" outlineLevel="2" x14ac:dyDescent="0.25">
      <c r="B5070" s="704" t="s">
        <v>689</v>
      </c>
      <c r="C5070" s="704" t="s">
        <v>922</v>
      </c>
      <c r="D5070" s="704" t="s">
        <v>822</v>
      </c>
      <c r="E5070" s="704" t="s">
        <v>861</v>
      </c>
      <c r="F5070" s="708"/>
      <c r="G5070" s="705">
        <v>8.0791428019865141E-30</v>
      </c>
    </row>
    <row r="5071" spans="2:7" ht="11.25" hidden="1" customHeight="1" outlineLevel="2" x14ac:dyDescent="0.25">
      <c r="B5071" s="704" t="s">
        <v>690</v>
      </c>
      <c r="C5071" s="704" t="s">
        <v>922</v>
      </c>
      <c r="D5071" s="704" t="s">
        <v>822</v>
      </c>
      <c r="E5071" s="704" t="s">
        <v>861</v>
      </c>
      <c r="F5071" s="708"/>
      <c r="G5071" s="705">
        <v>236.50807771485592</v>
      </c>
    </row>
    <row r="5072" spans="2:7" ht="11.25" hidden="1" customHeight="1" outlineLevel="2" x14ac:dyDescent="0.25">
      <c r="B5072" s="704" t="s">
        <v>691</v>
      </c>
      <c r="C5072" s="704" t="s">
        <v>922</v>
      </c>
      <c r="D5072" s="704" t="s">
        <v>822</v>
      </c>
      <c r="E5072" s="704" t="s">
        <v>861</v>
      </c>
      <c r="F5072" s="708"/>
      <c r="G5072" s="705">
        <v>154.76207798803901</v>
      </c>
    </row>
    <row r="5073" spans="2:7" ht="11.25" hidden="1" customHeight="1" outlineLevel="2" x14ac:dyDescent="0.25">
      <c r="B5073" s="704" t="s">
        <v>692</v>
      </c>
      <c r="C5073" s="704" t="s">
        <v>922</v>
      </c>
      <c r="D5073" s="704" t="s">
        <v>822</v>
      </c>
      <c r="E5073" s="704" t="s">
        <v>861</v>
      </c>
      <c r="F5073" s="708"/>
      <c r="G5073" s="705">
        <v>1.0428807545197997E-29</v>
      </c>
    </row>
    <row r="5074" spans="2:7" ht="11.25" hidden="1" customHeight="1" outlineLevel="2" x14ac:dyDescent="0.25">
      <c r="B5074" s="704" t="s">
        <v>693</v>
      </c>
      <c r="C5074" s="704" t="s">
        <v>922</v>
      </c>
      <c r="D5074" s="704" t="s">
        <v>822</v>
      </c>
      <c r="E5074" s="704" t="s">
        <v>861</v>
      </c>
      <c r="F5074" s="708"/>
      <c r="G5074" s="705">
        <v>3.173088276097573E-29</v>
      </c>
    </row>
    <row r="5075" spans="2:7" ht="11.25" hidden="1" customHeight="1" outlineLevel="2" x14ac:dyDescent="0.25">
      <c r="B5075" s="704" t="s">
        <v>694</v>
      </c>
      <c r="C5075" s="704" t="s">
        <v>922</v>
      </c>
      <c r="D5075" s="704" t="s">
        <v>822</v>
      </c>
      <c r="E5075" s="704" t="s">
        <v>861</v>
      </c>
      <c r="F5075" s="708"/>
      <c r="G5075" s="705">
        <v>1.8185952543475339</v>
      </c>
    </row>
    <row r="5076" spans="2:7" ht="11.25" hidden="1" customHeight="1" outlineLevel="2" x14ac:dyDescent="0.25">
      <c r="B5076" s="704" t="s">
        <v>695</v>
      </c>
      <c r="C5076" s="704" t="s">
        <v>922</v>
      </c>
      <c r="D5076" s="704" t="s">
        <v>822</v>
      </c>
      <c r="E5076" s="704" t="s">
        <v>861</v>
      </c>
      <c r="F5076" s="708"/>
      <c r="G5076" s="705">
        <v>1.3653770425009171E-30</v>
      </c>
    </row>
    <row r="5077" spans="2:7" ht="11.25" hidden="1" customHeight="1" outlineLevel="2" x14ac:dyDescent="0.25">
      <c r="B5077" s="704" t="s">
        <v>696</v>
      </c>
      <c r="C5077" s="704" t="s">
        <v>922</v>
      </c>
      <c r="D5077" s="704" t="s">
        <v>822</v>
      </c>
      <c r="E5077" s="704" t="s">
        <v>861</v>
      </c>
      <c r="F5077" s="708"/>
      <c r="G5077" s="705">
        <v>182.81411312857585</v>
      </c>
    </row>
    <row r="5078" spans="2:7" ht="11.25" hidden="1" customHeight="1" outlineLevel="2" x14ac:dyDescent="0.25">
      <c r="B5078" s="704" t="s">
        <v>697</v>
      </c>
      <c r="C5078" s="704" t="s">
        <v>922</v>
      </c>
      <c r="D5078" s="704" t="s">
        <v>822</v>
      </c>
      <c r="E5078" s="704" t="s">
        <v>861</v>
      </c>
      <c r="F5078" s="708"/>
      <c r="G5078" s="705">
        <v>3.9397285844655876</v>
      </c>
    </row>
    <row r="5079" spans="2:7" ht="11.25" hidden="1" customHeight="1" outlineLevel="2" x14ac:dyDescent="0.25">
      <c r="B5079" s="704" t="s">
        <v>698</v>
      </c>
      <c r="C5079" s="704" t="s">
        <v>922</v>
      </c>
      <c r="D5079" s="704" t="s">
        <v>822</v>
      </c>
      <c r="E5079" s="704" t="s">
        <v>861</v>
      </c>
      <c r="F5079" s="709"/>
      <c r="G5079" s="705">
        <v>1.8185952544074</v>
      </c>
    </row>
    <row r="5080" spans="2:7" ht="11.25" hidden="1" customHeight="1" outlineLevel="2" x14ac:dyDescent="0.25">
      <c r="B5080" s="704" t="s">
        <v>699</v>
      </c>
      <c r="C5080" s="704" t="s">
        <v>922</v>
      </c>
      <c r="D5080" s="704" t="s">
        <v>822</v>
      </c>
      <c r="E5080" s="704" t="s">
        <v>861</v>
      </c>
      <c r="F5080" s="709"/>
      <c r="G5080" s="705">
        <v>153.41750339997955</v>
      </c>
    </row>
    <row r="5081" spans="2:7" ht="11.25" hidden="1" customHeight="1" outlineLevel="1" x14ac:dyDescent="0.25">
      <c r="B5081" s="710"/>
      <c r="C5081" s="710"/>
      <c r="D5081" s="710"/>
      <c r="E5081" s="711" t="s">
        <v>923</v>
      </c>
      <c r="F5081" s="709">
        <f t="shared" ref="F5081:G5081" si="12">SUBTOTAL(9,F3617:F5080)</f>
        <v>6.6763646010321196</v>
      </c>
      <c r="G5081" s="706">
        <f t="shared" si="12"/>
        <v>2109619.4317848776</v>
      </c>
    </row>
    <row r="5082" spans="2:7" ht="11.25" customHeight="1" collapsed="1" x14ac:dyDescent="0.25">
      <c r="B5082" s="710"/>
      <c r="C5082" s="710"/>
      <c r="D5082" s="710"/>
      <c r="E5082" s="711" t="s">
        <v>597</v>
      </c>
      <c r="F5082" s="709">
        <f t="shared" ref="F5082:G5082" si="13">SUBTOTAL(9,F17:F5080)</f>
        <v>1466.2725802679988</v>
      </c>
      <c r="G5082" s="706">
        <f t="shared" si="13"/>
        <v>3591419.5664793812</v>
      </c>
    </row>
    <row r="5083" spans="2:7" ht="11.25" customHeight="1" x14ac:dyDescent="0.2">
      <c r="B5083" s="466"/>
      <c r="C5083" s="466"/>
      <c r="D5083" s="466"/>
      <c r="E5083" s="466"/>
      <c r="F5083" s="466"/>
      <c r="G5083" s="466"/>
    </row>
    <row r="5084" spans="2:7" ht="11.25" customHeight="1" x14ac:dyDescent="0.2">
      <c r="B5084" s="466"/>
      <c r="C5084" s="466"/>
      <c r="D5084" s="466"/>
      <c r="E5084" s="466"/>
      <c r="F5084" s="466"/>
      <c r="G5084" s="466"/>
    </row>
    <row r="5085" spans="2:7" ht="11.25" customHeight="1" x14ac:dyDescent="0.2">
      <c r="B5085" s="466"/>
      <c r="C5085" s="466"/>
      <c r="D5085" s="466"/>
      <c r="E5085" s="466"/>
      <c r="F5085" s="466"/>
      <c r="G5085" s="466"/>
    </row>
    <row r="5086" spans="2:7" ht="11.25" customHeight="1" x14ac:dyDescent="0.2">
      <c r="B5086" s="466"/>
      <c r="C5086" s="466"/>
      <c r="D5086" s="466"/>
      <c r="E5086" s="466"/>
      <c r="F5086" s="466"/>
      <c r="G5086" s="466"/>
    </row>
    <row r="5087" spans="2:7" ht="11.25" customHeight="1" x14ac:dyDescent="0.2">
      <c r="B5087" s="702" t="s">
        <v>924</v>
      </c>
      <c r="C5087" s="466"/>
      <c r="D5087" s="466"/>
      <c r="E5087" s="466"/>
      <c r="F5087" s="466"/>
      <c r="G5087" s="466"/>
    </row>
    <row r="5088" spans="2:7" ht="11.25" customHeight="1" x14ac:dyDescent="0.35">
      <c r="B5088" s="703" t="s">
        <v>667</v>
      </c>
      <c r="C5088" s="703" t="s">
        <v>668</v>
      </c>
      <c r="D5088" s="703" t="s">
        <v>669</v>
      </c>
      <c r="E5088" s="703" t="s">
        <v>670</v>
      </c>
      <c r="F5088" s="703" t="s">
        <v>925</v>
      </c>
      <c r="G5088" s="703" t="s">
        <v>926</v>
      </c>
    </row>
    <row r="5089" spans="2:7" ht="11.25" hidden="1" customHeight="1" outlineLevel="2" x14ac:dyDescent="0.25">
      <c r="B5089" s="704" t="s">
        <v>673</v>
      </c>
      <c r="C5089" s="704" t="s">
        <v>739</v>
      </c>
      <c r="D5089" s="704" t="s">
        <v>44</v>
      </c>
      <c r="E5089" s="704" t="s">
        <v>448</v>
      </c>
      <c r="F5089" s="705">
        <v>3.1361120053399928E-4</v>
      </c>
      <c r="G5089" s="705">
        <v>0.19128313565227872</v>
      </c>
    </row>
    <row r="5090" spans="2:7" ht="11.25" hidden="1" customHeight="1" outlineLevel="2" x14ac:dyDescent="0.25">
      <c r="B5090" s="704" t="s">
        <v>677</v>
      </c>
      <c r="C5090" s="704" t="s">
        <v>739</v>
      </c>
      <c r="D5090" s="704" t="s">
        <v>44</v>
      </c>
      <c r="E5090" s="704" t="s">
        <v>448</v>
      </c>
      <c r="F5090" s="705">
        <v>5.8380535195254161E-4</v>
      </c>
      <c r="G5090" s="705">
        <v>0.35556396398702633</v>
      </c>
    </row>
    <row r="5091" spans="2:7" ht="11.25" hidden="1" customHeight="1" outlineLevel="2" x14ac:dyDescent="0.25">
      <c r="B5091" s="704" t="s">
        <v>678</v>
      </c>
      <c r="C5091" s="704" t="s">
        <v>739</v>
      </c>
      <c r="D5091" s="704" t="s">
        <v>44</v>
      </c>
      <c r="E5091" s="704" t="s">
        <v>448</v>
      </c>
      <c r="F5091" s="705">
        <v>1.1927206808498806E-3</v>
      </c>
      <c r="G5091" s="705">
        <v>0.72739728040289386</v>
      </c>
    </row>
    <row r="5092" spans="2:7" ht="11.25" hidden="1" customHeight="1" outlineLevel="2" x14ac:dyDescent="0.25">
      <c r="B5092" s="704" t="s">
        <v>679</v>
      </c>
      <c r="C5092" s="704" t="s">
        <v>739</v>
      </c>
      <c r="D5092" s="704" t="s">
        <v>44</v>
      </c>
      <c r="E5092" s="704" t="s">
        <v>448</v>
      </c>
      <c r="F5092" s="705">
        <v>4.1970611334212274E-4</v>
      </c>
      <c r="G5092" s="705">
        <v>0.25596369913852324</v>
      </c>
    </row>
    <row r="5093" spans="2:7" ht="11.25" hidden="1" customHeight="1" outlineLevel="2" x14ac:dyDescent="0.25">
      <c r="B5093" s="704" t="s">
        <v>680</v>
      </c>
      <c r="C5093" s="704" t="s">
        <v>739</v>
      </c>
      <c r="D5093" s="704" t="s">
        <v>44</v>
      </c>
      <c r="E5093" s="704" t="s">
        <v>448</v>
      </c>
      <c r="F5093" s="705">
        <v>2.7316361427384486E-3</v>
      </c>
      <c r="G5093" s="705">
        <v>1.6661259253040788</v>
      </c>
    </row>
    <row r="5094" spans="2:7" ht="11.25" hidden="1" customHeight="1" outlineLevel="2" x14ac:dyDescent="0.25">
      <c r="B5094" s="704" t="s">
        <v>681</v>
      </c>
      <c r="C5094" s="704" t="s">
        <v>739</v>
      </c>
      <c r="D5094" s="704" t="s">
        <v>44</v>
      </c>
      <c r="E5094" s="704" t="s">
        <v>448</v>
      </c>
      <c r="F5094" s="705">
        <v>3.0918712131196239E-3</v>
      </c>
      <c r="G5094" s="705">
        <v>1.8856203365723994</v>
      </c>
    </row>
    <row r="5095" spans="2:7" ht="11.25" hidden="1" customHeight="1" outlineLevel="2" x14ac:dyDescent="0.25">
      <c r="B5095" s="704" t="s">
        <v>682</v>
      </c>
      <c r="C5095" s="704" t="s">
        <v>739</v>
      </c>
      <c r="D5095" s="704" t="s">
        <v>44</v>
      </c>
      <c r="E5095" s="704" t="s">
        <v>448</v>
      </c>
      <c r="F5095" s="705">
        <v>1.5034877391004414E-3</v>
      </c>
      <c r="G5095" s="705">
        <v>0.91692252117684248</v>
      </c>
    </row>
    <row r="5096" spans="2:7" ht="11.25" hidden="1" customHeight="1" outlineLevel="2" x14ac:dyDescent="0.25">
      <c r="B5096" s="704" t="s">
        <v>683</v>
      </c>
      <c r="C5096" s="704" t="s">
        <v>739</v>
      </c>
      <c r="D5096" s="704" t="s">
        <v>44</v>
      </c>
      <c r="E5096" s="704" t="s">
        <v>448</v>
      </c>
      <c r="F5096" s="705">
        <v>7.067403502474842E-4</v>
      </c>
      <c r="G5096" s="705">
        <v>0.43101510898029383</v>
      </c>
    </row>
    <row r="5097" spans="2:7" ht="11.25" hidden="1" customHeight="1" outlineLevel="2" x14ac:dyDescent="0.25">
      <c r="B5097" s="704" t="s">
        <v>684</v>
      </c>
      <c r="C5097" s="704" t="s">
        <v>739</v>
      </c>
      <c r="D5097" s="704" t="s">
        <v>44</v>
      </c>
      <c r="E5097" s="704" t="s">
        <v>448</v>
      </c>
      <c r="F5097" s="705">
        <v>2.4651146391015078E-3</v>
      </c>
      <c r="G5097" s="705">
        <v>1.5035649757936125</v>
      </c>
    </row>
    <row r="5098" spans="2:7" ht="11.25" hidden="1" customHeight="1" outlineLevel="2" x14ac:dyDescent="0.25">
      <c r="B5098" s="704" t="s">
        <v>685</v>
      </c>
      <c r="C5098" s="704" t="s">
        <v>739</v>
      </c>
      <c r="D5098" s="704" t="s">
        <v>44</v>
      </c>
      <c r="E5098" s="704" t="s">
        <v>448</v>
      </c>
      <c r="F5098" s="705">
        <v>3.7617713225847867E-3</v>
      </c>
      <c r="G5098" s="705">
        <v>2.2941701573355466</v>
      </c>
    </row>
    <row r="5099" spans="2:7" ht="11.25" hidden="1" customHeight="1" outlineLevel="2" x14ac:dyDescent="0.25">
      <c r="B5099" s="704" t="s">
        <v>686</v>
      </c>
      <c r="C5099" s="704" t="s">
        <v>739</v>
      </c>
      <c r="D5099" s="704" t="s">
        <v>44</v>
      </c>
      <c r="E5099" s="704" t="s">
        <v>448</v>
      </c>
      <c r="F5099" s="705">
        <v>1.1504759885282523E-3</v>
      </c>
      <c r="G5099" s="705">
        <v>0.70171731050919905</v>
      </c>
    </row>
    <row r="5100" spans="2:7" ht="11.25" hidden="1" customHeight="1" outlineLevel="2" x14ac:dyDescent="0.25">
      <c r="B5100" s="704" t="s">
        <v>687</v>
      </c>
      <c r="C5100" s="704" t="s">
        <v>739</v>
      </c>
      <c r="D5100" s="704" t="s">
        <v>44</v>
      </c>
      <c r="E5100" s="704" t="s">
        <v>448</v>
      </c>
      <c r="F5100" s="705">
        <v>1.4084296352669344E-3</v>
      </c>
      <c r="G5100" s="705">
        <v>0.85895051878247175</v>
      </c>
    </row>
    <row r="5101" spans="2:7" ht="11.25" hidden="1" customHeight="1" outlineLevel="2" x14ac:dyDescent="0.25">
      <c r="B5101" s="704" t="s">
        <v>688</v>
      </c>
      <c r="C5101" s="704" t="s">
        <v>739</v>
      </c>
      <c r="D5101" s="704" t="s">
        <v>44</v>
      </c>
      <c r="E5101" s="704" t="s">
        <v>448</v>
      </c>
      <c r="F5101" s="705">
        <v>6.3891657182191936E-4</v>
      </c>
      <c r="G5101" s="705">
        <v>0.3896519280581171</v>
      </c>
    </row>
    <row r="5102" spans="2:7" ht="11.25" hidden="1" customHeight="1" outlineLevel="2" x14ac:dyDescent="0.25">
      <c r="B5102" s="704" t="s">
        <v>689</v>
      </c>
      <c r="C5102" s="704" t="s">
        <v>739</v>
      </c>
      <c r="D5102" s="704" t="s">
        <v>44</v>
      </c>
      <c r="E5102" s="704" t="s">
        <v>448</v>
      </c>
      <c r="F5102" s="705">
        <v>3.1208091333729295E-3</v>
      </c>
      <c r="G5102" s="705">
        <v>1.9033307783944065</v>
      </c>
    </row>
    <row r="5103" spans="2:7" ht="11.25" hidden="1" customHeight="1" outlineLevel="2" x14ac:dyDescent="0.25">
      <c r="B5103" s="704" t="s">
        <v>690</v>
      </c>
      <c r="C5103" s="704" t="s">
        <v>739</v>
      </c>
      <c r="D5103" s="704" t="s">
        <v>44</v>
      </c>
      <c r="E5103" s="704" t="s">
        <v>448</v>
      </c>
      <c r="F5103" s="705">
        <v>1.3682747475967769E-3</v>
      </c>
      <c r="G5103" s="705">
        <v>0.83446113407900402</v>
      </c>
    </row>
    <row r="5104" spans="2:7" ht="11.25" hidden="1" customHeight="1" outlineLevel="2" x14ac:dyDescent="0.25">
      <c r="B5104" s="704" t="s">
        <v>691</v>
      </c>
      <c r="C5104" s="704" t="s">
        <v>739</v>
      </c>
      <c r="D5104" s="704" t="s">
        <v>44</v>
      </c>
      <c r="E5104" s="704" t="s">
        <v>448</v>
      </c>
      <c r="F5104" s="706">
        <v>5.3496567486231955E-4</v>
      </c>
      <c r="G5104" s="705">
        <v>0.32625641658943949</v>
      </c>
    </row>
    <row r="5105" spans="2:7" ht="11.25" hidden="1" customHeight="1" outlineLevel="2" x14ac:dyDescent="0.25">
      <c r="B5105" s="704" t="s">
        <v>692</v>
      </c>
      <c r="C5105" s="704" t="s">
        <v>739</v>
      </c>
      <c r="D5105" s="704" t="s">
        <v>44</v>
      </c>
      <c r="E5105" s="704" t="s">
        <v>448</v>
      </c>
      <c r="F5105" s="706">
        <v>3.8563973149799051E-3</v>
      </c>
      <c r="G5105" s="705">
        <v>2.3518767540235155</v>
      </c>
    </row>
    <row r="5106" spans="2:7" ht="11.25" hidden="1" customHeight="1" outlineLevel="2" x14ac:dyDescent="0.25">
      <c r="B5106" s="704" t="s">
        <v>693</v>
      </c>
      <c r="C5106" s="704" t="s">
        <v>739</v>
      </c>
      <c r="D5106" s="704" t="s">
        <v>44</v>
      </c>
      <c r="E5106" s="704" t="s">
        <v>448</v>
      </c>
      <c r="F5106" s="706">
        <v>1.0574738608080301E-3</v>
      </c>
      <c r="G5106" s="705">
        <v>0.64499215720162451</v>
      </c>
    </row>
    <row r="5107" spans="2:7" ht="11.25" hidden="1" customHeight="1" outlineLevel="2" x14ac:dyDescent="0.25">
      <c r="B5107" s="704" t="s">
        <v>694</v>
      </c>
      <c r="C5107" s="704" t="s">
        <v>739</v>
      </c>
      <c r="D5107" s="704" t="s">
        <v>44</v>
      </c>
      <c r="E5107" s="704" t="s">
        <v>448</v>
      </c>
      <c r="F5107" s="706">
        <v>1.0778588515426605E-3</v>
      </c>
      <c r="G5107" s="705">
        <v>0.65742582300586283</v>
      </c>
    </row>
    <row r="5108" spans="2:7" ht="11.25" hidden="1" customHeight="1" outlineLevel="2" x14ac:dyDescent="0.25">
      <c r="B5108" s="704" t="s">
        <v>695</v>
      </c>
      <c r="C5108" s="704" t="s">
        <v>739</v>
      </c>
      <c r="D5108" s="704" t="s">
        <v>44</v>
      </c>
      <c r="E5108" s="704" t="s">
        <v>448</v>
      </c>
      <c r="F5108" s="706">
        <v>2.485190605547622E-3</v>
      </c>
      <c r="G5108" s="705">
        <v>1.5158083494134906</v>
      </c>
    </row>
    <row r="5109" spans="2:7" ht="11.25" hidden="1" customHeight="1" outlineLevel="2" x14ac:dyDescent="0.25">
      <c r="B5109" s="704" t="s">
        <v>696</v>
      </c>
      <c r="C5109" s="704" t="s">
        <v>739</v>
      </c>
      <c r="D5109" s="704" t="s">
        <v>44</v>
      </c>
      <c r="E5109" s="704" t="s">
        <v>448</v>
      </c>
      <c r="F5109" s="706">
        <v>2.2711484372410482E-3</v>
      </c>
      <c r="G5109" s="705">
        <v>1.3852581011973732</v>
      </c>
    </row>
    <row r="5110" spans="2:7" ht="11.25" hidden="1" customHeight="1" outlineLevel="2" x14ac:dyDescent="0.25">
      <c r="B5110" s="704" t="s">
        <v>697</v>
      </c>
      <c r="C5110" s="704" t="s">
        <v>739</v>
      </c>
      <c r="D5110" s="704" t="s">
        <v>44</v>
      </c>
      <c r="E5110" s="704" t="s">
        <v>448</v>
      </c>
      <c r="F5110" s="706">
        <v>1.7445183806224771E-3</v>
      </c>
      <c r="G5110" s="705">
        <v>1.0640458289903718</v>
      </c>
    </row>
    <row r="5111" spans="2:7" ht="11.25" hidden="1" customHeight="1" outlineLevel="2" x14ac:dyDescent="0.25">
      <c r="B5111" s="704" t="s">
        <v>698</v>
      </c>
      <c r="C5111" s="704" t="s">
        <v>739</v>
      </c>
      <c r="D5111" s="704" t="s">
        <v>44</v>
      </c>
      <c r="E5111" s="704" t="s">
        <v>448</v>
      </c>
      <c r="F5111" s="706">
        <v>2.6521723520431147E-3</v>
      </c>
      <c r="G5111" s="705">
        <v>1.6176572506777971</v>
      </c>
    </row>
    <row r="5112" spans="2:7" ht="11.25" hidden="1" customHeight="1" outlineLevel="2" x14ac:dyDescent="0.25">
      <c r="B5112" s="704" t="s">
        <v>699</v>
      </c>
      <c r="C5112" s="704" t="s">
        <v>739</v>
      </c>
      <c r="D5112" s="704" t="s">
        <v>44</v>
      </c>
      <c r="E5112" s="704" t="s">
        <v>448</v>
      </c>
      <c r="F5112" s="706">
        <v>6.7325372663441813E-35</v>
      </c>
      <c r="G5112" s="705">
        <v>3.4215421049509254E-32</v>
      </c>
    </row>
    <row r="5113" spans="2:7" ht="11.25" hidden="1" customHeight="1" outlineLevel="2" x14ac:dyDescent="0.25">
      <c r="B5113" s="704" t="s">
        <v>673</v>
      </c>
      <c r="C5113" s="704" t="s">
        <v>796</v>
      </c>
      <c r="D5113" s="704" t="s">
        <v>44</v>
      </c>
      <c r="E5113" s="704" t="s">
        <v>448</v>
      </c>
      <c r="F5113" s="706">
        <v>3.307231916091914E-4</v>
      </c>
      <c r="G5113" s="705">
        <v>0.46402565820661557</v>
      </c>
    </row>
    <row r="5114" spans="2:7" ht="11.25" hidden="1" customHeight="1" outlineLevel="2" x14ac:dyDescent="0.25">
      <c r="B5114" s="704" t="s">
        <v>677</v>
      </c>
      <c r="C5114" s="704" t="s">
        <v>796</v>
      </c>
      <c r="D5114" s="704" t="s">
        <v>44</v>
      </c>
      <c r="E5114" s="704" t="s">
        <v>448</v>
      </c>
      <c r="F5114" s="705">
        <v>6.21342149410344E-4</v>
      </c>
      <c r="G5114" s="705">
        <v>0.86254777236149827</v>
      </c>
    </row>
    <row r="5115" spans="2:7" ht="11.25" hidden="1" customHeight="1" outlineLevel="2" x14ac:dyDescent="0.25">
      <c r="B5115" s="704" t="s">
        <v>678</v>
      </c>
      <c r="C5115" s="704" t="s">
        <v>796</v>
      </c>
      <c r="D5115" s="704" t="s">
        <v>44</v>
      </c>
      <c r="E5115" s="704" t="s">
        <v>448</v>
      </c>
      <c r="F5115" s="705">
        <v>1.2559628782545362E-3</v>
      </c>
      <c r="G5115" s="705">
        <v>1.7645618417897038</v>
      </c>
    </row>
    <row r="5116" spans="2:7" ht="11.25" hidden="1" customHeight="1" outlineLevel="2" x14ac:dyDescent="0.25">
      <c r="B5116" s="704" t="s">
        <v>679</v>
      </c>
      <c r="C5116" s="704" t="s">
        <v>796</v>
      </c>
      <c r="D5116" s="704" t="s">
        <v>44</v>
      </c>
      <c r="E5116" s="704" t="s">
        <v>448</v>
      </c>
      <c r="F5116" s="706">
        <v>4.4061387803540417E-4</v>
      </c>
      <c r="G5116" s="705">
        <v>0.62093132087088487</v>
      </c>
    </row>
    <row r="5117" spans="2:7" ht="11.25" hidden="1" customHeight="1" outlineLevel="2" x14ac:dyDescent="0.25">
      <c r="B5117" s="704" t="s">
        <v>680</v>
      </c>
      <c r="C5117" s="704" t="s">
        <v>796</v>
      </c>
      <c r="D5117" s="704" t="s">
        <v>44</v>
      </c>
      <c r="E5117" s="704" t="s">
        <v>448</v>
      </c>
      <c r="F5117" s="705">
        <v>2.8612811836397738E-3</v>
      </c>
      <c r="G5117" s="705">
        <v>4.0417838497035676</v>
      </c>
    </row>
    <row r="5118" spans="2:7" ht="11.25" hidden="1" customHeight="1" outlineLevel="2" x14ac:dyDescent="0.25">
      <c r="B5118" s="704" t="s">
        <v>681</v>
      </c>
      <c r="C5118" s="704" t="s">
        <v>796</v>
      </c>
      <c r="D5118" s="704" t="s">
        <v>44</v>
      </c>
      <c r="E5118" s="704" t="s">
        <v>448</v>
      </c>
      <c r="F5118" s="705">
        <v>3.2558132127021113E-3</v>
      </c>
      <c r="G5118" s="705">
        <v>4.5742440157680857</v>
      </c>
    </row>
    <row r="5119" spans="2:7" ht="11.25" hidden="1" customHeight="1" outlineLevel="2" x14ac:dyDescent="0.25">
      <c r="B5119" s="704" t="s">
        <v>682</v>
      </c>
      <c r="C5119" s="704" t="s">
        <v>796</v>
      </c>
      <c r="D5119" s="704" t="s">
        <v>44</v>
      </c>
      <c r="E5119" s="704" t="s">
        <v>448</v>
      </c>
      <c r="F5119" s="705">
        <v>1.5830305359563134E-3</v>
      </c>
      <c r="G5119" s="705">
        <v>2.2243248515943104</v>
      </c>
    </row>
    <row r="5120" spans="2:7" ht="11.25" hidden="1" customHeight="1" outlineLevel="2" x14ac:dyDescent="0.25">
      <c r="B5120" s="704" t="s">
        <v>683</v>
      </c>
      <c r="C5120" s="704" t="s">
        <v>796</v>
      </c>
      <c r="D5120" s="704" t="s">
        <v>44</v>
      </c>
      <c r="E5120" s="704" t="s">
        <v>448</v>
      </c>
      <c r="F5120" s="705">
        <v>7.419459042913273E-4</v>
      </c>
      <c r="G5120" s="705">
        <v>1.045581517904945</v>
      </c>
    </row>
    <row r="5121" spans="2:7" ht="11.25" hidden="1" customHeight="1" outlineLevel="2" x14ac:dyDescent="0.25">
      <c r="B5121" s="704" t="s">
        <v>684</v>
      </c>
      <c r="C5121" s="704" t="s">
        <v>796</v>
      </c>
      <c r="D5121" s="704" t="s">
        <v>44</v>
      </c>
      <c r="E5121" s="704" t="s">
        <v>448</v>
      </c>
      <c r="F5121" s="705">
        <v>2.5821108789347768E-3</v>
      </c>
      <c r="G5121" s="705">
        <v>3.6474341623808386</v>
      </c>
    </row>
    <row r="5122" spans="2:7" ht="11.25" hidden="1" customHeight="1" outlineLevel="2" x14ac:dyDescent="0.25">
      <c r="B5122" s="704" t="s">
        <v>685</v>
      </c>
      <c r="C5122" s="704" t="s">
        <v>796</v>
      </c>
      <c r="D5122" s="704" t="s">
        <v>44</v>
      </c>
      <c r="E5122" s="704" t="s">
        <v>448</v>
      </c>
      <c r="F5122" s="705">
        <v>3.9491636078358879E-3</v>
      </c>
      <c r="G5122" s="705">
        <v>5.5653279925763899</v>
      </c>
    </row>
    <row r="5123" spans="2:7" ht="11.25" hidden="1" customHeight="1" outlineLevel="2" x14ac:dyDescent="0.25">
      <c r="B5123" s="704" t="s">
        <v>686</v>
      </c>
      <c r="C5123" s="704" t="s">
        <v>796</v>
      </c>
      <c r="D5123" s="704" t="s">
        <v>44</v>
      </c>
      <c r="E5123" s="704" t="s">
        <v>448</v>
      </c>
      <c r="F5123" s="705">
        <v>1.213250737124487E-3</v>
      </c>
      <c r="G5123" s="705">
        <v>1.7022669932022918</v>
      </c>
    </row>
    <row r="5124" spans="2:7" ht="11.25" hidden="1" customHeight="1" outlineLevel="2" x14ac:dyDescent="0.25">
      <c r="B5124" s="704" t="s">
        <v>687</v>
      </c>
      <c r="C5124" s="704" t="s">
        <v>796</v>
      </c>
      <c r="D5124" s="704" t="s">
        <v>44</v>
      </c>
      <c r="E5124" s="704" t="s">
        <v>448</v>
      </c>
      <c r="F5124" s="705">
        <v>1.4831093445569496E-3</v>
      </c>
      <c r="G5124" s="705">
        <v>2.0836912360586655</v>
      </c>
    </row>
    <row r="5125" spans="2:7" ht="11.25" hidden="1" customHeight="1" outlineLevel="2" x14ac:dyDescent="0.25">
      <c r="B5125" s="704" t="s">
        <v>688</v>
      </c>
      <c r="C5125" s="704" t="s">
        <v>796</v>
      </c>
      <c r="D5125" s="704" t="s">
        <v>44</v>
      </c>
      <c r="E5125" s="704" t="s">
        <v>448</v>
      </c>
      <c r="F5125" s="705">
        <v>6.7279425870099042E-4</v>
      </c>
      <c r="G5125" s="705">
        <v>0.94524102416381095</v>
      </c>
    </row>
    <row r="5126" spans="2:7" ht="11.25" hidden="1" customHeight="1" outlineLevel="2" x14ac:dyDescent="0.25">
      <c r="B5126" s="704" t="s">
        <v>689</v>
      </c>
      <c r="C5126" s="704" t="s">
        <v>796</v>
      </c>
      <c r="D5126" s="704" t="s">
        <v>44</v>
      </c>
      <c r="E5126" s="704" t="s">
        <v>448</v>
      </c>
      <c r="F5126" s="705">
        <v>3.2916884525917029E-3</v>
      </c>
      <c r="G5126" s="705">
        <v>4.6172080796564359</v>
      </c>
    </row>
    <row r="5127" spans="2:7" ht="11.25" hidden="1" customHeight="1" outlineLevel="2" x14ac:dyDescent="0.25">
      <c r="B5127" s="704" t="s">
        <v>690</v>
      </c>
      <c r="C5127" s="704" t="s">
        <v>796</v>
      </c>
      <c r="D5127" s="704" t="s">
        <v>44</v>
      </c>
      <c r="E5127" s="704" t="s">
        <v>448</v>
      </c>
      <c r="F5127" s="705">
        <v>1.4364349756927194E-3</v>
      </c>
      <c r="G5127" s="705">
        <v>2.0242843753182562</v>
      </c>
    </row>
    <row r="5128" spans="2:7" ht="11.25" hidden="1" customHeight="1" outlineLevel="2" x14ac:dyDescent="0.25">
      <c r="B5128" s="704" t="s">
        <v>691</v>
      </c>
      <c r="C5128" s="704" t="s">
        <v>796</v>
      </c>
      <c r="D5128" s="704" t="s">
        <v>44</v>
      </c>
      <c r="E5128" s="704" t="s">
        <v>448</v>
      </c>
      <c r="F5128" s="705">
        <v>5.6161512201095311E-4</v>
      </c>
      <c r="G5128" s="705">
        <v>0.79145158689685846</v>
      </c>
    </row>
    <row r="5129" spans="2:7" ht="11.25" hidden="1" customHeight="1" outlineLevel="2" x14ac:dyDescent="0.25">
      <c r="B5129" s="704" t="s">
        <v>692</v>
      </c>
      <c r="C5129" s="704" t="s">
        <v>796</v>
      </c>
      <c r="D5129" s="704" t="s">
        <v>44</v>
      </c>
      <c r="E5129" s="704" t="s">
        <v>448</v>
      </c>
      <c r="F5129" s="705">
        <v>4.0608758011232045E-3</v>
      </c>
      <c r="G5129" s="705">
        <v>5.7053192347224719</v>
      </c>
    </row>
    <row r="5130" spans="2:7" ht="11.25" hidden="1" customHeight="1" outlineLevel="2" x14ac:dyDescent="0.25">
      <c r="B5130" s="704" t="s">
        <v>693</v>
      </c>
      <c r="C5130" s="704" t="s">
        <v>796</v>
      </c>
      <c r="D5130" s="704" t="s">
        <v>44</v>
      </c>
      <c r="E5130" s="704" t="s">
        <v>448</v>
      </c>
      <c r="F5130" s="705">
        <v>1.1076615543168151E-3</v>
      </c>
      <c r="G5130" s="705">
        <v>1.5646595563857857</v>
      </c>
    </row>
    <row r="5131" spans="2:7" ht="11.25" hidden="1" customHeight="1" outlineLevel="2" x14ac:dyDescent="0.25">
      <c r="B5131" s="704" t="s">
        <v>694</v>
      </c>
      <c r="C5131" s="704" t="s">
        <v>796</v>
      </c>
      <c r="D5131" s="704" t="s">
        <v>44</v>
      </c>
      <c r="E5131" s="704" t="s">
        <v>448</v>
      </c>
      <c r="F5131" s="705">
        <v>1.1290134810229228E-3</v>
      </c>
      <c r="G5131" s="705">
        <v>1.7793647067525642</v>
      </c>
    </row>
    <row r="5132" spans="2:7" ht="11.25" hidden="1" customHeight="1" outlineLevel="2" x14ac:dyDescent="0.25">
      <c r="B5132" s="704" t="s">
        <v>695</v>
      </c>
      <c r="C5132" s="704" t="s">
        <v>796</v>
      </c>
      <c r="D5132" s="704" t="s">
        <v>44</v>
      </c>
      <c r="E5132" s="704" t="s">
        <v>448</v>
      </c>
      <c r="F5132" s="705">
        <v>2.6031381909864008E-3</v>
      </c>
      <c r="G5132" s="705">
        <v>3.6771369343396452</v>
      </c>
    </row>
    <row r="5133" spans="2:7" ht="11.25" hidden="1" customHeight="1" outlineLevel="2" x14ac:dyDescent="0.25">
      <c r="B5133" s="704" t="s">
        <v>696</v>
      </c>
      <c r="C5133" s="704" t="s">
        <v>796</v>
      </c>
      <c r="D5133" s="704" t="s">
        <v>44</v>
      </c>
      <c r="E5133" s="704" t="s">
        <v>448</v>
      </c>
      <c r="F5133" s="705">
        <v>2.395071938047819E-3</v>
      </c>
      <c r="G5133" s="705">
        <v>3.3604376077039673</v>
      </c>
    </row>
    <row r="5134" spans="2:7" ht="11.25" hidden="1" customHeight="1" outlineLevel="2" x14ac:dyDescent="0.25">
      <c r="B5134" s="704" t="s">
        <v>697</v>
      </c>
      <c r="C5134" s="704" t="s">
        <v>796</v>
      </c>
      <c r="D5134" s="704" t="s">
        <v>44</v>
      </c>
      <c r="E5134" s="704" t="s">
        <v>448</v>
      </c>
      <c r="F5134" s="705">
        <v>1.8273140724471722E-3</v>
      </c>
      <c r="G5134" s="705">
        <v>2.5812258728068342</v>
      </c>
    </row>
    <row r="5135" spans="2:7" ht="11.25" hidden="1" customHeight="1" outlineLevel="2" x14ac:dyDescent="0.25">
      <c r="B5135" s="704" t="s">
        <v>698</v>
      </c>
      <c r="C5135" s="704" t="s">
        <v>796</v>
      </c>
      <c r="D5135" s="704" t="s">
        <v>44</v>
      </c>
      <c r="E5135" s="704" t="s">
        <v>448</v>
      </c>
      <c r="F5135" s="705">
        <v>2.7780460947831372E-3</v>
      </c>
      <c r="G5135" s="705">
        <v>3.924208145406566</v>
      </c>
    </row>
    <row r="5136" spans="2:7" ht="11.25" hidden="1" customHeight="1" outlineLevel="2" x14ac:dyDescent="0.25">
      <c r="B5136" s="704" t="s">
        <v>699</v>
      </c>
      <c r="C5136" s="704" t="s">
        <v>796</v>
      </c>
      <c r="D5136" s="704" t="s">
        <v>44</v>
      </c>
      <c r="E5136" s="704" t="s">
        <v>448</v>
      </c>
      <c r="F5136" s="705">
        <v>3.2053891469483028E-35</v>
      </c>
      <c r="G5136" s="705">
        <v>4.5034053800298448E-32</v>
      </c>
    </row>
    <row r="5137" spans="2:7" ht="11.25" hidden="1" customHeight="1" outlineLevel="2" x14ac:dyDescent="0.25">
      <c r="B5137" s="704" t="s">
        <v>673</v>
      </c>
      <c r="C5137" s="704" t="s">
        <v>797</v>
      </c>
      <c r="D5137" s="704" t="s">
        <v>44</v>
      </c>
      <c r="E5137" s="704" t="s">
        <v>448</v>
      </c>
      <c r="F5137" s="706">
        <v>5.2828861422462463E-4</v>
      </c>
      <c r="G5137" s="705">
        <v>1.8054964728112008</v>
      </c>
    </row>
    <row r="5138" spans="2:7" ht="11.25" hidden="1" customHeight="1" outlineLevel="2" x14ac:dyDescent="0.25">
      <c r="B5138" s="704" t="s">
        <v>677</v>
      </c>
      <c r="C5138" s="704" t="s">
        <v>797</v>
      </c>
      <c r="D5138" s="704" t="s">
        <v>44</v>
      </c>
      <c r="E5138" s="704" t="s">
        <v>448</v>
      </c>
      <c r="F5138" s="706">
        <v>9.91776051435735E-4</v>
      </c>
      <c r="G5138" s="705">
        <v>3.3561245917512377</v>
      </c>
    </row>
    <row r="5139" spans="2:7" ht="11.25" hidden="1" customHeight="1" outlineLevel="2" x14ac:dyDescent="0.25">
      <c r="B5139" s="704" t="s">
        <v>678</v>
      </c>
      <c r="C5139" s="704" t="s">
        <v>797</v>
      </c>
      <c r="D5139" s="704" t="s">
        <v>44</v>
      </c>
      <c r="E5139" s="704" t="s">
        <v>448</v>
      </c>
      <c r="F5139" s="706">
        <v>2.0064326319665167E-3</v>
      </c>
      <c r="G5139" s="705">
        <v>6.8658097540113587</v>
      </c>
    </row>
    <row r="5140" spans="2:7" ht="11.25" hidden="1" customHeight="1" outlineLevel="2" x14ac:dyDescent="0.25">
      <c r="B5140" s="704" t="s">
        <v>679</v>
      </c>
      <c r="C5140" s="704" t="s">
        <v>797</v>
      </c>
      <c r="D5140" s="704" t="s">
        <v>44</v>
      </c>
      <c r="E5140" s="704" t="s">
        <v>448</v>
      </c>
      <c r="F5140" s="706">
        <v>7.0404290585165887E-4</v>
      </c>
      <c r="G5140" s="705">
        <v>2.4160095702774931</v>
      </c>
    </row>
    <row r="5141" spans="2:7" ht="11.25" hidden="1" customHeight="1" outlineLevel="2" x14ac:dyDescent="0.25">
      <c r="B5141" s="704" t="s">
        <v>680</v>
      </c>
      <c r="C5141" s="704" t="s">
        <v>797</v>
      </c>
      <c r="D5141" s="704" t="s">
        <v>44</v>
      </c>
      <c r="E5141" s="704" t="s">
        <v>448</v>
      </c>
      <c r="F5141" s="706">
        <v>4.5727184562497645E-3</v>
      </c>
      <c r="G5141" s="705">
        <v>15.726351441532586</v>
      </c>
    </row>
    <row r="5142" spans="2:7" ht="11.25" hidden="1" customHeight="1" outlineLevel="2" x14ac:dyDescent="0.25">
      <c r="B5142" s="704" t="s">
        <v>681</v>
      </c>
      <c r="C5142" s="704" t="s">
        <v>797</v>
      </c>
      <c r="D5142" s="704" t="s">
        <v>44</v>
      </c>
      <c r="E5142" s="704" t="s">
        <v>448</v>
      </c>
      <c r="F5142" s="706">
        <v>5.2721986214487194E-3</v>
      </c>
      <c r="G5142" s="705">
        <v>18.040516502077104</v>
      </c>
    </row>
    <row r="5143" spans="2:7" ht="11.25" hidden="1" customHeight="1" outlineLevel="2" x14ac:dyDescent="0.25">
      <c r="B5143" s="704" t="s">
        <v>682</v>
      </c>
      <c r="C5143" s="704" t="s">
        <v>797</v>
      </c>
      <c r="D5143" s="704" t="s">
        <v>44</v>
      </c>
      <c r="E5143" s="704" t="s">
        <v>448</v>
      </c>
      <c r="F5143" s="705">
        <v>2.5289518742556724E-3</v>
      </c>
      <c r="G5143" s="705">
        <v>8.6547230257102932</v>
      </c>
    </row>
    <row r="5144" spans="2:7" ht="11.25" hidden="1" customHeight="1" outlineLevel="2" x14ac:dyDescent="0.25">
      <c r="B5144" s="704" t="s">
        <v>683</v>
      </c>
      <c r="C5144" s="704" t="s">
        <v>797</v>
      </c>
      <c r="D5144" s="704" t="s">
        <v>44</v>
      </c>
      <c r="E5144" s="704" t="s">
        <v>448</v>
      </c>
      <c r="F5144" s="705">
        <v>1.1855330136133651E-3</v>
      </c>
      <c r="G5144" s="705">
        <v>4.0683002402015331</v>
      </c>
    </row>
    <row r="5145" spans="2:7" ht="11.25" hidden="1" customHeight="1" outlineLevel="2" x14ac:dyDescent="0.25">
      <c r="B5145" s="704" t="s">
        <v>684</v>
      </c>
      <c r="C5145" s="704" t="s">
        <v>797</v>
      </c>
      <c r="D5145" s="704" t="s">
        <v>44</v>
      </c>
      <c r="E5145" s="704" t="s">
        <v>448</v>
      </c>
      <c r="F5145" s="705">
        <v>4.1265657616612137E-3</v>
      </c>
      <c r="G5145" s="705">
        <v>14.191960329025109</v>
      </c>
    </row>
    <row r="5146" spans="2:7" ht="11.25" hidden="1" customHeight="1" outlineLevel="2" x14ac:dyDescent="0.25">
      <c r="B5146" s="704" t="s">
        <v>685</v>
      </c>
      <c r="C5146" s="704" t="s">
        <v>797</v>
      </c>
      <c r="D5146" s="704" t="s">
        <v>44</v>
      </c>
      <c r="E5146" s="704" t="s">
        <v>448</v>
      </c>
      <c r="F5146" s="705">
        <v>6.3102457595637538E-3</v>
      </c>
      <c r="G5146" s="705">
        <v>21.654365801222575</v>
      </c>
    </row>
    <row r="5147" spans="2:7" ht="11.25" hidden="1" customHeight="1" outlineLevel="2" x14ac:dyDescent="0.25">
      <c r="B5147" s="704" t="s">
        <v>686</v>
      </c>
      <c r="C5147" s="704" t="s">
        <v>797</v>
      </c>
      <c r="D5147" s="704" t="s">
        <v>44</v>
      </c>
      <c r="E5147" s="704" t="s">
        <v>448</v>
      </c>
      <c r="F5147" s="705">
        <v>1.9380152422837592E-3</v>
      </c>
      <c r="G5147" s="705">
        <v>6.6234241203993509</v>
      </c>
    </row>
    <row r="5148" spans="2:7" ht="11.25" hidden="1" customHeight="1" outlineLevel="2" x14ac:dyDescent="0.25">
      <c r="B5148" s="704" t="s">
        <v>687</v>
      </c>
      <c r="C5148" s="704" t="s">
        <v>797</v>
      </c>
      <c r="D5148" s="704" t="s">
        <v>44</v>
      </c>
      <c r="E5148" s="704" t="s">
        <v>448</v>
      </c>
      <c r="F5148" s="705">
        <v>2.3693045376474648E-3</v>
      </c>
      <c r="G5148" s="705">
        <v>8.1075292361021845</v>
      </c>
    </row>
    <row r="5149" spans="2:7" ht="11.25" hidden="1" customHeight="1" outlineLevel="2" x14ac:dyDescent="0.25">
      <c r="B5149" s="704" t="s">
        <v>688</v>
      </c>
      <c r="C5149" s="704" t="s">
        <v>797</v>
      </c>
      <c r="D5149" s="704" t="s">
        <v>44</v>
      </c>
      <c r="E5149" s="704" t="s">
        <v>448</v>
      </c>
      <c r="F5149" s="705">
        <v>1.0748056115748523E-3</v>
      </c>
      <c r="G5149" s="705">
        <v>3.6778772791046763</v>
      </c>
    </row>
    <row r="5150" spans="2:7" ht="11.25" hidden="1" customHeight="1" outlineLevel="2" x14ac:dyDescent="0.25">
      <c r="B5150" s="704" t="s">
        <v>689</v>
      </c>
      <c r="C5150" s="704" t="s">
        <v>797</v>
      </c>
      <c r="D5150" s="704" t="s">
        <v>44</v>
      </c>
      <c r="E5150" s="704" t="s">
        <v>448</v>
      </c>
      <c r="F5150" s="705">
        <v>5.2579593204454518E-3</v>
      </c>
      <c r="G5150" s="705">
        <v>17.965296003351767</v>
      </c>
    </row>
    <row r="5151" spans="2:7" ht="11.25" hidden="1" customHeight="1" outlineLevel="2" x14ac:dyDescent="0.25">
      <c r="B5151" s="704" t="s">
        <v>690</v>
      </c>
      <c r="C5151" s="704" t="s">
        <v>797</v>
      </c>
      <c r="D5151" s="704" t="s">
        <v>44</v>
      </c>
      <c r="E5151" s="704" t="s">
        <v>448</v>
      </c>
      <c r="F5151" s="705">
        <v>2.2952354431595434E-3</v>
      </c>
      <c r="G5151" s="705">
        <v>7.8763691714869859</v>
      </c>
    </row>
    <row r="5152" spans="2:7" ht="11.25" hidden="1" customHeight="1" outlineLevel="2" x14ac:dyDescent="0.25">
      <c r="B5152" s="704" t="s">
        <v>691</v>
      </c>
      <c r="C5152" s="704" t="s">
        <v>797</v>
      </c>
      <c r="D5152" s="704" t="s">
        <v>44</v>
      </c>
      <c r="E5152" s="704" t="s">
        <v>448</v>
      </c>
      <c r="F5152" s="705">
        <v>8.9738750846535481E-4</v>
      </c>
      <c r="G5152" s="705">
        <v>3.0794944862783331</v>
      </c>
    </row>
    <row r="5153" spans="2:7" ht="11.25" hidden="1" customHeight="1" outlineLevel="2" x14ac:dyDescent="0.25">
      <c r="B5153" s="704" t="s">
        <v>692</v>
      </c>
      <c r="C5153" s="704" t="s">
        <v>797</v>
      </c>
      <c r="D5153" s="704" t="s">
        <v>44</v>
      </c>
      <c r="E5153" s="704" t="s">
        <v>448</v>
      </c>
      <c r="F5153" s="705">
        <v>6.4873532194281444E-3</v>
      </c>
      <c r="G5153" s="705">
        <v>22.199075422477559</v>
      </c>
    </row>
    <row r="5154" spans="2:7" ht="11.25" hidden="1" customHeight="1" outlineLevel="2" x14ac:dyDescent="0.25">
      <c r="B5154" s="704" t="s">
        <v>693</v>
      </c>
      <c r="C5154" s="704" t="s">
        <v>797</v>
      </c>
      <c r="D5154" s="704" t="s">
        <v>44</v>
      </c>
      <c r="E5154" s="704" t="s">
        <v>448</v>
      </c>
      <c r="F5154" s="705">
        <v>1.7701946246596288E-3</v>
      </c>
      <c r="G5154" s="705">
        <v>6.0880053664410454</v>
      </c>
    </row>
    <row r="5155" spans="2:7" ht="11.25" hidden="1" customHeight="1" outlineLevel="2" x14ac:dyDescent="0.25">
      <c r="B5155" s="704" t="s">
        <v>694</v>
      </c>
      <c r="C5155" s="704" t="s">
        <v>797</v>
      </c>
      <c r="D5155" s="704" t="s">
        <v>44</v>
      </c>
      <c r="E5155" s="704" t="s">
        <v>448</v>
      </c>
      <c r="F5155" s="705">
        <v>2.0101872126722432E-3</v>
      </c>
      <c r="G5155" s="705">
        <v>6.9233946740333785</v>
      </c>
    </row>
    <row r="5156" spans="2:7" ht="11.25" hidden="1" customHeight="1" outlineLevel="2" x14ac:dyDescent="0.25">
      <c r="B5156" s="704" t="s">
        <v>695</v>
      </c>
      <c r="C5156" s="704" t="s">
        <v>797</v>
      </c>
      <c r="D5156" s="704" t="s">
        <v>44</v>
      </c>
      <c r="E5156" s="704" t="s">
        <v>448</v>
      </c>
      <c r="F5156" s="705">
        <v>4.1601694866194236E-3</v>
      </c>
      <c r="G5156" s="705">
        <v>14.307536574203839</v>
      </c>
    </row>
    <row r="5157" spans="2:7" ht="11.25" hidden="1" customHeight="1" outlineLevel="2" x14ac:dyDescent="0.25">
      <c r="B5157" s="704" t="s">
        <v>696</v>
      </c>
      <c r="C5157" s="704" t="s">
        <v>797</v>
      </c>
      <c r="D5157" s="704" t="s">
        <v>44</v>
      </c>
      <c r="E5157" s="704" t="s">
        <v>448</v>
      </c>
      <c r="F5157" s="705">
        <v>3.8258257755548809E-3</v>
      </c>
      <c r="G5157" s="705">
        <v>13.075269687632064</v>
      </c>
    </row>
    <row r="5158" spans="2:7" ht="11.25" hidden="1" customHeight="1" outlineLevel="2" x14ac:dyDescent="0.25">
      <c r="B5158" s="704" t="s">
        <v>697</v>
      </c>
      <c r="C5158" s="704" t="s">
        <v>797</v>
      </c>
      <c r="D5158" s="704" t="s">
        <v>44</v>
      </c>
      <c r="E5158" s="704" t="s">
        <v>448</v>
      </c>
      <c r="F5158" s="705">
        <v>2.920296600984348E-3</v>
      </c>
      <c r="G5158" s="705">
        <v>10.043399929485441</v>
      </c>
    </row>
    <row r="5159" spans="2:7" ht="11.25" hidden="1" customHeight="1" outlineLevel="2" x14ac:dyDescent="0.25">
      <c r="B5159" s="704" t="s">
        <v>698</v>
      </c>
      <c r="C5159" s="704" t="s">
        <v>797</v>
      </c>
      <c r="D5159" s="704" t="s">
        <v>44</v>
      </c>
      <c r="E5159" s="704" t="s">
        <v>448</v>
      </c>
      <c r="F5159" s="705">
        <v>4.439694420993236E-3</v>
      </c>
      <c r="G5159" s="705">
        <v>15.268868643745213</v>
      </c>
    </row>
    <row r="5160" spans="2:7" ht="11.25" hidden="1" customHeight="1" outlineLevel="2" x14ac:dyDescent="0.25">
      <c r="B5160" s="704" t="s">
        <v>699</v>
      </c>
      <c r="C5160" s="704" t="s">
        <v>797</v>
      </c>
      <c r="D5160" s="704" t="s">
        <v>44</v>
      </c>
      <c r="E5160" s="704" t="s">
        <v>448</v>
      </c>
      <c r="F5160" s="705">
        <v>3.6466111776779181E-34</v>
      </c>
      <c r="G5160" s="705">
        <v>2.0506426766045641E-30</v>
      </c>
    </row>
    <row r="5161" spans="2:7" ht="11.25" hidden="1" customHeight="1" outlineLevel="2" x14ac:dyDescent="0.25">
      <c r="B5161" s="704" t="s">
        <v>673</v>
      </c>
      <c r="C5161" s="704" t="s">
        <v>798</v>
      </c>
      <c r="D5161" s="704" t="s">
        <v>44</v>
      </c>
      <c r="E5161" s="704" t="s">
        <v>448</v>
      </c>
      <c r="F5161" s="705">
        <v>8.6766147210659216E-6</v>
      </c>
      <c r="G5161" s="705">
        <v>1.1372059441536986E-2</v>
      </c>
    </row>
    <row r="5162" spans="2:7" ht="11.25" hidden="1" customHeight="1" outlineLevel="2" x14ac:dyDescent="0.25">
      <c r="B5162" s="704" t="s">
        <v>677</v>
      </c>
      <c r="C5162" s="704" t="s">
        <v>798</v>
      </c>
      <c r="D5162" s="704" t="s">
        <v>44</v>
      </c>
      <c r="E5162" s="704" t="s">
        <v>448</v>
      </c>
      <c r="F5162" s="705">
        <v>1.6255472777299019E-5</v>
      </c>
      <c r="G5162" s="705">
        <v>2.1138786807130064E-2</v>
      </c>
    </row>
    <row r="5163" spans="2:7" ht="11.25" hidden="1" customHeight="1" outlineLevel="2" x14ac:dyDescent="0.25">
      <c r="B5163" s="704" t="s">
        <v>678</v>
      </c>
      <c r="C5163" s="704" t="s">
        <v>798</v>
      </c>
      <c r="D5163" s="704" t="s">
        <v>44</v>
      </c>
      <c r="E5163" s="704" t="s">
        <v>448</v>
      </c>
      <c r="F5163" s="705">
        <v>3.2962229421609667E-5</v>
      </c>
      <c r="G5163" s="705">
        <v>4.3244840383316503E-2</v>
      </c>
    </row>
    <row r="5164" spans="2:7" ht="11.25" hidden="1" customHeight="1" outlineLevel="2" x14ac:dyDescent="0.25">
      <c r="B5164" s="704" t="s">
        <v>679</v>
      </c>
      <c r="C5164" s="704" t="s">
        <v>798</v>
      </c>
      <c r="D5164" s="704" t="s">
        <v>44</v>
      </c>
      <c r="E5164" s="704" t="s">
        <v>448</v>
      </c>
      <c r="F5164" s="705">
        <v>1.1573073168326589E-5</v>
      </c>
      <c r="G5164" s="705">
        <v>1.5217406963080615E-2</v>
      </c>
    </row>
    <row r="5165" spans="2:7" ht="11.25" hidden="1" customHeight="1" outlineLevel="2" x14ac:dyDescent="0.25">
      <c r="B5165" s="704" t="s">
        <v>680</v>
      </c>
      <c r="C5165" s="704" t="s">
        <v>798</v>
      </c>
      <c r="D5165" s="704" t="s">
        <v>44</v>
      </c>
      <c r="E5165" s="704" t="s">
        <v>448</v>
      </c>
      <c r="F5165" s="705">
        <v>7.5201010928826732E-5</v>
      </c>
      <c r="G5165" s="705">
        <v>9.9053599707410525E-2</v>
      </c>
    </row>
    <row r="5166" spans="2:7" ht="11.25" hidden="1" customHeight="1" outlineLevel="2" x14ac:dyDescent="0.25">
      <c r="B5166" s="704" t="s">
        <v>681</v>
      </c>
      <c r="C5166" s="704" t="s">
        <v>798</v>
      </c>
      <c r="D5166" s="704" t="s">
        <v>44</v>
      </c>
      <c r="E5166" s="704" t="s">
        <v>448</v>
      </c>
      <c r="F5166" s="705">
        <v>8.5447524196979955E-5</v>
      </c>
      <c r="G5166" s="705">
        <v>0.11210283411049547</v>
      </c>
    </row>
    <row r="5167" spans="2:7" ht="11.25" hidden="1" customHeight="1" outlineLevel="2" x14ac:dyDescent="0.25">
      <c r="B5167" s="704" t="s">
        <v>682</v>
      </c>
      <c r="C5167" s="704" t="s">
        <v>798</v>
      </c>
      <c r="D5167" s="704" t="s">
        <v>44</v>
      </c>
      <c r="E5167" s="704" t="s">
        <v>448</v>
      </c>
      <c r="F5167" s="705">
        <v>4.1547234773168233E-5</v>
      </c>
      <c r="G5167" s="705">
        <v>5.4512400616013243E-2</v>
      </c>
    </row>
    <row r="5168" spans="2:7" ht="11.25" hidden="1" customHeight="1" outlineLevel="2" x14ac:dyDescent="0.25">
      <c r="B5168" s="704" t="s">
        <v>683</v>
      </c>
      <c r="C5168" s="704" t="s">
        <v>798</v>
      </c>
      <c r="D5168" s="704" t="s">
        <v>44</v>
      </c>
      <c r="E5168" s="704" t="s">
        <v>448</v>
      </c>
      <c r="F5168" s="705">
        <v>1.9487807655414429E-5</v>
      </c>
      <c r="G5168" s="705">
        <v>2.5624474645200474E-2</v>
      </c>
    </row>
    <row r="5169" spans="2:7" ht="11.25" hidden="1" customHeight="1" outlineLevel="2" x14ac:dyDescent="0.25">
      <c r="B5169" s="704" t="s">
        <v>684</v>
      </c>
      <c r="C5169" s="704" t="s">
        <v>798</v>
      </c>
      <c r="D5169" s="704" t="s">
        <v>44</v>
      </c>
      <c r="E5169" s="704" t="s">
        <v>448</v>
      </c>
      <c r="F5169" s="705">
        <v>6.7863777662427344E-5</v>
      </c>
      <c r="G5169" s="705">
        <v>8.9389025898029245E-2</v>
      </c>
    </row>
    <row r="5170" spans="2:7" ht="11.25" hidden="1" customHeight="1" outlineLevel="2" x14ac:dyDescent="0.25">
      <c r="B5170" s="704" t="s">
        <v>685</v>
      </c>
      <c r="C5170" s="704" t="s">
        <v>798</v>
      </c>
      <c r="D5170" s="704" t="s">
        <v>44</v>
      </c>
      <c r="E5170" s="704" t="s">
        <v>448</v>
      </c>
      <c r="F5170" s="705">
        <v>1.0372797624424983E-4</v>
      </c>
      <c r="G5170" s="705">
        <v>0.13639168997419962</v>
      </c>
    </row>
    <row r="5171" spans="2:7" ht="11.25" hidden="1" customHeight="1" outlineLevel="2" x14ac:dyDescent="0.25">
      <c r="B5171" s="704" t="s">
        <v>686</v>
      </c>
      <c r="C5171" s="704" t="s">
        <v>798</v>
      </c>
      <c r="D5171" s="704" t="s">
        <v>44</v>
      </c>
      <c r="E5171" s="704" t="s">
        <v>448</v>
      </c>
      <c r="F5171" s="705">
        <v>3.182996479893862E-5</v>
      </c>
      <c r="G5171" s="705">
        <v>4.1718125737179965E-2</v>
      </c>
    </row>
    <row r="5172" spans="2:7" ht="11.25" hidden="1" customHeight="1" outlineLevel="2" x14ac:dyDescent="0.25">
      <c r="B5172" s="704" t="s">
        <v>687</v>
      </c>
      <c r="C5172" s="704" t="s">
        <v>798</v>
      </c>
      <c r="D5172" s="704" t="s">
        <v>44</v>
      </c>
      <c r="E5172" s="704" t="s">
        <v>448</v>
      </c>
      <c r="F5172" s="705">
        <v>3.8923610385818956E-5</v>
      </c>
      <c r="G5172" s="705">
        <v>5.1065834882100439E-2</v>
      </c>
    </row>
    <row r="5173" spans="2:7" ht="11.25" hidden="1" customHeight="1" outlineLevel="2" x14ac:dyDescent="0.25">
      <c r="B5173" s="704" t="s">
        <v>688</v>
      </c>
      <c r="C5173" s="704" t="s">
        <v>798</v>
      </c>
      <c r="D5173" s="704" t="s">
        <v>44</v>
      </c>
      <c r="E5173" s="704" t="s">
        <v>448</v>
      </c>
      <c r="F5173" s="705">
        <v>1.7657206550038633E-5</v>
      </c>
      <c r="G5173" s="705">
        <v>2.3165368847043403E-2</v>
      </c>
    </row>
    <row r="5174" spans="2:7" ht="11.25" hidden="1" customHeight="1" outlineLevel="2" x14ac:dyDescent="0.25">
      <c r="B5174" s="704" t="s">
        <v>689</v>
      </c>
      <c r="C5174" s="704" t="s">
        <v>798</v>
      </c>
      <c r="D5174" s="704" t="s">
        <v>44</v>
      </c>
      <c r="E5174" s="704" t="s">
        <v>448</v>
      </c>
      <c r="F5174" s="705">
        <v>8.635227615885936E-5</v>
      </c>
      <c r="G5174" s="705">
        <v>0.11315564886130366</v>
      </c>
    </row>
    <row r="5175" spans="2:7" ht="11.25" hidden="1" customHeight="1" outlineLevel="2" x14ac:dyDescent="0.25">
      <c r="B5175" s="704" t="s">
        <v>690</v>
      </c>
      <c r="C5175" s="704" t="s">
        <v>798</v>
      </c>
      <c r="D5175" s="704" t="s">
        <v>44</v>
      </c>
      <c r="E5175" s="704" t="s">
        <v>448</v>
      </c>
      <c r="F5175" s="705">
        <v>3.7729147502074639E-5</v>
      </c>
      <c r="G5175" s="705">
        <v>4.9609884143550664E-2</v>
      </c>
    </row>
    <row r="5176" spans="2:7" ht="11.25" hidden="1" customHeight="1" outlineLevel="2" x14ac:dyDescent="0.25">
      <c r="B5176" s="704" t="s">
        <v>691</v>
      </c>
      <c r="C5176" s="704" t="s">
        <v>798</v>
      </c>
      <c r="D5176" s="704" t="s">
        <v>44</v>
      </c>
      <c r="E5176" s="704" t="s">
        <v>448</v>
      </c>
      <c r="F5176" s="705">
        <v>1.4751278886446963E-5</v>
      </c>
      <c r="G5176" s="705">
        <v>1.9396420221807636E-2</v>
      </c>
    </row>
    <row r="5177" spans="2:7" ht="11.25" hidden="1" customHeight="1" outlineLevel="2" x14ac:dyDescent="0.25">
      <c r="B5177" s="704" t="s">
        <v>692</v>
      </c>
      <c r="C5177" s="704" t="s">
        <v>798</v>
      </c>
      <c r="D5177" s="704" t="s">
        <v>44</v>
      </c>
      <c r="E5177" s="704" t="s">
        <v>448</v>
      </c>
      <c r="F5177" s="705">
        <v>1.0657599152028385E-4</v>
      </c>
      <c r="G5177" s="705">
        <v>0.13982249711693656</v>
      </c>
    </row>
    <row r="5178" spans="2:7" ht="11.25" hidden="1" customHeight="1" outlineLevel="2" x14ac:dyDescent="0.25">
      <c r="B5178" s="704" t="s">
        <v>693</v>
      </c>
      <c r="C5178" s="704" t="s">
        <v>798</v>
      </c>
      <c r="D5178" s="704" t="s">
        <v>44</v>
      </c>
      <c r="E5178" s="704" t="s">
        <v>448</v>
      </c>
      <c r="F5178" s="705">
        <v>2.9111875327015196E-5</v>
      </c>
      <c r="G5178" s="705">
        <v>3.8345698941539143E-2</v>
      </c>
    </row>
    <row r="5179" spans="2:7" ht="11.25" hidden="1" customHeight="1" outlineLevel="2" x14ac:dyDescent="0.25">
      <c r="B5179" s="704" t="s">
        <v>694</v>
      </c>
      <c r="C5179" s="704" t="s">
        <v>798</v>
      </c>
      <c r="D5179" s="704" t="s">
        <v>44</v>
      </c>
      <c r="E5179" s="704" t="s">
        <v>448</v>
      </c>
      <c r="F5179" s="705">
        <v>3.3068755568634801E-5</v>
      </c>
      <c r="G5179" s="705">
        <v>4.3607578479223495E-2</v>
      </c>
    </row>
    <row r="5180" spans="2:7" ht="11.25" hidden="1" customHeight="1" outlineLevel="2" x14ac:dyDescent="0.25">
      <c r="B5180" s="704" t="s">
        <v>695</v>
      </c>
      <c r="C5180" s="704" t="s">
        <v>798</v>
      </c>
      <c r="D5180" s="704" t="s">
        <v>44</v>
      </c>
      <c r="E5180" s="704" t="s">
        <v>448</v>
      </c>
      <c r="F5180" s="705">
        <v>6.841640743662543E-5</v>
      </c>
      <c r="G5180" s="705">
        <v>9.0117014950568411E-2</v>
      </c>
    </row>
    <row r="5181" spans="2:7" ht="11.25" hidden="1" customHeight="1" outlineLevel="2" x14ac:dyDescent="0.25">
      <c r="B5181" s="704" t="s">
        <v>696</v>
      </c>
      <c r="C5181" s="704" t="s">
        <v>798</v>
      </c>
      <c r="D5181" s="704" t="s">
        <v>44</v>
      </c>
      <c r="E5181" s="704" t="s">
        <v>448</v>
      </c>
      <c r="F5181" s="705">
        <v>6.283539442394502E-5</v>
      </c>
      <c r="G5181" s="705">
        <v>8.2355532646229801E-2</v>
      </c>
    </row>
    <row r="5182" spans="2:7" ht="11.25" hidden="1" customHeight="1" outlineLevel="2" x14ac:dyDescent="0.25">
      <c r="B5182" s="704" t="s">
        <v>697</v>
      </c>
      <c r="C5182" s="704" t="s">
        <v>798</v>
      </c>
      <c r="D5182" s="704" t="s">
        <v>44</v>
      </c>
      <c r="E5182" s="704" t="s">
        <v>448</v>
      </c>
      <c r="F5182" s="705">
        <v>4.8025984871774048E-5</v>
      </c>
      <c r="G5182" s="705">
        <v>6.32590858247562E-2</v>
      </c>
    </row>
    <row r="5183" spans="2:7" ht="11.25" hidden="1" customHeight="1" outlineLevel="2" x14ac:dyDescent="0.25">
      <c r="B5183" s="704" t="s">
        <v>698</v>
      </c>
      <c r="C5183" s="704" t="s">
        <v>798</v>
      </c>
      <c r="D5183" s="704" t="s">
        <v>44</v>
      </c>
      <c r="E5183" s="704" t="s">
        <v>448</v>
      </c>
      <c r="F5183" s="706">
        <v>7.3013400838222681E-5</v>
      </c>
      <c r="G5183" s="705">
        <v>9.6172118095266768E-2</v>
      </c>
    </row>
    <row r="5184" spans="2:7" ht="11.25" hidden="1" customHeight="1" outlineLevel="2" x14ac:dyDescent="0.25">
      <c r="B5184" s="704" t="s">
        <v>699</v>
      </c>
      <c r="C5184" s="704" t="s">
        <v>798</v>
      </c>
      <c r="D5184" s="704" t="s">
        <v>44</v>
      </c>
      <c r="E5184" s="704" t="s">
        <v>448</v>
      </c>
      <c r="F5184" s="706">
        <v>1.25115406112099E-40</v>
      </c>
      <c r="G5184" s="705">
        <v>1.6424750101005877E-37</v>
      </c>
    </row>
    <row r="5185" spans="2:7" ht="11.25" hidden="1" customHeight="1" outlineLevel="2" x14ac:dyDescent="0.25">
      <c r="B5185" s="704" t="s">
        <v>673</v>
      </c>
      <c r="C5185" s="704" t="s">
        <v>799</v>
      </c>
      <c r="D5185" s="704" t="s">
        <v>44</v>
      </c>
      <c r="E5185" s="704" t="s">
        <v>448</v>
      </c>
      <c r="F5185" s="706">
        <v>9.373399868776816E-4</v>
      </c>
      <c r="G5185" s="705">
        <v>1.2275932206977453</v>
      </c>
    </row>
    <row r="5186" spans="2:7" ht="11.25" hidden="1" customHeight="1" outlineLevel="2" x14ac:dyDescent="0.25">
      <c r="B5186" s="704" t="s">
        <v>677</v>
      </c>
      <c r="C5186" s="704" t="s">
        <v>799</v>
      </c>
      <c r="D5186" s="704" t="s">
        <v>44</v>
      </c>
      <c r="E5186" s="704" t="s">
        <v>448</v>
      </c>
      <c r="F5186" s="706">
        <v>1.7560881175287216E-3</v>
      </c>
      <c r="G5186" s="705">
        <v>2.2818968435970044</v>
      </c>
    </row>
    <row r="5187" spans="2:7" ht="11.25" hidden="1" customHeight="1" outlineLevel="2" x14ac:dyDescent="0.25">
      <c r="B5187" s="704" t="s">
        <v>678</v>
      </c>
      <c r="C5187" s="704" t="s">
        <v>799</v>
      </c>
      <c r="D5187" s="704" t="s">
        <v>44</v>
      </c>
      <c r="E5187" s="704" t="s">
        <v>448</v>
      </c>
      <c r="F5187" s="706">
        <v>3.5609314318175117E-3</v>
      </c>
      <c r="G5187" s="705">
        <v>4.668202728453168</v>
      </c>
    </row>
    <row r="5188" spans="2:7" ht="11.25" hidden="1" customHeight="1" outlineLevel="2" x14ac:dyDescent="0.25">
      <c r="B5188" s="704" t="s">
        <v>679</v>
      </c>
      <c r="C5188" s="704" t="s">
        <v>799</v>
      </c>
      <c r="D5188" s="704" t="s">
        <v>44</v>
      </c>
      <c r="E5188" s="704" t="s">
        <v>448</v>
      </c>
      <c r="F5188" s="706">
        <v>1.2502471976435069E-3</v>
      </c>
      <c r="G5188" s="705">
        <v>1.642693811146843</v>
      </c>
    </row>
    <row r="5189" spans="2:7" ht="11.25" hidden="1" customHeight="1" outlineLevel="2" x14ac:dyDescent="0.25">
      <c r="B5189" s="704" t="s">
        <v>680</v>
      </c>
      <c r="C5189" s="704" t="s">
        <v>799</v>
      </c>
      <c r="D5189" s="704" t="s">
        <v>44</v>
      </c>
      <c r="E5189" s="704" t="s">
        <v>448</v>
      </c>
      <c r="F5189" s="706">
        <v>8.1240110935279029E-3</v>
      </c>
      <c r="G5189" s="705">
        <v>10.692673619835196</v>
      </c>
    </row>
    <row r="5190" spans="2:7" ht="11.25" hidden="1" customHeight="1" outlineLevel="2" x14ac:dyDescent="0.25">
      <c r="B5190" s="704" t="s">
        <v>681</v>
      </c>
      <c r="C5190" s="704" t="s">
        <v>799</v>
      </c>
      <c r="D5190" s="704" t="s">
        <v>44</v>
      </c>
      <c r="E5190" s="704" t="s">
        <v>448</v>
      </c>
      <c r="F5190" s="706">
        <v>9.2309489215447495E-3</v>
      </c>
      <c r="G5190" s="705">
        <v>12.10130374271878</v>
      </c>
    </row>
    <row r="5191" spans="2:7" ht="11.25" hidden="1" customHeight="1" outlineLevel="2" x14ac:dyDescent="0.25">
      <c r="B5191" s="704" t="s">
        <v>682</v>
      </c>
      <c r="C5191" s="704" t="s">
        <v>799</v>
      </c>
      <c r="D5191" s="704" t="s">
        <v>44</v>
      </c>
      <c r="E5191" s="704" t="s">
        <v>448</v>
      </c>
      <c r="F5191" s="706">
        <v>4.4883742965749623E-3</v>
      </c>
      <c r="G5191" s="705">
        <v>5.8845196237673356</v>
      </c>
    </row>
    <row r="5192" spans="2:7" ht="11.25" hidden="1" customHeight="1" outlineLevel="2" x14ac:dyDescent="0.25">
      <c r="B5192" s="704" t="s">
        <v>683</v>
      </c>
      <c r="C5192" s="704" t="s">
        <v>799</v>
      </c>
      <c r="D5192" s="704" t="s">
        <v>44</v>
      </c>
      <c r="E5192" s="704" t="s">
        <v>448</v>
      </c>
      <c r="F5192" s="706">
        <v>2.105281549772204E-3</v>
      </c>
      <c r="G5192" s="705">
        <v>2.7661162586444537</v>
      </c>
    </row>
    <row r="5193" spans="2:7" ht="11.25" hidden="1" customHeight="1" outlineLevel="2" x14ac:dyDescent="0.25">
      <c r="B5193" s="704" t="s">
        <v>684</v>
      </c>
      <c r="C5193" s="704" t="s">
        <v>799</v>
      </c>
      <c r="D5193" s="704" t="s">
        <v>44</v>
      </c>
      <c r="E5193" s="704" t="s">
        <v>448</v>
      </c>
      <c r="F5193" s="706">
        <v>7.33137011268195E-3</v>
      </c>
      <c r="G5193" s="705">
        <v>9.6493984808816453</v>
      </c>
    </row>
    <row r="5194" spans="2:7" ht="11.25" hidden="1" customHeight="1" outlineLevel="2" x14ac:dyDescent="0.25">
      <c r="B5194" s="704" t="s">
        <v>685</v>
      </c>
      <c r="C5194" s="704" t="s">
        <v>799</v>
      </c>
      <c r="D5194" s="704" t="s">
        <v>44</v>
      </c>
      <c r="E5194" s="704" t="s">
        <v>448</v>
      </c>
      <c r="F5194" s="706">
        <v>1.1205801430358134E-2</v>
      </c>
      <c r="G5194" s="705">
        <v>14.723232600856754</v>
      </c>
    </row>
    <row r="5195" spans="2:7" ht="11.25" hidden="1" customHeight="1" outlineLevel="2" x14ac:dyDescent="0.25">
      <c r="B5195" s="704" t="s">
        <v>686</v>
      </c>
      <c r="C5195" s="704" t="s">
        <v>799</v>
      </c>
      <c r="D5195" s="704" t="s">
        <v>44</v>
      </c>
      <c r="E5195" s="704" t="s">
        <v>448</v>
      </c>
      <c r="F5195" s="706">
        <v>3.4386115687616583E-3</v>
      </c>
      <c r="G5195" s="705">
        <v>4.5033994958714061</v>
      </c>
    </row>
    <row r="5196" spans="2:7" ht="11.25" hidden="1" customHeight="1" outlineLevel="2" x14ac:dyDescent="0.25">
      <c r="B5196" s="704" t="s">
        <v>687</v>
      </c>
      <c r="C5196" s="704" t="s">
        <v>799</v>
      </c>
      <c r="D5196" s="704" t="s">
        <v>44</v>
      </c>
      <c r="E5196" s="704" t="s">
        <v>448</v>
      </c>
      <c r="F5196" s="706">
        <v>4.2049426131352593E-3</v>
      </c>
      <c r="G5196" s="705">
        <v>5.5124692555893899</v>
      </c>
    </row>
    <row r="5197" spans="2:7" ht="11.25" hidden="1" customHeight="1" outlineLevel="2" x14ac:dyDescent="0.25">
      <c r="B5197" s="704" t="s">
        <v>688</v>
      </c>
      <c r="C5197" s="704" t="s">
        <v>799</v>
      </c>
      <c r="D5197" s="704" t="s">
        <v>44</v>
      </c>
      <c r="E5197" s="704" t="s">
        <v>448</v>
      </c>
      <c r="F5197" s="706">
        <v>1.907519745497433E-3</v>
      </c>
      <c r="G5197" s="705">
        <v>2.5006632126576469</v>
      </c>
    </row>
    <row r="5198" spans="2:7" ht="11.25" hidden="1" customHeight="1" outlineLevel="2" x14ac:dyDescent="0.25">
      <c r="B5198" s="704" t="s">
        <v>689</v>
      </c>
      <c r="C5198" s="704" t="s">
        <v>799</v>
      </c>
      <c r="D5198" s="704" t="s">
        <v>44</v>
      </c>
      <c r="E5198" s="704" t="s">
        <v>448</v>
      </c>
      <c r="F5198" s="706">
        <v>9.3286939425509495E-3</v>
      </c>
      <c r="G5198" s="705">
        <v>12.214960410761217</v>
      </c>
    </row>
    <row r="5199" spans="2:7" ht="11.25" hidden="1" customHeight="1" outlineLevel="2" x14ac:dyDescent="0.25">
      <c r="B5199" s="704" t="s">
        <v>690</v>
      </c>
      <c r="C5199" s="704" t="s">
        <v>799</v>
      </c>
      <c r="D5199" s="704" t="s">
        <v>44</v>
      </c>
      <c r="E5199" s="704" t="s">
        <v>448</v>
      </c>
      <c r="F5199" s="706">
        <v>4.0759013273109117E-3</v>
      </c>
      <c r="G5199" s="705">
        <v>5.3553061366746482</v>
      </c>
    </row>
    <row r="5200" spans="2:7" ht="11.25" hidden="1" customHeight="1" outlineLevel="2" x14ac:dyDescent="0.25">
      <c r="B5200" s="704" t="s">
        <v>691</v>
      </c>
      <c r="C5200" s="704" t="s">
        <v>799</v>
      </c>
      <c r="D5200" s="704" t="s">
        <v>44</v>
      </c>
      <c r="E5200" s="704" t="s">
        <v>448</v>
      </c>
      <c r="F5200" s="706">
        <v>1.5935900939354603E-3</v>
      </c>
      <c r="G5200" s="705">
        <v>2.0938095890717583</v>
      </c>
    </row>
    <row r="5201" spans="2:7" ht="11.25" hidden="1" customHeight="1" outlineLevel="2" x14ac:dyDescent="0.25">
      <c r="B5201" s="704" t="s">
        <v>692</v>
      </c>
      <c r="C5201" s="704" t="s">
        <v>799</v>
      </c>
      <c r="D5201" s="704" t="s">
        <v>44</v>
      </c>
      <c r="E5201" s="704" t="s">
        <v>448</v>
      </c>
      <c r="F5201" s="706">
        <v>1.1513479615290086E-2</v>
      </c>
      <c r="G5201" s="705">
        <v>15.093593859471019</v>
      </c>
    </row>
    <row r="5202" spans="2:7" ht="11.25" hidden="1" customHeight="1" outlineLevel="2" x14ac:dyDescent="0.25">
      <c r="B5202" s="704" t="s">
        <v>693</v>
      </c>
      <c r="C5202" s="704" t="s">
        <v>799</v>
      </c>
      <c r="D5202" s="704" t="s">
        <v>44</v>
      </c>
      <c r="E5202" s="704" t="s">
        <v>448</v>
      </c>
      <c r="F5202" s="706">
        <v>3.1449747615885201E-3</v>
      </c>
      <c r="G5202" s="705">
        <v>4.1393555625878005</v>
      </c>
    </row>
    <row r="5203" spans="2:7" ht="11.25" hidden="1" customHeight="1" outlineLevel="2" x14ac:dyDescent="0.25">
      <c r="B5203" s="704" t="s">
        <v>694</v>
      </c>
      <c r="C5203" s="704" t="s">
        <v>799</v>
      </c>
      <c r="D5203" s="704" t="s">
        <v>44</v>
      </c>
      <c r="E5203" s="704" t="s">
        <v>448</v>
      </c>
      <c r="F5203" s="706">
        <v>3.5724403725154903E-3</v>
      </c>
      <c r="G5203" s="705">
        <v>4.707361583349627</v>
      </c>
    </row>
    <row r="5204" spans="2:7" ht="11.25" hidden="1" customHeight="1" outlineLevel="2" x14ac:dyDescent="0.25">
      <c r="B5204" s="704" t="s">
        <v>695</v>
      </c>
      <c r="C5204" s="704" t="s">
        <v>799</v>
      </c>
      <c r="D5204" s="704" t="s">
        <v>44</v>
      </c>
      <c r="E5204" s="704" t="s">
        <v>448</v>
      </c>
      <c r="F5204" s="706">
        <v>7.39107051508391E-3</v>
      </c>
      <c r="G5204" s="705">
        <v>9.7279760086367464</v>
      </c>
    </row>
    <row r="5205" spans="2:7" ht="11.25" hidden="1" customHeight="1" outlineLevel="2" x14ac:dyDescent="0.25">
      <c r="B5205" s="704" t="s">
        <v>696</v>
      </c>
      <c r="C5205" s="704" t="s">
        <v>799</v>
      </c>
      <c r="D5205" s="704" t="s">
        <v>44</v>
      </c>
      <c r="E5205" s="704" t="s">
        <v>448</v>
      </c>
      <c r="F5205" s="706">
        <v>6.7881454002035628E-3</v>
      </c>
      <c r="G5205" s="705">
        <v>8.8901390289644162</v>
      </c>
    </row>
    <row r="5206" spans="2:7" ht="11.25" hidden="1" customHeight="1" outlineLevel="2" x14ac:dyDescent="0.25">
      <c r="B5206" s="704" t="s">
        <v>697</v>
      </c>
      <c r="C5206" s="704" t="s">
        <v>799</v>
      </c>
      <c r="D5206" s="704" t="s">
        <v>44</v>
      </c>
      <c r="E5206" s="704" t="s">
        <v>448</v>
      </c>
      <c r="F5206" s="706">
        <v>5.1882796426460003E-3</v>
      </c>
      <c r="G5206" s="705">
        <v>6.8287101244723001</v>
      </c>
    </row>
    <row r="5207" spans="2:7" ht="11.25" hidden="1" customHeight="1" outlineLevel="2" x14ac:dyDescent="0.25">
      <c r="B5207" s="704" t="s">
        <v>698</v>
      </c>
      <c r="C5207" s="704" t="s">
        <v>799</v>
      </c>
      <c r="D5207" s="704" t="s">
        <v>44</v>
      </c>
      <c r="E5207" s="704" t="s">
        <v>448</v>
      </c>
      <c r="F5207" s="706">
        <v>7.887685661363171E-3</v>
      </c>
      <c r="G5207" s="705">
        <v>10.38161656148235</v>
      </c>
    </row>
    <row r="5208" spans="2:7" ht="11.25" hidden="1" customHeight="1" outlineLevel="2" x14ac:dyDescent="0.25">
      <c r="B5208" s="704" t="s">
        <v>699</v>
      </c>
      <c r="C5208" s="704" t="s">
        <v>799</v>
      </c>
      <c r="D5208" s="704" t="s">
        <v>44</v>
      </c>
      <c r="E5208" s="704" t="s">
        <v>448</v>
      </c>
      <c r="F5208" s="705">
        <v>1.0678882109993598E-36</v>
      </c>
      <c r="G5208" s="705">
        <v>1.3999479659600153E-33</v>
      </c>
    </row>
    <row r="5209" spans="2:7" ht="11.25" hidden="1" customHeight="1" outlineLevel="2" x14ac:dyDescent="0.25">
      <c r="B5209" s="704" t="s">
        <v>673</v>
      </c>
      <c r="C5209" s="704" t="s">
        <v>800</v>
      </c>
      <c r="D5209" s="704" t="s">
        <v>44</v>
      </c>
      <c r="E5209" s="704" t="s">
        <v>448</v>
      </c>
      <c r="F5209" s="705">
        <v>3.0885749659337384E-4</v>
      </c>
      <c r="G5209" s="705">
        <v>0.38453548307281227</v>
      </c>
    </row>
    <row r="5210" spans="2:7" ht="11.25" hidden="1" customHeight="1" outlineLevel="2" x14ac:dyDescent="0.25">
      <c r="B5210" s="704" t="s">
        <v>677</v>
      </c>
      <c r="C5210" s="704" t="s">
        <v>800</v>
      </c>
      <c r="D5210" s="704" t="s">
        <v>44</v>
      </c>
      <c r="E5210" s="704" t="s">
        <v>448</v>
      </c>
      <c r="F5210" s="705">
        <v>5.8026215994798032E-4</v>
      </c>
      <c r="G5210" s="705">
        <v>0.71478876563541771</v>
      </c>
    </row>
    <row r="5211" spans="2:7" ht="11.25" hidden="1" customHeight="1" outlineLevel="2" x14ac:dyDescent="0.25">
      <c r="B5211" s="704" t="s">
        <v>678</v>
      </c>
      <c r="C5211" s="704" t="s">
        <v>800</v>
      </c>
      <c r="D5211" s="704" t="s">
        <v>44</v>
      </c>
      <c r="E5211" s="704" t="s">
        <v>448</v>
      </c>
      <c r="F5211" s="705">
        <v>1.1729250395252765E-3</v>
      </c>
      <c r="G5211" s="705">
        <v>1.4622828598574302</v>
      </c>
    </row>
    <row r="5212" spans="2:7" ht="11.25" hidden="1" customHeight="1" outlineLevel="2" x14ac:dyDescent="0.25">
      <c r="B5212" s="704" t="s">
        <v>679</v>
      </c>
      <c r="C5212" s="704" t="s">
        <v>800</v>
      </c>
      <c r="D5212" s="704" t="s">
        <v>44</v>
      </c>
      <c r="E5212" s="704" t="s">
        <v>448</v>
      </c>
      <c r="F5212" s="705">
        <v>4.1148292787524188E-4</v>
      </c>
      <c r="G5212" s="705">
        <v>0.51456270495308432</v>
      </c>
    </row>
    <row r="5213" spans="2:7" ht="11.25" hidden="1" customHeight="1" outlineLevel="2" x14ac:dyDescent="0.25">
      <c r="B5213" s="704" t="s">
        <v>680</v>
      </c>
      <c r="C5213" s="704" t="s">
        <v>800</v>
      </c>
      <c r="D5213" s="704" t="s">
        <v>44</v>
      </c>
      <c r="E5213" s="704" t="s">
        <v>448</v>
      </c>
      <c r="F5213" s="705">
        <v>2.6721082589601401E-3</v>
      </c>
      <c r="G5213" s="705">
        <v>3.3494065019859502</v>
      </c>
    </row>
    <row r="5214" spans="2:7" ht="11.25" hidden="1" customHeight="1" outlineLevel="2" x14ac:dyDescent="0.25">
      <c r="B5214" s="704" t="s">
        <v>681</v>
      </c>
      <c r="C5214" s="704" t="s">
        <v>800</v>
      </c>
      <c r="D5214" s="704" t="s">
        <v>44</v>
      </c>
      <c r="E5214" s="704" t="s">
        <v>448</v>
      </c>
      <c r="F5214" s="705">
        <v>3.0405563600721889E-3</v>
      </c>
      <c r="G5214" s="705">
        <v>3.7906547676807612</v>
      </c>
    </row>
    <row r="5215" spans="2:7" ht="11.25" hidden="1" customHeight="1" outlineLevel="2" x14ac:dyDescent="0.25">
      <c r="B5215" s="704" t="s">
        <v>682</v>
      </c>
      <c r="C5215" s="704" t="s">
        <v>800</v>
      </c>
      <c r="D5215" s="704" t="s">
        <v>44</v>
      </c>
      <c r="E5215" s="704" t="s">
        <v>448</v>
      </c>
      <c r="F5215" s="705">
        <v>1.4783692129691705E-3</v>
      </c>
      <c r="G5215" s="705">
        <v>1.8432858044636347</v>
      </c>
    </row>
    <row r="5216" spans="2:7" ht="11.25" hidden="1" customHeight="1" outlineLevel="2" x14ac:dyDescent="0.25">
      <c r="B5216" s="704" t="s">
        <v>683</v>
      </c>
      <c r="C5216" s="704" t="s">
        <v>800</v>
      </c>
      <c r="D5216" s="704" t="s">
        <v>44</v>
      </c>
      <c r="E5216" s="704" t="s">
        <v>448</v>
      </c>
      <c r="F5216" s="705">
        <v>6.9289266586131256E-4</v>
      </c>
      <c r="G5216" s="705">
        <v>0.86646796599019815</v>
      </c>
    </row>
    <row r="5217" spans="2:7" ht="11.25" hidden="1" customHeight="1" outlineLevel="2" x14ac:dyDescent="0.25">
      <c r="B5217" s="704" t="s">
        <v>684</v>
      </c>
      <c r="C5217" s="704" t="s">
        <v>800</v>
      </c>
      <c r="D5217" s="704" t="s">
        <v>44</v>
      </c>
      <c r="E5217" s="704" t="s">
        <v>448</v>
      </c>
      <c r="F5217" s="705">
        <v>2.411395378397858E-3</v>
      </c>
      <c r="G5217" s="705">
        <v>3.0226103097630568</v>
      </c>
    </row>
    <row r="5218" spans="2:7" ht="11.25" hidden="1" customHeight="1" outlineLevel="2" x14ac:dyDescent="0.25">
      <c r="B5218" s="704" t="s">
        <v>685</v>
      </c>
      <c r="C5218" s="704" t="s">
        <v>800</v>
      </c>
      <c r="D5218" s="704" t="s">
        <v>44</v>
      </c>
      <c r="E5218" s="704" t="s">
        <v>448</v>
      </c>
      <c r="F5218" s="705">
        <v>3.6880659413534686E-3</v>
      </c>
      <c r="G5218" s="705">
        <v>4.6119565112335579</v>
      </c>
    </row>
    <row r="5219" spans="2:7" ht="11.25" hidden="1" customHeight="1" outlineLevel="2" x14ac:dyDescent="0.25">
      <c r="B5219" s="704" t="s">
        <v>686</v>
      </c>
      <c r="C5219" s="704" t="s">
        <v>800</v>
      </c>
      <c r="D5219" s="704" t="s">
        <v>44</v>
      </c>
      <c r="E5219" s="704" t="s">
        <v>448</v>
      </c>
      <c r="F5219" s="705">
        <v>1.1330365830021247E-3</v>
      </c>
      <c r="G5219" s="705">
        <v>1.4106599890349791</v>
      </c>
    </row>
    <row r="5220" spans="2:7" ht="11.25" hidden="1" customHeight="1" outlineLevel="2" x14ac:dyDescent="0.25">
      <c r="B5220" s="704" t="s">
        <v>687</v>
      </c>
      <c r="C5220" s="704" t="s">
        <v>800</v>
      </c>
      <c r="D5220" s="704" t="s">
        <v>44</v>
      </c>
      <c r="E5220" s="704" t="s">
        <v>448</v>
      </c>
      <c r="F5220" s="705">
        <v>1.3850541045637521E-3</v>
      </c>
      <c r="G5220" s="705">
        <v>1.7267445394132335</v>
      </c>
    </row>
    <row r="5221" spans="2:7" ht="11.25" hidden="1" customHeight="1" outlineLevel="2" x14ac:dyDescent="0.25">
      <c r="B5221" s="704" t="s">
        <v>688</v>
      </c>
      <c r="C5221" s="704" t="s">
        <v>800</v>
      </c>
      <c r="D5221" s="704" t="s">
        <v>44</v>
      </c>
      <c r="E5221" s="704" t="s">
        <v>448</v>
      </c>
      <c r="F5221" s="705">
        <v>6.2831250648130287E-4</v>
      </c>
      <c r="G5221" s="705">
        <v>0.7833156219153764</v>
      </c>
    </row>
    <row r="5222" spans="2:7" ht="11.25" hidden="1" customHeight="1" outlineLevel="2" x14ac:dyDescent="0.25">
      <c r="B5222" s="704" t="s">
        <v>689</v>
      </c>
      <c r="C5222" s="704" t="s">
        <v>800</v>
      </c>
      <c r="D5222" s="704" t="s">
        <v>44</v>
      </c>
      <c r="E5222" s="704" t="s">
        <v>448</v>
      </c>
      <c r="F5222" s="705">
        <v>3.0740599678214793E-3</v>
      </c>
      <c r="G5222" s="705">
        <v>3.8262565709909659</v>
      </c>
    </row>
    <row r="5223" spans="2:7" ht="11.25" hidden="1" customHeight="1" outlineLevel="2" x14ac:dyDescent="0.25">
      <c r="B5223" s="704" t="s">
        <v>690</v>
      </c>
      <c r="C5223" s="704" t="s">
        <v>800</v>
      </c>
      <c r="D5223" s="704" t="s">
        <v>44</v>
      </c>
      <c r="E5223" s="704" t="s">
        <v>448</v>
      </c>
      <c r="F5223" s="705">
        <v>1.3414657340488974E-3</v>
      </c>
      <c r="G5223" s="705">
        <v>1.6775142610368468</v>
      </c>
    </row>
    <row r="5224" spans="2:7" ht="11.25" hidden="1" customHeight="1" outlineLevel="2" x14ac:dyDescent="0.25">
      <c r="B5224" s="704" t="s">
        <v>691</v>
      </c>
      <c r="C5224" s="704" t="s">
        <v>800</v>
      </c>
      <c r="D5224" s="704" t="s">
        <v>44</v>
      </c>
      <c r="E5224" s="704" t="s">
        <v>448</v>
      </c>
      <c r="F5224" s="705">
        <v>5.2448425894817906E-4</v>
      </c>
      <c r="G5224" s="705">
        <v>0.6558717520718037</v>
      </c>
    </row>
    <row r="5225" spans="2:7" ht="11.25" hidden="1" customHeight="1" outlineLevel="2" x14ac:dyDescent="0.25">
      <c r="B5225" s="704" t="s">
        <v>692</v>
      </c>
      <c r="C5225" s="704" t="s">
        <v>800</v>
      </c>
      <c r="D5225" s="704" t="s">
        <v>44</v>
      </c>
      <c r="E5225" s="704" t="s">
        <v>448</v>
      </c>
      <c r="F5225" s="705">
        <v>3.7923923913146793E-3</v>
      </c>
      <c r="G5225" s="705">
        <v>4.7279663763727804</v>
      </c>
    </row>
    <row r="5226" spans="2:7" ht="11.25" hidden="1" customHeight="1" outlineLevel="2" x14ac:dyDescent="0.25">
      <c r="B5226" s="704" t="s">
        <v>693</v>
      </c>
      <c r="C5226" s="704" t="s">
        <v>800</v>
      </c>
      <c r="D5226" s="704" t="s">
        <v>44</v>
      </c>
      <c r="E5226" s="704" t="s">
        <v>448</v>
      </c>
      <c r="F5226" s="705">
        <v>1.0344291626603003E-3</v>
      </c>
      <c r="G5226" s="705">
        <v>1.2966248314806292</v>
      </c>
    </row>
    <row r="5227" spans="2:7" ht="11.25" hidden="1" customHeight="1" outlineLevel="2" x14ac:dyDescent="0.25">
      <c r="B5227" s="704" t="s">
        <v>694</v>
      </c>
      <c r="C5227" s="704" t="s">
        <v>800</v>
      </c>
      <c r="D5227" s="704" t="s">
        <v>44</v>
      </c>
      <c r="E5227" s="704" t="s">
        <v>448</v>
      </c>
      <c r="F5227" s="705">
        <v>1.174541507956911E-3</v>
      </c>
      <c r="G5227" s="705">
        <v>1.4745485833354928</v>
      </c>
    </row>
    <row r="5228" spans="2:7" ht="11.25" hidden="1" customHeight="1" outlineLevel="2" x14ac:dyDescent="0.25">
      <c r="B5228" s="704" t="s">
        <v>695</v>
      </c>
      <c r="C5228" s="704" t="s">
        <v>800</v>
      </c>
      <c r="D5228" s="704" t="s">
        <v>44</v>
      </c>
      <c r="E5228" s="704" t="s">
        <v>448</v>
      </c>
      <c r="F5228" s="706">
        <v>2.4310326030294979E-3</v>
      </c>
      <c r="G5228" s="705">
        <v>3.0472241031264842</v>
      </c>
    </row>
    <row r="5229" spans="2:7" ht="11.25" hidden="1" customHeight="1" outlineLevel="2" x14ac:dyDescent="0.25">
      <c r="B5229" s="704" t="s">
        <v>696</v>
      </c>
      <c r="C5229" s="704" t="s">
        <v>800</v>
      </c>
      <c r="D5229" s="704" t="s">
        <v>44</v>
      </c>
      <c r="E5229" s="704" t="s">
        <v>448</v>
      </c>
      <c r="F5229" s="706">
        <v>2.2367222338953454E-3</v>
      </c>
      <c r="G5229" s="705">
        <v>2.7847758491560843</v>
      </c>
    </row>
    <row r="5230" spans="2:7" ht="11.25" hidden="1" customHeight="1" outlineLevel="2" x14ac:dyDescent="0.25">
      <c r="B5230" s="704" t="s">
        <v>697</v>
      </c>
      <c r="C5230" s="704" t="s">
        <v>800</v>
      </c>
      <c r="D5230" s="704" t="s">
        <v>44</v>
      </c>
      <c r="E5230" s="704" t="s">
        <v>448</v>
      </c>
      <c r="F5230" s="706">
        <v>1.7065020640447885E-3</v>
      </c>
      <c r="G5230" s="705">
        <v>2.1390476854942326</v>
      </c>
    </row>
    <row r="5231" spans="2:7" ht="11.25" hidden="1" customHeight="1" outlineLevel="2" x14ac:dyDescent="0.25">
      <c r="B5231" s="704" t="s">
        <v>698</v>
      </c>
      <c r="C5231" s="704" t="s">
        <v>800</v>
      </c>
      <c r="D5231" s="704" t="s">
        <v>44</v>
      </c>
      <c r="E5231" s="704" t="s">
        <v>448</v>
      </c>
      <c r="F5231" s="706">
        <v>2.5943765226834415E-3</v>
      </c>
      <c r="G5231" s="705">
        <v>3.2519704604813668</v>
      </c>
    </row>
    <row r="5232" spans="2:7" ht="11.25" hidden="1" customHeight="1" outlineLevel="2" x14ac:dyDescent="0.25">
      <c r="B5232" s="704" t="s">
        <v>699</v>
      </c>
      <c r="C5232" s="704" t="s">
        <v>800</v>
      </c>
      <c r="D5232" s="704" t="s">
        <v>44</v>
      </c>
      <c r="E5232" s="704" t="s">
        <v>448</v>
      </c>
      <c r="F5232" s="706">
        <v>1.2721410398433914E-35</v>
      </c>
      <c r="G5232" s="705">
        <v>1.4837036410084692E-32</v>
      </c>
    </row>
    <row r="5233" spans="2:7" ht="11.25" hidden="1" customHeight="1" outlineLevel="2" x14ac:dyDescent="0.25">
      <c r="B5233" s="704" t="s">
        <v>673</v>
      </c>
      <c r="C5233" s="704" t="s">
        <v>801</v>
      </c>
      <c r="D5233" s="704" t="s">
        <v>44</v>
      </c>
      <c r="E5233" s="704" t="s">
        <v>448</v>
      </c>
      <c r="F5233" s="706">
        <v>4.0285334961292479E-3</v>
      </c>
      <c r="G5233" s="705">
        <v>4.1772842770633227</v>
      </c>
    </row>
    <row r="5234" spans="2:7" ht="11.25" hidden="1" customHeight="1" outlineLevel="2" x14ac:dyDescent="0.25">
      <c r="B5234" s="704" t="s">
        <v>677</v>
      </c>
      <c r="C5234" s="704" t="s">
        <v>801</v>
      </c>
      <c r="D5234" s="704" t="s">
        <v>44</v>
      </c>
      <c r="E5234" s="704" t="s">
        <v>448</v>
      </c>
      <c r="F5234" s="706">
        <v>7.5630146551103157E-3</v>
      </c>
      <c r="G5234" s="705">
        <v>7.7648853358242462</v>
      </c>
    </row>
    <row r="5235" spans="2:7" ht="11.25" hidden="1" customHeight="1" outlineLevel="2" x14ac:dyDescent="0.25">
      <c r="B5235" s="704" t="s">
        <v>678</v>
      </c>
      <c r="C5235" s="704" t="s">
        <v>801</v>
      </c>
      <c r="D5235" s="704" t="s">
        <v>44</v>
      </c>
      <c r="E5235" s="704" t="s">
        <v>448</v>
      </c>
      <c r="F5235" s="705">
        <v>1.5300286158764779E-2</v>
      </c>
      <c r="G5235" s="705">
        <v>15.885064052815455</v>
      </c>
    </row>
    <row r="5236" spans="2:7" ht="11.25" hidden="1" customHeight="1" outlineLevel="2" x14ac:dyDescent="0.25">
      <c r="B5236" s="704" t="s">
        <v>679</v>
      </c>
      <c r="C5236" s="704" t="s">
        <v>801</v>
      </c>
      <c r="D5236" s="704" t="s">
        <v>44</v>
      </c>
      <c r="E5236" s="704" t="s">
        <v>448</v>
      </c>
      <c r="F5236" s="705">
        <v>5.3687451205203561E-3</v>
      </c>
      <c r="G5236" s="705">
        <v>5.5897922709828611</v>
      </c>
    </row>
    <row r="5237" spans="2:7" ht="11.25" hidden="1" customHeight="1" outlineLevel="2" x14ac:dyDescent="0.25">
      <c r="B5237" s="704" t="s">
        <v>680</v>
      </c>
      <c r="C5237" s="704" t="s">
        <v>801</v>
      </c>
      <c r="D5237" s="704" t="s">
        <v>44</v>
      </c>
      <c r="E5237" s="704" t="s">
        <v>448</v>
      </c>
      <c r="F5237" s="705">
        <v>3.4869559580518981E-2</v>
      </c>
      <c r="G5237" s="705">
        <v>36.385234552153698</v>
      </c>
    </row>
    <row r="5238" spans="2:7" ht="11.25" hidden="1" customHeight="1" outlineLevel="2" x14ac:dyDescent="0.25">
      <c r="B5238" s="704" t="s">
        <v>681</v>
      </c>
      <c r="C5238" s="704" t="s">
        <v>801</v>
      </c>
      <c r="D5238" s="704" t="s">
        <v>44</v>
      </c>
      <c r="E5238" s="704" t="s">
        <v>448</v>
      </c>
      <c r="F5238" s="705">
        <v>3.9662689190984916E-2</v>
      </c>
      <c r="G5238" s="705">
        <v>41.178602899261925</v>
      </c>
    </row>
    <row r="5239" spans="2:7" ht="11.25" hidden="1" customHeight="1" outlineLevel="2" x14ac:dyDescent="0.25">
      <c r="B5239" s="704" t="s">
        <v>682</v>
      </c>
      <c r="C5239" s="704" t="s">
        <v>801</v>
      </c>
      <c r="D5239" s="704" t="s">
        <v>44</v>
      </c>
      <c r="E5239" s="704" t="s">
        <v>448</v>
      </c>
      <c r="F5239" s="705">
        <v>1.9284813428773723E-2</v>
      </c>
      <c r="G5239" s="705">
        <v>20.023969960715004</v>
      </c>
    </row>
    <row r="5240" spans="2:7" ht="11.25" hidden="1" customHeight="1" outlineLevel="2" x14ac:dyDescent="0.25">
      <c r="B5240" s="704" t="s">
        <v>683</v>
      </c>
      <c r="C5240" s="704" t="s">
        <v>801</v>
      </c>
      <c r="D5240" s="704" t="s">
        <v>44</v>
      </c>
      <c r="E5240" s="704" t="s">
        <v>448</v>
      </c>
      <c r="F5240" s="705">
        <v>9.0403869085305451E-3</v>
      </c>
      <c r="G5240" s="705">
        <v>9.4126082279582217</v>
      </c>
    </row>
    <row r="5241" spans="2:7" ht="11.25" hidden="1" customHeight="1" outlineLevel="2" x14ac:dyDescent="0.25">
      <c r="B5241" s="704" t="s">
        <v>684</v>
      </c>
      <c r="C5241" s="704" t="s">
        <v>801</v>
      </c>
      <c r="D5241" s="704" t="s">
        <v>44</v>
      </c>
      <c r="E5241" s="704" t="s">
        <v>448</v>
      </c>
      <c r="F5241" s="705">
        <v>3.1467382306889238E-2</v>
      </c>
      <c r="G5241" s="705">
        <v>32.835192119010671</v>
      </c>
    </row>
    <row r="5242" spans="2:7" ht="11.25" hidden="1" customHeight="1" outlineLevel="2" x14ac:dyDescent="0.25">
      <c r="B5242" s="704" t="s">
        <v>685</v>
      </c>
      <c r="C5242" s="704" t="s">
        <v>801</v>
      </c>
      <c r="D5242" s="704" t="s">
        <v>44</v>
      </c>
      <c r="E5242" s="704" t="s">
        <v>448</v>
      </c>
      <c r="F5242" s="705">
        <v>4.8119341281874339E-2</v>
      </c>
      <c r="G5242" s="705">
        <v>50.100572749177601</v>
      </c>
    </row>
    <row r="5243" spans="2:7" ht="11.25" hidden="1" customHeight="1" outlineLevel="2" x14ac:dyDescent="0.25">
      <c r="B5243" s="704" t="s">
        <v>686</v>
      </c>
      <c r="C5243" s="704" t="s">
        <v>801</v>
      </c>
      <c r="D5243" s="704" t="s">
        <v>44</v>
      </c>
      <c r="E5243" s="704" t="s">
        <v>448</v>
      </c>
      <c r="F5243" s="705">
        <v>1.4778583799093805E-2</v>
      </c>
      <c r="G5243" s="705">
        <v>15.324270609494237</v>
      </c>
    </row>
    <row r="5244" spans="2:7" ht="11.25" hidden="1" customHeight="1" outlineLevel="2" x14ac:dyDescent="0.25">
      <c r="B5244" s="704" t="s">
        <v>687</v>
      </c>
      <c r="C5244" s="704" t="s">
        <v>801</v>
      </c>
      <c r="D5244" s="704" t="s">
        <v>44</v>
      </c>
      <c r="E5244" s="704" t="s">
        <v>448</v>
      </c>
      <c r="F5244" s="705">
        <v>1.8067410270553891E-2</v>
      </c>
      <c r="G5244" s="705">
        <v>18.757949143869368</v>
      </c>
    </row>
    <row r="5245" spans="2:7" ht="11.25" hidden="1" customHeight="1" outlineLevel="2" x14ac:dyDescent="0.25">
      <c r="B5245" s="704" t="s">
        <v>688</v>
      </c>
      <c r="C5245" s="704" t="s">
        <v>801</v>
      </c>
      <c r="D5245" s="704" t="s">
        <v>44</v>
      </c>
      <c r="E5245" s="704" t="s">
        <v>448</v>
      </c>
      <c r="F5245" s="705">
        <v>8.1960559538365729E-3</v>
      </c>
      <c r="G5245" s="705">
        <v>8.5093134761534923</v>
      </c>
    </row>
    <row r="5246" spans="2:7" ht="11.25" hidden="1" customHeight="1" outlineLevel="2" x14ac:dyDescent="0.25">
      <c r="B5246" s="704" t="s">
        <v>689</v>
      </c>
      <c r="C5246" s="704" t="s">
        <v>801</v>
      </c>
      <c r="D5246" s="704" t="s">
        <v>44</v>
      </c>
      <c r="E5246" s="704" t="s">
        <v>448</v>
      </c>
      <c r="F5246" s="705">
        <v>4.0095269884675926E-2</v>
      </c>
      <c r="G5246" s="705">
        <v>41.565346769197689</v>
      </c>
    </row>
    <row r="5247" spans="2:7" ht="11.25" hidden="1" customHeight="1" outlineLevel="2" x14ac:dyDescent="0.25">
      <c r="B5247" s="704" t="s">
        <v>690</v>
      </c>
      <c r="C5247" s="704" t="s">
        <v>801</v>
      </c>
      <c r="D5247" s="704" t="s">
        <v>44</v>
      </c>
      <c r="E5247" s="704" t="s">
        <v>448</v>
      </c>
      <c r="F5247" s="705">
        <v>1.7502518150407449E-2</v>
      </c>
      <c r="G5247" s="705">
        <v>18.223151866174312</v>
      </c>
    </row>
    <row r="5248" spans="2:7" ht="11.25" hidden="1" customHeight="1" outlineLevel="2" x14ac:dyDescent="0.25">
      <c r="B5248" s="704" t="s">
        <v>691</v>
      </c>
      <c r="C5248" s="704" t="s">
        <v>801</v>
      </c>
      <c r="D5248" s="704" t="s">
        <v>44</v>
      </c>
      <c r="E5248" s="704" t="s">
        <v>448</v>
      </c>
      <c r="F5248" s="705">
        <v>6.8431073461608519E-3</v>
      </c>
      <c r="G5248" s="705">
        <v>7.1248593543095451</v>
      </c>
    </row>
    <row r="5249" spans="2:7" ht="11.25" hidden="1" customHeight="1" outlineLevel="2" x14ac:dyDescent="0.25">
      <c r="B5249" s="704" t="s">
        <v>692</v>
      </c>
      <c r="C5249" s="704" t="s">
        <v>801</v>
      </c>
      <c r="D5249" s="704" t="s">
        <v>44</v>
      </c>
      <c r="E5249" s="704" t="s">
        <v>448</v>
      </c>
      <c r="F5249" s="705">
        <v>4.9470071073057571E-2</v>
      </c>
      <c r="G5249" s="705">
        <v>51.360815695897756</v>
      </c>
    </row>
    <row r="5250" spans="2:7" ht="11.25" hidden="1" customHeight="1" outlineLevel="2" x14ac:dyDescent="0.25">
      <c r="B5250" s="704" t="s">
        <v>693</v>
      </c>
      <c r="C5250" s="704" t="s">
        <v>801</v>
      </c>
      <c r="D5250" s="704" t="s">
        <v>44</v>
      </c>
      <c r="E5250" s="704" t="s">
        <v>448</v>
      </c>
      <c r="F5250" s="705">
        <v>1.3498737490036128E-2</v>
      </c>
      <c r="G5250" s="705">
        <v>14.085486023776323</v>
      </c>
    </row>
    <row r="5251" spans="2:7" ht="11.25" hidden="1" customHeight="1" outlineLevel="2" x14ac:dyDescent="0.25">
      <c r="B5251" s="704" t="s">
        <v>694</v>
      </c>
      <c r="C5251" s="704" t="s">
        <v>801</v>
      </c>
      <c r="D5251" s="704" t="s">
        <v>44</v>
      </c>
      <c r="E5251" s="704" t="s">
        <v>448</v>
      </c>
      <c r="F5251" s="705">
        <v>1.5328790279751548E-2</v>
      </c>
      <c r="G5251" s="705">
        <v>16.01831032055232</v>
      </c>
    </row>
    <row r="5252" spans="2:7" ht="11.25" hidden="1" customHeight="1" outlineLevel="2" x14ac:dyDescent="0.25">
      <c r="B5252" s="704" t="s">
        <v>695</v>
      </c>
      <c r="C5252" s="704" t="s">
        <v>801</v>
      </c>
      <c r="D5252" s="704" t="s">
        <v>44</v>
      </c>
      <c r="E5252" s="704" t="s">
        <v>448</v>
      </c>
      <c r="F5252" s="705">
        <v>3.17236458417035E-2</v>
      </c>
      <c r="G5252" s="705">
        <v>33.102579577477066</v>
      </c>
    </row>
    <row r="5253" spans="2:7" ht="11.25" hidden="1" customHeight="1" outlineLevel="2" x14ac:dyDescent="0.25">
      <c r="B5253" s="704" t="s">
        <v>696</v>
      </c>
      <c r="C5253" s="704" t="s">
        <v>801</v>
      </c>
      <c r="D5253" s="704" t="s">
        <v>44</v>
      </c>
      <c r="E5253" s="704" t="s">
        <v>448</v>
      </c>
      <c r="F5253" s="705">
        <v>2.917433019709776E-2</v>
      </c>
      <c r="G5253" s="705">
        <v>30.251556081785765</v>
      </c>
    </row>
    <row r="5254" spans="2:7" ht="11.25" hidden="1" customHeight="1" outlineLevel="2" x14ac:dyDescent="0.25">
      <c r="B5254" s="704" t="s">
        <v>697</v>
      </c>
      <c r="C5254" s="704" t="s">
        <v>801</v>
      </c>
      <c r="D5254" s="704" t="s">
        <v>44</v>
      </c>
      <c r="E5254" s="704" t="s">
        <v>448</v>
      </c>
      <c r="F5254" s="705">
        <v>2.2268920797414347E-2</v>
      </c>
      <c r="G5254" s="705">
        <v>23.236881716136118</v>
      </c>
    </row>
    <row r="5255" spans="2:7" ht="11.25" hidden="1" customHeight="1" outlineLevel="2" x14ac:dyDescent="0.25">
      <c r="B5255" s="704" t="s">
        <v>698</v>
      </c>
      <c r="C5255" s="704" t="s">
        <v>801</v>
      </c>
      <c r="D5255" s="704" t="s">
        <v>44</v>
      </c>
      <c r="E5255" s="704" t="s">
        <v>448</v>
      </c>
      <c r="F5255" s="705">
        <v>3.3855200425178665E-2</v>
      </c>
      <c r="G5255" s="705">
        <v>35.32679399798608</v>
      </c>
    </row>
    <row r="5256" spans="2:7" ht="11.25" hidden="1" customHeight="1" outlineLevel="2" x14ac:dyDescent="0.25">
      <c r="B5256" s="704" t="s">
        <v>699</v>
      </c>
      <c r="C5256" s="704" t="s">
        <v>801</v>
      </c>
      <c r="D5256" s="704" t="s">
        <v>44</v>
      </c>
      <c r="E5256" s="704" t="s">
        <v>448</v>
      </c>
      <c r="F5256" s="705">
        <v>1.6597304970493812E-33</v>
      </c>
      <c r="G5256" s="705">
        <v>2.1675830777834775E-30</v>
      </c>
    </row>
    <row r="5257" spans="2:7" ht="11.25" hidden="1" customHeight="1" outlineLevel="2" x14ac:dyDescent="0.25">
      <c r="B5257" s="704" t="s">
        <v>673</v>
      </c>
      <c r="C5257" s="704" t="s">
        <v>802</v>
      </c>
      <c r="D5257" s="704" t="s">
        <v>44</v>
      </c>
      <c r="E5257" s="704" t="s">
        <v>448</v>
      </c>
      <c r="F5257" s="705">
        <v>1.3241117115386706E-2</v>
      </c>
      <c r="G5257" s="705">
        <v>8.9540046803672304</v>
      </c>
    </row>
    <row r="5258" spans="2:7" ht="11.25" hidden="1" customHeight="1" outlineLevel="2" x14ac:dyDescent="0.25">
      <c r="B5258" s="704" t="s">
        <v>677</v>
      </c>
      <c r="C5258" s="704" t="s">
        <v>802</v>
      </c>
      <c r="D5258" s="704" t="s">
        <v>44</v>
      </c>
      <c r="E5258" s="704" t="s">
        <v>448</v>
      </c>
      <c r="F5258" s="705">
        <v>2.4834482234941391E-2</v>
      </c>
      <c r="G5258" s="705">
        <v>16.644039048352433</v>
      </c>
    </row>
    <row r="5259" spans="2:7" ht="11.25" hidden="1" customHeight="1" outlineLevel="2" x14ac:dyDescent="0.25">
      <c r="B5259" s="704" t="s">
        <v>678</v>
      </c>
      <c r="C5259" s="704" t="s">
        <v>802</v>
      </c>
      <c r="D5259" s="704" t="s">
        <v>44</v>
      </c>
      <c r="E5259" s="704" t="s">
        <v>448</v>
      </c>
      <c r="F5259" s="705">
        <v>5.029563892653844E-2</v>
      </c>
      <c r="G5259" s="705">
        <v>34.049648477356506</v>
      </c>
    </row>
    <row r="5260" spans="2:7" ht="11.25" hidden="1" customHeight="1" outlineLevel="2" x14ac:dyDescent="0.25">
      <c r="B5260" s="704" t="s">
        <v>679</v>
      </c>
      <c r="C5260" s="704" t="s">
        <v>802</v>
      </c>
      <c r="D5260" s="704" t="s">
        <v>44</v>
      </c>
      <c r="E5260" s="704" t="s">
        <v>448</v>
      </c>
      <c r="F5260" s="705">
        <v>1.7653214269495492E-2</v>
      </c>
      <c r="G5260" s="705">
        <v>11.981732881397019</v>
      </c>
    </row>
    <row r="5261" spans="2:7" ht="11.25" hidden="1" customHeight="1" outlineLevel="2" x14ac:dyDescent="0.25">
      <c r="B5261" s="704" t="s">
        <v>680</v>
      </c>
      <c r="C5261" s="704" t="s">
        <v>802</v>
      </c>
      <c r="D5261" s="704" t="s">
        <v>44</v>
      </c>
      <c r="E5261" s="704" t="s">
        <v>448</v>
      </c>
      <c r="F5261" s="705">
        <v>0.11468091640277145</v>
      </c>
      <c r="G5261" s="705">
        <v>77.991774755330084</v>
      </c>
    </row>
    <row r="5262" spans="2:7" ht="11.25" hidden="1" customHeight="1" outlineLevel="2" x14ac:dyDescent="0.25">
      <c r="B5262" s="704" t="s">
        <v>681</v>
      </c>
      <c r="C5262" s="704" t="s">
        <v>802</v>
      </c>
      <c r="D5262" s="704" t="s">
        <v>44</v>
      </c>
      <c r="E5262" s="704" t="s">
        <v>448</v>
      </c>
      <c r="F5262" s="705">
        <v>0.13038060703548562</v>
      </c>
      <c r="G5262" s="705">
        <v>88.266382977534363</v>
      </c>
    </row>
    <row r="5263" spans="2:7" ht="11.25" hidden="1" customHeight="1" outlineLevel="2" x14ac:dyDescent="0.25">
      <c r="B5263" s="704" t="s">
        <v>682</v>
      </c>
      <c r="C5263" s="704" t="s">
        <v>802</v>
      </c>
      <c r="D5263" s="704" t="s">
        <v>44</v>
      </c>
      <c r="E5263" s="704" t="s">
        <v>448</v>
      </c>
      <c r="F5263" s="705">
        <v>6.3394373353471298E-2</v>
      </c>
      <c r="G5263" s="705">
        <v>42.921398396968961</v>
      </c>
    </row>
    <row r="5264" spans="2:7" ht="11.25" hidden="1" customHeight="1" outlineLevel="2" x14ac:dyDescent="0.25">
      <c r="B5264" s="704" t="s">
        <v>683</v>
      </c>
      <c r="C5264" s="704" t="s">
        <v>802</v>
      </c>
      <c r="D5264" s="704" t="s">
        <v>44</v>
      </c>
      <c r="E5264" s="704" t="s">
        <v>448</v>
      </c>
      <c r="F5264" s="705">
        <v>2.9726119619235349E-2</v>
      </c>
      <c r="G5264" s="705">
        <v>20.175935659371035</v>
      </c>
    </row>
    <row r="5265" spans="2:7" ht="11.25" hidden="1" customHeight="1" outlineLevel="2" x14ac:dyDescent="0.25">
      <c r="B5265" s="704" t="s">
        <v>684</v>
      </c>
      <c r="C5265" s="704" t="s">
        <v>802</v>
      </c>
      <c r="D5265" s="704" t="s">
        <v>44</v>
      </c>
      <c r="E5265" s="704" t="s">
        <v>448</v>
      </c>
      <c r="F5265" s="705">
        <v>0.10349171854710809</v>
      </c>
      <c r="G5265" s="705">
        <v>70.382246672353133</v>
      </c>
    </row>
    <row r="5266" spans="2:7" ht="11.25" hidden="1" customHeight="1" outlineLevel="2" x14ac:dyDescent="0.25">
      <c r="B5266" s="704" t="s">
        <v>685</v>
      </c>
      <c r="C5266" s="704" t="s">
        <v>802</v>
      </c>
      <c r="D5266" s="704" t="s">
        <v>44</v>
      </c>
      <c r="E5266" s="704" t="s">
        <v>448</v>
      </c>
      <c r="F5266" s="705">
        <v>0.15822353263029929</v>
      </c>
      <c r="G5266" s="705">
        <v>107.39060647665133</v>
      </c>
    </row>
    <row r="5267" spans="2:7" ht="11.25" hidden="1" customHeight="1" outlineLevel="2" x14ac:dyDescent="0.25">
      <c r="B5267" s="704" t="s">
        <v>686</v>
      </c>
      <c r="C5267" s="704" t="s">
        <v>802</v>
      </c>
      <c r="D5267" s="704" t="s">
        <v>44</v>
      </c>
      <c r="E5267" s="704" t="s">
        <v>448</v>
      </c>
      <c r="F5267" s="706">
        <v>4.857477310507187E-2</v>
      </c>
      <c r="G5267" s="705">
        <v>32.847597261163898</v>
      </c>
    </row>
    <row r="5268" spans="2:7" ht="11.25" hidden="1" customHeight="1" outlineLevel="2" x14ac:dyDescent="0.25">
      <c r="B5268" s="704" t="s">
        <v>687</v>
      </c>
      <c r="C5268" s="704" t="s">
        <v>802</v>
      </c>
      <c r="D5268" s="704" t="s">
        <v>44</v>
      </c>
      <c r="E5268" s="704" t="s">
        <v>448</v>
      </c>
      <c r="F5268" s="706">
        <v>5.9391841985835227E-2</v>
      </c>
      <c r="G5268" s="705">
        <v>40.207691991214887</v>
      </c>
    </row>
    <row r="5269" spans="2:7" ht="11.25" hidden="1" customHeight="1" outlineLevel="2" x14ac:dyDescent="0.25">
      <c r="B5269" s="704" t="s">
        <v>688</v>
      </c>
      <c r="C5269" s="704" t="s">
        <v>802</v>
      </c>
      <c r="D5269" s="704" t="s">
        <v>44</v>
      </c>
      <c r="E5269" s="704" t="s">
        <v>448</v>
      </c>
      <c r="F5269" s="706">
        <v>2.6942356916585523E-2</v>
      </c>
      <c r="G5269" s="705">
        <v>18.239721171412143</v>
      </c>
    </row>
    <row r="5270" spans="2:7" ht="11.25" hidden="1" customHeight="1" outlineLevel="2" x14ac:dyDescent="0.25">
      <c r="B5270" s="704" t="s">
        <v>689</v>
      </c>
      <c r="C5270" s="704" t="s">
        <v>802</v>
      </c>
      <c r="D5270" s="704" t="s">
        <v>44</v>
      </c>
      <c r="E5270" s="704" t="s">
        <v>448</v>
      </c>
      <c r="F5270" s="706">
        <v>0.13178336380759276</v>
      </c>
      <c r="G5270" s="705">
        <v>89.095361805530487</v>
      </c>
    </row>
    <row r="5271" spans="2:7" ht="11.25" hidden="1" customHeight="1" outlineLevel="2" x14ac:dyDescent="0.25">
      <c r="B5271" s="704" t="s">
        <v>690</v>
      </c>
      <c r="C5271" s="704" t="s">
        <v>802</v>
      </c>
      <c r="D5271" s="704" t="s">
        <v>44</v>
      </c>
      <c r="E5271" s="704" t="s">
        <v>448</v>
      </c>
      <c r="F5271" s="706">
        <v>5.7550897944251111E-2</v>
      </c>
      <c r="G5271" s="705">
        <v>39.061338724013808</v>
      </c>
    </row>
    <row r="5272" spans="2:7" ht="11.25" hidden="1" customHeight="1" outlineLevel="2" x14ac:dyDescent="0.25">
      <c r="B5272" s="704" t="s">
        <v>691</v>
      </c>
      <c r="C5272" s="704" t="s">
        <v>802</v>
      </c>
      <c r="D5272" s="704" t="s">
        <v>44</v>
      </c>
      <c r="E5272" s="704" t="s">
        <v>448</v>
      </c>
      <c r="F5272" s="706">
        <v>2.2501150080422909E-2</v>
      </c>
      <c r="G5272" s="705">
        <v>15.272156507810053</v>
      </c>
    </row>
    <row r="5273" spans="2:7" ht="11.25" hidden="1" customHeight="1" outlineLevel="2" x14ac:dyDescent="0.25">
      <c r="B5273" s="704" t="s">
        <v>692</v>
      </c>
      <c r="C5273" s="704" t="s">
        <v>802</v>
      </c>
      <c r="D5273" s="704" t="s">
        <v>44</v>
      </c>
      <c r="E5273" s="704" t="s">
        <v>448</v>
      </c>
      <c r="F5273" s="706">
        <v>0.16261972144537795</v>
      </c>
      <c r="G5273" s="705">
        <v>110.09187011362901</v>
      </c>
    </row>
    <row r="5274" spans="2:7" ht="11.25" hidden="1" customHeight="1" outlineLevel="2" x14ac:dyDescent="0.25">
      <c r="B5274" s="704" t="s">
        <v>693</v>
      </c>
      <c r="C5274" s="704" t="s">
        <v>802</v>
      </c>
      <c r="D5274" s="704" t="s">
        <v>44</v>
      </c>
      <c r="E5274" s="704" t="s">
        <v>448</v>
      </c>
      <c r="F5274" s="705">
        <v>4.4395387385369509E-2</v>
      </c>
      <c r="G5274" s="705">
        <v>30.192255620822149</v>
      </c>
    </row>
    <row r="5275" spans="2:7" ht="11.25" hidden="1" customHeight="1" outlineLevel="2" x14ac:dyDescent="0.25">
      <c r="B5275" s="704" t="s">
        <v>694</v>
      </c>
      <c r="C5275" s="704" t="s">
        <v>802</v>
      </c>
      <c r="D5275" s="704" t="s">
        <v>44</v>
      </c>
      <c r="E5275" s="704" t="s">
        <v>448</v>
      </c>
      <c r="F5275" s="705">
        <v>5.0421339997414646E-2</v>
      </c>
      <c r="G5275" s="705">
        <v>34.335270738461595</v>
      </c>
    </row>
    <row r="5276" spans="2:7" ht="11.25" hidden="1" customHeight="1" outlineLevel="2" x14ac:dyDescent="0.25">
      <c r="B5276" s="704" t="s">
        <v>695</v>
      </c>
      <c r="C5276" s="704" t="s">
        <v>802</v>
      </c>
      <c r="D5276" s="704" t="s">
        <v>44</v>
      </c>
      <c r="E5276" s="704" t="s">
        <v>448</v>
      </c>
      <c r="F5276" s="705">
        <v>0.1043344968080278</v>
      </c>
      <c r="G5276" s="705">
        <v>70.955437534597422</v>
      </c>
    </row>
    <row r="5277" spans="2:7" ht="11.25" hidden="1" customHeight="1" outlineLevel="2" x14ac:dyDescent="0.25">
      <c r="B5277" s="704" t="s">
        <v>696</v>
      </c>
      <c r="C5277" s="704" t="s">
        <v>802</v>
      </c>
      <c r="D5277" s="704" t="s">
        <v>44</v>
      </c>
      <c r="E5277" s="704" t="s">
        <v>448</v>
      </c>
      <c r="F5277" s="706">
        <v>9.589122851983109E-2</v>
      </c>
      <c r="G5277" s="705">
        <v>64.844232202589751</v>
      </c>
    </row>
    <row r="5278" spans="2:7" ht="11.25" hidden="1" customHeight="1" outlineLevel="2" x14ac:dyDescent="0.25">
      <c r="B5278" s="704" t="s">
        <v>697</v>
      </c>
      <c r="C5278" s="704" t="s">
        <v>802</v>
      </c>
      <c r="D5278" s="704" t="s">
        <v>44</v>
      </c>
      <c r="E5278" s="704" t="s">
        <v>448</v>
      </c>
      <c r="F5278" s="705">
        <v>7.3239258185491332E-2</v>
      </c>
      <c r="G5278" s="705">
        <v>49.808282798379317</v>
      </c>
    </row>
    <row r="5279" spans="2:7" ht="11.25" hidden="1" customHeight="1" outlineLevel="2" x14ac:dyDescent="0.25">
      <c r="B5279" s="704" t="s">
        <v>698</v>
      </c>
      <c r="C5279" s="704" t="s">
        <v>802</v>
      </c>
      <c r="D5279" s="704" t="s">
        <v>44</v>
      </c>
      <c r="E5279" s="704" t="s">
        <v>448</v>
      </c>
      <c r="F5279" s="705">
        <v>0.11134485324987248</v>
      </c>
      <c r="G5279" s="705">
        <v>75.723021232441809</v>
      </c>
    </row>
    <row r="5280" spans="2:7" ht="11.25" hidden="1" customHeight="1" outlineLevel="2" x14ac:dyDescent="0.25">
      <c r="B5280" s="704" t="s">
        <v>699</v>
      </c>
      <c r="C5280" s="704" t="s">
        <v>802</v>
      </c>
      <c r="D5280" s="704" t="s">
        <v>44</v>
      </c>
      <c r="E5280" s="704" t="s">
        <v>448</v>
      </c>
      <c r="F5280" s="706">
        <v>3.2387271652855731E-33</v>
      </c>
      <c r="G5280" s="705">
        <v>2.1925866068221845E-30</v>
      </c>
    </row>
    <row r="5281" spans="2:7" ht="11.25" hidden="1" customHeight="1" outlineLevel="2" x14ac:dyDescent="0.25">
      <c r="B5281" s="704" t="s">
        <v>673</v>
      </c>
      <c r="C5281" s="704" t="s">
        <v>803</v>
      </c>
      <c r="D5281" s="704" t="s">
        <v>44</v>
      </c>
      <c r="E5281" s="704" t="s">
        <v>448</v>
      </c>
      <c r="F5281" s="705">
        <v>1.4874603130603078E-3</v>
      </c>
      <c r="G5281" s="705">
        <v>1.9480616581416537</v>
      </c>
    </row>
    <row r="5282" spans="2:7" ht="11.25" hidden="1" customHeight="1" outlineLevel="2" x14ac:dyDescent="0.25">
      <c r="B5282" s="704" t="s">
        <v>677</v>
      </c>
      <c r="C5282" s="704" t="s">
        <v>803</v>
      </c>
      <c r="D5282" s="704" t="s">
        <v>44</v>
      </c>
      <c r="E5282" s="704" t="s">
        <v>448</v>
      </c>
      <c r="F5282" s="705">
        <v>2.7867262661299174E-3</v>
      </c>
      <c r="G5282" s="705">
        <v>3.6211278552893913</v>
      </c>
    </row>
    <row r="5283" spans="2:7" ht="11.25" hidden="1" customHeight="1" outlineLevel="2" x14ac:dyDescent="0.25">
      <c r="B5283" s="704" t="s">
        <v>678</v>
      </c>
      <c r="C5283" s="704" t="s">
        <v>803</v>
      </c>
      <c r="D5283" s="704" t="s">
        <v>44</v>
      </c>
      <c r="E5283" s="704" t="s">
        <v>448</v>
      </c>
      <c r="F5283" s="705">
        <v>5.6508224740235164E-3</v>
      </c>
      <c r="G5283" s="705">
        <v>7.4079452945079707</v>
      </c>
    </row>
    <row r="5284" spans="2:7" ht="11.25" hidden="1" customHeight="1" outlineLevel="2" x14ac:dyDescent="0.25">
      <c r="B5284" s="704" t="s">
        <v>679</v>
      </c>
      <c r="C5284" s="704" t="s">
        <v>803</v>
      </c>
      <c r="D5284" s="704" t="s">
        <v>44</v>
      </c>
      <c r="E5284" s="704" t="s">
        <v>448</v>
      </c>
      <c r="F5284" s="706">
        <v>1.9840091501422052E-3</v>
      </c>
      <c r="G5284" s="705">
        <v>2.6067809643422444</v>
      </c>
    </row>
    <row r="5285" spans="2:7" ht="11.25" hidden="1" customHeight="1" outlineLevel="2" x14ac:dyDescent="0.25">
      <c r="B5285" s="704" t="s">
        <v>680</v>
      </c>
      <c r="C5285" s="704" t="s">
        <v>803</v>
      </c>
      <c r="D5285" s="704" t="s">
        <v>44</v>
      </c>
      <c r="E5285" s="704" t="s">
        <v>448</v>
      </c>
      <c r="F5285" s="706">
        <v>1.2891951052548228E-2</v>
      </c>
      <c r="G5285" s="705">
        <v>16.968123570809578</v>
      </c>
    </row>
    <row r="5286" spans="2:7" ht="11.25" hidden="1" customHeight="1" outlineLevel="2" x14ac:dyDescent="0.25">
      <c r="B5286" s="704" t="s">
        <v>681</v>
      </c>
      <c r="C5286" s="704" t="s">
        <v>803</v>
      </c>
      <c r="D5286" s="704" t="s">
        <v>44</v>
      </c>
      <c r="E5286" s="704" t="s">
        <v>448</v>
      </c>
      <c r="F5286" s="706">
        <v>1.464853929319033E-2</v>
      </c>
      <c r="G5286" s="705">
        <v>19.203503086775562</v>
      </c>
    </row>
    <row r="5287" spans="2:7" ht="11.25" hidden="1" customHeight="1" outlineLevel="2" x14ac:dyDescent="0.25">
      <c r="B5287" s="704" t="s">
        <v>682</v>
      </c>
      <c r="C5287" s="704" t="s">
        <v>803</v>
      </c>
      <c r="D5287" s="704" t="s">
        <v>44</v>
      </c>
      <c r="E5287" s="704" t="s">
        <v>448</v>
      </c>
      <c r="F5287" s="705">
        <v>7.1225733854141261E-3</v>
      </c>
      <c r="G5287" s="705">
        <v>9.3381137691202678</v>
      </c>
    </row>
    <row r="5288" spans="2:7" ht="11.25" hidden="1" customHeight="1" outlineLevel="2" x14ac:dyDescent="0.25">
      <c r="B5288" s="704" t="s">
        <v>683</v>
      </c>
      <c r="C5288" s="704" t="s">
        <v>803</v>
      </c>
      <c r="D5288" s="704" t="s">
        <v>44</v>
      </c>
      <c r="E5288" s="704" t="s">
        <v>448</v>
      </c>
      <c r="F5288" s="705">
        <v>3.3408586747085012E-3</v>
      </c>
      <c r="G5288" s="705">
        <v>4.3895371853479501</v>
      </c>
    </row>
    <row r="5289" spans="2:7" ht="11.25" hidden="1" customHeight="1" outlineLevel="2" x14ac:dyDescent="0.25">
      <c r="B5289" s="704" t="s">
        <v>684</v>
      </c>
      <c r="C5289" s="704" t="s">
        <v>803</v>
      </c>
      <c r="D5289" s="704" t="s">
        <v>44</v>
      </c>
      <c r="E5289" s="704" t="s">
        <v>448</v>
      </c>
      <c r="F5289" s="705">
        <v>1.1634102916539364E-2</v>
      </c>
      <c r="G5289" s="705">
        <v>15.312572825631575</v>
      </c>
    </row>
    <row r="5290" spans="2:7" ht="11.25" hidden="1" customHeight="1" outlineLevel="2" x14ac:dyDescent="0.25">
      <c r="B5290" s="704" t="s">
        <v>685</v>
      </c>
      <c r="C5290" s="704" t="s">
        <v>803</v>
      </c>
      <c r="D5290" s="704" t="s">
        <v>44</v>
      </c>
      <c r="E5290" s="704" t="s">
        <v>448</v>
      </c>
      <c r="F5290" s="705">
        <v>1.7782416882123453E-2</v>
      </c>
      <c r="G5290" s="705">
        <v>23.364221528448127</v>
      </c>
    </row>
    <row r="5291" spans="2:7" ht="11.25" hidden="1" customHeight="1" outlineLevel="2" x14ac:dyDescent="0.25">
      <c r="B5291" s="704" t="s">
        <v>686</v>
      </c>
      <c r="C5291" s="704" t="s">
        <v>803</v>
      </c>
      <c r="D5291" s="704" t="s">
        <v>44</v>
      </c>
      <c r="E5291" s="704" t="s">
        <v>448</v>
      </c>
      <c r="F5291" s="705">
        <v>5.4567147002255326E-3</v>
      </c>
      <c r="G5291" s="705">
        <v>7.1464210982750052</v>
      </c>
    </row>
    <row r="5292" spans="2:7" ht="11.25" hidden="1" customHeight="1" outlineLevel="2" x14ac:dyDescent="0.25">
      <c r="B5292" s="704" t="s">
        <v>687</v>
      </c>
      <c r="C5292" s="704" t="s">
        <v>803</v>
      </c>
      <c r="D5292" s="704" t="s">
        <v>44</v>
      </c>
      <c r="E5292" s="704" t="s">
        <v>448</v>
      </c>
      <c r="F5292" s="705">
        <v>6.6727953699173021E-3</v>
      </c>
      <c r="G5292" s="705">
        <v>8.7477080344205067</v>
      </c>
    </row>
    <row r="5293" spans="2:7" ht="11.25" hidden="1" customHeight="1" outlineLevel="2" x14ac:dyDescent="0.25">
      <c r="B5293" s="704" t="s">
        <v>688</v>
      </c>
      <c r="C5293" s="704" t="s">
        <v>803</v>
      </c>
      <c r="D5293" s="704" t="s">
        <v>44</v>
      </c>
      <c r="E5293" s="704" t="s">
        <v>448</v>
      </c>
      <c r="F5293" s="705">
        <v>3.0270320949908449E-3</v>
      </c>
      <c r="G5293" s="705">
        <v>3.9682871461072908</v>
      </c>
    </row>
    <row r="5294" spans="2:7" ht="11.25" hidden="1" customHeight="1" outlineLevel="2" x14ac:dyDescent="0.25">
      <c r="B5294" s="704" t="s">
        <v>689</v>
      </c>
      <c r="C5294" s="704" t="s">
        <v>803</v>
      </c>
      <c r="D5294" s="704" t="s">
        <v>44</v>
      </c>
      <c r="E5294" s="704" t="s">
        <v>448</v>
      </c>
      <c r="F5294" s="705">
        <v>1.4803643191125569E-2</v>
      </c>
      <c r="G5294" s="705">
        <v>19.383859592415597</v>
      </c>
    </row>
    <row r="5295" spans="2:7" ht="11.25" hidden="1" customHeight="1" outlineLevel="2" x14ac:dyDescent="0.25">
      <c r="B5295" s="704" t="s">
        <v>690</v>
      </c>
      <c r="C5295" s="704" t="s">
        <v>803</v>
      </c>
      <c r="D5295" s="704" t="s">
        <v>44</v>
      </c>
      <c r="E5295" s="704" t="s">
        <v>448</v>
      </c>
      <c r="F5295" s="705">
        <v>6.4680239181768781E-3</v>
      </c>
      <c r="G5295" s="705">
        <v>8.4983040958436575</v>
      </c>
    </row>
    <row r="5296" spans="2:7" ht="11.25" hidden="1" customHeight="1" outlineLevel="2" x14ac:dyDescent="0.25">
      <c r="B5296" s="704" t="s">
        <v>691</v>
      </c>
      <c r="C5296" s="704" t="s">
        <v>803</v>
      </c>
      <c r="D5296" s="704" t="s">
        <v>44</v>
      </c>
      <c r="E5296" s="704" t="s">
        <v>448</v>
      </c>
      <c r="F5296" s="705">
        <v>2.5288582676869609E-3</v>
      </c>
      <c r="G5296" s="705">
        <v>3.3226547161907241</v>
      </c>
    </row>
    <row r="5297" spans="2:7" ht="11.25" hidden="1" customHeight="1" outlineLevel="2" x14ac:dyDescent="0.25">
      <c r="B5297" s="704" t="s">
        <v>692</v>
      </c>
      <c r="C5297" s="704" t="s">
        <v>803</v>
      </c>
      <c r="D5297" s="704" t="s">
        <v>44</v>
      </c>
      <c r="E5297" s="704" t="s">
        <v>448</v>
      </c>
      <c r="F5297" s="705">
        <v>1.8270670175817405E-2</v>
      </c>
      <c r="G5297" s="705">
        <v>23.951939243276328</v>
      </c>
    </row>
    <row r="5298" spans="2:7" ht="11.25" hidden="1" customHeight="1" outlineLevel="2" x14ac:dyDescent="0.25">
      <c r="B5298" s="704" t="s">
        <v>693</v>
      </c>
      <c r="C5298" s="704" t="s">
        <v>803</v>
      </c>
      <c r="D5298" s="704" t="s">
        <v>44</v>
      </c>
      <c r="E5298" s="704" t="s">
        <v>448</v>
      </c>
      <c r="F5298" s="706">
        <v>4.9907448448321635E-3</v>
      </c>
      <c r="G5298" s="705">
        <v>6.568718095452768</v>
      </c>
    </row>
    <row r="5299" spans="2:7" ht="11.25" hidden="1" customHeight="1" outlineLevel="2" x14ac:dyDescent="0.25">
      <c r="B5299" s="704" t="s">
        <v>694</v>
      </c>
      <c r="C5299" s="704" t="s">
        <v>803</v>
      </c>
      <c r="D5299" s="704" t="s">
        <v>44</v>
      </c>
      <c r="E5299" s="704" t="s">
        <v>448</v>
      </c>
      <c r="F5299" s="706">
        <v>5.6690849032878616E-3</v>
      </c>
      <c r="G5299" s="705">
        <v>6.6953415830537093</v>
      </c>
    </row>
    <row r="5300" spans="2:7" ht="11.25" hidden="1" customHeight="1" outlineLevel="2" x14ac:dyDescent="0.25">
      <c r="B5300" s="704" t="s">
        <v>695</v>
      </c>
      <c r="C5300" s="704" t="s">
        <v>803</v>
      </c>
      <c r="D5300" s="704" t="s">
        <v>44</v>
      </c>
      <c r="E5300" s="704" t="s">
        <v>448</v>
      </c>
      <c r="F5300" s="705">
        <v>1.172885058721109E-2</v>
      </c>
      <c r="G5300" s="705">
        <v>15.43726916626974</v>
      </c>
    </row>
    <row r="5301" spans="2:7" ht="11.25" hidden="1" customHeight="1" outlineLevel="2" x14ac:dyDescent="0.25">
      <c r="B5301" s="704" t="s">
        <v>696</v>
      </c>
      <c r="C5301" s="704" t="s">
        <v>803</v>
      </c>
      <c r="D5301" s="704" t="s">
        <v>44</v>
      </c>
      <c r="E5301" s="704" t="s">
        <v>448</v>
      </c>
      <c r="F5301" s="705">
        <v>1.077206701464356E-2</v>
      </c>
      <c r="G5301" s="705">
        <v>14.107712605452319</v>
      </c>
    </row>
    <row r="5302" spans="2:7" ht="11.25" hidden="1" customHeight="1" outlineLevel="2" x14ac:dyDescent="0.25">
      <c r="B5302" s="704" t="s">
        <v>697</v>
      </c>
      <c r="C5302" s="704" t="s">
        <v>803</v>
      </c>
      <c r="D5302" s="704" t="s">
        <v>44</v>
      </c>
      <c r="E5302" s="704" t="s">
        <v>448</v>
      </c>
      <c r="F5302" s="705">
        <v>8.2332517713019828E-3</v>
      </c>
      <c r="G5302" s="705">
        <v>10.836435626843578</v>
      </c>
    </row>
    <row r="5303" spans="2:7" ht="11.25" hidden="1" customHeight="1" outlineLevel="2" x14ac:dyDescent="0.25">
      <c r="B5303" s="704" t="s">
        <v>698</v>
      </c>
      <c r="C5303" s="704" t="s">
        <v>803</v>
      </c>
      <c r="D5303" s="704" t="s">
        <v>44</v>
      </c>
      <c r="E5303" s="704" t="s">
        <v>448</v>
      </c>
      <c r="F5303" s="705">
        <v>1.2516919994073655E-2</v>
      </c>
      <c r="G5303" s="705">
        <v>16.474525303320039</v>
      </c>
    </row>
    <row r="5304" spans="2:7" ht="11.25" hidden="1" customHeight="1" outlineLevel="2" x14ac:dyDescent="0.25">
      <c r="B5304" s="704" t="s">
        <v>699</v>
      </c>
      <c r="C5304" s="704" t="s">
        <v>803</v>
      </c>
      <c r="D5304" s="704" t="s">
        <v>44</v>
      </c>
      <c r="E5304" s="704" t="s">
        <v>448</v>
      </c>
      <c r="F5304" s="705">
        <v>1.7007358932577879E-34</v>
      </c>
      <c r="G5304" s="705">
        <v>2.2295797325932862E-31</v>
      </c>
    </row>
    <row r="5305" spans="2:7" ht="11.25" hidden="1" customHeight="1" outlineLevel="2" x14ac:dyDescent="0.25">
      <c r="B5305" s="704" t="s">
        <v>673</v>
      </c>
      <c r="C5305" s="704" t="s">
        <v>804</v>
      </c>
      <c r="D5305" s="704" t="s">
        <v>44</v>
      </c>
      <c r="E5305" s="704" t="s">
        <v>448</v>
      </c>
      <c r="F5305" s="705">
        <v>2.215066134150906E-3</v>
      </c>
      <c r="G5305" s="705">
        <v>2.8207847020052514</v>
      </c>
    </row>
    <row r="5306" spans="2:7" ht="11.25" hidden="1" customHeight="1" outlineLevel="2" x14ac:dyDescent="0.25">
      <c r="B5306" s="704" t="s">
        <v>677</v>
      </c>
      <c r="C5306" s="704" t="s">
        <v>804</v>
      </c>
      <c r="D5306" s="704" t="s">
        <v>44</v>
      </c>
      <c r="E5306" s="704" t="s">
        <v>448</v>
      </c>
      <c r="F5306" s="705">
        <v>4.1530530340291695E-3</v>
      </c>
      <c r="G5306" s="705">
        <v>5.2433787179537683</v>
      </c>
    </row>
    <row r="5307" spans="2:7" ht="11.25" hidden="1" customHeight="1" outlineLevel="2" x14ac:dyDescent="0.25">
      <c r="B5307" s="704" t="s">
        <v>678</v>
      </c>
      <c r="C5307" s="704" t="s">
        <v>804</v>
      </c>
      <c r="D5307" s="704" t="s">
        <v>44</v>
      </c>
      <c r="E5307" s="704" t="s">
        <v>448</v>
      </c>
      <c r="F5307" s="705">
        <v>8.4141668842201006E-3</v>
      </c>
      <c r="G5307" s="705">
        <v>10.726676957534073</v>
      </c>
    </row>
    <row r="5308" spans="2:7" ht="11.25" hidden="1" customHeight="1" outlineLevel="2" x14ac:dyDescent="0.25">
      <c r="B5308" s="704" t="s">
        <v>679</v>
      </c>
      <c r="C5308" s="704" t="s">
        <v>804</v>
      </c>
      <c r="D5308" s="704" t="s">
        <v>44</v>
      </c>
      <c r="E5308" s="704" t="s">
        <v>448</v>
      </c>
      <c r="F5308" s="705">
        <v>2.9535746899304691E-3</v>
      </c>
      <c r="G5308" s="705">
        <v>3.7746094324456823</v>
      </c>
    </row>
    <row r="5309" spans="2:7" ht="11.25" hidden="1" customHeight="1" outlineLevel="2" x14ac:dyDescent="0.25">
      <c r="B5309" s="704" t="s">
        <v>680</v>
      </c>
      <c r="C5309" s="704" t="s">
        <v>804</v>
      </c>
      <c r="D5309" s="704" t="s">
        <v>44</v>
      </c>
      <c r="E5309" s="704" t="s">
        <v>448</v>
      </c>
      <c r="F5309" s="705">
        <v>1.9188828980499208E-2</v>
      </c>
      <c r="G5309" s="705">
        <v>24.569786478312889</v>
      </c>
    </row>
    <row r="5310" spans="2:7" ht="11.25" hidden="1" customHeight="1" outlineLevel="2" x14ac:dyDescent="0.25">
      <c r="B5310" s="704" t="s">
        <v>681</v>
      </c>
      <c r="C5310" s="704" t="s">
        <v>804</v>
      </c>
      <c r="D5310" s="704" t="s">
        <v>44</v>
      </c>
      <c r="E5310" s="704" t="s">
        <v>448</v>
      </c>
      <c r="F5310" s="705">
        <v>2.1811909129497094E-2</v>
      </c>
      <c r="G5310" s="705">
        <v>27.806594654742522</v>
      </c>
    </row>
    <row r="5311" spans="2:7" ht="11.25" hidden="1" customHeight="1" outlineLevel="2" x14ac:dyDescent="0.25">
      <c r="B5311" s="704" t="s">
        <v>682</v>
      </c>
      <c r="C5311" s="704" t="s">
        <v>804</v>
      </c>
      <c r="D5311" s="704" t="s">
        <v>44</v>
      </c>
      <c r="E5311" s="704" t="s">
        <v>448</v>
      </c>
      <c r="F5311" s="705">
        <v>1.0605546606865548E-2</v>
      </c>
      <c r="G5311" s="705">
        <v>13.521540582852717</v>
      </c>
    </row>
    <row r="5312" spans="2:7" ht="11.25" hidden="1" customHeight="1" outlineLevel="2" x14ac:dyDescent="0.25">
      <c r="B5312" s="704" t="s">
        <v>683</v>
      </c>
      <c r="C5312" s="704" t="s">
        <v>804</v>
      </c>
      <c r="D5312" s="704" t="s">
        <v>44</v>
      </c>
      <c r="E5312" s="704" t="s">
        <v>448</v>
      </c>
      <c r="F5312" s="705">
        <v>4.9735003324586488E-3</v>
      </c>
      <c r="G5312" s="705">
        <v>6.3560321941518616</v>
      </c>
    </row>
    <row r="5313" spans="2:7" ht="11.25" hidden="1" customHeight="1" outlineLevel="2" x14ac:dyDescent="0.25">
      <c r="B5313" s="704" t="s">
        <v>684</v>
      </c>
      <c r="C5313" s="704" t="s">
        <v>804</v>
      </c>
      <c r="D5313" s="704" t="s">
        <v>44</v>
      </c>
      <c r="E5313" s="704" t="s">
        <v>448</v>
      </c>
      <c r="F5313" s="705">
        <v>1.7316604904831764E-2</v>
      </c>
      <c r="G5313" s="705">
        <v>22.172550741020299</v>
      </c>
    </row>
    <row r="5314" spans="2:7" ht="11.25" hidden="1" customHeight="1" outlineLevel="2" x14ac:dyDescent="0.25">
      <c r="B5314" s="704" t="s">
        <v>685</v>
      </c>
      <c r="C5314" s="704" t="s">
        <v>804</v>
      </c>
      <c r="D5314" s="704" t="s">
        <v>44</v>
      </c>
      <c r="E5314" s="704" t="s">
        <v>448</v>
      </c>
      <c r="F5314" s="705">
        <v>2.6472490329112645E-2</v>
      </c>
      <c r="G5314" s="705">
        <v>33.831321364383861</v>
      </c>
    </row>
    <row r="5315" spans="2:7" ht="11.25" hidden="1" customHeight="1" outlineLevel="2" x14ac:dyDescent="0.25">
      <c r="B5315" s="704" t="s">
        <v>686</v>
      </c>
      <c r="C5315" s="704" t="s">
        <v>804</v>
      </c>
      <c r="D5315" s="704" t="s">
        <v>44</v>
      </c>
      <c r="E5315" s="704" t="s">
        <v>448</v>
      </c>
      <c r="F5315" s="705">
        <v>8.1259207032454359E-3</v>
      </c>
      <c r="G5315" s="705">
        <v>10.347987776003336</v>
      </c>
    </row>
    <row r="5316" spans="2:7" ht="11.25" hidden="1" customHeight="1" outlineLevel="2" x14ac:dyDescent="0.25">
      <c r="B5316" s="704" t="s">
        <v>687</v>
      </c>
      <c r="C5316" s="704" t="s">
        <v>804</v>
      </c>
      <c r="D5316" s="704" t="s">
        <v>44</v>
      </c>
      <c r="E5316" s="704" t="s">
        <v>448</v>
      </c>
      <c r="F5316" s="705">
        <v>9.9359073527342783E-3</v>
      </c>
      <c r="G5316" s="705">
        <v>12.666645351755795</v>
      </c>
    </row>
    <row r="5317" spans="2:7" ht="11.25" hidden="1" customHeight="1" outlineLevel="2" x14ac:dyDescent="0.25">
      <c r="B5317" s="704" t="s">
        <v>688</v>
      </c>
      <c r="C5317" s="704" t="s">
        <v>804</v>
      </c>
      <c r="D5317" s="704" t="s">
        <v>44</v>
      </c>
      <c r="E5317" s="704" t="s">
        <v>448</v>
      </c>
      <c r="F5317" s="705">
        <v>4.5072996671934751E-3</v>
      </c>
      <c r="G5317" s="705">
        <v>5.7460663877013589</v>
      </c>
    </row>
    <row r="5318" spans="2:7" ht="11.25" hidden="1" customHeight="1" outlineLevel="2" x14ac:dyDescent="0.25">
      <c r="B5318" s="704" t="s">
        <v>689</v>
      </c>
      <c r="C5318" s="704" t="s">
        <v>804</v>
      </c>
      <c r="D5318" s="704" t="s">
        <v>44</v>
      </c>
      <c r="E5318" s="704" t="s">
        <v>448</v>
      </c>
      <c r="F5318" s="705">
        <v>2.2045427173263826E-2</v>
      </c>
      <c r="G5318" s="705">
        <v>28.067751329447976</v>
      </c>
    </row>
    <row r="5319" spans="2:7" ht="11.25" hidden="1" customHeight="1" outlineLevel="2" x14ac:dyDescent="0.25">
      <c r="B5319" s="704" t="s">
        <v>690</v>
      </c>
      <c r="C5319" s="704" t="s">
        <v>804</v>
      </c>
      <c r="D5319" s="704" t="s">
        <v>44</v>
      </c>
      <c r="E5319" s="704" t="s">
        <v>448</v>
      </c>
      <c r="F5319" s="705">
        <v>9.628881013856453E-3</v>
      </c>
      <c r="G5319" s="705">
        <v>12.305508742284458</v>
      </c>
    </row>
    <row r="5320" spans="2:7" ht="11.25" hidden="1" customHeight="1" outlineLevel="2" x14ac:dyDescent="0.25">
      <c r="B5320" s="704" t="s">
        <v>691</v>
      </c>
      <c r="C5320" s="704" t="s">
        <v>804</v>
      </c>
      <c r="D5320" s="704" t="s">
        <v>44</v>
      </c>
      <c r="E5320" s="704" t="s">
        <v>448</v>
      </c>
      <c r="F5320" s="705">
        <v>3.7646825324488364E-3</v>
      </c>
      <c r="G5320" s="705">
        <v>4.8111892509149765</v>
      </c>
    </row>
    <row r="5321" spans="2:7" ht="11.25" hidden="1" customHeight="1" outlineLevel="2" x14ac:dyDescent="0.25">
      <c r="B5321" s="704" t="s">
        <v>692</v>
      </c>
      <c r="C5321" s="704" t="s">
        <v>804</v>
      </c>
      <c r="D5321" s="704" t="s">
        <v>44</v>
      </c>
      <c r="E5321" s="704" t="s">
        <v>448</v>
      </c>
      <c r="F5321" s="705">
        <v>2.720534114247768E-2</v>
      </c>
      <c r="G5321" s="705">
        <v>34.682310343300664</v>
      </c>
    </row>
    <row r="5322" spans="2:7" ht="11.25" hidden="1" customHeight="1" outlineLevel="2" x14ac:dyDescent="0.25">
      <c r="B5322" s="704" t="s">
        <v>693</v>
      </c>
      <c r="C5322" s="704" t="s">
        <v>804</v>
      </c>
      <c r="D5322" s="704" t="s">
        <v>44</v>
      </c>
      <c r="E5322" s="704" t="s">
        <v>448</v>
      </c>
      <c r="F5322" s="705">
        <v>7.428399535118731E-3</v>
      </c>
      <c r="G5322" s="705">
        <v>9.5114765486622712</v>
      </c>
    </row>
    <row r="5323" spans="2:7" ht="11.25" hidden="1" customHeight="1" outlineLevel="2" x14ac:dyDescent="0.25">
      <c r="B5323" s="704" t="s">
        <v>694</v>
      </c>
      <c r="C5323" s="704" t="s">
        <v>804</v>
      </c>
      <c r="D5323" s="704" t="s">
        <v>44</v>
      </c>
      <c r="E5323" s="704" t="s">
        <v>448</v>
      </c>
      <c r="F5323" s="705">
        <v>7.5715937509626642E-3</v>
      </c>
      <c r="G5323" s="705">
        <v>8.5730082798359035</v>
      </c>
    </row>
    <row r="5324" spans="2:7" ht="11.25" hidden="1" customHeight="1" outlineLevel="2" x14ac:dyDescent="0.25">
      <c r="B5324" s="704" t="s">
        <v>695</v>
      </c>
      <c r="C5324" s="704" t="s">
        <v>804</v>
      </c>
      <c r="D5324" s="704" t="s">
        <v>44</v>
      </c>
      <c r="E5324" s="704" t="s">
        <v>448</v>
      </c>
      <c r="F5324" s="705">
        <v>1.7457624912638796E-2</v>
      </c>
      <c r="G5324" s="705">
        <v>22.353118224096185</v>
      </c>
    </row>
    <row r="5325" spans="2:7" ht="11.25" hidden="1" customHeight="1" outlineLevel="2" x14ac:dyDescent="0.25">
      <c r="B5325" s="704" t="s">
        <v>696</v>
      </c>
      <c r="C5325" s="704" t="s">
        <v>804</v>
      </c>
      <c r="D5325" s="704" t="s">
        <v>44</v>
      </c>
      <c r="E5325" s="704" t="s">
        <v>448</v>
      </c>
      <c r="F5325" s="705">
        <v>1.604133709323198E-2</v>
      </c>
      <c r="G5325" s="705">
        <v>20.42791543649243</v>
      </c>
    </row>
    <row r="5326" spans="2:7" ht="11.25" hidden="1" customHeight="1" outlineLevel="2" x14ac:dyDescent="0.25">
      <c r="B5326" s="704" t="s">
        <v>697</v>
      </c>
      <c r="C5326" s="704" t="s">
        <v>804</v>
      </c>
      <c r="D5326" s="704" t="s">
        <v>44</v>
      </c>
      <c r="E5326" s="704" t="s">
        <v>448</v>
      </c>
      <c r="F5326" s="705">
        <v>1.2254659862426078E-2</v>
      </c>
      <c r="G5326" s="705">
        <v>15.691121547798108</v>
      </c>
    </row>
    <row r="5327" spans="2:7" ht="11.25" hidden="1" customHeight="1" outlineLevel="2" x14ac:dyDescent="0.25">
      <c r="B5327" s="704" t="s">
        <v>698</v>
      </c>
      <c r="C5327" s="704" t="s">
        <v>804</v>
      </c>
      <c r="D5327" s="704" t="s">
        <v>44</v>
      </c>
      <c r="E5327" s="704" t="s">
        <v>448</v>
      </c>
      <c r="F5327" s="705">
        <v>1.863062901487457E-2</v>
      </c>
      <c r="G5327" s="705">
        <v>23.85504873765078</v>
      </c>
    </row>
    <row r="5328" spans="2:7" ht="11.25" hidden="1" customHeight="1" outlineLevel="2" x14ac:dyDescent="0.25">
      <c r="B5328" s="704" t="s">
        <v>699</v>
      </c>
      <c r="C5328" s="704" t="s">
        <v>804</v>
      </c>
      <c r="D5328" s="704" t="s">
        <v>44</v>
      </c>
      <c r="E5328" s="704" t="s">
        <v>448</v>
      </c>
      <c r="F5328" s="705">
        <v>2.3561475446602918E-34</v>
      </c>
      <c r="G5328" s="705">
        <v>2.6850061911512384E-31</v>
      </c>
    </row>
    <row r="5329" spans="2:7" ht="11.25" hidden="1" customHeight="1" outlineLevel="2" x14ac:dyDescent="0.25">
      <c r="B5329" s="704" t="s">
        <v>673</v>
      </c>
      <c r="C5329" s="704" t="s">
        <v>805</v>
      </c>
      <c r="D5329" s="704" t="s">
        <v>44</v>
      </c>
      <c r="E5329" s="704" t="s">
        <v>448</v>
      </c>
      <c r="F5329" s="705">
        <v>4.4449912074997843E-4</v>
      </c>
      <c r="G5329" s="705">
        <v>3.129223420369053</v>
      </c>
    </row>
    <row r="5330" spans="2:7" ht="11.25" hidden="1" customHeight="1" outlineLevel="2" x14ac:dyDescent="0.25">
      <c r="B5330" s="704" t="s">
        <v>677</v>
      </c>
      <c r="C5330" s="704" t="s">
        <v>805</v>
      </c>
      <c r="D5330" s="704" t="s">
        <v>44</v>
      </c>
      <c r="E5330" s="704" t="s">
        <v>448</v>
      </c>
      <c r="F5330" s="705">
        <v>8.3457628209423389E-4</v>
      </c>
      <c r="G5330" s="705">
        <v>5.8167145025079812</v>
      </c>
    </row>
    <row r="5331" spans="2:7" ht="11.25" hidden="1" customHeight="1" outlineLevel="2" x14ac:dyDescent="0.25">
      <c r="B5331" s="704" t="s">
        <v>678</v>
      </c>
      <c r="C5331" s="704" t="s">
        <v>805</v>
      </c>
      <c r="D5331" s="704" t="s">
        <v>44</v>
      </c>
      <c r="E5331" s="704" t="s">
        <v>448</v>
      </c>
      <c r="F5331" s="705">
        <v>1.6881750385983781E-3</v>
      </c>
      <c r="G5331" s="705">
        <v>11.899581978210328</v>
      </c>
    </row>
    <row r="5332" spans="2:7" ht="11.25" hidden="1" customHeight="1" outlineLevel="2" x14ac:dyDescent="0.25">
      <c r="B5332" s="704" t="s">
        <v>679</v>
      </c>
      <c r="C5332" s="704" t="s">
        <v>805</v>
      </c>
      <c r="D5332" s="704" t="s">
        <v>44</v>
      </c>
      <c r="E5332" s="704" t="s">
        <v>448</v>
      </c>
      <c r="F5332" s="705">
        <v>5.9234838741472533E-4</v>
      </c>
      <c r="G5332" s="705">
        <v>4.1873434930372451</v>
      </c>
    </row>
    <row r="5333" spans="2:7" ht="11.25" hidden="1" customHeight="1" outlineLevel="2" x14ac:dyDescent="0.25">
      <c r="B5333" s="704" t="s">
        <v>680</v>
      </c>
      <c r="C5333" s="704" t="s">
        <v>805</v>
      </c>
      <c r="D5333" s="704" t="s">
        <v>44</v>
      </c>
      <c r="E5333" s="704" t="s">
        <v>448</v>
      </c>
      <c r="F5333" s="705">
        <v>3.8471621167354688E-3</v>
      </c>
      <c r="G5333" s="705">
        <v>27.25636303716583</v>
      </c>
    </row>
    <row r="5334" spans="2:7" ht="11.25" hidden="1" customHeight="1" outlineLevel="2" x14ac:dyDescent="0.25">
      <c r="B5334" s="704" t="s">
        <v>681</v>
      </c>
      <c r="C5334" s="704" t="s">
        <v>805</v>
      </c>
      <c r="D5334" s="704" t="s">
        <v>44</v>
      </c>
      <c r="E5334" s="704" t="s">
        <v>448</v>
      </c>
      <c r="F5334" s="705">
        <v>4.3762310881543063E-3</v>
      </c>
      <c r="G5334" s="705">
        <v>30.847111523556972</v>
      </c>
    </row>
    <row r="5335" spans="2:7" ht="11.25" hidden="1" customHeight="1" outlineLevel="2" x14ac:dyDescent="0.25">
      <c r="B5335" s="704" t="s">
        <v>682</v>
      </c>
      <c r="C5335" s="704" t="s">
        <v>805</v>
      </c>
      <c r="D5335" s="704" t="s">
        <v>44</v>
      </c>
      <c r="E5335" s="704" t="s">
        <v>448</v>
      </c>
      <c r="F5335" s="705">
        <v>2.1278104747260501E-3</v>
      </c>
      <c r="G5335" s="705">
        <v>15.000063888257623</v>
      </c>
    </row>
    <row r="5336" spans="2:7" ht="11.25" hidden="1" customHeight="1" outlineLevel="2" x14ac:dyDescent="0.25">
      <c r="B5336" s="704" t="s">
        <v>683</v>
      </c>
      <c r="C5336" s="704" t="s">
        <v>805</v>
      </c>
      <c r="D5336" s="704" t="s">
        <v>44</v>
      </c>
      <c r="E5336" s="704" t="s">
        <v>448</v>
      </c>
      <c r="F5336" s="705">
        <v>9.974506877164697E-4</v>
      </c>
      <c r="G5336" s="705">
        <v>7.0510309630512324</v>
      </c>
    </row>
    <row r="5337" spans="2:7" ht="11.25" hidden="1" customHeight="1" outlineLevel="2" x14ac:dyDescent="0.25">
      <c r="B5337" s="704" t="s">
        <v>684</v>
      </c>
      <c r="C5337" s="704" t="s">
        <v>805</v>
      </c>
      <c r="D5337" s="704" t="s">
        <v>44</v>
      </c>
      <c r="E5337" s="704" t="s">
        <v>448</v>
      </c>
      <c r="F5337" s="705">
        <v>3.4717997838224724E-3</v>
      </c>
      <c r="G5337" s="705">
        <v>24.596996143310914</v>
      </c>
    </row>
    <row r="5338" spans="2:7" ht="11.25" hidden="1" customHeight="1" outlineLevel="2" x14ac:dyDescent="0.25">
      <c r="B5338" s="704" t="s">
        <v>685</v>
      </c>
      <c r="C5338" s="704" t="s">
        <v>805</v>
      </c>
      <c r="D5338" s="704" t="s">
        <v>44</v>
      </c>
      <c r="E5338" s="704" t="s">
        <v>448</v>
      </c>
      <c r="F5338" s="705">
        <v>5.3091400005009642E-3</v>
      </c>
      <c r="G5338" s="705">
        <v>37.530605524804635</v>
      </c>
    </row>
    <row r="5339" spans="2:7" ht="11.25" hidden="1" customHeight="1" outlineLevel="2" x14ac:dyDescent="0.25">
      <c r="B5339" s="704" t="s">
        <v>686</v>
      </c>
      <c r="C5339" s="704" t="s">
        <v>805</v>
      </c>
      <c r="D5339" s="704" t="s">
        <v>44</v>
      </c>
      <c r="E5339" s="704" t="s">
        <v>448</v>
      </c>
      <c r="F5339" s="705">
        <v>1.6306349034603403E-3</v>
      </c>
      <c r="G5339" s="705">
        <v>11.479493797516158</v>
      </c>
    </row>
    <row r="5340" spans="2:7" ht="11.25" hidden="1" customHeight="1" outlineLevel="2" x14ac:dyDescent="0.25">
      <c r="B5340" s="704" t="s">
        <v>687</v>
      </c>
      <c r="C5340" s="704" t="s">
        <v>805</v>
      </c>
      <c r="D5340" s="704" t="s">
        <v>44</v>
      </c>
      <c r="E5340" s="704" t="s">
        <v>448</v>
      </c>
      <c r="F5340" s="705">
        <v>1.9934896140208127E-3</v>
      </c>
      <c r="G5340" s="705">
        <v>14.051677346743503</v>
      </c>
    </row>
    <row r="5341" spans="2:7" ht="11.25" hidden="1" customHeight="1" outlineLevel="2" x14ac:dyDescent="0.25">
      <c r="B5341" s="704" t="s">
        <v>688</v>
      </c>
      <c r="C5341" s="704" t="s">
        <v>805</v>
      </c>
      <c r="D5341" s="704" t="s">
        <v>44</v>
      </c>
      <c r="E5341" s="704" t="s">
        <v>448</v>
      </c>
      <c r="F5341" s="705">
        <v>9.0432163889985883E-4</v>
      </c>
      <c r="G5341" s="705">
        <v>6.3743677794465228</v>
      </c>
    </row>
    <row r="5342" spans="2:7" ht="11.25" hidden="1" customHeight="1" outlineLevel="2" x14ac:dyDescent="0.25">
      <c r="B5342" s="704" t="s">
        <v>689</v>
      </c>
      <c r="C5342" s="704" t="s">
        <v>805</v>
      </c>
      <c r="D5342" s="704" t="s">
        <v>44</v>
      </c>
      <c r="E5342" s="704" t="s">
        <v>448</v>
      </c>
      <c r="F5342" s="705">
        <v>4.4240322393461415E-3</v>
      </c>
      <c r="G5342" s="705">
        <v>31.136822167006891</v>
      </c>
    </row>
    <row r="5343" spans="2:7" ht="11.25" hidden="1" customHeight="1" outlineLevel="2" x14ac:dyDescent="0.25">
      <c r="B5343" s="704" t="s">
        <v>690</v>
      </c>
      <c r="C5343" s="704" t="s">
        <v>805</v>
      </c>
      <c r="D5343" s="704" t="s">
        <v>44</v>
      </c>
      <c r="E5343" s="704" t="s">
        <v>448</v>
      </c>
      <c r="F5343" s="705">
        <v>1.9311010803236787E-3</v>
      </c>
      <c r="G5343" s="705">
        <v>13.65107123640853</v>
      </c>
    </row>
    <row r="5344" spans="2:7" ht="11.25" hidden="1" customHeight="1" outlineLevel="2" x14ac:dyDescent="0.25">
      <c r="B5344" s="704" t="s">
        <v>691</v>
      </c>
      <c r="C5344" s="704" t="s">
        <v>805</v>
      </c>
      <c r="D5344" s="704" t="s">
        <v>44</v>
      </c>
      <c r="E5344" s="704" t="s">
        <v>448</v>
      </c>
      <c r="F5344" s="705">
        <v>7.5501911501571473E-4</v>
      </c>
      <c r="G5344" s="705">
        <v>5.3372720479562723</v>
      </c>
    </row>
    <row r="5345" spans="2:7" ht="11.25" hidden="1" customHeight="1" outlineLevel="2" x14ac:dyDescent="0.25">
      <c r="B5345" s="704" t="s">
        <v>692</v>
      </c>
      <c r="C5345" s="704" t="s">
        <v>805</v>
      </c>
      <c r="D5345" s="704" t="s">
        <v>44</v>
      </c>
      <c r="E5345" s="704" t="s">
        <v>448</v>
      </c>
      <c r="F5345" s="705">
        <v>5.4583376137682721E-3</v>
      </c>
      <c r="G5345" s="705">
        <v>38.474657890932569</v>
      </c>
    </row>
    <row r="5346" spans="2:7" ht="11.25" hidden="1" customHeight="1" outlineLevel="2" x14ac:dyDescent="0.25">
      <c r="B5346" s="704" t="s">
        <v>693</v>
      </c>
      <c r="C5346" s="704" t="s">
        <v>805</v>
      </c>
      <c r="D5346" s="704" t="s">
        <v>44</v>
      </c>
      <c r="E5346" s="704" t="s">
        <v>448</v>
      </c>
      <c r="F5346" s="705">
        <v>1.4893164136066518E-3</v>
      </c>
      <c r="G5346" s="705">
        <v>10.551507874477634</v>
      </c>
    </row>
    <row r="5347" spans="2:7" ht="11.25" hidden="1" customHeight="1" outlineLevel="2" x14ac:dyDescent="0.25">
      <c r="B5347" s="704" t="s">
        <v>694</v>
      </c>
      <c r="C5347" s="704" t="s">
        <v>805</v>
      </c>
      <c r="D5347" s="704" t="s">
        <v>44</v>
      </c>
      <c r="E5347" s="704" t="s">
        <v>448</v>
      </c>
      <c r="F5347" s="705">
        <v>1.3448523921790363E-3</v>
      </c>
      <c r="G5347" s="705">
        <v>9.5104189969686743</v>
      </c>
    </row>
    <row r="5348" spans="2:7" ht="11.25" hidden="1" customHeight="1" outlineLevel="2" x14ac:dyDescent="0.25">
      <c r="B5348" s="704" t="s">
        <v>695</v>
      </c>
      <c r="C5348" s="704" t="s">
        <v>805</v>
      </c>
      <c r="D5348" s="704" t="s">
        <v>44</v>
      </c>
      <c r="E5348" s="704" t="s">
        <v>448</v>
      </c>
      <c r="F5348" s="705">
        <v>3.5000728076189165E-3</v>
      </c>
      <c r="G5348" s="705">
        <v>24.797311481424781</v>
      </c>
    </row>
    <row r="5349" spans="2:7" ht="11.25" hidden="1" customHeight="1" outlineLevel="2" x14ac:dyDescent="0.25">
      <c r="B5349" s="704" t="s">
        <v>696</v>
      </c>
      <c r="C5349" s="704" t="s">
        <v>805</v>
      </c>
      <c r="D5349" s="704" t="s">
        <v>44</v>
      </c>
      <c r="E5349" s="704" t="s">
        <v>448</v>
      </c>
      <c r="F5349" s="705">
        <v>3.2190292266454971E-3</v>
      </c>
      <c r="G5349" s="705">
        <v>22.661605327077275</v>
      </c>
    </row>
    <row r="5350" spans="2:7" ht="11.25" hidden="1" customHeight="1" outlineLevel="2" x14ac:dyDescent="0.25">
      <c r="B5350" s="704" t="s">
        <v>697</v>
      </c>
      <c r="C5350" s="704" t="s">
        <v>805</v>
      </c>
      <c r="D5350" s="704" t="s">
        <v>44</v>
      </c>
      <c r="E5350" s="704" t="s">
        <v>448</v>
      </c>
      <c r="F5350" s="705">
        <v>2.4569309679864579E-3</v>
      </c>
      <c r="G5350" s="705">
        <v>17.406867636016941</v>
      </c>
    </row>
    <row r="5351" spans="2:7" ht="11.25" hidden="1" customHeight="1" outlineLevel="2" x14ac:dyDescent="0.25">
      <c r="B5351" s="704" t="s">
        <v>698</v>
      </c>
      <c r="C5351" s="704" t="s">
        <v>805</v>
      </c>
      <c r="D5351" s="704" t="s">
        <v>44</v>
      </c>
      <c r="E5351" s="704" t="s">
        <v>448</v>
      </c>
      <c r="F5351" s="705">
        <v>3.7352456640570601E-3</v>
      </c>
      <c r="G5351" s="705">
        <v>26.463470714495809</v>
      </c>
    </row>
    <row r="5352" spans="2:7" ht="11.25" hidden="1" customHeight="1" outlineLevel="2" x14ac:dyDescent="0.25">
      <c r="B5352" s="704" t="s">
        <v>699</v>
      </c>
      <c r="C5352" s="704" t="s">
        <v>805</v>
      </c>
      <c r="D5352" s="704" t="s">
        <v>44</v>
      </c>
      <c r="E5352" s="704" t="s">
        <v>448</v>
      </c>
      <c r="F5352" s="705">
        <v>1.5305193420695929E-34</v>
      </c>
      <c r="G5352" s="705">
        <v>4.470290073252037E-31</v>
      </c>
    </row>
    <row r="5353" spans="2:7" ht="11.25" hidden="1" customHeight="1" outlineLevel="2" x14ac:dyDescent="0.25">
      <c r="B5353" s="704" t="s">
        <v>673</v>
      </c>
      <c r="C5353" s="704" t="s">
        <v>846</v>
      </c>
      <c r="D5353" s="704" t="s">
        <v>44</v>
      </c>
      <c r="E5353" s="704" t="s">
        <v>824</v>
      </c>
      <c r="F5353" s="705">
        <v>1.0778537831336322E-5</v>
      </c>
      <c r="G5353" s="705">
        <v>1.7126596845799324E-2</v>
      </c>
    </row>
    <row r="5354" spans="2:7" ht="11.25" hidden="1" customHeight="1" outlineLevel="2" x14ac:dyDescent="0.25">
      <c r="B5354" s="704" t="s">
        <v>677</v>
      </c>
      <c r="C5354" s="704" t="s">
        <v>846</v>
      </c>
      <c r="D5354" s="704" t="s">
        <v>44</v>
      </c>
      <c r="E5354" s="704" t="s">
        <v>824</v>
      </c>
      <c r="F5354" s="705">
        <v>2.0035527617092391E-5</v>
      </c>
      <c r="G5354" s="705">
        <v>3.1835549585027788E-2</v>
      </c>
    </row>
    <row r="5355" spans="2:7" ht="11.25" hidden="1" customHeight="1" outlineLevel="2" x14ac:dyDescent="0.25">
      <c r="B5355" s="704" t="s">
        <v>678</v>
      </c>
      <c r="C5355" s="704" t="s">
        <v>846</v>
      </c>
      <c r="D5355" s="704" t="s">
        <v>44</v>
      </c>
      <c r="E5355" s="704" t="s">
        <v>824</v>
      </c>
      <c r="F5355" s="705">
        <v>4.0987819283817823E-5</v>
      </c>
      <c r="G5355" s="705">
        <v>6.5127728430840665E-2</v>
      </c>
    </row>
    <row r="5356" spans="2:7" ht="11.25" hidden="1" customHeight="1" outlineLevel="2" x14ac:dyDescent="0.25">
      <c r="B5356" s="704" t="s">
        <v>679</v>
      </c>
      <c r="C5356" s="704" t="s">
        <v>846</v>
      </c>
      <c r="D5356" s="704" t="s">
        <v>44</v>
      </c>
      <c r="E5356" s="704" t="s">
        <v>824</v>
      </c>
      <c r="F5356" s="705">
        <v>1.4423199867423419E-5</v>
      </c>
      <c r="G5356" s="705">
        <v>2.2917797965404999E-2</v>
      </c>
    </row>
    <row r="5357" spans="2:7" ht="11.25" hidden="1" customHeight="1" outlineLevel="2" x14ac:dyDescent="0.25">
      <c r="B5357" s="704" t="s">
        <v>680</v>
      </c>
      <c r="C5357" s="704" t="s">
        <v>846</v>
      </c>
      <c r="D5357" s="704" t="s">
        <v>44</v>
      </c>
      <c r="E5357" s="704" t="s">
        <v>824</v>
      </c>
      <c r="F5357" s="705">
        <v>9.3883907498955901E-5</v>
      </c>
      <c r="G5357" s="705">
        <v>0.14917718069827599</v>
      </c>
    </row>
    <row r="5358" spans="2:7" ht="11.25" hidden="1" customHeight="1" outlineLevel="2" x14ac:dyDescent="0.25">
      <c r="B5358" s="704" t="s">
        <v>681</v>
      </c>
      <c r="C5358" s="704" t="s">
        <v>846</v>
      </c>
      <c r="D5358" s="704" t="s">
        <v>44</v>
      </c>
      <c r="E5358" s="704" t="s">
        <v>824</v>
      </c>
      <c r="F5358" s="705">
        <v>1.0625201362252415E-4</v>
      </c>
      <c r="G5358" s="705">
        <v>0.16882978743079097</v>
      </c>
    </row>
    <row r="5359" spans="2:7" ht="11.25" hidden="1" customHeight="1" outlineLevel="2" x14ac:dyDescent="0.25">
      <c r="B5359" s="704" t="s">
        <v>682</v>
      </c>
      <c r="C5359" s="704" t="s">
        <v>846</v>
      </c>
      <c r="D5359" s="704" t="s">
        <v>44</v>
      </c>
      <c r="E5359" s="704" t="s">
        <v>824</v>
      </c>
      <c r="F5359" s="705">
        <v>5.1667371275658477E-5</v>
      </c>
      <c r="G5359" s="705">
        <v>8.2097071419455964E-2</v>
      </c>
    </row>
    <row r="5360" spans="2:7" ht="11.25" hidden="1" customHeight="1" outlineLevel="2" x14ac:dyDescent="0.25">
      <c r="B5360" s="704" t="s">
        <v>683</v>
      </c>
      <c r="C5360" s="704" t="s">
        <v>846</v>
      </c>
      <c r="D5360" s="704" t="s">
        <v>44</v>
      </c>
      <c r="E5360" s="704" t="s">
        <v>824</v>
      </c>
      <c r="F5360" s="705">
        <v>2.4287110741290029E-5</v>
      </c>
      <c r="G5360" s="705">
        <v>3.8591106505006342E-2</v>
      </c>
    </row>
    <row r="5361" spans="2:7" ht="11.25" hidden="1" customHeight="1" outlineLevel="2" x14ac:dyDescent="0.25">
      <c r="B5361" s="704" t="s">
        <v>684</v>
      </c>
      <c r="C5361" s="704" t="s">
        <v>846</v>
      </c>
      <c r="D5361" s="704" t="s">
        <v>44</v>
      </c>
      <c r="E5361" s="704" t="s">
        <v>824</v>
      </c>
      <c r="F5361" s="705">
        <v>8.4723838298198404E-5</v>
      </c>
      <c r="G5361" s="705">
        <v>0.13462218976607512</v>
      </c>
    </row>
    <row r="5362" spans="2:7" ht="11.25" hidden="1" customHeight="1" outlineLevel="2" x14ac:dyDescent="0.25">
      <c r="B5362" s="704" t="s">
        <v>685</v>
      </c>
      <c r="C5362" s="704" t="s">
        <v>846</v>
      </c>
      <c r="D5362" s="704" t="s">
        <v>44</v>
      </c>
      <c r="E5362" s="704" t="s">
        <v>824</v>
      </c>
      <c r="F5362" s="705">
        <v>1.292732924574455E-4</v>
      </c>
      <c r="G5362" s="705">
        <v>0.20540928011448684</v>
      </c>
    </row>
    <row r="5363" spans="2:7" ht="11.25" hidden="1" customHeight="1" outlineLevel="2" x14ac:dyDescent="0.25">
      <c r="B5363" s="704" t="s">
        <v>686</v>
      </c>
      <c r="C5363" s="704" t="s">
        <v>846</v>
      </c>
      <c r="D5363" s="704" t="s">
        <v>44</v>
      </c>
      <c r="E5363" s="704" t="s">
        <v>824</v>
      </c>
      <c r="F5363" s="705">
        <v>3.9540837300622429E-5</v>
      </c>
      <c r="G5363" s="705">
        <v>6.282856885325952E-2</v>
      </c>
    </row>
    <row r="5364" spans="2:7" ht="11.25" hidden="1" customHeight="1" outlineLevel="2" x14ac:dyDescent="0.25">
      <c r="B5364" s="704" t="s">
        <v>687</v>
      </c>
      <c r="C5364" s="704" t="s">
        <v>846</v>
      </c>
      <c r="D5364" s="704" t="s">
        <v>44</v>
      </c>
      <c r="E5364" s="704" t="s">
        <v>824</v>
      </c>
      <c r="F5364" s="705">
        <v>4.8400662451561153E-5</v>
      </c>
      <c r="G5364" s="705">
        <v>7.690645260499239E-2</v>
      </c>
    </row>
    <row r="5365" spans="2:7" ht="11.25" hidden="1" customHeight="1" outlineLevel="2" x14ac:dyDescent="0.25">
      <c r="B5365" s="704" t="s">
        <v>688</v>
      </c>
      <c r="C5365" s="704" t="s">
        <v>846</v>
      </c>
      <c r="D5365" s="704" t="s">
        <v>44</v>
      </c>
      <c r="E5365" s="704" t="s">
        <v>824</v>
      </c>
      <c r="F5365" s="705">
        <v>2.1956358547836675E-5</v>
      </c>
      <c r="G5365" s="705">
        <v>3.4887629233067527E-2</v>
      </c>
    </row>
    <row r="5366" spans="2:7" ht="11.25" hidden="1" customHeight="1" outlineLevel="2" x14ac:dyDescent="0.25">
      <c r="B5366" s="704" t="s">
        <v>689</v>
      </c>
      <c r="C5366" s="704" t="s">
        <v>846</v>
      </c>
      <c r="D5366" s="704" t="s">
        <v>44</v>
      </c>
      <c r="E5366" s="704" t="s">
        <v>824</v>
      </c>
      <c r="F5366" s="705">
        <v>1.0724999399532801E-4</v>
      </c>
      <c r="G5366" s="705">
        <v>0.17041544184496119</v>
      </c>
    </row>
    <row r="5367" spans="2:7" ht="11.25" hidden="1" customHeight="1" outlineLevel="2" x14ac:dyDescent="0.25">
      <c r="B5367" s="704" t="s">
        <v>690</v>
      </c>
      <c r="C5367" s="704" t="s">
        <v>846</v>
      </c>
      <c r="D5367" s="704" t="s">
        <v>44</v>
      </c>
      <c r="E5367" s="704" t="s">
        <v>824</v>
      </c>
      <c r="F5367" s="705">
        <v>4.7020708348263922E-5</v>
      </c>
      <c r="G5367" s="705">
        <v>7.4713799260217359E-2</v>
      </c>
    </row>
    <row r="5368" spans="2:7" ht="11.25" hidden="1" customHeight="1" outlineLevel="2" x14ac:dyDescent="0.25">
      <c r="B5368" s="704" t="s">
        <v>691</v>
      </c>
      <c r="C5368" s="704" t="s">
        <v>846</v>
      </c>
      <c r="D5368" s="704" t="s">
        <v>44</v>
      </c>
      <c r="E5368" s="704" t="s">
        <v>824</v>
      </c>
      <c r="F5368" s="705">
        <v>1.8384088485587773E-5</v>
      </c>
      <c r="G5368" s="705">
        <v>2.9211487241755617E-2</v>
      </c>
    </row>
    <row r="5369" spans="2:7" ht="11.25" hidden="1" customHeight="1" outlineLevel="2" x14ac:dyDescent="0.25">
      <c r="B5369" s="704" t="s">
        <v>692</v>
      </c>
      <c r="C5369" s="704" t="s">
        <v>846</v>
      </c>
      <c r="D5369" s="704" t="s">
        <v>44</v>
      </c>
      <c r="E5369" s="704" t="s">
        <v>824</v>
      </c>
      <c r="F5369" s="705">
        <v>1.325250323798442E-4</v>
      </c>
      <c r="G5369" s="705">
        <v>0.21057622520236288</v>
      </c>
    </row>
    <row r="5370" spans="2:7" ht="11.25" hidden="1" customHeight="1" outlineLevel="2" x14ac:dyDescent="0.25">
      <c r="B5370" s="704" t="s">
        <v>693</v>
      </c>
      <c r="C5370" s="704" t="s">
        <v>846</v>
      </c>
      <c r="D5370" s="704" t="s">
        <v>44</v>
      </c>
      <c r="E5370" s="704" t="s">
        <v>824</v>
      </c>
      <c r="F5370" s="705">
        <v>3.6344404156566337E-5</v>
      </c>
      <c r="G5370" s="705">
        <v>5.7749651134125418E-2</v>
      </c>
    </row>
    <row r="5371" spans="2:7" ht="11.25" hidden="1" customHeight="1" outlineLevel="2" x14ac:dyDescent="0.25">
      <c r="B5371" s="704" t="s">
        <v>694</v>
      </c>
      <c r="C5371" s="704" t="s">
        <v>846</v>
      </c>
      <c r="D5371" s="704" t="s">
        <v>44</v>
      </c>
      <c r="E5371" s="704" t="s">
        <v>824</v>
      </c>
      <c r="F5371" s="705">
        <v>3.2758398066284498E-5</v>
      </c>
      <c r="G5371" s="705">
        <v>5.2051636989664904E-2</v>
      </c>
    </row>
    <row r="5372" spans="2:7" ht="11.25" hidden="1" customHeight="1" outlineLevel="2" x14ac:dyDescent="0.25">
      <c r="B5372" s="704" t="s">
        <v>695</v>
      </c>
      <c r="C5372" s="704" t="s">
        <v>846</v>
      </c>
      <c r="D5372" s="704" t="s">
        <v>44</v>
      </c>
      <c r="E5372" s="704" t="s">
        <v>824</v>
      </c>
      <c r="F5372" s="705">
        <v>8.5413733794647472E-5</v>
      </c>
      <c r="G5372" s="705">
        <v>0.13571859051337171</v>
      </c>
    </row>
    <row r="5373" spans="2:7" ht="11.25" hidden="1" customHeight="1" outlineLevel="2" x14ac:dyDescent="0.25">
      <c r="B5373" s="704" t="s">
        <v>696</v>
      </c>
      <c r="C5373" s="704" t="s">
        <v>846</v>
      </c>
      <c r="D5373" s="704" t="s">
        <v>44</v>
      </c>
      <c r="E5373" s="704" t="s">
        <v>824</v>
      </c>
      <c r="F5373" s="705">
        <v>7.8057308710230124E-5</v>
      </c>
      <c r="G5373" s="705">
        <v>0.12402961119902271</v>
      </c>
    </row>
    <row r="5374" spans="2:7" ht="11.25" hidden="1" customHeight="1" outlineLevel="2" x14ac:dyDescent="0.25">
      <c r="B5374" s="704" t="s">
        <v>697</v>
      </c>
      <c r="C5374" s="704" t="s">
        <v>846</v>
      </c>
      <c r="D5374" s="704" t="s">
        <v>44</v>
      </c>
      <c r="E5374" s="704" t="s">
        <v>824</v>
      </c>
      <c r="F5374" s="705">
        <v>5.9957536615459128E-5</v>
      </c>
      <c r="G5374" s="705">
        <v>9.5269860378409635E-2</v>
      </c>
    </row>
    <row r="5375" spans="2:7" ht="11.25" hidden="1" customHeight="1" outlineLevel="2" x14ac:dyDescent="0.25">
      <c r="B5375" s="704" t="s">
        <v>698</v>
      </c>
      <c r="C5375" s="704" t="s">
        <v>846</v>
      </c>
      <c r="D5375" s="704" t="s">
        <v>44</v>
      </c>
      <c r="E5375" s="704" t="s">
        <v>824</v>
      </c>
      <c r="F5375" s="705">
        <v>9.1152803749606744E-5</v>
      </c>
      <c r="G5375" s="705">
        <v>0.14483764705943181</v>
      </c>
    </row>
    <row r="5376" spans="2:7" ht="11.25" hidden="1" customHeight="1" outlineLevel="2" x14ac:dyDescent="0.25">
      <c r="B5376" s="704" t="s">
        <v>699</v>
      </c>
      <c r="C5376" s="704" t="s">
        <v>846</v>
      </c>
      <c r="D5376" s="704" t="s">
        <v>44</v>
      </c>
      <c r="E5376" s="704" t="s">
        <v>824</v>
      </c>
      <c r="F5376" s="705">
        <v>2.6379085957552315E-36</v>
      </c>
      <c r="G5376" s="705">
        <v>4.1915162723227706E-33</v>
      </c>
    </row>
    <row r="5377" spans="2:7" ht="11.25" hidden="1" customHeight="1" outlineLevel="2" x14ac:dyDescent="0.25">
      <c r="B5377" s="704" t="s">
        <v>673</v>
      </c>
      <c r="C5377" s="704" t="s">
        <v>847</v>
      </c>
      <c r="D5377" s="704" t="s">
        <v>44</v>
      </c>
      <c r="E5377" s="704" t="s">
        <v>824</v>
      </c>
      <c r="F5377" s="705">
        <v>2.2117353562977091E-6</v>
      </c>
      <c r="G5377" s="705">
        <v>2.3309109073780084E-2</v>
      </c>
    </row>
    <row r="5378" spans="2:7" ht="11.25" hidden="1" customHeight="1" outlineLevel="2" x14ac:dyDescent="0.25">
      <c r="B5378" s="704" t="s">
        <v>677</v>
      </c>
      <c r="C5378" s="704" t="s">
        <v>847</v>
      </c>
      <c r="D5378" s="704" t="s">
        <v>44</v>
      </c>
      <c r="E5378" s="704" t="s">
        <v>824</v>
      </c>
      <c r="F5378" s="705">
        <v>4.1112562073365846E-6</v>
      </c>
      <c r="G5378" s="705">
        <v>4.3327890813225987E-2</v>
      </c>
    </row>
    <row r="5379" spans="2:7" ht="11.25" hidden="1" customHeight="1" outlineLevel="2" x14ac:dyDescent="0.25">
      <c r="B5379" s="704" t="s">
        <v>678</v>
      </c>
      <c r="C5379" s="704" t="s">
        <v>847</v>
      </c>
      <c r="D5379" s="704" t="s">
        <v>44</v>
      </c>
      <c r="E5379" s="704" t="s">
        <v>824</v>
      </c>
      <c r="F5379" s="705">
        <v>8.4106333985163646E-6</v>
      </c>
      <c r="G5379" s="705">
        <v>8.8638182920546149E-2</v>
      </c>
    </row>
    <row r="5380" spans="2:7" ht="11.25" hidden="1" customHeight="1" outlineLevel="2" x14ac:dyDescent="0.25">
      <c r="B5380" s="704" t="s">
        <v>679</v>
      </c>
      <c r="C5380" s="704" t="s">
        <v>847</v>
      </c>
      <c r="D5380" s="704" t="s">
        <v>44</v>
      </c>
      <c r="E5380" s="704" t="s">
        <v>824</v>
      </c>
      <c r="F5380" s="705">
        <v>2.9596149071792842E-6</v>
      </c>
      <c r="G5380" s="705">
        <v>3.119087996620195E-2</v>
      </c>
    </row>
    <row r="5381" spans="2:7" ht="11.25" hidden="1" customHeight="1" outlineLevel="2" x14ac:dyDescent="0.25">
      <c r="B5381" s="704" t="s">
        <v>680</v>
      </c>
      <c r="C5381" s="704" t="s">
        <v>847</v>
      </c>
      <c r="D5381" s="704" t="s">
        <v>44</v>
      </c>
      <c r="E5381" s="704" t="s">
        <v>824</v>
      </c>
      <c r="F5381" s="705">
        <v>1.9264806027455372E-5</v>
      </c>
      <c r="G5381" s="705">
        <v>0.20302842350956091</v>
      </c>
    </row>
    <row r="5382" spans="2:7" ht="11.25" hidden="1" customHeight="1" outlineLevel="2" x14ac:dyDescent="0.25">
      <c r="B5382" s="704" t="s">
        <v>681</v>
      </c>
      <c r="C5382" s="704" t="s">
        <v>847</v>
      </c>
      <c r="D5382" s="704" t="s">
        <v>44</v>
      </c>
      <c r="E5382" s="704" t="s">
        <v>824</v>
      </c>
      <c r="F5382" s="705">
        <v>2.1802737004946369E-5</v>
      </c>
      <c r="G5382" s="705">
        <v>0.22977529123826573</v>
      </c>
    </row>
    <row r="5383" spans="2:7" ht="11.25" hidden="1" customHeight="1" outlineLevel="2" x14ac:dyDescent="0.25">
      <c r="B5383" s="704" t="s">
        <v>682</v>
      </c>
      <c r="C5383" s="704" t="s">
        <v>847</v>
      </c>
      <c r="D5383" s="704" t="s">
        <v>44</v>
      </c>
      <c r="E5383" s="704" t="s">
        <v>824</v>
      </c>
      <c r="F5383" s="705">
        <v>1.0602038102517792E-5</v>
      </c>
      <c r="G5383" s="705">
        <v>0.11173309818955129</v>
      </c>
    </row>
    <row r="5384" spans="2:7" ht="11.25" hidden="1" customHeight="1" outlineLevel="2" x14ac:dyDescent="0.25">
      <c r="B5384" s="704" t="s">
        <v>683</v>
      </c>
      <c r="C5384" s="704" t="s">
        <v>847</v>
      </c>
      <c r="D5384" s="704" t="s">
        <v>44</v>
      </c>
      <c r="E5384" s="704" t="s">
        <v>824</v>
      </c>
      <c r="F5384" s="705">
        <v>4.9836683889197731E-6</v>
      </c>
      <c r="G5384" s="705">
        <v>5.2522071439770647E-2</v>
      </c>
    </row>
    <row r="5385" spans="2:7" ht="11.25" hidden="1" customHeight="1" outlineLevel="2" x14ac:dyDescent="0.25">
      <c r="B5385" s="704" t="s">
        <v>684</v>
      </c>
      <c r="C5385" s="704" t="s">
        <v>847</v>
      </c>
      <c r="D5385" s="704" t="s">
        <v>44</v>
      </c>
      <c r="E5385" s="704" t="s">
        <v>824</v>
      </c>
      <c r="F5385" s="705">
        <v>1.7385166571569018E-5</v>
      </c>
      <c r="G5385" s="705">
        <v>0.18321925637187497</v>
      </c>
    </row>
    <row r="5386" spans="2:7" ht="11.25" hidden="1" customHeight="1" outlineLevel="2" x14ac:dyDescent="0.25">
      <c r="B5386" s="704" t="s">
        <v>685</v>
      </c>
      <c r="C5386" s="704" t="s">
        <v>847</v>
      </c>
      <c r="D5386" s="704" t="s">
        <v>44</v>
      </c>
      <c r="E5386" s="704" t="s">
        <v>824</v>
      </c>
      <c r="F5386" s="705">
        <v>2.6526633712871366E-5</v>
      </c>
      <c r="G5386" s="705">
        <v>0.27955997862242954</v>
      </c>
    </row>
    <row r="5387" spans="2:7" ht="11.25" hidden="1" customHeight="1" outlineLevel="2" x14ac:dyDescent="0.25">
      <c r="B5387" s="704" t="s">
        <v>686</v>
      </c>
      <c r="C5387" s="704" t="s">
        <v>847</v>
      </c>
      <c r="D5387" s="704" t="s">
        <v>44</v>
      </c>
      <c r="E5387" s="704" t="s">
        <v>824</v>
      </c>
      <c r="F5387" s="705">
        <v>8.1137048188707239E-6</v>
      </c>
      <c r="G5387" s="705">
        <v>8.5508910053561121E-2</v>
      </c>
    </row>
    <row r="5388" spans="2:7" ht="11.25" hidden="1" customHeight="1" outlineLevel="2" x14ac:dyDescent="0.25">
      <c r="B5388" s="704" t="s">
        <v>687</v>
      </c>
      <c r="C5388" s="704" t="s">
        <v>847</v>
      </c>
      <c r="D5388" s="704" t="s">
        <v>44</v>
      </c>
      <c r="E5388" s="704" t="s">
        <v>824</v>
      </c>
      <c r="F5388" s="705">
        <v>9.9317332196545104E-6</v>
      </c>
      <c r="G5388" s="705">
        <v>0.10466876257594039</v>
      </c>
    </row>
    <row r="5389" spans="2:7" ht="11.25" hidden="1" customHeight="1" outlineLevel="2" x14ac:dyDescent="0.25">
      <c r="B5389" s="704" t="s">
        <v>688</v>
      </c>
      <c r="C5389" s="704" t="s">
        <v>847</v>
      </c>
      <c r="D5389" s="704" t="s">
        <v>44</v>
      </c>
      <c r="E5389" s="704" t="s">
        <v>824</v>
      </c>
      <c r="F5389" s="705">
        <v>4.5054049639941511E-6</v>
      </c>
      <c r="G5389" s="705">
        <v>4.7481713655202692E-2</v>
      </c>
    </row>
    <row r="5390" spans="2:7" ht="11.25" hidden="1" customHeight="1" outlineLevel="2" x14ac:dyDescent="0.25">
      <c r="B5390" s="704" t="s">
        <v>689</v>
      </c>
      <c r="C5390" s="704" t="s">
        <v>847</v>
      </c>
      <c r="D5390" s="704" t="s">
        <v>44</v>
      </c>
      <c r="E5390" s="704" t="s">
        <v>824</v>
      </c>
      <c r="F5390" s="705">
        <v>2.2007516875862574E-5</v>
      </c>
      <c r="G5390" s="705">
        <v>0.23193319920997141</v>
      </c>
    </row>
    <row r="5391" spans="2:7" ht="11.25" hidden="1" customHeight="1" outlineLevel="2" x14ac:dyDescent="0.25">
      <c r="B5391" s="704" t="s">
        <v>690</v>
      </c>
      <c r="C5391" s="704" t="s">
        <v>847</v>
      </c>
      <c r="D5391" s="704" t="s">
        <v>44</v>
      </c>
      <c r="E5391" s="704" t="s">
        <v>824</v>
      </c>
      <c r="F5391" s="705">
        <v>9.6485695744154724E-6</v>
      </c>
      <c r="G5391" s="705">
        <v>0.10168459749628934</v>
      </c>
    </row>
    <row r="5392" spans="2:7" ht="11.25" hidden="1" customHeight="1" outlineLevel="2" x14ac:dyDescent="0.25">
      <c r="B5392" s="704" t="s">
        <v>691</v>
      </c>
      <c r="C5392" s="704" t="s">
        <v>847</v>
      </c>
      <c r="D5392" s="704" t="s">
        <v>44</v>
      </c>
      <c r="E5392" s="704" t="s">
        <v>824</v>
      </c>
      <c r="F5392" s="705">
        <v>3.7723839916919854E-6</v>
      </c>
      <c r="G5392" s="705">
        <v>3.9756516203079545E-2</v>
      </c>
    </row>
    <row r="5393" spans="2:7" ht="11.25" hidden="1" customHeight="1" outlineLevel="2" x14ac:dyDescent="0.25">
      <c r="B5393" s="704" t="s">
        <v>692</v>
      </c>
      <c r="C5393" s="704" t="s">
        <v>847</v>
      </c>
      <c r="D5393" s="704" t="s">
        <v>44</v>
      </c>
      <c r="E5393" s="704" t="s">
        <v>824</v>
      </c>
      <c r="F5393" s="705">
        <v>2.7193898241967984E-5</v>
      </c>
      <c r="G5393" s="705">
        <v>0.28659183016845224</v>
      </c>
    </row>
    <row r="5394" spans="2:7" ht="11.25" hidden="1" customHeight="1" outlineLevel="2" x14ac:dyDescent="0.25">
      <c r="B5394" s="704" t="s">
        <v>693</v>
      </c>
      <c r="C5394" s="704" t="s">
        <v>847</v>
      </c>
      <c r="D5394" s="704" t="s">
        <v>44</v>
      </c>
      <c r="E5394" s="704" t="s">
        <v>824</v>
      </c>
      <c r="F5394" s="705">
        <v>7.4578058965349057E-6</v>
      </c>
      <c r="G5394" s="705">
        <v>7.8596529243642604E-2</v>
      </c>
    </row>
    <row r="5395" spans="2:7" ht="11.25" hidden="1" customHeight="1" outlineLevel="2" x14ac:dyDescent="0.25">
      <c r="B5395" s="704" t="s">
        <v>694</v>
      </c>
      <c r="C5395" s="704" t="s">
        <v>847</v>
      </c>
      <c r="D5395" s="704" t="s">
        <v>44</v>
      </c>
      <c r="E5395" s="704" t="s">
        <v>824</v>
      </c>
      <c r="F5395" s="705">
        <v>6.7219719942700706E-6</v>
      </c>
      <c r="G5395" s="705">
        <v>7.0841620650953466E-2</v>
      </c>
    </row>
    <row r="5396" spans="2:7" ht="11.25" hidden="1" customHeight="1" outlineLevel="2" x14ac:dyDescent="0.25">
      <c r="B5396" s="704" t="s">
        <v>695</v>
      </c>
      <c r="C5396" s="704" t="s">
        <v>847</v>
      </c>
      <c r="D5396" s="704" t="s">
        <v>44</v>
      </c>
      <c r="E5396" s="704" t="s">
        <v>824</v>
      </c>
      <c r="F5396" s="705">
        <v>1.7526742416485278E-5</v>
      </c>
      <c r="G5396" s="705">
        <v>0.18471137064050053</v>
      </c>
    </row>
    <row r="5397" spans="2:7" ht="11.25" hidden="1" customHeight="1" outlineLevel="2" x14ac:dyDescent="0.25">
      <c r="B5397" s="704" t="s">
        <v>696</v>
      </c>
      <c r="C5397" s="704" t="s">
        <v>847</v>
      </c>
      <c r="D5397" s="704" t="s">
        <v>44</v>
      </c>
      <c r="E5397" s="704" t="s">
        <v>824</v>
      </c>
      <c r="F5397" s="705">
        <v>1.6017228626518981E-5</v>
      </c>
      <c r="G5397" s="705">
        <v>0.16880273382675445</v>
      </c>
    </row>
    <row r="5398" spans="2:7" ht="11.25" hidden="1" customHeight="1" outlineLevel="2" x14ac:dyDescent="0.25">
      <c r="B5398" s="704" t="s">
        <v>697</v>
      </c>
      <c r="C5398" s="704" t="s">
        <v>847</v>
      </c>
      <c r="D5398" s="704" t="s">
        <v>44</v>
      </c>
      <c r="E5398" s="704" t="s">
        <v>824</v>
      </c>
      <c r="F5398" s="705">
        <v>1.230318479061639E-5</v>
      </c>
      <c r="G5398" s="705">
        <v>0.1296610794423034</v>
      </c>
    </row>
    <row r="5399" spans="2:7" ht="11.25" hidden="1" customHeight="1" outlineLevel="2" x14ac:dyDescent="0.25">
      <c r="B5399" s="704" t="s">
        <v>698</v>
      </c>
      <c r="C5399" s="704" t="s">
        <v>847</v>
      </c>
      <c r="D5399" s="704" t="s">
        <v>44</v>
      </c>
      <c r="E5399" s="704" t="s">
        <v>824</v>
      </c>
      <c r="F5399" s="705">
        <v>1.8704381526942318E-5</v>
      </c>
      <c r="G5399" s="705">
        <v>0.19712227797568085</v>
      </c>
    </row>
    <row r="5400" spans="2:7" ht="11.25" hidden="1" customHeight="1" outlineLevel="2" x14ac:dyDescent="0.25">
      <c r="B5400" s="704" t="s">
        <v>699</v>
      </c>
      <c r="C5400" s="704" t="s">
        <v>847</v>
      </c>
      <c r="D5400" s="704" t="s">
        <v>44</v>
      </c>
      <c r="E5400" s="704" t="s">
        <v>824</v>
      </c>
      <c r="F5400" s="705">
        <v>5.5019376952036936E-37</v>
      </c>
      <c r="G5400" s="705">
        <v>5.7984014727762259E-33</v>
      </c>
    </row>
    <row r="5401" spans="2:7" ht="11.25" hidden="1" customHeight="1" outlineLevel="2" x14ac:dyDescent="0.25">
      <c r="B5401" s="704" t="s">
        <v>673</v>
      </c>
      <c r="C5401" s="704" t="s">
        <v>705</v>
      </c>
      <c r="D5401" s="704" t="s">
        <v>44</v>
      </c>
      <c r="E5401" s="704" t="s">
        <v>676</v>
      </c>
      <c r="F5401" s="705">
        <v>4.3147287449559672E-4</v>
      </c>
      <c r="G5401" s="705">
        <v>4.5241801433031853E-3</v>
      </c>
    </row>
    <row r="5402" spans="2:7" ht="11.25" hidden="1" customHeight="1" outlineLevel="2" x14ac:dyDescent="0.25">
      <c r="B5402" s="704" t="s">
        <v>677</v>
      </c>
      <c r="C5402" s="704" t="s">
        <v>705</v>
      </c>
      <c r="D5402" s="704" t="s">
        <v>44</v>
      </c>
      <c r="E5402" s="704" t="s">
        <v>676</v>
      </c>
      <c r="F5402" s="705">
        <v>8.0203678606623956E-4</v>
      </c>
      <c r="G5402" s="705">
        <v>8.4096959418351637E-3</v>
      </c>
    </row>
    <row r="5403" spans="2:7" ht="11.25" hidden="1" customHeight="1" outlineLevel="2" x14ac:dyDescent="0.25">
      <c r="B5403" s="704" t="s">
        <v>678</v>
      </c>
      <c r="C5403" s="704" t="s">
        <v>705</v>
      </c>
      <c r="D5403" s="704" t="s">
        <v>44</v>
      </c>
      <c r="E5403" s="704" t="s">
        <v>676</v>
      </c>
      <c r="F5403" s="705">
        <v>1.6407709416962728E-3</v>
      </c>
      <c r="G5403" s="705">
        <v>1.7204203193938922E-2</v>
      </c>
    </row>
    <row r="5404" spans="2:7" ht="11.25" hidden="1" customHeight="1" outlineLevel="2" x14ac:dyDescent="0.25">
      <c r="B5404" s="704" t="s">
        <v>679</v>
      </c>
      <c r="C5404" s="704" t="s">
        <v>705</v>
      </c>
      <c r="D5404" s="704" t="s">
        <v>44</v>
      </c>
      <c r="E5404" s="704" t="s">
        <v>676</v>
      </c>
      <c r="F5404" s="705">
        <v>5.7737119690176022E-4</v>
      </c>
      <c r="G5404" s="705">
        <v>6.053981427425986E-3</v>
      </c>
    </row>
    <row r="5405" spans="2:7" ht="11.25" hidden="1" customHeight="1" outlineLevel="2" x14ac:dyDescent="0.25">
      <c r="B5405" s="704" t="s">
        <v>680</v>
      </c>
      <c r="C5405" s="704" t="s">
        <v>705</v>
      </c>
      <c r="D5405" s="704" t="s">
        <v>44</v>
      </c>
      <c r="E5405" s="704" t="s">
        <v>676</v>
      </c>
      <c r="F5405" s="705">
        <v>3.7582376872225902E-3</v>
      </c>
      <c r="G5405" s="705">
        <v>3.9406791329006916E-2</v>
      </c>
    </row>
    <row r="5406" spans="2:7" ht="11.25" hidden="1" customHeight="1" outlineLevel="2" x14ac:dyDescent="0.25">
      <c r="B5406" s="704" t="s">
        <v>681</v>
      </c>
      <c r="C5406" s="704" t="s">
        <v>705</v>
      </c>
      <c r="D5406" s="704" t="s">
        <v>44</v>
      </c>
      <c r="E5406" s="704" t="s">
        <v>676</v>
      </c>
      <c r="F5406" s="705">
        <v>4.2533460494318213E-3</v>
      </c>
      <c r="G5406" s="705">
        <v>4.4598149027652925E-2</v>
      </c>
    </row>
    <row r="5407" spans="2:7" ht="11.25" hidden="1" customHeight="1" outlineLevel="2" x14ac:dyDescent="0.25">
      <c r="B5407" s="704" t="s">
        <v>682</v>
      </c>
      <c r="C5407" s="704" t="s">
        <v>705</v>
      </c>
      <c r="D5407" s="704" t="s">
        <v>44</v>
      </c>
      <c r="E5407" s="704" t="s">
        <v>676</v>
      </c>
      <c r="F5407" s="705">
        <v>2.0682796276645086E-3</v>
      </c>
      <c r="G5407" s="705">
        <v>2.1686815434195272E-2</v>
      </c>
    </row>
    <row r="5408" spans="2:7" ht="11.25" hidden="1" customHeight="1" outlineLevel="2" x14ac:dyDescent="0.25">
      <c r="B5408" s="704" t="s">
        <v>683</v>
      </c>
      <c r="C5408" s="704" t="s">
        <v>705</v>
      </c>
      <c r="D5408" s="704" t="s">
        <v>44</v>
      </c>
      <c r="E5408" s="704" t="s">
        <v>676</v>
      </c>
      <c r="F5408" s="705">
        <v>9.7222965737891152E-4</v>
      </c>
      <c r="G5408" s="705">
        <v>1.0194253944075232E-2</v>
      </c>
    </row>
    <row r="5409" spans="2:7" ht="11.25" hidden="1" customHeight="1" outlineLevel="2" x14ac:dyDescent="0.25">
      <c r="B5409" s="704" t="s">
        <v>684</v>
      </c>
      <c r="C5409" s="704" t="s">
        <v>705</v>
      </c>
      <c r="D5409" s="704" t="s">
        <v>44</v>
      </c>
      <c r="E5409" s="704" t="s">
        <v>676</v>
      </c>
      <c r="F5409" s="705">
        <v>3.391552308856796E-3</v>
      </c>
      <c r="G5409" s="705">
        <v>3.5561874275231255E-2</v>
      </c>
    </row>
    <row r="5410" spans="2:7" ht="11.25" hidden="1" customHeight="1" outlineLevel="2" x14ac:dyDescent="0.25">
      <c r="B5410" s="704" t="s">
        <v>685</v>
      </c>
      <c r="C5410" s="704" t="s">
        <v>705</v>
      </c>
      <c r="D5410" s="704" t="s">
        <v>44</v>
      </c>
      <c r="E5410" s="704" t="s">
        <v>676</v>
      </c>
      <c r="F5410" s="705">
        <v>5.1748950403822198E-3</v>
      </c>
      <c r="G5410" s="705">
        <v>5.4261097359322816E-2</v>
      </c>
    </row>
    <row r="5411" spans="2:7" ht="11.25" hidden="1" customHeight="1" outlineLevel="2" x14ac:dyDescent="0.25">
      <c r="B5411" s="704" t="s">
        <v>686</v>
      </c>
      <c r="C5411" s="704" t="s">
        <v>705</v>
      </c>
      <c r="D5411" s="704" t="s">
        <v>44</v>
      </c>
      <c r="E5411" s="704" t="s">
        <v>676</v>
      </c>
      <c r="F5411" s="705">
        <v>1.5828463196395886E-3</v>
      </c>
      <c r="G5411" s="705">
        <v>1.6596837648040048E-2</v>
      </c>
    </row>
    <row r="5412" spans="2:7" ht="11.25" hidden="1" customHeight="1" outlineLevel="2" x14ac:dyDescent="0.25">
      <c r="B5412" s="704" t="s">
        <v>687</v>
      </c>
      <c r="C5412" s="704" t="s">
        <v>705</v>
      </c>
      <c r="D5412" s="704" t="s">
        <v>44</v>
      </c>
      <c r="E5412" s="704" t="s">
        <v>676</v>
      </c>
      <c r="F5412" s="705">
        <v>1.9375120688498867E-3</v>
      </c>
      <c r="G5412" s="705">
        <v>2.0315657061078053E-2</v>
      </c>
    </row>
    <row r="5413" spans="2:7" ht="11.25" hidden="1" customHeight="1" outlineLevel="2" x14ac:dyDescent="0.25">
      <c r="B5413" s="704" t="s">
        <v>688</v>
      </c>
      <c r="C5413" s="704" t="s">
        <v>705</v>
      </c>
      <c r="D5413" s="704" t="s">
        <v>44</v>
      </c>
      <c r="E5413" s="704" t="s">
        <v>676</v>
      </c>
      <c r="F5413" s="705">
        <v>8.78927474647749E-4</v>
      </c>
      <c r="G5413" s="705">
        <v>9.2159480498441235E-3</v>
      </c>
    </row>
    <row r="5414" spans="2:7" ht="11.25" hidden="1" customHeight="1" outlineLevel="2" x14ac:dyDescent="0.25">
      <c r="B5414" s="704" t="s">
        <v>689</v>
      </c>
      <c r="C5414" s="704" t="s">
        <v>705</v>
      </c>
      <c r="D5414" s="704" t="s">
        <v>44</v>
      </c>
      <c r="E5414" s="704" t="s">
        <v>676</v>
      </c>
      <c r="F5414" s="705">
        <v>4.29329223625233E-3</v>
      </c>
      <c r="G5414" s="705">
        <v>4.5016969795523533E-2</v>
      </c>
    </row>
    <row r="5415" spans="2:7" ht="11.25" hidden="1" customHeight="1" outlineLevel="2" x14ac:dyDescent="0.25">
      <c r="B5415" s="704" t="s">
        <v>690</v>
      </c>
      <c r="C5415" s="704" t="s">
        <v>705</v>
      </c>
      <c r="D5415" s="704" t="s">
        <v>44</v>
      </c>
      <c r="E5415" s="704" t="s">
        <v>676</v>
      </c>
      <c r="F5415" s="705">
        <v>1.8822735087613647E-3</v>
      </c>
      <c r="G5415" s="705">
        <v>1.9736453541678158E-2</v>
      </c>
    </row>
    <row r="5416" spans="2:7" ht="11.25" hidden="1" customHeight="1" outlineLevel="2" x14ac:dyDescent="0.25">
      <c r="B5416" s="704" t="s">
        <v>691</v>
      </c>
      <c r="C5416" s="704" t="s">
        <v>705</v>
      </c>
      <c r="D5416" s="704" t="s">
        <v>44</v>
      </c>
      <c r="E5416" s="704" t="s">
        <v>676</v>
      </c>
      <c r="F5416" s="705">
        <v>7.3592815236315904E-4</v>
      </c>
      <c r="G5416" s="705">
        <v>7.7165293315870015E-3</v>
      </c>
    </row>
    <row r="5417" spans="2:7" ht="11.25" hidden="1" customHeight="1" outlineLevel="2" x14ac:dyDescent="0.25">
      <c r="B5417" s="704" t="s">
        <v>692</v>
      </c>
      <c r="C5417" s="704" t="s">
        <v>705</v>
      </c>
      <c r="D5417" s="704" t="s">
        <v>44</v>
      </c>
      <c r="E5417" s="704" t="s">
        <v>676</v>
      </c>
      <c r="F5417" s="705">
        <v>5.3050709967671899E-3</v>
      </c>
      <c r="G5417" s="705">
        <v>5.5625941880867565E-2</v>
      </c>
    </row>
    <row r="5418" spans="2:7" ht="11.25" hidden="1" customHeight="1" outlineLevel="2" x14ac:dyDescent="0.25">
      <c r="B5418" s="704" t="s">
        <v>693</v>
      </c>
      <c r="C5418" s="704" t="s">
        <v>705</v>
      </c>
      <c r="D5418" s="704" t="s">
        <v>44</v>
      </c>
      <c r="E5418" s="704" t="s">
        <v>676</v>
      </c>
      <c r="F5418" s="705">
        <v>1.4548921803044272E-3</v>
      </c>
      <c r="G5418" s="705">
        <v>1.5255175063975276E-2</v>
      </c>
    </row>
    <row r="5419" spans="2:7" ht="11.25" hidden="1" customHeight="1" outlineLevel="2" x14ac:dyDescent="0.25">
      <c r="B5419" s="704" t="s">
        <v>694</v>
      </c>
      <c r="C5419" s="704" t="s">
        <v>705</v>
      </c>
      <c r="D5419" s="704" t="s">
        <v>44</v>
      </c>
      <c r="E5419" s="704" t="s">
        <v>676</v>
      </c>
      <c r="F5419" s="705">
        <v>1.3113418607978474E-3</v>
      </c>
      <c r="G5419" s="705">
        <v>1.3749991193070452E-2</v>
      </c>
    </row>
    <row r="5420" spans="2:7" ht="11.25" hidden="1" customHeight="1" outlineLevel="2" x14ac:dyDescent="0.25">
      <c r="B5420" s="704" t="s">
        <v>695</v>
      </c>
      <c r="C5420" s="704" t="s">
        <v>705</v>
      </c>
      <c r="D5420" s="704" t="s">
        <v>44</v>
      </c>
      <c r="E5420" s="704" t="s">
        <v>676</v>
      </c>
      <c r="F5420" s="705">
        <v>3.4191745537725774E-3</v>
      </c>
      <c r="G5420" s="705">
        <v>3.5851449410055768E-2</v>
      </c>
    </row>
    <row r="5421" spans="2:7" ht="11.25" hidden="1" customHeight="1" outlineLevel="2" x14ac:dyDescent="0.25">
      <c r="B5421" s="704" t="s">
        <v>696</v>
      </c>
      <c r="C5421" s="704" t="s">
        <v>705</v>
      </c>
      <c r="D5421" s="704" t="s">
        <v>44</v>
      </c>
      <c r="E5421" s="704" t="s">
        <v>676</v>
      </c>
      <c r="F5421" s="705">
        <v>3.124689634286176E-3</v>
      </c>
      <c r="G5421" s="705">
        <v>3.276373852340473E-2</v>
      </c>
    </row>
    <row r="5422" spans="2:7" ht="11.25" hidden="1" customHeight="1" outlineLevel="2" x14ac:dyDescent="0.25">
      <c r="B5422" s="704" t="s">
        <v>697</v>
      </c>
      <c r="C5422" s="704" t="s">
        <v>705</v>
      </c>
      <c r="D5422" s="704" t="s">
        <v>44</v>
      </c>
      <c r="E5422" s="704" t="s">
        <v>676</v>
      </c>
      <c r="F5422" s="705">
        <v>2.4001418362239058E-3</v>
      </c>
      <c r="G5422" s="705">
        <v>2.5166540181020464E-2</v>
      </c>
    </row>
    <row r="5423" spans="2:7" ht="11.25" hidden="1" customHeight="1" outlineLevel="2" x14ac:dyDescent="0.25">
      <c r="B5423" s="704" t="s">
        <v>698</v>
      </c>
      <c r="C5423" s="704" t="s">
        <v>705</v>
      </c>
      <c r="D5423" s="704" t="s">
        <v>44</v>
      </c>
      <c r="E5423" s="704" t="s">
        <v>676</v>
      </c>
      <c r="F5423" s="705">
        <v>3.6489075330967988E-3</v>
      </c>
      <c r="G5423" s="705">
        <v>3.8260359086493709E-2</v>
      </c>
    </row>
    <row r="5424" spans="2:7" ht="11.25" hidden="1" customHeight="1" outlineLevel="2" x14ac:dyDescent="0.25">
      <c r="B5424" s="704" t="s">
        <v>699</v>
      </c>
      <c r="C5424" s="704" t="s">
        <v>705</v>
      </c>
      <c r="D5424" s="704" t="s">
        <v>44</v>
      </c>
      <c r="E5424" s="704" t="s">
        <v>676</v>
      </c>
      <c r="F5424" s="705">
        <v>4.200799385365748E-34</v>
      </c>
      <c r="G5424" s="705">
        <v>4.4047226276265358E-33</v>
      </c>
    </row>
    <row r="5425" spans="2:7" ht="11.25" hidden="1" customHeight="1" outlineLevel="2" x14ac:dyDescent="0.25">
      <c r="B5425" s="704" t="s">
        <v>673</v>
      </c>
      <c r="C5425" s="704" t="s">
        <v>706</v>
      </c>
      <c r="D5425" s="704" t="s">
        <v>44</v>
      </c>
      <c r="E5425" s="704" t="s">
        <v>676</v>
      </c>
      <c r="F5425" s="705">
        <v>1.369523116886923E-4</v>
      </c>
      <c r="G5425" s="705">
        <v>1.4355735687638863E-3</v>
      </c>
    </row>
    <row r="5426" spans="2:7" ht="11.25" hidden="1" customHeight="1" outlineLevel="2" x14ac:dyDescent="0.25">
      <c r="B5426" s="704" t="s">
        <v>677</v>
      </c>
      <c r="C5426" s="704" t="s">
        <v>706</v>
      </c>
      <c r="D5426" s="704" t="s">
        <v>44</v>
      </c>
      <c r="E5426" s="704" t="s">
        <v>676</v>
      </c>
      <c r="F5426" s="705">
        <v>2.5457200493700523E-4</v>
      </c>
      <c r="G5426" s="705">
        <v>2.6684954758890646E-3</v>
      </c>
    </row>
    <row r="5427" spans="2:7" ht="11.25" hidden="1" customHeight="1" outlineLevel="2" x14ac:dyDescent="0.25">
      <c r="B5427" s="704" t="s">
        <v>678</v>
      </c>
      <c r="C5427" s="704" t="s">
        <v>706</v>
      </c>
      <c r="D5427" s="704" t="s">
        <v>44</v>
      </c>
      <c r="E5427" s="704" t="s">
        <v>676</v>
      </c>
      <c r="F5427" s="705">
        <v>5.2079235839338513E-4</v>
      </c>
      <c r="G5427" s="705">
        <v>5.4590912505382647E-3</v>
      </c>
    </row>
    <row r="5428" spans="2:7" ht="11.25" hidden="1" customHeight="1" outlineLevel="2" x14ac:dyDescent="0.25">
      <c r="B5428" s="704" t="s">
        <v>679</v>
      </c>
      <c r="C5428" s="704" t="s">
        <v>706</v>
      </c>
      <c r="D5428" s="704" t="s">
        <v>44</v>
      </c>
      <c r="E5428" s="704" t="s">
        <v>676</v>
      </c>
      <c r="F5428" s="705">
        <v>1.8326147044912667E-4</v>
      </c>
      <c r="G5428" s="705">
        <v>1.9209996296307914E-3</v>
      </c>
    </row>
    <row r="5429" spans="2:7" ht="11.25" hidden="1" customHeight="1" outlineLevel="2" x14ac:dyDescent="0.25">
      <c r="B5429" s="704" t="s">
        <v>680</v>
      </c>
      <c r="C5429" s="704" t="s">
        <v>706</v>
      </c>
      <c r="D5429" s="704" t="s">
        <v>44</v>
      </c>
      <c r="E5429" s="704" t="s">
        <v>676</v>
      </c>
      <c r="F5429" s="705">
        <v>1.1928905128021508E-3</v>
      </c>
      <c r="G5429" s="705">
        <v>1.2504225608388613E-2</v>
      </c>
    </row>
    <row r="5430" spans="2:7" ht="11.25" hidden="1" customHeight="1" outlineLevel="2" x14ac:dyDescent="0.25">
      <c r="B5430" s="704" t="s">
        <v>681</v>
      </c>
      <c r="C5430" s="704" t="s">
        <v>706</v>
      </c>
      <c r="D5430" s="704" t="s">
        <v>44</v>
      </c>
      <c r="E5430" s="704" t="s">
        <v>676</v>
      </c>
      <c r="F5430" s="705">
        <v>1.3500417245570933E-3</v>
      </c>
      <c r="G5430" s="705">
        <v>1.4151521909207126E-2</v>
      </c>
    </row>
    <row r="5431" spans="2:7" ht="11.25" hidden="1" customHeight="1" outlineLevel="2" x14ac:dyDescent="0.25">
      <c r="B5431" s="704" t="s">
        <v>682</v>
      </c>
      <c r="C5431" s="704" t="s">
        <v>706</v>
      </c>
      <c r="D5431" s="704" t="s">
        <v>44</v>
      </c>
      <c r="E5431" s="704" t="s">
        <v>676</v>
      </c>
      <c r="F5431" s="705">
        <v>6.5648644225652769E-4</v>
      </c>
      <c r="G5431" s="705">
        <v>6.8814713045801685E-3</v>
      </c>
    </row>
    <row r="5432" spans="2:7" ht="11.25" hidden="1" customHeight="1" outlineLevel="2" x14ac:dyDescent="0.25">
      <c r="B5432" s="704" t="s">
        <v>683</v>
      </c>
      <c r="C5432" s="704" t="s">
        <v>706</v>
      </c>
      <c r="D5432" s="704" t="s">
        <v>44</v>
      </c>
      <c r="E5432" s="704" t="s">
        <v>676</v>
      </c>
      <c r="F5432" s="705">
        <v>3.085925658816548E-4</v>
      </c>
      <c r="G5432" s="705">
        <v>3.2347549403924977E-3</v>
      </c>
    </row>
    <row r="5433" spans="2:7" ht="11.25" hidden="1" customHeight="1" outlineLevel="2" x14ac:dyDescent="0.25">
      <c r="B5433" s="704" t="s">
        <v>684</v>
      </c>
      <c r="C5433" s="704" t="s">
        <v>706</v>
      </c>
      <c r="D5433" s="704" t="s">
        <v>44</v>
      </c>
      <c r="E5433" s="704" t="s">
        <v>676</v>
      </c>
      <c r="F5433" s="705">
        <v>1.076502278820164E-3</v>
      </c>
      <c r="G5433" s="705">
        <v>1.128420282450621E-2</v>
      </c>
    </row>
    <row r="5434" spans="2:7" ht="11.25" hidden="1" customHeight="1" outlineLevel="2" x14ac:dyDescent="0.25">
      <c r="B5434" s="704" t="s">
        <v>685</v>
      </c>
      <c r="C5434" s="704" t="s">
        <v>706</v>
      </c>
      <c r="D5434" s="704" t="s">
        <v>44</v>
      </c>
      <c r="E5434" s="704" t="s">
        <v>676</v>
      </c>
      <c r="F5434" s="705">
        <v>1.6425478012366643E-3</v>
      </c>
      <c r="G5434" s="705">
        <v>1.7217656209220562E-2</v>
      </c>
    </row>
    <row r="5435" spans="2:7" ht="11.25" hidden="1" customHeight="1" outlineLevel="2" x14ac:dyDescent="0.25">
      <c r="B5435" s="704" t="s">
        <v>686</v>
      </c>
      <c r="C5435" s="704" t="s">
        <v>706</v>
      </c>
      <c r="D5435" s="704" t="s">
        <v>44</v>
      </c>
      <c r="E5435" s="704" t="s">
        <v>676</v>
      </c>
      <c r="F5435" s="705">
        <v>5.0240652197165985E-4</v>
      </c>
      <c r="G5435" s="705">
        <v>5.2663669447277871E-3</v>
      </c>
    </row>
    <row r="5436" spans="2:7" ht="11.25" hidden="1" customHeight="1" outlineLevel="2" x14ac:dyDescent="0.25">
      <c r="B5436" s="704" t="s">
        <v>687</v>
      </c>
      <c r="C5436" s="704" t="s">
        <v>706</v>
      </c>
      <c r="D5436" s="704" t="s">
        <v>44</v>
      </c>
      <c r="E5436" s="704" t="s">
        <v>676</v>
      </c>
      <c r="F5436" s="705">
        <v>6.149799093528519E-4</v>
      </c>
      <c r="G5436" s="705">
        <v>6.4463958634388314E-3</v>
      </c>
    </row>
    <row r="5437" spans="2:7" ht="11.25" hidden="1" customHeight="1" outlineLevel="2" x14ac:dyDescent="0.25">
      <c r="B5437" s="704" t="s">
        <v>688</v>
      </c>
      <c r="C5437" s="704" t="s">
        <v>706</v>
      </c>
      <c r="D5437" s="704" t="s">
        <v>44</v>
      </c>
      <c r="E5437" s="704" t="s">
        <v>676</v>
      </c>
      <c r="F5437" s="705">
        <v>2.7897788547375608E-4</v>
      </c>
      <c r="G5437" s="705">
        <v>2.9243257256889184E-3</v>
      </c>
    </row>
    <row r="5438" spans="2:7" ht="11.25" hidden="1" customHeight="1" outlineLevel="2" x14ac:dyDescent="0.25">
      <c r="B5438" s="704" t="s">
        <v>689</v>
      </c>
      <c r="C5438" s="704" t="s">
        <v>706</v>
      </c>
      <c r="D5438" s="704" t="s">
        <v>44</v>
      </c>
      <c r="E5438" s="704" t="s">
        <v>676</v>
      </c>
      <c r="F5438" s="705">
        <v>1.362720595555842E-3</v>
      </c>
      <c r="G5438" s="705">
        <v>1.4284437682007142E-2</v>
      </c>
    </row>
    <row r="5439" spans="2:7" ht="11.25" hidden="1" customHeight="1" outlineLevel="2" x14ac:dyDescent="0.25">
      <c r="B5439" s="704" t="s">
        <v>690</v>
      </c>
      <c r="C5439" s="704" t="s">
        <v>706</v>
      </c>
      <c r="D5439" s="704" t="s">
        <v>44</v>
      </c>
      <c r="E5439" s="704" t="s">
        <v>676</v>
      </c>
      <c r="F5439" s="705">
        <v>5.974461337778761E-4</v>
      </c>
      <c r="G5439" s="705">
        <v>6.2626053433086377E-3</v>
      </c>
    </row>
    <row r="5440" spans="2:7" ht="11.25" hidden="1" customHeight="1" outlineLevel="2" x14ac:dyDescent="0.25">
      <c r="B5440" s="704" t="s">
        <v>691</v>
      </c>
      <c r="C5440" s="704" t="s">
        <v>706</v>
      </c>
      <c r="D5440" s="704" t="s">
        <v>44</v>
      </c>
      <c r="E5440" s="704" t="s">
        <v>676</v>
      </c>
      <c r="F5440" s="705">
        <v>2.3358868129536717E-4</v>
      </c>
      <c r="G5440" s="705">
        <v>2.448542456148312E-3</v>
      </c>
    </row>
    <row r="5441" spans="2:7" ht="11.25" hidden="1" customHeight="1" outlineLevel="2" x14ac:dyDescent="0.25">
      <c r="B5441" s="704" t="s">
        <v>692</v>
      </c>
      <c r="C5441" s="704" t="s">
        <v>706</v>
      </c>
      <c r="D5441" s="704" t="s">
        <v>44</v>
      </c>
      <c r="E5441" s="704" t="s">
        <v>676</v>
      </c>
      <c r="F5441" s="705">
        <v>1.6838655096871808E-3</v>
      </c>
      <c r="G5441" s="705">
        <v>1.7650753244989902E-2</v>
      </c>
    </row>
    <row r="5442" spans="2:7" ht="11.25" hidden="1" customHeight="1" outlineLevel="2" x14ac:dyDescent="0.25">
      <c r="B5442" s="704" t="s">
        <v>693</v>
      </c>
      <c r="C5442" s="704" t="s">
        <v>706</v>
      </c>
      <c r="D5442" s="704" t="s">
        <v>44</v>
      </c>
      <c r="E5442" s="704" t="s">
        <v>676</v>
      </c>
      <c r="F5442" s="705">
        <v>4.6179308262847318E-4</v>
      </c>
      <c r="G5442" s="705">
        <v>4.8406461299982098E-3</v>
      </c>
    </row>
    <row r="5443" spans="2:7" ht="11.25" hidden="1" customHeight="1" outlineLevel="2" x14ac:dyDescent="0.25">
      <c r="B5443" s="704" t="s">
        <v>694</v>
      </c>
      <c r="C5443" s="704" t="s">
        <v>706</v>
      </c>
      <c r="D5443" s="704" t="s">
        <v>44</v>
      </c>
      <c r="E5443" s="704" t="s">
        <v>676</v>
      </c>
      <c r="F5443" s="705">
        <v>4.1622898023167804E-4</v>
      </c>
      <c r="G5443" s="705">
        <v>4.3630306474377878E-3</v>
      </c>
    </row>
    <row r="5444" spans="2:7" ht="11.25" hidden="1" customHeight="1" outlineLevel="2" x14ac:dyDescent="0.25">
      <c r="B5444" s="704" t="s">
        <v>695</v>
      </c>
      <c r="C5444" s="704" t="s">
        <v>706</v>
      </c>
      <c r="D5444" s="704" t="s">
        <v>44</v>
      </c>
      <c r="E5444" s="704" t="s">
        <v>676</v>
      </c>
      <c r="F5444" s="705">
        <v>1.0852692042733196E-3</v>
      </c>
      <c r="G5444" s="705">
        <v>1.1376103977405802E-2</v>
      </c>
    </row>
    <row r="5445" spans="2:7" ht="11.25" hidden="1" customHeight="1" outlineLevel="2" x14ac:dyDescent="0.25">
      <c r="B5445" s="704" t="s">
        <v>696</v>
      </c>
      <c r="C5445" s="704" t="s">
        <v>706</v>
      </c>
      <c r="D5445" s="704" t="s">
        <v>44</v>
      </c>
      <c r="E5445" s="704" t="s">
        <v>676</v>
      </c>
      <c r="F5445" s="705">
        <v>9.9179742514262292E-4</v>
      </c>
      <c r="G5445" s="705">
        <v>1.039631237114472E-2</v>
      </c>
    </row>
    <row r="5446" spans="2:7" ht="11.25" hidden="1" customHeight="1" outlineLevel="2" x14ac:dyDescent="0.25">
      <c r="B5446" s="704" t="s">
        <v>697</v>
      </c>
      <c r="C5446" s="704" t="s">
        <v>706</v>
      </c>
      <c r="D5446" s="704" t="s">
        <v>44</v>
      </c>
      <c r="E5446" s="704" t="s">
        <v>676</v>
      </c>
      <c r="F5446" s="705">
        <v>7.6182226558378576E-4</v>
      </c>
      <c r="G5446" s="705">
        <v>7.9856339589474065E-3</v>
      </c>
    </row>
    <row r="5447" spans="2:7" ht="11.25" hidden="1" customHeight="1" outlineLevel="2" x14ac:dyDescent="0.25">
      <c r="B5447" s="704" t="s">
        <v>698</v>
      </c>
      <c r="C5447" s="704" t="s">
        <v>706</v>
      </c>
      <c r="D5447" s="704" t="s">
        <v>44</v>
      </c>
      <c r="E5447" s="704" t="s">
        <v>676</v>
      </c>
      <c r="F5447" s="705">
        <v>1.1581897293172774E-3</v>
      </c>
      <c r="G5447" s="705">
        <v>1.2140467766144313E-2</v>
      </c>
    </row>
    <row r="5448" spans="2:7" ht="11.25" hidden="1" customHeight="1" outlineLevel="2" x14ac:dyDescent="0.25">
      <c r="B5448" s="704" t="s">
        <v>699</v>
      </c>
      <c r="C5448" s="704" t="s">
        <v>706</v>
      </c>
      <c r="D5448" s="704" t="s">
        <v>44</v>
      </c>
      <c r="E5448" s="704" t="s">
        <v>676</v>
      </c>
      <c r="F5448" s="705">
        <v>2.6369596790981116E-35</v>
      </c>
      <c r="G5448" s="705">
        <v>2.7641370213079294E-34</v>
      </c>
    </row>
    <row r="5449" spans="2:7" ht="11.25" hidden="1" customHeight="1" outlineLevel="2" x14ac:dyDescent="0.25">
      <c r="B5449" s="704" t="s">
        <v>673</v>
      </c>
      <c r="C5449" s="704" t="s">
        <v>901</v>
      </c>
      <c r="D5449" s="704" t="s">
        <v>44</v>
      </c>
      <c r="E5449" s="704" t="s">
        <v>861</v>
      </c>
      <c r="F5449" s="708"/>
      <c r="G5449" s="705">
        <v>3.3456514020855851E-2</v>
      </c>
    </row>
    <row r="5450" spans="2:7" ht="11.25" hidden="1" customHeight="1" outlineLevel="2" x14ac:dyDescent="0.25">
      <c r="B5450" s="704" t="s">
        <v>677</v>
      </c>
      <c r="C5450" s="704" t="s">
        <v>901</v>
      </c>
      <c r="D5450" s="704" t="s">
        <v>44</v>
      </c>
      <c r="E5450" s="704" t="s">
        <v>861</v>
      </c>
      <c r="F5450" s="705">
        <v>5.5708340968698725E-6</v>
      </c>
      <c r="G5450" s="705">
        <v>6.219018949945785E-2</v>
      </c>
    </row>
    <row r="5451" spans="2:7" ht="11.25" hidden="1" customHeight="1" outlineLevel="2" x14ac:dyDescent="0.25">
      <c r="B5451" s="704" t="s">
        <v>678</v>
      </c>
      <c r="C5451" s="704" t="s">
        <v>901</v>
      </c>
      <c r="D5451" s="704" t="s">
        <v>44</v>
      </c>
      <c r="E5451" s="704" t="s">
        <v>861</v>
      </c>
      <c r="F5451" s="708"/>
      <c r="G5451" s="705">
        <v>0.12722594928147507</v>
      </c>
    </row>
    <row r="5452" spans="2:7" ht="11.25" hidden="1" customHeight="1" outlineLevel="2" x14ac:dyDescent="0.25">
      <c r="B5452" s="704" t="s">
        <v>679</v>
      </c>
      <c r="C5452" s="704" t="s">
        <v>901</v>
      </c>
      <c r="D5452" s="704" t="s">
        <v>44</v>
      </c>
      <c r="E5452" s="704" t="s">
        <v>861</v>
      </c>
      <c r="F5452" s="708"/>
      <c r="G5452" s="705">
        <v>4.4769528637189838E-2</v>
      </c>
    </row>
    <row r="5453" spans="2:7" ht="11.25" hidden="1" customHeight="1" outlineLevel="2" x14ac:dyDescent="0.25">
      <c r="B5453" s="704" t="s">
        <v>680</v>
      </c>
      <c r="C5453" s="704" t="s">
        <v>901</v>
      </c>
      <c r="D5453" s="704" t="s">
        <v>44</v>
      </c>
      <c r="E5453" s="704" t="s">
        <v>861</v>
      </c>
      <c r="F5453" s="708"/>
      <c r="G5453" s="705">
        <v>0.29141500293023287</v>
      </c>
    </row>
    <row r="5454" spans="2:7" ht="11.25" hidden="1" customHeight="1" outlineLevel="2" x14ac:dyDescent="0.25">
      <c r="B5454" s="704" t="s">
        <v>681</v>
      </c>
      <c r="C5454" s="704" t="s">
        <v>901</v>
      </c>
      <c r="D5454" s="704" t="s">
        <v>44</v>
      </c>
      <c r="E5454" s="704" t="s">
        <v>861</v>
      </c>
      <c r="F5454" s="708"/>
      <c r="G5454" s="705">
        <v>0.32980601949692007</v>
      </c>
    </row>
    <row r="5455" spans="2:7" ht="11.25" hidden="1" customHeight="1" outlineLevel="2" x14ac:dyDescent="0.25">
      <c r="B5455" s="704" t="s">
        <v>682</v>
      </c>
      <c r="C5455" s="704" t="s">
        <v>901</v>
      </c>
      <c r="D5455" s="704" t="s">
        <v>44</v>
      </c>
      <c r="E5455" s="704" t="s">
        <v>861</v>
      </c>
      <c r="F5455" s="708"/>
      <c r="G5455" s="705">
        <v>0.16037511920716455</v>
      </c>
    </row>
    <row r="5456" spans="2:7" ht="11.25" hidden="1" customHeight="1" outlineLevel="2" x14ac:dyDescent="0.25">
      <c r="B5456" s="704" t="s">
        <v>683</v>
      </c>
      <c r="C5456" s="704" t="s">
        <v>901</v>
      </c>
      <c r="D5456" s="704" t="s">
        <v>44</v>
      </c>
      <c r="E5456" s="704" t="s">
        <v>861</v>
      </c>
      <c r="F5456" s="708"/>
      <c r="G5456" s="705">
        <v>7.5387068535670496E-2</v>
      </c>
    </row>
    <row r="5457" spans="2:7" ht="11.25" hidden="1" customHeight="1" outlineLevel="2" x14ac:dyDescent="0.25">
      <c r="B5457" s="704" t="s">
        <v>684</v>
      </c>
      <c r="C5457" s="704" t="s">
        <v>901</v>
      </c>
      <c r="D5457" s="704" t="s">
        <v>44</v>
      </c>
      <c r="E5457" s="704" t="s">
        <v>861</v>
      </c>
      <c r="F5457" s="708"/>
      <c r="G5457" s="705">
        <v>0.26298216247193229</v>
      </c>
    </row>
    <row r="5458" spans="2:7" ht="11.25" hidden="1" customHeight="1" outlineLevel="2" x14ac:dyDescent="0.25">
      <c r="B5458" s="704" t="s">
        <v>685</v>
      </c>
      <c r="C5458" s="704" t="s">
        <v>901</v>
      </c>
      <c r="D5458" s="704" t="s">
        <v>44</v>
      </c>
      <c r="E5458" s="704" t="s">
        <v>861</v>
      </c>
      <c r="F5458" s="708"/>
      <c r="G5458" s="705">
        <v>0.40126335285226877</v>
      </c>
    </row>
    <row r="5459" spans="2:7" ht="11.25" hidden="1" customHeight="1" outlineLevel="2" x14ac:dyDescent="0.25">
      <c r="B5459" s="704" t="s">
        <v>686</v>
      </c>
      <c r="C5459" s="704" t="s">
        <v>901</v>
      </c>
      <c r="D5459" s="704" t="s">
        <v>44</v>
      </c>
      <c r="E5459" s="704" t="s">
        <v>861</v>
      </c>
      <c r="F5459" s="708"/>
      <c r="G5459" s="705">
        <v>0.12273453443120345</v>
      </c>
    </row>
    <row r="5460" spans="2:7" ht="11.25" hidden="1" customHeight="1" outlineLevel="2" x14ac:dyDescent="0.25">
      <c r="B5460" s="704" t="s">
        <v>687</v>
      </c>
      <c r="C5460" s="704" t="s">
        <v>901</v>
      </c>
      <c r="D5460" s="704" t="s">
        <v>44</v>
      </c>
      <c r="E5460" s="704" t="s">
        <v>861</v>
      </c>
      <c r="F5460" s="708"/>
      <c r="G5460" s="705">
        <v>0.1502354616987146</v>
      </c>
    </row>
    <row r="5461" spans="2:7" ht="11.25" hidden="1" customHeight="1" outlineLevel="2" x14ac:dyDescent="0.25">
      <c r="B5461" s="704" t="s">
        <v>688</v>
      </c>
      <c r="C5461" s="704" t="s">
        <v>901</v>
      </c>
      <c r="D5461" s="704" t="s">
        <v>44</v>
      </c>
      <c r="E5461" s="704" t="s">
        <v>861</v>
      </c>
      <c r="F5461" s="708"/>
      <c r="G5461" s="705">
        <v>6.8152440307595152E-2</v>
      </c>
    </row>
    <row r="5462" spans="2:7" ht="11.25" hidden="1" customHeight="1" outlineLevel="2" x14ac:dyDescent="0.25">
      <c r="B5462" s="704" t="s">
        <v>689</v>
      </c>
      <c r="C5462" s="704" t="s">
        <v>901</v>
      </c>
      <c r="D5462" s="704" t="s">
        <v>44</v>
      </c>
      <c r="E5462" s="704" t="s">
        <v>861</v>
      </c>
      <c r="F5462" s="708"/>
      <c r="G5462" s="705">
        <v>0.33290352753736768</v>
      </c>
    </row>
    <row r="5463" spans="2:7" ht="11.25" hidden="1" customHeight="1" outlineLevel="2" x14ac:dyDescent="0.25">
      <c r="B5463" s="704" t="s">
        <v>690</v>
      </c>
      <c r="C5463" s="704" t="s">
        <v>901</v>
      </c>
      <c r="D5463" s="704" t="s">
        <v>44</v>
      </c>
      <c r="E5463" s="704" t="s">
        <v>861</v>
      </c>
      <c r="F5463" s="708"/>
      <c r="G5463" s="705">
        <v>0.14595212361279411</v>
      </c>
    </row>
    <row r="5464" spans="2:7" ht="11.25" hidden="1" customHeight="1" outlineLevel="2" x14ac:dyDescent="0.25">
      <c r="B5464" s="704" t="s">
        <v>691</v>
      </c>
      <c r="C5464" s="704" t="s">
        <v>901</v>
      </c>
      <c r="D5464" s="704" t="s">
        <v>44</v>
      </c>
      <c r="E5464" s="704" t="s">
        <v>861</v>
      </c>
      <c r="F5464" s="708"/>
      <c r="G5464" s="705">
        <v>5.7064151977385943E-2</v>
      </c>
    </row>
    <row r="5465" spans="2:7" ht="11.25" hidden="1" customHeight="1" outlineLevel="2" x14ac:dyDescent="0.25">
      <c r="B5465" s="704" t="s">
        <v>692</v>
      </c>
      <c r="C5465" s="704" t="s">
        <v>901</v>
      </c>
      <c r="D5465" s="704" t="s">
        <v>44</v>
      </c>
      <c r="E5465" s="704" t="s">
        <v>861</v>
      </c>
      <c r="F5465" s="708"/>
      <c r="G5465" s="705">
        <v>0.41135675082889311</v>
      </c>
    </row>
    <row r="5466" spans="2:7" ht="11.25" hidden="1" customHeight="1" outlineLevel="2" x14ac:dyDescent="0.25">
      <c r="B5466" s="704" t="s">
        <v>693</v>
      </c>
      <c r="C5466" s="704" t="s">
        <v>901</v>
      </c>
      <c r="D5466" s="704" t="s">
        <v>44</v>
      </c>
      <c r="E5466" s="704" t="s">
        <v>861</v>
      </c>
      <c r="F5466" s="708"/>
      <c r="G5466" s="705">
        <v>0.11281288140024114</v>
      </c>
    </row>
    <row r="5467" spans="2:7" ht="11.25" hidden="1" customHeight="1" outlineLevel="2" x14ac:dyDescent="0.25">
      <c r="B5467" s="704" t="s">
        <v>694</v>
      </c>
      <c r="C5467" s="704" t="s">
        <v>901</v>
      </c>
      <c r="D5467" s="704" t="s">
        <v>44</v>
      </c>
      <c r="E5467" s="704" t="s">
        <v>861</v>
      </c>
      <c r="F5467" s="708"/>
      <c r="G5467" s="705">
        <v>0.10168193029243625</v>
      </c>
    </row>
    <row r="5468" spans="2:7" ht="11.25" hidden="1" customHeight="1" outlineLevel="2" x14ac:dyDescent="0.25">
      <c r="B5468" s="704" t="s">
        <v>695</v>
      </c>
      <c r="C5468" s="704" t="s">
        <v>901</v>
      </c>
      <c r="D5468" s="704" t="s">
        <v>44</v>
      </c>
      <c r="E5468" s="704" t="s">
        <v>861</v>
      </c>
      <c r="F5468" s="708"/>
      <c r="G5468" s="705">
        <v>0.26512378526951963</v>
      </c>
    </row>
    <row r="5469" spans="2:7" ht="11.25" hidden="1" customHeight="1" outlineLevel="2" x14ac:dyDescent="0.25">
      <c r="B5469" s="704" t="s">
        <v>696</v>
      </c>
      <c r="C5469" s="704" t="s">
        <v>901</v>
      </c>
      <c r="D5469" s="704" t="s">
        <v>44</v>
      </c>
      <c r="E5469" s="704" t="s">
        <v>861</v>
      </c>
      <c r="F5469" s="708"/>
      <c r="G5469" s="705">
        <v>0.24228956248418743</v>
      </c>
    </row>
    <row r="5470" spans="2:7" ht="11.25" hidden="1" customHeight="1" outlineLevel="2" x14ac:dyDescent="0.25">
      <c r="B5470" s="704" t="s">
        <v>697</v>
      </c>
      <c r="C5470" s="704" t="s">
        <v>901</v>
      </c>
      <c r="D5470" s="704" t="s">
        <v>44</v>
      </c>
      <c r="E5470" s="704" t="s">
        <v>861</v>
      </c>
      <c r="F5470" s="708"/>
      <c r="G5470" s="705">
        <v>0.18610777644276197</v>
      </c>
    </row>
    <row r="5471" spans="2:7" ht="11.25" hidden="1" customHeight="1" outlineLevel="2" x14ac:dyDescent="0.25">
      <c r="B5471" s="704" t="s">
        <v>698</v>
      </c>
      <c r="C5471" s="704" t="s">
        <v>901</v>
      </c>
      <c r="D5471" s="704" t="s">
        <v>44</v>
      </c>
      <c r="E5471" s="704" t="s">
        <v>861</v>
      </c>
      <c r="F5471" s="708"/>
      <c r="G5471" s="705">
        <v>0.28293770298027537</v>
      </c>
    </row>
    <row r="5472" spans="2:7" ht="11.25" hidden="1" customHeight="1" outlineLevel="2" x14ac:dyDescent="0.25">
      <c r="B5472" s="704" t="s">
        <v>699</v>
      </c>
      <c r="C5472" s="704" t="s">
        <v>901</v>
      </c>
      <c r="D5472" s="704" t="s">
        <v>44</v>
      </c>
      <c r="E5472" s="704" t="s">
        <v>861</v>
      </c>
      <c r="F5472" s="708"/>
      <c r="G5472" s="705">
        <v>5.4461997501739343E-36</v>
      </c>
    </row>
    <row r="5473" spans="2:7" ht="11.25" hidden="1" customHeight="1" outlineLevel="2" x14ac:dyDescent="0.25">
      <c r="B5473" s="704" t="s">
        <v>673</v>
      </c>
      <c r="C5473" s="704" t="s">
        <v>902</v>
      </c>
      <c r="D5473" s="704" t="s">
        <v>44</v>
      </c>
      <c r="E5473" s="704" t="s">
        <v>861</v>
      </c>
      <c r="F5473" s="708"/>
      <c r="G5473" s="705">
        <v>1446.4053030323942</v>
      </c>
    </row>
    <row r="5474" spans="2:7" ht="11.25" hidden="1" customHeight="1" outlineLevel="2" x14ac:dyDescent="0.25">
      <c r="B5474" s="704" t="s">
        <v>677</v>
      </c>
      <c r="C5474" s="704" t="s">
        <v>902</v>
      </c>
      <c r="D5474" s="704" t="s">
        <v>44</v>
      </c>
      <c r="E5474" s="704" t="s">
        <v>861</v>
      </c>
      <c r="F5474" s="705">
        <v>7.591361101367966E-2</v>
      </c>
      <c r="G5474" s="705">
        <v>2688.6305600069909</v>
      </c>
    </row>
    <row r="5475" spans="2:7" ht="11.25" hidden="1" customHeight="1" outlineLevel="2" x14ac:dyDescent="0.25">
      <c r="B5475" s="704" t="s">
        <v>678</v>
      </c>
      <c r="C5475" s="704" t="s">
        <v>902</v>
      </c>
      <c r="D5475" s="704" t="s">
        <v>44</v>
      </c>
      <c r="E5475" s="704" t="s">
        <v>861</v>
      </c>
      <c r="F5475" s="708"/>
      <c r="G5475" s="705">
        <v>5500.2828290000116</v>
      </c>
    </row>
    <row r="5476" spans="2:7" ht="11.25" hidden="1" customHeight="1" outlineLevel="2" x14ac:dyDescent="0.25">
      <c r="B5476" s="704" t="s">
        <v>679</v>
      </c>
      <c r="C5476" s="704" t="s">
        <v>902</v>
      </c>
      <c r="D5476" s="704" t="s">
        <v>44</v>
      </c>
      <c r="E5476" s="704" t="s">
        <v>861</v>
      </c>
      <c r="F5476" s="708"/>
      <c r="G5476" s="705">
        <v>1935.49386126543</v>
      </c>
    </row>
    <row r="5477" spans="2:7" ht="11.25" hidden="1" customHeight="1" outlineLevel="2" x14ac:dyDescent="0.25">
      <c r="B5477" s="704" t="s">
        <v>680</v>
      </c>
      <c r="C5477" s="704" t="s">
        <v>902</v>
      </c>
      <c r="D5477" s="704" t="s">
        <v>44</v>
      </c>
      <c r="E5477" s="704" t="s">
        <v>861</v>
      </c>
      <c r="F5477" s="708"/>
      <c r="G5477" s="705">
        <v>12598.570747964222</v>
      </c>
    </row>
    <row r="5478" spans="2:7" ht="11.25" hidden="1" customHeight="1" outlineLevel="2" x14ac:dyDescent="0.25">
      <c r="B5478" s="704" t="s">
        <v>681</v>
      </c>
      <c r="C5478" s="704" t="s">
        <v>902</v>
      </c>
      <c r="D5478" s="704" t="s">
        <v>44</v>
      </c>
      <c r="E5478" s="704" t="s">
        <v>861</v>
      </c>
      <c r="F5478" s="708"/>
      <c r="G5478" s="705">
        <v>14258.303681287831</v>
      </c>
    </row>
    <row r="5479" spans="2:7" ht="11.25" hidden="1" customHeight="1" outlineLevel="2" x14ac:dyDescent="0.25">
      <c r="B5479" s="704" t="s">
        <v>682</v>
      </c>
      <c r="C5479" s="704" t="s">
        <v>902</v>
      </c>
      <c r="D5479" s="704" t="s">
        <v>44</v>
      </c>
      <c r="E5479" s="704" t="s">
        <v>861</v>
      </c>
      <c r="F5479" s="708"/>
      <c r="G5479" s="705">
        <v>6933.4004184210798</v>
      </c>
    </row>
    <row r="5480" spans="2:7" ht="11.25" hidden="1" customHeight="1" outlineLevel="2" x14ac:dyDescent="0.25">
      <c r="B5480" s="704" t="s">
        <v>683</v>
      </c>
      <c r="C5480" s="704" t="s">
        <v>902</v>
      </c>
      <c r="D5480" s="704" t="s">
        <v>44</v>
      </c>
      <c r="E5480" s="704" t="s">
        <v>861</v>
      </c>
      <c r="F5480" s="708"/>
      <c r="G5480" s="705">
        <v>3259.1625763979682</v>
      </c>
    </row>
    <row r="5481" spans="2:7" ht="11.25" hidden="1" customHeight="1" outlineLevel="2" x14ac:dyDescent="0.25">
      <c r="B5481" s="704" t="s">
        <v>684</v>
      </c>
      <c r="C5481" s="704" t="s">
        <v>902</v>
      </c>
      <c r="D5481" s="704" t="s">
        <v>44</v>
      </c>
      <c r="E5481" s="704" t="s">
        <v>861</v>
      </c>
      <c r="F5481" s="708"/>
      <c r="G5481" s="705">
        <v>11369.348375419426</v>
      </c>
    </row>
    <row r="5482" spans="2:7" ht="11.25" hidden="1" customHeight="1" outlineLevel="2" x14ac:dyDescent="0.25">
      <c r="B5482" s="704" t="s">
        <v>685</v>
      </c>
      <c r="C5482" s="704" t="s">
        <v>902</v>
      </c>
      <c r="D5482" s="704" t="s">
        <v>44</v>
      </c>
      <c r="E5482" s="704" t="s">
        <v>861</v>
      </c>
      <c r="F5482" s="708"/>
      <c r="G5482" s="705">
        <v>17347.577280931982</v>
      </c>
    </row>
    <row r="5483" spans="2:7" ht="11.25" hidden="1" customHeight="1" outlineLevel="2" x14ac:dyDescent="0.25">
      <c r="B5483" s="704" t="s">
        <v>686</v>
      </c>
      <c r="C5483" s="704" t="s">
        <v>902</v>
      </c>
      <c r="D5483" s="704" t="s">
        <v>44</v>
      </c>
      <c r="E5483" s="704" t="s">
        <v>861</v>
      </c>
      <c r="F5483" s="708"/>
      <c r="G5483" s="705">
        <v>5306.1047393930148</v>
      </c>
    </row>
    <row r="5484" spans="2:7" ht="11.25" hidden="1" customHeight="1" outlineLevel="2" x14ac:dyDescent="0.25">
      <c r="B5484" s="704" t="s">
        <v>687</v>
      </c>
      <c r="C5484" s="704" t="s">
        <v>902</v>
      </c>
      <c r="D5484" s="704" t="s">
        <v>44</v>
      </c>
      <c r="E5484" s="704" t="s">
        <v>861</v>
      </c>
      <c r="F5484" s="708"/>
      <c r="G5484" s="705">
        <v>6495.0351823221745</v>
      </c>
    </row>
    <row r="5485" spans="2:7" ht="11.25" hidden="1" customHeight="1" outlineLevel="2" x14ac:dyDescent="0.25">
      <c r="B5485" s="704" t="s">
        <v>688</v>
      </c>
      <c r="C5485" s="704" t="s">
        <v>902</v>
      </c>
      <c r="D5485" s="704" t="s">
        <v>44</v>
      </c>
      <c r="E5485" s="704" t="s">
        <v>861</v>
      </c>
      <c r="F5485" s="708"/>
      <c r="G5485" s="705">
        <v>2946.3912625322996</v>
      </c>
    </row>
    <row r="5486" spans="2:7" ht="11.25" hidden="1" customHeight="1" outlineLevel="2" x14ac:dyDescent="0.25">
      <c r="B5486" s="704" t="s">
        <v>689</v>
      </c>
      <c r="C5486" s="704" t="s">
        <v>902</v>
      </c>
      <c r="D5486" s="704" t="s">
        <v>44</v>
      </c>
      <c r="E5486" s="704" t="s">
        <v>861</v>
      </c>
      <c r="F5486" s="708"/>
      <c r="G5486" s="705">
        <v>14392.211294073415</v>
      </c>
    </row>
    <row r="5487" spans="2:7" ht="11.25" hidden="1" customHeight="1" outlineLevel="2" x14ac:dyDescent="0.25">
      <c r="B5487" s="704" t="s">
        <v>690</v>
      </c>
      <c r="C5487" s="704" t="s">
        <v>902</v>
      </c>
      <c r="D5487" s="704" t="s">
        <v>44</v>
      </c>
      <c r="E5487" s="704" t="s">
        <v>861</v>
      </c>
      <c r="F5487" s="708"/>
      <c r="G5487" s="705">
        <v>6309.8596357959514</v>
      </c>
    </row>
    <row r="5488" spans="2:7" ht="11.25" hidden="1" customHeight="1" outlineLevel="2" x14ac:dyDescent="0.25">
      <c r="B5488" s="704" t="s">
        <v>691</v>
      </c>
      <c r="C5488" s="704" t="s">
        <v>902</v>
      </c>
      <c r="D5488" s="704" t="s">
        <v>44</v>
      </c>
      <c r="E5488" s="704" t="s">
        <v>861</v>
      </c>
      <c r="F5488" s="708"/>
      <c r="G5488" s="705">
        <v>2467.0189766709268</v>
      </c>
    </row>
    <row r="5489" spans="2:7" ht="11.25" hidden="1" customHeight="1" outlineLevel="2" x14ac:dyDescent="0.25">
      <c r="B5489" s="704" t="s">
        <v>692</v>
      </c>
      <c r="C5489" s="704" t="s">
        <v>902</v>
      </c>
      <c r="D5489" s="704" t="s">
        <v>44</v>
      </c>
      <c r="E5489" s="704" t="s">
        <v>861</v>
      </c>
      <c r="F5489" s="708"/>
      <c r="G5489" s="705">
        <v>17783.940385431873</v>
      </c>
    </row>
    <row r="5490" spans="2:7" ht="11.25" hidden="1" customHeight="1" outlineLevel="2" x14ac:dyDescent="0.25">
      <c r="B5490" s="704" t="s">
        <v>693</v>
      </c>
      <c r="C5490" s="704" t="s">
        <v>902</v>
      </c>
      <c r="D5490" s="704" t="s">
        <v>44</v>
      </c>
      <c r="E5490" s="704" t="s">
        <v>861</v>
      </c>
      <c r="F5490" s="708"/>
      <c r="G5490" s="705">
        <v>4877.1704471672283</v>
      </c>
    </row>
    <row r="5491" spans="2:7" ht="11.25" hidden="1" customHeight="1" outlineLevel="2" x14ac:dyDescent="0.25">
      <c r="B5491" s="704" t="s">
        <v>694</v>
      </c>
      <c r="C5491" s="704" t="s">
        <v>902</v>
      </c>
      <c r="D5491" s="704" t="s">
        <v>44</v>
      </c>
      <c r="E5491" s="704" t="s">
        <v>861</v>
      </c>
      <c r="F5491" s="708"/>
      <c r="G5491" s="705">
        <v>4395.9540108853525</v>
      </c>
    </row>
    <row r="5492" spans="2:7" ht="11.25" hidden="1" customHeight="1" outlineLevel="2" x14ac:dyDescent="0.25">
      <c r="B5492" s="704" t="s">
        <v>695</v>
      </c>
      <c r="C5492" s="704" t="s">
        <v>902</v>
      </c>
      <c r="D5492" s="704" t="s">
        <v>44</v>
      </c>
      <c r="E5492" s="704" t="s">
        <v>861</v>
      </c>
      <c r="F5492" s="708"/>
      <c r="G5492" s="705">
        <v>11461.935152314667</v>
      </c>
    </row>
    <row r="5493" spans="2:7" ht="11.25" hidden="1" customHeight="1" outlineLevel="2" x14ac:dyDescent="0.25">
      <c r="B5493" s="704" t="s">
        <v>696</v>
      </c>
      <c r="C5493" s="704" t="s">
        <v>902</v>
      </c>
      <c r="D5493" s="704" t="s">
        <v>44</v>
      </c>
      <c r="E5493" s="704" t="s">
        <v>861</v>
      </c>
      <c r="F5493" s="708"/>
      <c r="G5493" s="705">
        <v>10474.754908187642</v>
      </c>
    </row>
    <row r="5494" spans="2:7" ht="11.25" hidden="1" customHeight="1" outlineLevel="2" x14ac:dyDescent="0.25">
      <c r="B5494" s="704" t="s">
        <v>697</v>
      </c>
      <c r="C5494" s="704" t="s">
        <v>902</v>
      </c>
      <c r="D5494" s="704" t="s">
        <v>44</v>
      </c>
      <c r="E5494" s="704" t="s">
        <v>861</v>
      </c>
      <c r="F5494" s="708"/>
      <c r="G5494" s="705">
        <v>8045.8875259068309</v>
      </c>
    </row>
    <row r="5495" spans="2:7" ht="11.25" hidden="1" customHeight="1" outlineLevel="2" x14ac:dyDescent="0.25">
      <c r="B5495" s="704" t="s">
        <v>698</v>
      </c>
      <c r="C5495" s="704" t="s">
        <v>902</v>
      </c>
      <c r="D5495" s="704" t="s">
        <v>44</v>
      </c>
      <c r="E5495" s="704" t="s">
        <v>861</v>
      </c>
      <c r="F5495" s="708"/>
      <c r="G5495" s="705">
        <v>12232.077089572012</v>
      </c>
    </row>
    <row r="5496" spans="2:7" ht="11.25" hidden="1" customHeight="1" outlineLevel="2" x14ac:dyDescent="0.25">
      <c r="B5496" s="704" t="s">
        <v>699</v>
      </c>
      <c r="C5496" s="704" t="s">
        <v>902</v>
      </c>
      <c r="D5496" s="704" t="s">
        <v>44</v>
      </c>
      <c r="E5496" s="704" t="s">
        <v>861</v>
      </c>
      <c r="F5496" s="708"/>
      <c r="G5496" s="705">
        <v>4.8596835975054899E-28</v>
      </c>
    </row>
    <row r="5497" spans="2:7" ht="11.25" hidden="1" customHeight="1" outlineLevel="2" x14ac:dyDescent="0.25">
      <c r="B5497" s="704" t="s">
        <v>673</v>
      </c>
      <c r="C5497" s="704" t="s">
        <v>903</v>
      </c>
      <c r="D5497" s="704" t="s">
        <v>44</v>
      </c>
      <c r="E5497" s="704" t="s">
        <v>861</v>
      </c>
      <c r="F5497" s="708"/>
      <c r="G5497" s="705">
        <v>129.78666739986681</v>
      </c>
    </row>
    <row r="5498" spans="2:7" ht="11.25" hidden="1" customHeight="1" outlineLevel="2" x14ac:dyDescent="0.25">
      <c r="B5498" s="704" t="s">
        <v>677</v>
      </c>
      <c r="C5498" s="704" t="s">
        <v>903</v>
      </c>
      <c r="D5498" s="704" t="s">
        <v>44</v>
      </c>
      <c r="E5498" s="704" t="s">
        <v>861</v>
      </c>
      <c r="F5498" s="705">
        <v>5.7095484283100715E-3</v>
      </c>
      <c r="G5498" s="705">
        <v>241.25228628463543</v>
      </c>
    </row>
    <row r="5499" spans="2:7" ht="11.25" hidden="1" customHeight="1" outlineLevel="2" x14ac:dyDescent="0.25">
      <c r="B5499" s="704" t="s">
        <v>678</v>
      </c>
      <c r="C5499" s="704" t="s">
        <v>903</v>
      </c>
      <c r="D5499" s="704" t="s">
        <v>44</v>
      </c>
      <c r="E5499" s="704" t="s">
        <v>861</v>
      </c>
      <c r="F5499" s="708"/>
      <c r="G5499" s="705">
        <v>493.54329037037172</v>
      </c>
    </row>
    <row r="5500" spans="2:7" ht="11.25" hidden="1" customHeight="1" outlineLevel="2" x14ac:dyDescent="0.25">
      <c r="B5500" s="704" t="s">
        <v>679</v>
      </c>
      <c r="C5500" s="704" t="s">
        <v>903</v>
      </c>
      <c r="D5500" s="704" t="s">
        <v>44</v>
      </c>
      <c r="E5500" s="704" t="s">
        <v>861</v>
      </c>
      <c r="F5500" s="708"/>
      <c r="G5500" s="705">
        <v>173.67289391436199</v>
      </c>
    </row>
    <row r="5501" spans="2:7" ht="11.25" hidden="1" customHeight="1" outlineLevel="2" x14ac:dyDescent="0.25">
      <c r="B5501" s="704" t="s">
        <v>680</v>
      </c>
      <c r="C5501" s="704" t="s">
        <v>903</v>
      </c>
      <c r="D5501" s="704" t="s">
        <v>44</v>
      </c>
      <c r="E5501" s="704" t="s">
        <v>861</v>
      </c>
      <c r="F5501" s="708"/>
      <c r="G5501" s="705">
        <v>1130.4763311048457</v>
      </c>
    </row>
    <row r="5502" spans="2:7" ht="11.25" hidden="1" customHeight="1" outlineLevel="2" x14ac:dyDescent="0.25">
      <c r="B5502" s="704" t="s">
        <v>681</v>
      </c>
      <c r="C5502" s="704" t="s">
        <v>903</v>
      </c>
      <c r="D5502" s="704" t="s">
        <v>44</v>
      </c>
      <c r="E5502" s="704" t="s">
        <v>861</v>
      </c>
      <c r="F5502" s="708"/>
      <c r="G5502" s="705">
        <v>1279.4047710411257</v>
      </c>
    </row>
    <row r="5503" spans="2:7" ht="11.25" hidden="1" customHeight="1" outlineLevel="2" x14ac:dyDescent="0.25">
      <c r="B5503" s="704" t="s">
        <v>682</v>
      </c>
      <c r="C5503" s="704" t="s">
        <v>903</v>
      </c>
      <c r="D5503" s="704" t="s">
        <v>44</v>
      </c>
      <c r="E5503" s="704" t="s">
        <v>861</v>
      </c>
      <c r="F5503" s="708"/>
      <c r="G5503" s="705">
        <v>622.13768561217785</v>
      </c>
    </row>
    <row r="5504" spans="2:7" ht="11.25" hidden="1" customHeight="1" outlineLevel="2" x14ac:dyDescent="0.25">
      <c r="B5504" s="704" t="s">
        <v>683</v>
      </c>
      <c r="C5504" s="704" t="s">
        <v>903</v>
      </c>
      <c r="D5504" s="704" t="s">
        <v>44</v>
      </c>
      <c r="E5504" s="704" t="s">
        <v>861</v>
      </c>
      <c r="F5504" s="708"/>
      <c r="G5504" s="705">
        <v>292.44630708957425</v>
      </c>
    </row>
    <row r="5505" spans="2:7" ht="11.25" hidden="1" customHeight="1" outlineLevel="2" x14ac:dyDescent="0.25">
      <c r="B5505" s="704" t="s">
        <v>684</v>
      </c>
      <c r="C5505" s="704" t="s">
        <v>903</v>
      </c>
      <c r="D5505" s="704" t="s">
        <v>44</v>
      </c>
      <c r="E5505" s="704" t="s">
        <v>861</v>
      </c>
      <c r="F5505" s="708"/>
      <c r="G5505" s="705">
        <v>1020.1775000577402</v>
      </c>
    </row>
    <row r="5506" spans="2:7" ht="11.25" hidden="1" customHeight="1" outlineLevel="2" x14ac:dyDescent="0.25">
      <c r="B5506" s="704" t="s">
        <v>685</v>
      </c>
      <c r="C5506" s="704" t="s">
        <v>903</v>
      </c>
      <c r="D5506" s="704" t="s">
        <v>44</v>
      </c>
      <c r="E5506" s="704" t="s">
        <v>861</v>
      </c>
      <c r="F5506" s="708"/>
      <c r="G5506" s="705">
        <v>1556.6072194200224</v>
      </c>
    </row>
    <row r="5507" spans="2:7" ht="11.25" hidden="1" customHeight="1" outlineLevel="2" x14ac:dyDescent="0.25">
      <c r="B5507" s="704" t="s">
        <v>686</v>
      </c>
      <c r="C5507" s="704" t="s">
        <v>903</v>
      </c>
      <c r="D5507" s="704" t="s">
        <v>44</v>
      </c>
      <c r="E5507" s="704" t="s">
        <v>861</v>
      </c>
      <c r="F5507" s="708"/>
      <c r="G5507" s="705">
        <v>476.11956555469538</v>
      </c>
    </row>
    <row r="5508" spans="2:7" ht="11.25" hidden="1" customHeight="1" outlineLevel="2" x14ac:dyDescent="0.25">
      <c r="B5508" s="704" t="s">
        <v>687</v>
      </c>
      <c r="C5508" s="704" t="s">
        <v>903</v>
      </c>
      <c r="D5508" s="704" t="s">
        <v>44</v>
      </c>
      <c r="E5508" s="704" t="s">
        <v>861</v>
      </c>
      <c r="F5508" s="708"/>
      <c r="G5508" s="705">
        <v>582.80278300850466</v>
      </c>
    </row>
    <row r="5509" spans="2:7" ht="11.25" hidden="1" customHeight="1" outlineLevel="2" x14ac:dyDescent="0.25">
      <c r="B5509" s="704" t="s">
        <v>688</v>
      </c>
      <c r="C5509" s="704" t="s">
        <v>903</v>
      </c>
      <c r="D5509" s="704" t="s">
        <v>44</v>
      </c>
      <c r="E5509" s="704" t="s">
        <v>861</v>
      </c>
      <c r="F5509" s="708"/>
      <c r="G5509" s="705">
        <v>264.38133759925324</v>
      </c>
    </row>
    <row r="5510" spans="2:7" ht="11.25" hidden="1" customHeight="1" outlineLevel="2" x14ac:dyDescent="0.25">
      <c r="B5510" s="704" t="s">
        <v>689</v>
      </c>
      <c r="C5510" s="704" t="s">
        <v>903</v>
      </c>
      <c r="D5510" s="704" t="s">
        <v>44</v>
      </c>
      <c r="E5510" s="704" t="s">
        <v>861</v>
      </c>
      <c r="F5510" s="708"/>
      <c r="G5510" s="705">
        <v>1291.420332457722</v>
      </c>
    </row>
    <row r="5511" spans="2:7" ht="11.25" hidden="1" customHeight="1" outlineLevel="2" x14ac:dyDescent="0.25">
      <c r="B5511" s="704" t="s">
        <v>690</v>
      </c>
      <c r="C5511" s="704" t="s">
        <v>903</v>
      </c>
      <c r="D5511" s="704" t="s">
        <v>44</v>
      </c>
      <c r="E5511" s="704" t="s">
        <v>861</v>
      </c>
      <c r="F5511" s="708"/>
      <c r="G5511" s="705">
        <v>566.18701526424775</v>
      </c>
    </row>
    <row r="5512" spans="2:7" ht="11.25" hidden="1" customHeight="1" outlineLevel="2" x14ac:dyDescent="0.25">
      <c r="B5512" s="704" t="s">
        <v>691</v>
      </c>
      <c r="C5512" s="704" t="s">
        <v>903</v>
      </c>
      <c r="D5512" s="704" t="s">
        <v>44</v>
      </c>
      <c r="E5512" s="704" t="s">
        <v>861</v>
      </c>
      <c r="F5512" s="708"/>
      <c r="G5512" s="705">
        <v>221.36696082244919</v>
      </c>
    </row>
    <row r="5513" spans="2:7" ht="11.25" hidden="1" customHeight="1" outlineLevel="2" x14ac:dyDescent="0.25">
      <c r="B5513" s="704" t="s">
        <v>692</v>
      </c>
      <c r="C5513" s="704" t="s">
        <v>903</v>
      </c>
      <c r="D5513" s="704" t="s">
        <v>44</v>
      </c>
      <c r="E5513" s="704" t="s">
        <v>861</v>
      </c>
      <c r="F5513" s="708"/>
      <c r="G5513" s="705">
        <v>1595.7621144784241</v>
      </c>
    </row>
    <row r="5514" spans="2:7" ht="11.25" hidden="1" customHeight="1" outlineLevel="2" x14ac:dyDescent="0.25">
      <c r="B5514" s="704" t="s">
        <v>693</v>
      </c>
      <c r="C5514" s="704" t="s">
        <v>903</v>
      </c>
      <c r="D5514" s="704" t="s">
        <v>44</v>
      </c>
      <c r="E5514" s="704" t="s">
        <v>861</v>
      </c>
      <c r="F5514" s="708"/>
      <c r="G5514" s="705">
        <v>437.63109751607777</v>
      </c>
    </row>
    <row r="5515" spans="2:7" ht="11.25" hidden="1" customHeight="1" outlineLevel="2" x14ac:dyDescent="0.25">
      <c r="B5515" s="704" t="s">
        <v>694</v>
      </c>
      <c r="C5515" s="704" t="s">
        <v>903</v>
      </c>
      <c r="D5515" s="704" t="s">
        <v>44</v>
      </c>
      <c r="E5515" s="704" t="s">
        <v>861</v>
      </c>
      <c r="F5515" s="708"/>
      <c r="G5515" s="705">
        <v>394.45118064923759</v>
      </c>
    </row>
    <row r="5516" spans="2:7" ht="11.25" hidden="1" customHeight="1" outlineLevel="2" x14ac:dyDescent="0.25">
      <c r="B5516" s="704" t="s">
        <v>695</v>
      </c>
      <c r="C5516" s="704" t="s">
        <v>903</v>
      </c>
      <c r="D5516" s="704" t="s">
        <v>44</v>
      </c>
      <c r="E5516" s="704" t="s">
        <v>861</v>
      </c>
      <c r="F5516" s="708"/>
      <c r="G5516" s="705">
        <v>1028.4853386226332</v>
      </c>
    </row>
    <row r="5517" spans="2:7" ht="11.25" hidden="1" customHeight="1" outlineLevel="2" x14ac:dyDescent="0.25">
      <c r="B5517" s="704" t="s">
        <v>696</v>
      </c>
      <c r="C5517" s="704" t="s">
        <v>903</v>
      </c>
      <c r="D5517" s="704" t="s">
        <v>44</v>
      </c>
      <c r="E5517" s="704" t="s">
        <v>861</v>
      </c>
      <c r="F5517" s="708"/>
      <c r="G5517" s="705">
        <v>939.90517367932432</v>
      </c>
    </row>
    <row r="5518" spans="2:7" ht="11.25" hidden="1" customHeight="1" outlineLevel="2" x14ac:dyDescent="0.25">
      <c r="B5518" s="704" t="s">
        <v>697</v>
      </c>
      <c r="C5518" s="704" t="s">
        <v>903</v>
      </c>
      <c r="D5518" s="704" t="s">
        <v>44</v>
      </c>
      <c r="E5518" s="704" t="s">
        <v>861</v>
      </c>
      <c r="F5518" s="708"/>
      <c r="G5518" s="705">
        <v>721.96167891038374</v>
      </c>
    </row>
    <row r="5519" spans="2:7" ht="11.25" hidden="1" customHeight="1" outlineLevel="2" x14ac:dyDescent="0.25">
      <c r="B5519" s="704" t="s">
        <v>698</v>
      </c>
      <c r="C5519" s="704" t="s">
        <v>903</v>
      </c>
      <c r="D5519" s="704" t="s">
        <v>44</v>
      </c>
      <c r="E5519" s="704" t="s">
        <v>861</v>
      </c>
      <c r="F5519" s="708"/>
      <c r="G5519" s="705">
        <v>1097.5903288672137</v>
      </c>
    </row>
    <row r="5520" spans="2:7" ht="11.25" hidden="1" customHeight="1" outlineLevel="2" x14ac:dyDescent="0.25">
      <c r="B5520" s="704" t="s">
        <v>699</v>
      </c>
      <c r="C5520" s="704" t="s">
        <v>903</v>
      </c>
      <c r="D5520" s="704" t="s">
        <v>44</v>
      </c>
      <c r="E5520" s="704" t="s">
        <v>861</v>
      </c>
      <c r="F5520" s="708"/>
      <c r="G5520" s="705">
        <v>1.0979987026936561E-28</v>
      </c>
    </row>
    <row r="5521" spans="2:7" ht="11.25" hidden="1" customHeight="1" outlineLevel="2" x14ac:dyDescent="0.25">
      <c r="B5521" s="704" t="s">
        <v>673</v>
      </c>
      <c r="C5521" s="704" t="s">
        <v>904</v>
      </c>
      <c r="D5521" s="704" t="s">
        <v>44</v>
      </c>
      <c r="E5521" s="704" t="s">
        <v>861</v>
      </c>
      <c r="F5521" s="708"/>
      <c r="G5521" s="705">
        <v>0.7214365704901381</v>
      </c>
    </row>
    <row r="5522" spans="2:7" ht="11.25" hidden="1" customHeight="1" outlineLevel="2" x14ac:dyDescent="0.25">
      <c r="B5522" s="704" t="s">
        <v>677</v>
      </c>
      <c r="C5522" s="704" t="s">
        <v>904</v>
      </c>
      <c r="D5522" s="704" t="s">
        <v>44</v>
      </c>
      <c r="E5522" s="704" t="s">
        <v>861</v>
      </c>
      <c r="F5522" s="705">
        <v>3.4775931108175498E-5</v>
      </c>
      <c r="G5522" s="705">
        <v>1.341032897925073</v>
      </c>
    </row>
    <row r="5523" spans="2:7" ht="11.25" hidden="1" customHeight="1" outlineLevel="2" x14ac:dyDescent="0.25">
      <c r="B5523" s="704" t="s">
        <v>678</v>
      </c>
      <c r="C5523" s="704" t="s">
        <v>904</v>
      </c>
      <c r="D5523" s="704" t="s">
        <v>44</v>
      </c>
      <c r="E5523" s="704" t="s">
        <v>861</v>
      </c>
      <c r="F5523" s="708"/>
      <c r="G5523" s="705">
        <v>2.7434266858076253</v>
      </c>
    </row>
    <row r="5524" spans="2:7" ht="11.25" hidden="1" customHeight="1" outlineLevel="2" x14ac:dyDescent="0.25">
      <c r="B5524" s="704" t="s">
        <v>679</v>
      </c>
      <c r="C5524" s="704" t="s">
        <v>904</v>
      </c>
      <c r="D5524" s="704" t="s">
        <v>44</v>
      </c>
      <c r="E5524" s="704" t="s">
        <v>861</v>
      </c>
      <c r="F5524" s="708"/>
      <c r="G5524" s="705">
        <v>0.96538388597748936</v>
      </c>
    </row>
    <row r="5525" spans="2:7" ht="11.25" hidden="1" customHeight="1" outlineLevel="2" x14ac:dyDescent="0.25">
      <c r="B5525" s="704" t="s">
        <v>680</v>
      </c>
      <c r="C5525" s="704" t="s">
        <v>904</v>
      </c>
      <c r="D5525" s="704" t="s">
        <v>44</v>
      </c>
      <c r="E5525" s="704" t="s">
        <v>861</v>
      </c>
      <c r="F5525" s="708"/>
      <c r="G5525" s="705">
        <v>6.2839037136132836</v>
      </c>
    </row>
    <row r="5526" spans="2:7" ht="11.25" hidden="1" customHeight="1" outlineLevel="2" x14ac:dyDescent="0.25">
      <c r="B5526" s="704" t="s">
        <v>681</v>
      </c>
      <c r="C5526" s="704" t="s">
        <v>904</v>
      </c>
      <c r="D5526" s="704" t="s">
        <v>44</v>
      </c>
      <c r="E5526" s="704" t="s">
        <v>861</v>
      </c>
      <c r="F5526" s="709"/>
      <c r="G5526" s="705">
        <v>7.1117433419020708</v>
      </c>
    </row>
    <row r="5527" spans="2:7" ht="11.25" hidden="1" customHeight="1" outlineLevel="2" x14ac:dyDescent="0.25">
      <c r="B5527" s="704" t="s">
        <v>682</v>
      </c>
      <c r="C5527" s="704" t="s">
        <v>904</v>
      </c>
      <c r="D5527" s="704" t="s">
        <v>44</v>
      </c>
      <c r="E5527" s="704" t="s">
        <v>861</v>
      </c>
      <c r="F5527" s="709"/>
      <c r="G5527" s="705">
        <v>3.4582360060621604</v>
      </c>
    </row>
    <row r="5528" spans="2:7" ht="11.25" hidden="1" customHeight="1" outlineLevel="2" x14ac:dyDescent="0.25">
      <c r="B5528" s="704" t="s">
        <v>683</v>
      </c>
      <c r="C5528" s="704" t="s">
        <v>904</v>
      </c>
      <c r="D5528" s="704" t="s">
        <v>44</v>
      </c>
      <c r="E5528" s="704" t="s">
        <v>861</v>
      </c>
      <c r="F5528" s="709"/>
      <c r="G5528" s="705">
        <v>1.6256021151539979</v>
      </c>
    </row>
    <row r="5529" spans="2:7" ht="11.25" hidden="1" customHeight="1" outlineLevel="2" x14ac:dyDescent="0.25">
      <c r="B5529" s="704" t="s">
        <v>684</v>
      </c>
      <c r="C5529" s="704" t="s">
        <v>904</v>
      </c>
      <c r="D5529" s="704" t="s">
        <v>44</v>
      </c>
      <c r="E5529" s="704" t="s">
        <v>861</v>
      </c>
      <c r="F5529" s="709"/>
      <c r="G5529" s="705">
        <v>5.670792286756142</v>
      </c>
    </row>
    <row r="5530" spans="2:7" ht="11.25" hidden="1" customHeight="1" outlineLevel="2" x14ac:dyDescent="0.25">
      <c r="B5530" s="704" t="s">
        <v>685</v>
      </c>
      <c r="C5530" s="704" t="s">
        <v>904</v>
      </c>
      <c r="D5530" s="704" t="s">
        <v>44</v>
      </c>
      <c r="E5530" s="704" t="s">
        <v>861</v>
      </c>
      <c r="F5530" s="709"/>
      <c r="G5530" s="705">
        <v>8.6526060550124022</v>
      </c>
    </row>
    <row r="5531" spans="2:7" ht="11.25" hidden="1" customHeight="1" outlineLevel="2" x14ac:dyDescent="0.25">
      <c r="B5531" s="704" t="s">
        <v>686</v>
      </c>
      <c r="C5531" s="704" t="s">
        <v>904</v>
      </c>
      <c r="D5531" s="704" t="s">
        <v>44</v>
      </c>
      <c r="E5531" s="704" t="s">
        <v>861</v>
      </c>
      <c r="F5531" s="709"/>
      <c r="G5531" s="705">
        <v>2.6465752012736274</v>
      </c>
    </row>
    <row r="5532" spans="2:7" ht="11.25" hidden="1" customHeight="1" outlineLevel="2" x14ac:dyDescent="0.25">
      <c r="B5532" s="704" t="s">
        <v>687</v>
      </c>
      <c r="C5532" s="704" t="s">
        <v>904</v>
      </c>
      <c r="D5532" s="704" t="s">
        <v>44</v>
      </c>
      <c r="E5532" s="704" t="s">
        <v>861</v>
      </c>
      <c r="F5532" s="709"/>
      <c r="G5532" s="705">
        <v>3.239588224031074</v>
      </c>
    </row>
    <row r="5533" spans="2:7" ht="11.25" hidden="1" customHeight="1" outlineLevel="2" x14ac:dyDescent="0.25">
      <c r="B5533" s="704" t="s">
        <v>688</v>
      </c>
      <c r="C5533" s="704" t="s">
        <v>904</v>
      </c>
      <c r="D5533" s="704" t="s">
        <v>44</v>
      </c>
      <c r="E5533" s="704" t="s">
        <v>861</v>
      </c>
      <c r="F5533" s="709"/>
      <c r="G5533" s="705">
        <v>1.4695985608535682</v>
      </c>
    </row>
    <row r="5534" spans="2:7" ht="11.25" hidden="1" customHeight="1" outlineLevel="2" x14ac:dyDescent="0.25">
      <c r="B5534" s="704" t="s">
        <v>689</v>
      </c>
      <c r="C5534" s="704" t="s">
        <v>904</v>
      </c>
      <c r="D5534" s="704" t="s">
        <v>44</v>
      </c>
      <c r="E5534" s="704" t="s">
        <v>861</v>
      </c>
      <c r="F5534" s="709"/>
      <c r="G5534" s="705">
        <v>7.1785348723716753</v>
      </c>
    </row>
    <row r="5535" spans="2:7" ht="11.25" hidden="1" customHeight="1" outlineLevel="2" x14ac:dyDescent="0.25">
      <c r="B5535" s="704" t="s">
        <v>690</v>
      </c>
      <c r="C5535" s="704" t="s">
        <v>904</v>
      </c>
      <c r="D5535" s="704" t="s">
        <v>44</v>
      </c>
      <c r="E5535" s="704" t="s">
        <v>861</v>
      </c>
      <c r="F5535" s="709"/>
      <c r="G5535" s="705">
        <v>3.1472258544413418</v>
      </c>
    </row>
    <row r="5536" spans="2:7" ht="11.25" hidden="1" customHeight="1" outlineLevel="2" x14ac:dyDescent="0.25">
      <c r="B5536" s="704" t="s">
        <v>691</v>
      </c>
      <c r="C5536" s="704" t="s">
        <v>904</v>
      </c>
      <c r="D5536" s="704" t="s">
        <v>44</v>
      </c>
      <c r="E5536" s="704" t="s">
        <v>861</v>
      </c>
      <c r="F5536" s="708"/>
      <c r="G5536" s="705">
        <v>1.2304974979885466</v>
      </c>
    </row>
    <row r="5537" spans="2:7" ht="11.25" hidden="1" customHeight="1" outlineLevel="2" x14ac:dyDescent="0.25">
      <c r="B5537" s="704" t="s">
        <v>692</v>
      </c>
      <c r="C5537" s="704" t="s">
        <v>904</v>
      </c>
      <c r="D5537" s="704" t="s">
        <v>44</v>
      </c>
      <c r="E5537" s="704" t="s">
        <v>861</v>
      </c>
      <c r="F5537" s="708"/>
      <c r="G5537" s="705">
        <v>8.870256988129297</v>
      </c>
    </row>
    <row r="5538" spans="2:7" ht="11.25" hidden="1" customHeight="1" outlineLevel="2" x14ac:dyDescent="0.25">
      <c r="B5538" s="704" t="s">
        <v>693</v>
      </c>
      <c r="C5538" s="704" t="s">
        <v>904</v>
      </c>
      <c r="D5538" s="704" t="s">
        <v>44</v>
      </c>
      <c r="E5538" s="704" t="s">
        <v>861</v>
      </c>
      <c r="F5538" s="709"/>
      <c r="G5538" s="705">
        <v>2.4326309109128976</v>
      </c>
    </row>
    <row r="5539" spans="2:7" ht="11.25" hidden="1" customHeight="1" outlineLevel="2" x14ac:dyDescent="0.25">
      <c r="B5539" s="704" t="s">
        <v>694</v>
      </c>
      <c r="C5539" s="704" t="s">
        <v>904</v>
      </c>
      <c r="D5539" s="704" t="s">
        <v>44</v>
      </c>
      <c r="E5539" s="704" t="s">
        <v>861</v>
      </c>
      <c r="F5539" s="708"/>
      <c r="G5539" s="705">
        <v>2.1926098127378615</v>
      </c>
    </row>
    <row r="5540" spans="2:7" ht="11.25" hidden="1" customHeight="1" outlineLevel="2" x14ac:dyDescent="0.25">
      <c r="B5540" s="704" t="s">
        <v>695</v>
      </c>
      <c r="C5540" s="704" t="s">
        <v>904</v>
      </c>
      <c r="D5540" s="704" t="s">
        <v>44</v>
      </c>
      <c r="E5540" s="704" t="s">
        <v>861</v>
      </c>
      <c r="F5540" s="708"/>
      <c r="G5540" s="705">
        <v>5.7169746698979962</v>
      </c>
    </row>
    <row r="5541" spans="2:7" ht="11.25" hidden="1" customHeight="1" outlineLevel="2" x14ac:dyDescent="0.25">
      <c r="B5541" s="704" t="s">
        <v>696</v>
      </c>
      <c r="C5541" s="704" t="s">
        <v>904</v>
      </c>
      <c r="D5541" s="704" t="s">
        <v>44</v>
      </c>
      <c r="E5541" s="704" t="s">
        <v>861</v>
      </c>
      <c r="F5541" s="708"/>
      <c r="G5541" s="705">
        <v>5.2245898437738143</v>
      </c>
    </row>
    <row r="5542" spans="2:7" ht="11.25" hidden="1" customHeight="1" outlineLevel="2" x14ac:dyDescent="0.25">
      <c r="B5542" s="704" t="s">
        <v>697</v>
      </c>
      <c r="C5542" s="704" t="s">
        <v>904</v>
      </c>
      <c r="D5542" s="704" t="s">
        <v>44</v>
      </c>
      <c r="E5542" s="704" t="s">
        <v>861</v>
      </c>
      <c r="F5542" s="708"/>
      <c r="G5542" s="705">
        <v>4.0131210431438324</v>
      </c>
    </row>
    <row r="5543" spans="2:7" ht="11.25" hidden="1" customHeight="1" outlineLevel="2" x14ac:dyDescent="0.25">
      <c r="B5543" s="704" t="s">
        <v>698</v>
      </c>
      <c r="C5543" s="704" t="s">
        <v>904</v>
      </c>
      <c r="D5543" s="704" t="s">
        <v>44</v>
      </c>
      <c r="E5543" s="704" t="s">
        <v>861</v>
      </c>
      <c r="F5543" s="708"/>
      <c r="G5543" s="705">
        <v>6.1011044395495988</v>
      </c>
    </row>
    <row r="5544" spans="2:7" ht="11.25" hidden="1" customHeight="1" outlineLevel="2" x14ac:dyDescent="0.25">
      <c r="B5544" s="704" t="s">
        <v>699</v>
      </c>
      <c r="C5544" s="704" t="s">
        <v>904</v>
      </c>
      <c r="D5544" s="704" t="s">
        <v>44</v>
      </c>
      <c r="E5544" s="704" t="s">
        <v>861</v>
      </c>
      <c r="F5544" s="708"/>
      <c r="G5544" s="705">
        <v>5.6168157526635201E-32</v>
      </c>
    </row>
    <row r="5545" spans="2:7" ht="11.25" hidden="1" customHeight="1" outlineLevel="2" x14ac:dyDescent="0.25">
      <c r="B5545" s="704" t="s">
        <v>673</v>
      </c>
      <c r="C5545" s="704" t="s">
        <v>905</v>
      </c>
      <c r="D5545" s="704" t="s">
        <v>44</v>
      </c>
      <c r="E5545" s="704" t="s">
        <v>861</v>
      </c>
      <c r="F5545" s="708"/>
      <c r="G5545" s="705">
        <v>0.14807385192438766</v>
      </c>
    </row>
    <row r="5546" spans="2:7" ht="11.25" hidden="1" customHeight="1" outlineLevel="2" x14ac:dyDescent="0.25">
      <c r="B5546" s="704" t="s">
        <v>677</v>
      </c>
      <c r="C5546" s="704" t="s">
        <v>905</v>
      </c>
      <c r="D5546" s="704" t="s">
        <v>44</v>
      </c>
      <c r="E5546" s="704" t="s">
        <v>861</v>
      </c>
      <c r="F5546" s="705">
        <v>7.4846185154332063E-6</v>
      </c>
      <c r="G5546" s="705">
        <v>0.2752452274343512</v>
      </c>
    </row>
    <row r="5547" spans="2:7" ht="11.25" hidden="1" customHeight="1" outlineLevel="2" x14ac:dyDescent="0.25">
      <c r="B5547" s="704" t="s">
        <v>678</v>
      </c>
      <c r="C5547" s="704" t="s">
        <v>905</v>
      </c>
      <c r="D5547" s="704" t="s">
        <v>44</v>
      </c>
      <c r="E5547" s="704" t="s">
        <v>861</v>
      </c>
      <c r="F5547" s="708"/>
      <c r="G5547" s="705">
        <v>0.56308431002487314</v>
      </c>
    </row>
    <row r="5548" spans="2:7" ht="11.25" hidden="1" customHeight="1" outlineLevel="2" x14ac:dyDescent="0.25">
      <c r="B5548" s="704" t="s">
        <v>679</v>
      </c>
      <c r="C5548" s="704" t="s">
        <v>905</v>
      </c>
      <c r="D5548" s="704" t="s">
        <v>44</v>
      </c>
      <c r="E5548" s="704" t="s">
        <v>861</v>
      </c>
      <c r="F5548" s="708"/>
      <c r="G5548" s="705">
        <v>0.19814355887326254</v>
      </c>
    </row>
    <row r="5549" spans="2:7" ht="11.25" hidden="1" customHeight="1" outlineLevel="2" x14ac:dyDescent="0.25">
      <c r="B5549" s="704" t="s">
        <v>680</v>
      </c>
      <c r="C5549" s="704" t="s">
        <v>905</v>
      </c>
      <c r="D5549" s="704" t="s">
        <v>44</v>
      </c>
      <c r="E5549" s="704" t="s">
        <v>861</v>
      </c>
      <c r="F5549" s="708"/>
      <c r="G5549" s="705">
        <v>1.2897627418767206</v>
      </c>
    </row>
    <row r="5550" spans="2:7" ht="11.25" hidden="1" customHeight="1" outlineLevel="2" x14ac:dyDescent="0.25">
      <c r="B5550" s="704" t="s">
        <v>681</v>
      </c>
      <c r="C5550" s="704" t="s">
        <v>905</v>
      </c>
      <c r="D5550" s="704" t="s">
        <v>44</v>
      </c>
      <c r="E5550" s="704" t="s">
        <v>861</v>
      </c>
      <c r="F5550" s="708"/>
      <c r="G5550" s="705">
        <v>1.4596758000206738</v>
      </c>
    </row>
    <row r="5551" spans="2:7" ht="11.25" hidden="1" customHeight="1" outlineLevel="2" x14ac:dyDescent="0.25">
      <c r="B5551" s="704" t="s">
        <v>682</v>
      </c>
      <c r="C5551" s="704" t="s">
        <v>905</v>
      </c>
      <c r="D5551" s="704" t="s">
        <v>44</v>
      </c>
      <c r="E5551" s="704" t="s">
        <v>861</v>
      </c>
      <c r="F5551" s="708"/>
      <c r="G5551" s="705">
        <v>0.70979787596128829</v>
      </c>
    </row>
    <row r="5552" spans="2:7" ht="11.25" hidden="1" customHeight="1" outlineLevel="2" x14ac:dyDescent="0.25">
      <c r="B5552" s="704" t="s">
        <v>683</v>
      </c>
      <c r="C5552" s="704" t="s">
        <v>905</v>
      </c>
      <c r="D5552" s="704" t="s">
        <v>44</v>
      </c>
      <c r="E5552" s="704" t="s">
        <v>861</v>
      </c>
      <c r="F5552" s="708"/>
      <c r="G5552" s="705">
        <v>0.33365251807731028</v>
      </c>
    </row>
    <row r="5553" spans="2:7" ht="11.25" hidden="1" customHeight="1" outlineLevel="2" x14ac:dyDescent="0.25">
      <c r="B5553" s="704" t="s">
        <v>684</v>
      </c>
      <c r="C5553" s="704" t="s">
        <v>905</v>
      </c>
      <c r="D5553" s="704" t="s">
        <v>44</v>
      </c>
      <c r="E5553" s="704" t="s">
        <v>861</v>
      </c>
      <c r="F5553" s="708"/>
      <c r="G5553" s="705">
        <v>1.1639219378973105</v>
      </c>
    </row>
    <row r="5554" spans="2:7" ht="11.25" hidden="1" customHeight="1" outlineLevel="2" x14ac:dyDescent="0.25">
      <c r="B5554" s="704" t="s">
        <v>685</v>
      </c>
      <c r="C5554" s="704" t="s">
        <v>905</v>
      </c>
      <c r="D5554" s="704" t="s">
        <v>44</v>
      </c>
      <c r="E5554" s="704" t="s">
        <v>861</v>
      </c>
      <c r="F5554" s="708"/>
      <c r="G5554" s="705">
        <v>1.7759351343787664</v>
      </c>
    </row>
    <row r="5555" spans="2:7" ht="11.25" hidden="1" customHeight="1" outlineLevel="2" x14ac:dyDescent="0.25">
      <c r="B5555" s="704" t="s">
        <v>686</v>
      </c>
      <c r="C5555" s="704" t="s">
        <v>905</v>
      </c>
      <c r="D5555" s="704" t="s">
        <v>44</v>
      </c>
      <c r="E5555" s="704" t="s">
        <v>861</v>
      </c>
      <c r="F5555" s="708"/>
      <c r="G5555" s="705">
        <v>0.54320566562483918</v>
      </c>
    </row>
    <row r="5556" spans="2:7" ht="11.25" hidden="1" customHeight="1" outlineLevel="2" x14ac:dyDescent="0.25">
      <c r="B5556" s="704" t="s">
        <v>687</v>
      </c>
      <c r="C5556" s="704" t="s">
        <v>905</v>
      </c>
      <c r="D5556" s="704" t="s">
        <v>44</v>
      </c>
      <c r="E5556" s="704" t="s">
        <v>861</v>
      </c>
      <c r="F5556" s="708"/>
      <c r="G5556" s="705">
        <v>0.66492070588807461</v>
      </c>
    </row>
    <row r="5557" spans="2:7" ht="11.25" hidden="1" customHeight="1" outlineLevel="2" x14ac:dyDescent="0.25">
      <c r="B5557" s="704" t="s">
        <v>688</v>
      </c>
      <c r="C5557" s="704" t="s">
        <v>905</v>
      </c>
      <c r="D5557" s="704" t="s">
        <v>44</v>
      </c>
      <c r="E5557" s="704" t="s">
        <v>861</v>
      </c>
      <c r="F5557" s="708"/>
      <c r="G5557" s="705">
        <v>0.30163304895824067</v>
      </c>
    </row>
    <row r="5558" spans="2:7" ht="11.25" hidden="1" customHeight="1" outlineLevel="2" x14ac:dyDescent="0.25">
      <c r="B5558" s="704" t="s">
        <v>689</v>
      </c>
      <c r="C5558" s="704" t="s">
        <v>905</v>
      </c>
      <c r="D5558" s="704" t="s">
        <v>44</v>
      </c>
      <c r="E5558" s="704" t="s">
        <v>861</v>
      </c>
      <c r="F5558" s="708"/>
      <c r="G5558" s="705">
        <v>1.4733833395586828</v>
      </c>
    </row>
    <row r="5559" spans="2:7" ht="11.25" hidden="1" customHeight="1" outlineLevel="2" x14ac:dyDescent="0.25">
      <c r="B5559" s="704" t="s">
        <v>690</v>
      </c>
      <c r="C5559" s="704" t="s">
        <v>905</v>
      </c>
      <c r="D5559" s="704" t="s">
        <v>44</v>
      </c>
      <c r="E5559" s="704" t="s">
        <v>861</v>
      </c>
      <c r="F5559" s="709"/>
      <c r="G5559" s="705">
        <v>0.64596337958175765</v>
      </c>
    </row>
    <row r="5560" spans="2:7" ht="11.25" hidden="1" customHeight="1" outlineLevel="2" x14ac:dyDescent="0.25">
      <c r="B5560" s="704" t="s">
        <v>691</v>
      </c>
      <c r="C5560" s="704" t="s">
        <v>905</v>
      </c>
      <c r="D5560" s="704" t="s">
        <v>44</v>
      </c>
      <c r="E5560" s="704" t="s">
        <v>861</v>
      </c>
      <c r="F5560" s="709"/>
      <c r="G5560" s="705">
        <v>0.25255776988333783</v>
      </c>
    </row>
    <row r="5561" spans="2:7" ht="11.25" hidden="1" customHeight="1" outlineLevel="2" x14ac:dyDescent="0.25">
      <c r="B5561" s="704" t="s">
        <v>692</v>
      </c>
      <c r="C5561" s="704" t="s">
        <v>905</v>
      </c>
      <c r="D5561" s="704" t="s">
        <v>44</v>
      </c>
      <c r="E5561" s="704" t="s">
        <v>861</v>
      </c>
      <c r="F5561" s="709"/>
      <c r="G5561" s="705">
        <v>1.8206077339672686</v>
      </c>
    </row>
    <row r="5562" spans="2:7" ht="11.25" hidden="1" customHeight="1" outlineLevel="2" x14ac:dyDescent="0.25">
      <c r="B5562" s="704" t="s">
        <v>693</v>
      </c>
      <c r="C5562" s="704" t="s">
        <v>905</v>
      </c>
      <c r="D5562" s="704" t="s">
        <v>44</v>
      </c>
      <c r="E5562" s="704" t="s">
        <v>861</v>
      </c>
      <c r="F5562" s="709"/>
      <c r="G5562" s="705">
        <v>0.49929406555280859</v>
      </c>
    </row>
    <row r="5563" spans="2:7" ht="11.25" hidden="1" customHeight="1" outlineLevel="2" x14ac:dyDescent="0.25">
      <c r="B5563" s="704" t="s">
        <v>694</v>
      </c>
      <c r="C5563" s="704" t="s">
        <v>905</v>
      </c>
      <c r="D5563" s="704" t="s">
        <v>44</v>
      </c>
      <c r="E5563" s="704" t="s">
        <v>861</v>
      </c>
      <c r="F5563" s="709"/>
      <c r="G5563" s="705">
        <v>0.45002998573222991</v>
      </c>
    </row>
    <row r="5564" spans="2:7" ht="11.25" hidden="1" customHeight="1" outlineLevel="2" x14ac:dyDescent="0.25">
      <c r="B5564" s="704" t="s">
        <v>695</v>
      </c>
      <c r="C5564" s="704" t="s">
        <v>905</v>
      </c>
      <c r="D5564" s="704" t="s">
        <v>44</v>
      </c>
      <c r="E5564" s="704" t="s">
        <v>861</v>
      </c>
      <c r="F5564" s="709"/>
      <c r="G5564" s="705">
        <v>1.1734009836068384</v>
      </c>
    </row>
    <row r="5565" spans="2:7" ht="11.25" hidden="1" customHeight="1" outlineLevel="2" x14ac:dyDescent="0.25">
      <c r="B5565" s="704" t="s">
        <v>696</v>
      </c>
      <c r="C5565" s="704" t="s">
        <v>905</v>
      </c>
      <c r="D5565" s="704" t="s">
        <v>44</v>
      </c>
      <c r="E5565" s="704" t="s">
        <v>861</v>
      </c>
      <c r="F5565" s="708"/>
      <c r="G5565" s="705">
        <v>1.0723393081190162</v>
      </c>
    </row>
    <row r="5566" spans="2:7" ht="11.25" hidden="1" customHeight="1" outlineLevel="2" x14ac:dyDescent="0.25">
      <c r="B5566" s="704" t="s">
        <v>697</v>
      </c>
      <c r="C5566" s="704" t="s">
        <v>905</v>
      </c>
      <c r="D5566" s="704" t="s">
        <v>44</v>
      </c>
      <c r="E5566" s="704" t="s">
        <v>861</v>
      </c>
      <c r="F5566" s="708"/>
      <c r="G5566" s="705">
        <v>0.82368760201841917</v>
      </c>
    </row>
    <row r="5567" spans="2:7" ht="11.25" hidden="1" customHeight="1" outlineLevel="2" x14ac:dyDescent="0.25">
      <c r="B5567" s="704" t="s">
        <v>698</v>
      </c>
      <c r="C5567" s="704" t="s">
        <v>905</v>
      </c>
      <c r="D5567" s="704" t="s">
        <v>44</v>
      </c>
      <c r="E5567" s="704" t="s">
        <v>861</v>
      </c>
      <c r="F5567" s="708"/>
      <c r="G5567" s="705">
        <v>1.2522428520113245</v>
      </c>
    </row>
    <row r="5568" spans="2:7" ht="11.25" hidden="1" customHeight="1" outlineLevel="2" x14ac:dyDescent="0.25">
      <c r="B5568" s="704" t="s">
        <v>699</v>
      </c>
      <c r="C5568" s="704" t="s">
        <v>905</v>
      </c>
      <c r="D5568" s="704" t="s">
        <v>44</v>
      </c>
      <c r="E5568" s="704" t="s">
        <v>861</v>
      </c>
      <c r="F5568" s="708"/>
      <c r="G5568" s="705">
        <v>3.5778994380424386E-35</v>
      </c>
    </row>
    <row r="5569" spans="2:7" ht="11.25" hidden="1" customHeight="1" outlineLevel="2" x14ac:dyDescent="0.25">
      <c r="B5569" s="704" t="s">
        <v>673</v>
      </c>
      <c r="C5569" s="704" t="s">
        <v>906</v>
      </c>
      <c r="D5569" s="704" t="s">
        <v>44</v>
      </c>
      <c r="E5569" s="704" t="s">
        <v>861</v>
      </c>
      <c r="F5569" s="708"/>
      <c r="G5569" s="705">
        <v>11.017324150749189</v>
      </c>
    </row>
    <row r="5570" spans="2:7" ht="11.25" hidden="1" customHeight="1" outlineLevel="2" x14ac:dyDescent="0.25">
      <c r="B5570" s="704" t="s">
        <v>677</v>
      </c>
      <c r="C5570" s="704" t="s">
        <v>906</v>
      </c>
      <c r="D5570" s="704" t="s">
        <v>44</v>
      </c>
      <c r="E5570" s="704" t="s">
        <v>861</v>
      </c>
      <c r="F5570" s="705">
        <v>4.9421665841808157E-4</v>
      </c>
      <c r="G5570" s="705">
        <v>20.479403310092888</v>
      </c>
    </row>
    <row r="5571" spans="2:7" ht="11.25" hidden="1" customHeight="1" outlineLevel="2" x14ac:dyDescent="0.25">
      <c r="B5571" s="704" t="s">
        <v>678</v>
      </c>
      <c r="C5571" s="704" t="s">
        <v>906</v>
      </c>
      <c r="D5571" s="704" t="s">
        <v>44</v>
      </c>
      <c r="E5571" s="704" t="s">
        <v>861</v>
      </c>
      <c r="F5571" s="708"/>
      <c r="G5571" s="705">
        <v>41.895865909008975</v>
      </c>
    </row>
    <row r="5572" spans="2:7" ht="11.25" hidden="1" customHeight="1" outlineLevel="2" x14ac:dyDescent="0.25">
      <c r="B5572" s="704" t="s">
        <v>679</v>
      </c>
      <c r="C5572" s="704" t="s">
        <v>906</v>
      </c>
      <c r="D5572" s="704" t="s">
        <v>44</v>
      </c>
      <c r="E5572" s="704" t="s">
        <v>861</v>
      </c>
      <c r="F5572" s="708"/>
      <c r="G5572" s="705">
        <v>14.742731197750869</v>
      </c>
    </row>
    <row r="5573" spans="2:7" ht="11.25" hidden="1" customHeight="1" outlineLevel="2" x14ac:dyDescent="0.25">
      <c r="B5573" s="704" t="s">
        <v>680</v>
      </c>
      <c r="C5573" s="704" t="s">
        <v>906</v>
      </c>
      <c r="D5573" s="704" t="s">
        <v>44</v>
      </c>
      <c r="E5573" s="704" t="s">
        <v>861</v>
      </c>
      <c r="F5573" s="708"/>
      <c r="G5573" s="705">
        <v>95.963802761381245</v>
      </c>
    </row>
    <row r="5574" spans="2:7" ht="11.25" hidden="1" customHeight="1" outlineLevel="2" x14ac:dyDescent="0.25">
      <c r="B5574" s="704" t="s">
        <v>681</v>
      </c>
      <c r="C5574" s="704" t="s">
        <v>906</v>
      </c>
      <c r="D5574" s="704" t="s">
        <v>44</v>
      </c>
      <c r="E5574" s="704" t="s">
        <v>861</v>
      </c>
      <c r="F5574" s="708"/>
      <c r="G5574" s="705">
        <v>108.60603486935501</v>
      </c>
    </row>
    <row r="5575" spans="2:7" ht="11.25" hidden="1" customHeight="1" outlineLevel="2" x14ac:dyDescent="0.25">
      <c r="B5575" s="704" t="s">
        <v>682</v>
      </c>
      <c r="C5575" s="704" t="s">
        <v>906</v>
      </c>
      <c r="D5575" s="704" t="s">
        <v>44</v>
      </c>
      <c r="E5575" s="704" t="s">
        <v>861</v>
      </c>
      <c r="F5575" s="708"/>
      <c r="G5575" s="705">
        <v>52.811982925073693</v>
      </c>
    </row>
    <row r="5576" spans="2:7" ht="11.25" hidden="1" customHeight="1" outlineLevel="2" x14ac:dyDescent="0.25">
      <c r="B5576" s="704" t="s">
        <v>683</v>
      </c>
      <c r="C5576" s="704" t="s">
        <v>906</v>
      </c>
      <c r="D5576" s="704" t="s">
        <v>44</v>
      </c>
      <c r="E5576" s="704" t="s">
        <v>861</v>
      </c>
      <c r="F5576" s="708"/>
      <c r="G5576" s="705">
        <v>24.825170243437945</v>
      </c>
    </row>
    <row r="5577" spans="2:7" ht="11.25" hidden="1" customHeight="1" outlineLevel="2" x14ac:dyDescent="0.25">
      <c r="B5577" s="704" t="s">
        <v>684</v>
      </c>
      <c r="C5577" s="704" t="s">
        <v>906</v>
      </c>
      <c r="D5577" s="704" t="s">
        <v>44</v>
      </c>
      <c r="E5577" s="704" t="s">
        <v>861</v>
      </c>
      <c r="F5577" s="708"/>
      <c r="G5577" s="705">
        <v>86.600760315249133</v>
      </c>
    </row>
    <row r="5578" spans="2:7" ht="11.25" hidden="1" customHeight="1" outlineLevel="2" x14ac:dyDescent="0.25">
      <c r="B5578" s="704" t="s">
        <v>685</v>
      </c>
      <c r="C5578" s="704" t="s">
        <v>906</v>
      </c>
      <c r="D5578" s="704" t="s">
        <v>44</v>
      </c>
      <c r="E5578" s="704" t="s">
        <v>861</v>
      </c>
      <c r="F5578" s="708"/>
      <c r="G5578" s="705">
        <v>132.13713834145312</v>
      </c>
    </row>
    <row r="5579" spans="2:7" ht="11.25" hidden="1" customHeight="1" outlineLevel="2" x14ac:dyDescent="0.25">
      <c r="B5579" s="704" t="s">
        <v>686</v>
      </c>
      <c r="C5579" s="704" t="s">
        <v>906</v>
      </c>
      <c r="D5579" s="704" t="s">
        <v>44</v>
      </c>
      <c r="E5579" s="704" t="s">
        <v>861</v>
      </c>
      <c r="F5579" s="708"/>
      <c r="G5579" s="705">
        <v>40.416800485362387</v>
      </c>
    </row>
    <row r="5580" spans="2:7" ht="11.25" hidden="1" customHeight="1" outlineLevel="2" x14ac:dyDescent="0.25">
      <c r="B5580" s="704" t="s">
        <v>687</v>
      </c>
      <c r="C5580" s="704" t="s">
        <v>906</v>
      </c>
      <c r="D5580" s="704" t="s">
        <v>44</v>
      </c>
      <c r="E5580" s="704" t="s">
        <v>861</v>
      </c>
      <c r="F5580" s="708"/>
      <c r="G5580" s="705">
        <v>49.472926876175698</v>
      </c>
    </row>
    <row r="5581" spans="2:7" ht="11.25" hidden="1" customHeight="1" outlineLevel="2" x14ac:dyDescent="0.25">
      <c r="B5581" s="704" t="s">
        <v>688</v>
      </c>
      <c r="C5581" s="704" t="s">
        <v>906</v>
      </c>
      <c r="D5581" s="704" t="s">
        <v>44</v>
      </c>
      <c r="E5581" s="704" t="s">
        <v>861</v>
      </c>
      <c r="F5581" s="708"/>
      <c r="G5581" s="705">
        <v>22.442780075340124</v>
      </c>
    </row>
    <row r="5582" spans="2:7" ht="11.25" hidden="1" customHeight="1" outlineLevel="2" x14ac:dyDescent="0.25">
      <c r="B5582" s="704" t="s">
        <v>689</v>
      </c>
      <c r="C5582" s="704" t="s">
        <v>906</v>
      </c>
      <c r="D5582" s="704" t="s">
        <v>44</v>
      </c>
      <c r="E5582" s="704" t="s">
        <v>861</v>
      </c>
      <c r="F5582" s="708"/>
      <c r="G5582" s="705">
        <v>109.62605153524565</v>
      </c>
    </row>
    <row r="5583" spans="2:7" ht="11.25" hidden="1" customHeight="1" outlineLevel="2" x14ac:dyDescent="0.25">
      <c r="B5583" s="704" t="s">
        <v>690</v>
      </c>
      <c r="C5583" s="704" t="s">
        <v>906</v>
      </c>
      <c r="D5583" s="704" t="s">
        <v>44</v>
      </c>
      <c r="E5583" s="704" t="s">
        <v>861</v>
      </c>
      <c r="F5583" s="708"/>
      <c r="G5583" s="705">
        <v>48.062448595231452</v>
      </c>
    </row>
    <row r="5584" spans="2:7" ht="11.25" hidden="1" customHeight="1" outlineLevel="2" x14ac:dyDescent="0.25">
      <c r="B5584" s="704" t="s">
        <v>691</v>
      </c>
      <c r="C5584" s="704" t="s">
        <v>906</v>
      </c>
      <c r="D5584" s="704" t="s">
        <v>44</v>
      </c>
      <c r="E5584" s="704" t="s">
        <v>861</v>
      </c>
      <c r="F5584" s="708"/>
      <c r="G5584" s="705">
        <v>18.791377593876206</v>
      </c>
    </row>
    <row r="5585" spans="2:7" ht="11.25" hidden="1" customHeight="1" outlineLevel="2" x14ac:dyDescent="0.25">
      <c r="B5585" s="704" t="s">
        <v>692</v>
      </c>
      <c r="C5585" s="704" t="s">
        <v>906</v>
      </c>
      <c r="D5585" s="704" t="s">
        <v>44</v>
      </c>
      <c r="E5585" s="704" t="s">
        <v>861</v>
      </c>
      <c r="F5585" s="708"/>
      <c r="G5585" s="705">
        <v>135.46096728331955</v>
      </c>
    </row>
    <row r="5586" spans="2:7" ht="11.25" hidden="1" customHeight="1" outlineLevel="2" x14ac:dyDescent="0.25">
      <c r="B5586" s="704" t="s">
        <v>693</v>
      </c>
      <c r="C5586" s="704" t="s">
        <v>906</v>
      </c>
      <c r="D5586" s="704" t="s">
        <v>44</v>
      </c>
      <c r="E5586" s="704" t="s">
        <v>861</v>
      </c>
      <c r="F5586" s="708"/>
      <c r="G5586" s="705">
        <v>37.149600597385636</v>
      </c>
    </row>
    <row r="5587" spans="2:7" ht="11.25" hidden="1" customHeight="1" outlineLevel="2" x14ac:dyDescent="0.25">
      <c r="B5587" s="704" t="s">
        <v>694</v>
      </c>
      <c r="C5587" s="704" t="s">
        <v>906</v>
      </c>
      <c r="D5587" s="704" t="s">
        <v>44</v>
      </c>
      <c r="E5587" s="704" t="s">
        <v>861</v>
      </c>
      <c r="F5587" s="708"/>
      <c r="G5587" s="705">
        <v>33.48414774084452</v>
      </c>
    </row>
    <row r="5588" spans="2:7" ht="11.25" hidden="1" customHeight="1" outlineLevel="2" x14ac:dyDescent="0.25">
      <c r="B5588" s="704" t="s">
        <v>695</v>
      </c>
      <c r="C5588" s="704" t="s">
        <v>906</v>
      </c>
      <c r="D5588" s="704" t="s">
        <v>44</v>
      </c>
      <c r="E5588" s="704" t="s">
        <v>861</v>
      </c>
      <c r="F5588" s="708"/>
      <c r="G5588" s="705">
        <v>87.306026459601966</v>
      </c>
    </row>
    <row r="5589" spans="2:7" ht="11.25" hidden="1" customHeight="1" outlineLevel="2" x14ac:dyDescent="0.25">
      <c r="B5589" s="704" t="s">
        <v>696</v>
      </c>
      <c r="C5589" s="704" t="s">
        <v>906</v>
      </c>
      <c r="D5589" s="704" t="s">
        <v>44</v>
      </c>
      <c r="E5589" s="704" t="s">
        <v>861</v>
      </c>
      <c r="F5589" s="708"/>
      <c r="G5589" s="705">
        <v>79.786643482630453</v>
      </c>
    </row>
    <row r="5590" spans="2:7" ht="11.25" hidden="1" customHeight="1" outlineLevel="2" x14ac:dyDescent="0.25">
      <c r="B5590" s="704" t="s">
        <v>697</v>
      </c>
      <c r="C5590" s="704" t="s">
        <v>906</v>
      </c>
      <c r="D5590" s="704" t="s">
        <v>44</v>
      </c>
      <c r="E5590" s="704" t="s">
        <v>861</v>
      </c>
      <c r="F5590" s="708"/>
      <c r="G5590" s="705">
        <v>61.285843822354501</v>
      </c>
    </row>
    <row r="5591" spans="2:7" ht="11.25" hidden="1" customHeight="1" outlineLevel="2" x14ac:dyDescent="0.25">
      <c r="B5591" s="704" t="s">
        <v>698</v>
      </c>
      <c r="C5591" s="704" t="s">
        <v>906</v>
      </c>
      <c r="D5591" s="704" t="s">
        <v>44</v>
      </c>
      <c r="E5591" s="704" t="s">
        <v>861</v>
      </c>
      <c r="F5591" s="708"/>
      <c r="G5591" s="705">
        <v>93.172210550254633</v>
      </c>
    </row>
    <row r="5592" spans="2:7" ht="11.25" hidden="1" customHeight="1" outlineLevel="2" x14ac:dyDescent="0.25">
      <c r="B5592" s="704" t="s">
        <v>699</v>
      </c>
      <c r="C5592" s="704" t="s">
        <v>906</v>
      </c>
      <c r="D5592" s="704" t="s">
        <v>44</v>
      </c>
      <c r="E5592" s="704" t="s">
        <v>861</v>
      </c>
      <c r="F5592" s="708"/>
      <c r="G5592" s="705">
        <v>3.7452592939091155E-31</v>
      </c>
    </row>
    <row r="5593" spans="2:7" ht="11.25" hidden="1" customHeight="1" outlineLevel="2" x14ac:dyDescent="0.25">
      <c r="B5593" s="704" t="s">
        <v>673</v>
      </c>
      <c r="C5593" s="704" t="s">
        <v>907</v>
      </c>
      <c r="D5593" s="704" t="s">
        <v>44</v>
      </c>
      <c r="E5593" s="704" t="s">
        <v>861</v>
      </c>
      <c r="F5593" s="708"/>
      <c r="G5593" s="705">
        <v>2.7594361322636186E-2</v>
      </c>
    </row>
    <row r="5594" spans="2:7" ht="11.25" hidden="1" customHeight="1" outlineLevel="2" x14ac:dyDescent="0.25">
      <c r="B5594" s="704" t="s">
        <v>677</v>
      </c>
      <c r="C5594" s="704" t="s">
        <v>907</v>
      </c>
      <c r="D5594" s="704" t="s">
        <v>44</v>
      </c>
      <c r="E5594" s="704" t="s">
        <v>861</v>
      </c>
      <c r="F5594" s="705">
        <v>1.059922675584318E-6</v>
      </c>
      <c r="G5594" s="705">
        <v>5.1293407108130198E-2</v>
      </c>
    </row>
    <row r="5595" spans="2:7" ht="11.25" hidden="1" customHeight="1" outlineLevel="2" x14ac:dyDescent="0.25">
      <c r="B5595" s="704" t="s">
        <v>678</v>
      </c>
      <c r="C5595" s="704" t="s">
        <v>907</v>
      </c>
      <c r="D5595" s="704" t="s">
        <v>44</v>
      </c>
      <c r="E5595" s="704" t="s">
        <v>861</v>
      </c>
      <c r="F5595" s="708"/>
      <c r="G5595" s="705">
        <v>0.10493379531791923</v>
      </c>
    </row>
    <row r="5596" spans="2:7" ht="11.25" hidden="1" customHeight="1" outlineLevel="2" x14ac:dyDescent="0.25">
      <c r="B5596" s="704" t="s">
        <v>679</v>
      </c>
      <c r="C5596" s="704" t="s">
        <v>907</v>
      </c>
      <c r="D5596" s="704" t="s">
        <v>44</v>
      </c>
      <c r="E5596" s="704" t="s">
        <v>861</v>
      </c>
      <c r="F5596" s="708"/>
      <c r="G5596" s="705">
        <v>3.6925133051812199E-2</v>
      </c>
    </row>
    <row r="5597" spans="2:7" ht="11.25" hidden="1" customHeight="1" outlineLevel="2" x14ac:dyDescent="0.25">
      <c r="B5597" s="704" t="s">
        <v>680</v>
      </c>
      <c r="C5597" s="704" t="s">
        <v>907</v>
      </c>
      <c r="D5597" s="704" t="s">
        <v>44</v>
      </c>
      <c r="E5597" s="704" t="s">
        <v>861</v>
      </c>
      <c r="F5597" s="708"/>
      <c r="G5597" s="705">
        <v>0.24035403438550634</v>
      </c>
    </row>
    <row r="5598" spans="2:7" ht="11.25" hidden="1" customHeight="1" outlineLevel="2" x14ac:dyDescent="0.25">
      <c r="B5598" s="704" t="s">
        <v>681</v>
      </c>
      <c r="C5598" s="704" t="s">
        <v>907</v>
      </c>
      <c r="D5598" s="704" t="s">
        <v>44</v>
      </c>
      <c r="E5598" s="704" t="s">
        <v>861</v>
      </c>
      <c r="F5598" s="708"/>
      <c r="G5598" s="705">
        <v>0.26831382715914309</v>
      </c>
    </row>
    <row r="5599" spans="2:7" ht="11.25" hidden="1" customHeight="1" outlineLevel="2" x14ac:dyDescent="0.25">
      <c r="B5599" s="704" t="s">
        <v>682</v>
      </c>
      <c r="C5599" s="704" t="s">
        <v>907</v>
      </c>
      <c r="D5599" s="704" t="s">
        <v>44</v>
      </c>
      <c r="E5599" s="704" t="s">
        <v>861</v>
      </c>
      <c r="F5599" s="708"/>
      <c r="G5599" s="705">
        <v>0.13227460551797254</v>
      </c>
    </row>
    <row r="5600" spans="2:7" ht="11.25" hidden="1" customHeight="1" outlineLevel="2" x14ac:dyDescent="0.25">
      <c r="B5600" s="704" t="s">
        <v>683</v>
      </c>
      <c r="C5600" s="704" t="s">
        <v>907</v>
      </c>
      <c r="D5600" s="704" t="s">
        <v>44</v>
      </c>
      <c r="E5600" s="704" t="s">
        <v>861</v>
      </c>
      <c r="F5600" s="708"/>
      <c r="G5600" s="705">
        <v>6.2177938475616625E-2</v>
      </c>
    </row>
    <row r="5601" spans="2:7" ht="11.25" hidden="1" customHeight="1" outlineLevel="2" x14ac:dyDescent="0.25">
      <c r="B5601" s="704" t="s">
        <v>684</v>
      </c>
      <c r="C5601" s="704" t="s">
        <v>907</v>
      </c>
      <c r="D5601" s="704" t="s">
        <v>44</v>
      </c>
      <c r="E5601" s="704" t="s">
        <v>861</v>
      </c>
      <c r="F5601" s="708"/>
      <c r="G5601" s="705">
        <v>0.21690321576909077</v>
      </c>
    </row>
    <row r="5602" spans="2:7" ht="11.25" hidden="1" customHeight="1" outlineLevel="2" x14ac:dyDescent="0.25">
      <c r="B5602" s="704" t="s">
        <v>685</v>
      </c>
      <c r="C5602" s="704" t="s">
        <v>907</v>
      </c>
      <c r="D5602" s="704" t="s">
        <v>44</v>
      </c>
      <c r="E5602" s="704" t="s">
        <v>861</v>
      </c>
      <c r="F5602" s="708"/>
      <c r="G5602" s="705">
        <v>0.3309550391823185</v>
      </c>
    </row>
    <row r="5603" spans="2:7" ht="11.25" hidden="1" customHeight="1" outlineLevel="2" x14ac:dyDescent="0.25">
      <c r="B5603" s="704" t="s">
        <v>686</v>
      </c>
      <c r="C5603" s="704" t="s">
        <v>907</v>
      </c>
      <c r="D5603" s="704" t="s">
        <v>44</v>
      </c>
      <c r="E5603" s="704" t="s">
        <v>861</v>
      </c>
      <c r="F5603" s="708"/>
      <c r="G5603" s="705">
        <v>0.1012292817848494</v>
      </c>
    </row>
    <row r="5604" spans="2:7" ht="11.25" hidden="1" customHeight="1" outlineLevel="2" x14ac:dyDescent="0.25">
      <c r="B5604" s="704" t="s">
        <v>687</v>
      </c>
      <c r="C5604" s="704" t="s">
        <v>907</v>
      </c>
      <c r="D5604" s="704" t="s">
        <v>44</v>
      </c>
      <c r="E5604" s="704" t="s">
        <v>861</v>
      </c>
      <c r="F5604" s="708"/>
      <c r="G5604" s="705">
        <v>0.12391157534506413</v>
      </c>
    </row>
    <row r="5605" spans="2:7" ht="11.25" hidden="1" customHeight="1" outlineLevel="2" x14ac:dyDescent="0.25">
      <c r="B5605" s="704" t="s">
        <v>688</v>
      </c>
      <c r="C5605" s="704" t="s">
        <v>907</v>
      </c>
      <c r="D5605" s="704" t="s">
        <v>44</v>
      </c>
      <c r="E5605" s="704" t="s">
        <v>861</v>
      </c>
      <c r="F5605" s="709"/>
      <c r="G5605" s="705">
        <v>5.62109184706708E-2</v>
      </c>
    </row>
    <row r="5606" spans="2:7" ht="11.25" hidden="1" customHeight="1" outlineLevel="2" x14ac:dyDescent="0.25">
      <c r="B5606" s="704" t="s">
        <v>689</v>
      </c>
      <c r="C5606" s="704" t="s">
        <v>907</v>
      </c>
      <c r="D5606" s="704" t="s">
        <v>44</v>
      </c>
      <c r="E5606" s="704" t="s">
        <v>861</v>
      </c>
      <c r="F5606" s="709"/>
      <c r="G5606" s="705">
        <v>0.27457300070126561</v>
      </c>
    </row>
    <row r="5607" spans="2:7" ht="11.25" hidden="1" customHeight="1" outlineLevel="2" x14ac:dyDescent="0.25">
      <c r="B5607" s="704" t="s">
        <v>690</v>
      </c>
      <c r="C5607" s="704" t="s">
        <v>907</v>
      </c>
      <c r="D5607" s="704" t="s">
        <v>44</v>
      </c>
      <c r="E5607" s="704" t="s">
        <v>861</v>
      </c>
      <c r="F5607" s="709"/>
      <c r="G5607" s="705">
        <v>0.12037878120142176</v>
      </c>
    </row>
    <row r="5608" spans="2:7" ht="11.25" hidden="1" customHeight="1" outlineLevel="2" x14ac:dyDescent="0.25">
      <c r="B5608" s="704" t="s">
        <v>691</v>
      </c>
      <c r="C5608" s="704" t="s">
        <v>907</v>
      </c>
      <c r="D5608" s="704" t="s">
        <v>44</v>
      </c>
      <c r="E5608" s="704" t="s">
        <v>861</v>
      </c>
      <c r="F5608" s="709"/>
      <c r="G5608" s="705">
        <v>4.7065496591518374E-2</v>
      </c>
    </row>
    <row r="5609" spans="2:7" ht="11.25" hidden="1" customHeight="1" outlineLevel="2" x14ac:dyDescent="0.25">
      <c r="B5609" s="704" t="s">
        <v>692</v>
      </c>
      <c r="C5609" s="704" t="s">
        <v>907</v>
      </c>
      <c r="D5609" s="704" t="s">
        <v>44</v>
      </c>
      <c r="E5609" s="704" t="s">
        <v>861</v>
      </c>
      <c r="F5609" s="709"/>
      <c r="G5609" s="705">
        <v>0.33928011739530589</v>
      </c>
    </row>
    <row r="5610" spans="2:7" ht="11.25" hidden="1" customHeight="1" outlineLevel="2" x14ac:dyDescent="0.25">
      <c r="B5610" s="704" t="s">
        <v>693</v>
      </c>
      <c r="C5610" s="704" t="s">
        <v>907</v>
      </c>
      <c r="D5610" s="704" t="s">
        <v>44</v>
      </c>
      <c r="E5610" s="704" t="s">
        <v>861</v>
      </c>
      <c r="F5610" s="709"/>
      <c r="G5610" s="705">
        <v>9.3046087829646407E-2</v>
      </c>
    </row>
    <row r="5611" spans="2:7" ht="11.25" hidden="1" customHeight="1" outlineLevel="2" x14ac:dyDescent="0.25">
      <c r="B5611" s="704" t="s">
        <v>694</v>
      </c>
      <c r="C5611" s="704" t="s">
        <v>907</v>
      </c>
      <c r="D5611" s="704" t="s">
        <v>44</v>
      </c>
      <c r="E5611" s="704" t="s">
        <v>861</v>
      </c>
      <c r="F5611" s="709"/>
      <c r="G5611" s="705">
        <v>8.3865502436421685E-2</v>
      </c>
    </row>
    <row r="5612" spans="2:7" ht="11.25" hidden="1" customHeight="1" outlineLevel="2" x14ac:dyDescent="0.25">
      <c r="B5612" s="704" t="s">
        <v>695</v>
      </c>
      <c r="C5612" s="704" t="s">
        <v>907</v>
      </c>
      <c r="D5612" s="704" t="s">
        <v>44</v>
      </c>
      <c r="E5612" s="704" t="s">
        <v>861</v>
      </c>
      <c r="F5612" s="709"/>
      <c r="G5612" s="705">
        <v>0.21866965126155821</v>
      </c>
    </row>
    <row r="5613" spans="2:7" ht="11.25" hidden="1" customHeight="1" outlineLevel="2" x14ac:dyDescent="0.25">
      <c r="B5613" s="704" t="s">
        <v>696</v>
      </c>
      <c r="C5613" s="704" t="s">
        <v>907</v>
      </c>
      <c r="D5613" s="704" t="s">
        <v>44</v>
      </c>
      <c r="E5613" s="704" t="s">
        <v>861</v>
      </c>
      <c r="F5613" s="709"/>
      <c r="G5613" s="705">
        <v>0.19983616003619828</v>
      </c>
    </row>
    <row r="5614" spans="2:7" ht="11.25" hidden="1" customHeight="1" outlineLevel="2" x14ac:dyDescent="0.25">
      <c r="B5614" s="704" t="s">
        <v>697</v>
      </c>
      <c r="C5614" s="704" t="s">
        <v>907</v>
      </c>
      <c r="D5614" s="704" t="s">
        <v>44</v>
      </c>
      <c r="E5614" s="704" t="s">
        <v>861</v>
      </c>
      <c r="F5614" s="709"/>
      <c r="G5614" s="705">
        <v>0.15349855454929506</v>
      </c>
    </row>
    <row r="5615" spans="2:7" ht="11.25" hidden="1" customHeight="1" outlineLevel="2" x14ac:dyDescent="0.25">
      <c r="B5615" s="704" t="s">
        <v>698</v>
      </c>
      <c r="C5615" s="704" t="s">
        <v>907</v>
      </c>
      <c r="D5615" s="704" t="s">
        <v>44</v>
      </c>
      <c r="E5615" s="704" t="s">
        <v>861</v>
      </c>
      <c r="F5615" s="709"/>
      <c r="G5615" s="705">
        <v>0.23336224832429675</v>
      </c>
    </row>
    <row r="5616" spans="2:7" ht="11.25" hidden="1" customHeight="1" outlineLevel="2" x14ac:dyDescent="0.25">
      <c r="B5616" s="704" t="s">
        <v>699</v>
      </c>
      <c r="C5616" s="704" t="s">
        <v>907</v>
      </c>
      <c r="D5616" s="704" t="s">
        <v>44</v>
      </c>
      <c r="E5616" s="704" t="s">
        <v>861</v>
      </c>
      <c r="F5616" s="709"/>
      <c r="G5616" s="705">
        <v>1.0268559227017843E-34</v>
      </c>
    </row>
    <row r="5617" spans="2:7" ht="11.25" hidden="1" customHeight="1" outlineLevel="2" x14ac:dyDescent="0.25">
      <c r="B5617" s="704" t="s">
        <v>673</v>
      </c>
      <c r="C5617" s="704" t="s">
        <v>908</v>
      </c>
      <c r="D5617" s="704" t="s">
        <v>44</v>
      </c>
      <c r="E5617" s="704" t="s">
        <v>861</v>
      </c>
      <c r="F5617" s="709"/>
      <c r="G5617" s="705">
        <v>10.183025679151571</v>
      </c>
    </row>
    <row r="5618" spans="2:7" ht="11.25" hidden="1" customHeight="1" outlineLevel="2" x14ac:dyDescent="0.25">
      <c r="B5618" s="704" t="s">
        <v>677</v>
      </c>
      <c r="C5618" s="704" t="s">
        <v>908</v>
      </c>
      <c r="D5618" s="704" t="s">
        <v>44</v>
      </c>
      <c r="E5618" s="704" t="s">
        <v>861</v>
      </c>
      <c r="F5618" s="706">
        <v>4.7445631506761452E-4</v>
      </c>
      <c r="G5618" s="705">
        <v>18.928580510523975</v>
      </c>
    </row>
    <row r="5619" spans="2:7" ht="11.25" hidden="1" customHeight="1" outlineLevel="2" x14ac:dyDescent="0.25">
      <c r="B5619" s="704" t="s">
        <v>678</v>
      </c>
      <c r="C5619" s="704" t="s">
        <v>908</v>
      </c>
      <c r="D5619" s="704" t="s">
        <v>44</v>
      </c>
      <c r="E5619" s="704" t="s">
        <v>861</v>
      </c>
      <c r="F5619" s="709"/>
      <c r="G5619" s="705">
        <v>38.72325093205616</v>
      </c>
    </row>
    <row r="5620" spans="2:7" ht="11.25" hidden="1" customHeight="1" outlineLevel="2" x14ac:dyDescent="0.25">
      <c r="B5620" s="704" t="s">
        <v>679</v>
      </c>
      <c r="C5620" s="704" t="s">
        <v>908</v>
      </c>
      <c r="D5620" s="704" t="s">
        <v>44</v>
      </c>
      <c r="E5620" s="704" t="s">
        <v>861</v>
      </c>
      <c r="F5620" s="709"/>
      <c r="G5620" s="705">
        <v>13.626323306626809</v>
      </c>
    </row>
    <row r="5621" spans="2:7" ht="11.25" hidden="1" customHeight="1" outlineLevel="2" x14ac:dyDescent="0.25">
      <c r="B5621" s="704" t="s">
        <v>680</v>
      </c>
      <c r="C5621" s="704" t="s">
        <v>908</v>
      </c>
      <c r="D5621" s="704" t="s">
        <v>44</v>
      </c>
      <c r="E5621" s="704" t="s">
        <v>861</v>
      </c>
      <c r="F5621" s="709"/>
      <c r="G5621" s="705">
        <v>88.69680194152825</v>
      </c>
    </row>
    <row r="5622" spans="2:7" ht="11.25" hidden="1" customHeight="1" outlineLevel="2" x14ac:dyDescent="0.25">
      <c r="B5622" s="704" t="s">
        <v>681</v>
      </c>
      <c r="C5622" s="704" t="s">
        <v>908</v>
      </c>
      <c r="D5622" s="704" t="s">
        <v>44</v>
      </c>
      <c r="E5622" s="704" t="s">
        <v>861</v>
      </c>
      <c r="F5622" s="709"/>
      <c r="G5622" s="705">
        <v>99.014719983292778</v>
      </c>
    </row>
    <row r="5623" spans="2:7" ht="11.25" hidden="1" customHeight="1" outlineLevel="2" x14ac:dyDescent="0.25">
      <c r="B5623" s="704" t="s">
        <v>682</v>
      </c>
      <c r="C5623" s="704" t="s">
        <v>908</v>
      </c>
      <c r="D5623" s="704" t="s">
        <v>44</v>
      </c>
      <c r="E5623" s="704" t="s">
        <v>861</v>
      </c>
      <c r="F5623" s="709"/>
      <c r="G5623" s="705">
        <v>48.812736588412648</v>
      </c>
    </row>
    <row r="5624" spans="2:7" ht="11.25" hidden="1" customHeight="1" outlineLevel="2" x14ac:dyDescent="0.25">
      <c r="B5624" s="704" t="s">
        <v>683</v>
      </c>
      <c r="C5624" s="704" t="s">
        <v>908</v>
      </c>
      <c r="D5624" s="704" t="s">
        <v>44</v>
      </c>
      <c r="E5624" s="704" t="s">
        <v>861</v>
      </c>
      <c r="F5624" s="709"/>
      <c r="G5624" s="705">
        <v>22.945239316110879</v>
      </c>
    </row>
    <row r="5625" spans="2:7" ht="11.25" hidden="1" customHeight="1" outlineLevel="2" x14ac:dyDescent="0.25">
      <c r="B5625" s="704" t="s">
        <v>684</v>
      </c>
      <c r="C5625" s="704" t="s">
        <v>908</v>
      </c>
      <c r="D5625" s="704" t="s">
        <v>44</v>
      </c>
      <c r="E5625" s="704" t="s">
        <v>861</v>
      </c>
      <c r="F5625" s="709"/>
      <c r="G5625" s="705">
        <v>80.04283420745513</v>
      </c>
    </row>
    <row r="5626" spans="2:7" ht="11.25" hidden="1" customHeight="1" outlineLevel="2" x14ac:dyDescent="0.25">
      <c r="B5626" s="704" t="s">
        <v>685</v>
      </c>
      <c r="C5626" s="704" t="s">
        <v>908</v>
      </c>
      <c r="D5626" s="704" t="s">
        <v>44</v>
      </c>
      <c r="E5626" s="704" t="s">
        <v>861</v>
      </c>
      <c r="F5626" s="709"/>
      <c r="G5626" s="705">
        <v>122.13090888575901</v>
      </c>
    </row>
    <row r="5627" spans="2:7" ht="11.25" hidden="1" customHeight="1" outlineLevel="2" x14ac:dyDescent="0.25">
      <c r="B5627" s="704" t="s">
        <v>686</v>
      </c>
      <c r="C5627" s="704" t="s">
        <v>908</v>
      </c>
      <c r="D5627" s="704" t="s">
        <v>44</v>
      </c>
      <c r="E5627" s="704" t="s">
        <v>861</v>
      </c>
      <c r="F5627" s="709"/>
      <c r="G5627" s="705">
        <v>37.356185970564724</v>
      </c>
    </row>
    <row r="5628" spans="2:7" ht="11.25" hidden="1" customHeight="1" outlineLevel="2" x14ac:dyDescent="0.25">
      <c r="B5628" s="704" t="s">
        <v>687</v>
      </c>
      <c r="C5628" s="704" t="s">
        <v>908</v>
      </c>
      <c r="D5628" s="704" t="s">
        <v>44</v>
      </c>
      <c r="E5628" s="704" t="s">
        <v>861</v>
      </c>
      <c r="F5628" s="709"/>
      <c r="G5628" s="705">
        <v>45.726534127736457</v>
      </c>
    </row>
    <row r="5629" spans="2:7" ht="11.25" hidden="1" customHeight="1" outlineLevel="2" x14ac:dyDescent="0.25">
      <c r="B5629" s="704" t="s">
        <v>688</v>
      </c>
      <c r="C5629" s="704" t="s">
        <v>908</v>
      </c>
      <c r="D5629" s="704" t="s">
        <v>44</v>
      </c>
      <c r="E5629" s="704" t="s">
        <v>861</v>
      </c>
      <c r="F5629" s="709"/>
      <c r="G5629" s="705">
        <v>20.743272270349735</v>
      </c>
    </row>
    <row r="5630" spans="2:7" ht="11.25" hidden="1" customHeight="1" outlineLevel="2" x14ac:dyDescent="0.25">
      <c r="B5630" s="704" t="s">
        <v>689</v>
      </c>
      <c r="C5630" s="704" t="s">
        <v>908</v>
      </c>
      <c r="D5630" s="704" t="s">
        <v>44</v>
      </c>
      <c r="E5630" s="704" t="s">
        <v>861</v>
      </c>
      <c r="F5630" s="708"/>
      <c r="G5630" s="705">
        <v>101.32445802647196</v>
      </c>
    </row>
    <row r="5631" spans="2:7" ht="11.25" hidden="1" customHeight="1" outlineLevel="2" x14ac:dyDescent="0.25">
      <c r="B5631" s="704" t="s">
        <v>690</v>
      </c>
      <c r="C5631" s="704" t="s">
        <v>908</v>
      </c>
      <c r="D5631" s="704" t="s">
        <v>44</v>
      </c>
      <c r="E5631" s="704" t="s">
        <v>861</v>
      </c>
      <c r="F5631" s="708"/>
      <c r="G5631" s="705">
        <v>44.422852662994622</v>
      </c>
    </row>
    <row r="5632" spans="2:7" ht="11.25" hidden="1" customHeight="1" outlineLevel="2" x14ac:dyDescent="0.25">
      <c r="B5632" s="704" t="s">
        <v>691</v>
      </c>
      <c r="C5632" s="704" t="s">
        <v>908</v>
      </c>
      <c r="D5632" s="704" t="s">
        <v>44</v>
      </c>
      <c r="E5632" s="704" t="s">
        <v>861</v>
      </c>
      <c r="F5632" s="708"/>
      <c r="G5632" s="705">
        <v>17.368372866302117</v>
      </c>
    </row>
    <row r="5633" spans="2:7" ht="11.25" hidden="1" customHeight="1" outlineLevel="2" x14ac:dyDescent="0.25">
      <c r="B5633" s="704" t="s">
        <v>692</v>
      </c>
      <c r="C5633" s="704" t="s">
        <v>908</v>
      </c>
      <c r="D5633" s="704" t="s">
        <v>44</v>
      </c>
      <c r="E5633" s="704" t="s">
        <v>861</v>
      </c>
      <c r="F5633" s="708"/>
      <c r="G5633" s="705">
        <v>125.20301293654849</v>
      </c>
    </row>
    <row r="5634" spans="2:7" ht="11.25" hidden="1" customHeight="1" outlineLevel="2" x14ac:dyDescent="0.25">
      <c r="B5634" s="704" t="s">
        <v>693</v>
      </c>
      <c r="C5634" s="704" t="s">
        <v>908</v>
      </c>
      <c r="D5634" s="704" t="s">
        <v>44</v>
      </c>
      <c r="E5634" s="704" t="s">
        <v>861</v>
      </c>
      <c r="F5634" s="708"/>
      <c r="G5634" s="705">
        <v>34.336400085605774</v>
      </c>
    </row>
    <row r="5635" spans="2:7" ht="11.25" hidden="1" customHeight="1" outlineLevel="2" x14ac:dyDescent="0.25">
      <c r="B5635" s="704" t="s">
        <v>694</v>
      </c>
      <c r="C5635" s="704" t="s">
        <v>908</v>
      </c>
      <c r="D5635" s="704" t="s">
        <v>44</v>
      </c>
      <c r="E5635" s="704" t="s">
        <v>861</v>
      </c>
      <c r="F5635" s="708"/>
      <c r="G5635" s="705">
        <v>30.948526691705531</v>
      </c>
    </row>
    <row r="5636" spans="2:7" ht="11.25" hidden="1" customHeight="1" outlineLevel="2" x14ac:dyDescent="0.25">
      <c r="B5636" s="704" t="s">
        <v>695</v>
      </c>
      <c r="C5636" s="704" t="s">
        <v>908</v>
      </c>
      <c r="D5636" s="704" t="s">
        <v>44</v>
      </c>
      <c r="E5636" s="704" t="s">
        <v>861</v>
      </c>
      <c r="F5636" s="708"/>
      <c r="G5636" s="705">
        <v>80.694650593849516</v>
      </c>
    </row>
    <row r="5637" spans="2:7" ht="11.25" hidden="1" customHeight="1" outlineLevel="2" x14ac:dyDescent="0.25">
      <c r="B5637" s="704" t="s">
        <v>696</v>
      </c>
      <c r="C5637" s="704" t="s">
        <v>908</v>
      </c>
      <c r="D5637" s="704" t="s">
        <v>44</v>
      </c>
      <c r="E5637" s="704" t="s">
        <v>861</v>
      </c>
      <c r="F5637" s="708"/>
      <c r="G5637" s="705">
        <v>73.744684358536276</v>
      </c>
    </row>
    <row r="5638" spans="2:7" ht="11.25" hidden="1" customHeight="1" outlineLevel="2" x14ac:dyDescent="0.25">
      <c r="B5638" s="704" t="s">
        <v>697</v>
      </c>
      <c r="C5638" s="704" t="s">
        <v>908</v>
      </c>
      <c r="D5638" s="704" t="s">
        <v>44</v>
      </c>
      <c r="E5638" s="704" t="s">
        <v>861</v>
      </c>
      <c r="F5638" s="708"/>
      <c r="G5638" s="705">
        <v>56.644891292917542</v>
      </c>
    </row>
    <row r="5639" spans="2:7" ht="11.25" hidden="1" customHeight="1" outlineLevel="2" x14ac:dyDescent="0.25">
      <c r="B5639" s="704" t="s">
        <v>698</v>
      </c>
      <c r="C5639" s="704" t="s">
        <v>908</v>
      </c>
      <c r="D5639" s="704" t="s">
        <v>44</v>
      </c>
      <c r="E5639" s="704" t="s">
        <v>861</v>
      </c>
      <c r="F5639" s="708"/>
      <c r="G5639" s="705">
        <v>86.116623850581817</v>
      </c>
    </row>
    <row r="5640" spans="2:7" ht="11.25" hidden="1" customHeight="1" outlineLevel="2" x14ac:dyDescent="0.25">
      <c r="B5640" s="704" t="s">
        <v>699</v>
      </c>
      <c r="C5640" s="704" t="s">
        <v>908</v>
      </c>
      <c r="D5640" s="704" t="s">
        <v>44</v>
      </c>
      <c r="E5640" s="704" t="s">
        <v>861</v>
      </c>
      <c r="F5640" s="708"/>
      <c r="G5640" s="705">
        <v>1.3029741115138325E-30</v>
      </c>
    </row>
    <row r="5641" spans="2:7" ht="11.25" hidden="1" customHeight="1" outlineLevel="2" x14ac:dyDescent="0.25">
      <c r="B5641" s="704" t="s">
        <v>673</v>
      </c>
      <c r="C5641" s="704" t="s">
        <v>909</v>
      </c>
      <c r="D5641" s="704" t="s">
        <v>44</v>
      </c>
      <c r="E5641" s="704" t="s">
        <v>861</v>
      </c>
      <c r="F5641" s="708"/>
      <c r="G5641" s="705">
        <v>28.285758239622794</v>
      </c>
    </row>
    <row r="5642" spans="2:7" ht="11.25" hidden="1" customHeight="1" outlineLevel="2" x14ac:dyDescent="0.25">
      <c r="B5642" s="704" t="s">
        <v>677</v>
      </c>
      <c r="C5642" s="704" t="s">
        <v>909</v>
      </c>
      <c r="D5642" s="704" t="s">
        <v>44</v>
      </c>
      <c r="E5642" s="704" t="s">
        <v>861</v>
      </c>
      <c r="F5642" s="705">
        <v>1.3395457533123207E-3</v>
      </c>
      <c r="G5642" s="705">
        <v>52.578603723110895</v>
      </c>
    </row>
    <row r="5643" spans="2:7" ht="11.25" hidden="1" customHeight="1" outlineLevel="2" x14ac:dyDescent="0.25">
      <c r="B5643" s="704" t="s">
        <v>678</v>
      </c>
      <c r="C5643" s="704" t="s">
        <v>909</v>
      </c>
      <c r="D5643" s="704" t="s">
        <v>44</v>
      </c>
      <c r="E5643" s="704" t="s">
        <v>861</v>
      </c>
      <c r="F5643" s="708"/>
      <c r="G5643" s="705">
        <v>107.56304795310963</v>
      </c>
    </row>
    <row r="5644" spans="2:7" ht="11.25" hidden="1" customHeight="1" outlineLevel="2" x14ac:dyDescent="0.25">
      <c r="B5644" s="704" t="s">
        <v>679</v>
      </c>
      <c r="C5644" s="704" t="s">
        <v>909</v>
      </c>
      <c r="D5644" s="704" t="s">
        <v>44</v>
      </c>
      <c r="E5644" s="704" t="s">
        <v>861</v>
      </c>
      <c r="F5644" s="708"/>
      <c r="G5644" s="705">
        <v>37.850336346076574</v>
      </c>
    </row>
    <row r="5645" spans="2:7" ht="11.25" hidden="1" customHeight="1" outlineLevel="2" x14ac:dyDescent="0.25">
      <c r="B5645" s="704" t="s">
        <v>680</v>
      </c>
      <c r="C5645" s="704" t="s">
        <v>909</v>
      </c>
      <c r="D5645" s="704" t="s">
        <v>44</v>
      </c>
      <c r="E5645" s="704" t="s">
        <v>861</v>
      </c>
      <c r="F5645" s="708"/>
      <c r="G5645" s="705">
        <v>246.37647444100796</v>
      </c>
    </row>
    <row r="5646" spans="2:7" ht="11.25" hidden="1" customHeight="1" outlineLevel="2" x14ac:dyDescent="0.25">
      <c r="B5646" s="704" t="s">
        <v>681</v>
      </c>
      <c r="C5646" s="704" t="s">
        <v>909</v>
      </c>
      <c r="D5646" s="704" t="s">
        <v>44</v>
      </c>
      <c r="E5646" s="704" t="s">
        <v>861</v>
      </c>
      <c r="F5646" s="708"/>
      <c r="G5646" s="705">
        <v>275.03685212351633</v>
      </c>
    </row>
    <row r="5647" spans="2:7" ht="11.25" hidden="1" customHeight="1" outlineLevel="2" x14ac:dyDescent="0.25">
      <c r="B5647" s="704" t="s">
        <v>682</v>
      </c>
      <c r="C5647" s="704" t="s">
        <v>909</v>
      </c>
      <c r="D5647" s="704" t="s">
        <v>44</v>
      </c>
      <c r="E5647" s="704" t="s">
        <v>861</v>
      </c>
      <c r="F5647" s="708"/>
      <c r="G5647" s="705">
        <v>135.58891337489544</v>
      </c>
    </row>
    <row r="5648" spans="2:7" ht="11.25" hidden="1" customHeight="1" outlineLevel="2" x14ac:dyDescent="0.25">
      <c r="B5648" s="704" t="s">
        <v>683</v>
      </c>
      <c r="C5648" s="704" t="s">
        <v>909</v>
      </c>
      <c r="D5648" s="704" t="s">
        <v>44</v>
      </c>
      <c r="E5648" s="704" t="s">
        <v>861</v>
      </c>
      <c r="F5648" s="708"/>
      <c r="G5648" s="705">
        <v>63.735870412953133</v>
      </c>
    </row>
    <row r="5649" spans="2:7" ht="11.25" hidden="1" customHeight="1" outlineLevel="2" x14ac:dyDescent="0.25">
      <c r="B5649" s="704" t="s">
        <v>684</v>
      </c>
      <c r="C5649" s="704" t="s">
        <v>909</v>
      </c>
      <c r="D5649" s="704" t="s">
        <v>44</v>
      </c>
      <c r="E5649" s="704" t="s">
        <v>861</v>
      </c>
      <c r="F5649" s="708"/>
      <c r="G5649" s="705">
        <v>222.33789830256848</v>
      </c>
    </row>
    <row r="5650" spans="2:7" ht="11.25" hidden="1" customHeight="1" outlineLevel="2" x14ac:dyDescent="0.25">
      <c r="B5650" s="704" t="s">
        <v>685</v>
      </c>
      <c r="C5650" s="704" t="s">
        <v>909</v>
      </c>
      <c r="D5650" s="704" t="s">
        <v>44</v>
      </c>
      <c r="E5650" s="704" t="s">
        <v>861</v>
      </c>
      <c r="F5650" s="709"/>
      <c r="G5650" s="705">
        <v>339.24754148615511</v>
      </c>
    </row>
    <row r="5651" spans="2:7" ht="11.25" hidden="1" customHeight="1" outlineLevel="2" x14ac:dyDescent="0.25">
      <c r="B5651" s="704" t="s">
        <v>686</v>
      </c>
      <c r="C5651" s="704" t="s">
        <v>909</v>
      </c>
      <c r="D5651" s="704" t="s">
        <v>44</v>
      </c>
      <c r="E5651" s="704" t="s">
        <v>861</v>
      </c>
      <c r="F5651" s="709"/>
      <c r="G5651" s="705">
        <v>103.76568813498633</v>
      </c>
    </row>
    <row r="5652" spans="2:7" ht="11.25" hidden="1" customHeight="1" outlineLevel="2" x14ac:dyDescent="0.25">
      <c r="B5652" s="704" t="s">
        <v>687</v>
      </c>
      <c r="C5652" s="704" t="s">
        <v>909</v>
      </c>
      <c r="D5652" s="704" t="s">
        <v>44</v>
      </c>
      <c r="E5652" s="704" t="s">
        <v>861</v>
      </c>
      <c r="F5652" s="709"/>
      <c r="G5652" s="705">
        <v>127.01629420824636</v>
      </c>
    </row>
    <row r="5653" spans="2:7" ht="11.25" hidden="1" customHeight="1" outlineLevel="2" x14ac:dyDescent="0.25">
      <c r="B5653" s="704" t="s">
        <v>688</v>
      </c>
      <c r="C5653" s="704" t="s">
        <v>909</v>
      </c>
      <c r="D5653" s="704" t="s">
        <v>44</v>
      </c>
      <c r="E5653" s="704" t="s">
        <v>861</v>
      </c>
      <c r="F5653" s="709"/>
      <c r="G5653" s="705">
        <v>57.619350256299974</v>
      </c>
    </row>
    <row r="5654" spans="2:7" ht="11.25" hidden="1" customHeight="1" outlineLevel="2" x14ac:dyDescent="0.25">
      <c r="B5654" s="704" t="s">
        <v>689</v>
      </c>
      <c r="C5654" s="704" t="s">
        <v>909</v>
      </c>
      <c r="D5654" s="704" t="s">
        <v>44</v>
      </c>
      <c r="E5654" s="704" t="s">
        <v>861</v>
      </c>
      <c r="F5654" s="709"/>
      <c r="G5654" s="705">
        <v>281.45275421916176</v>
      </c>
    </row>
    <row r="5655" spans="2:7" ht="11.25" hidden="1" customHeight="1" outlineLevel="2" x14ac:dyDescent="0.25">
      <c r="B5655" s="704" t="s">
        <v>690</v>
      </c>
      <c r="C5655" s="704" t="s">
        <v>909</v>
      </c>
      <c r="D5655" s="704" t="s">
        <v>44</v>
      </c>
      <c r="E5655" s="704" t="s">
        <v>861</v>
      </c>
      <c r="F5655" s="709"/>
      <c r="G5655" s="705">
        <v>123.39500090473058</v>
      </c>
    </row>
    <row r="5656" spans="2:7" ht="11.25" hidden="1" customHeight="1" outlineLevel="2" x14ac:dyDescent="0.25">
      <c r="B5656" s="704" t="s">
        <v>691</v>
      </c>
      <c r="C5656" s="704" t="s">
        <v>909</v>
      </c>
      <c r="D5656" s="704" t="s">
        <v>44</v>
      </c>
      <c r="E5656" s="704" t="s">
        <v>861</v>
      </c>
      <c r="F5656" s="709"/>
      <c r="G5656" s="705">
        <v>48.244788491639881</v>
      </c>
    </row>
    <row r="5657" spans="2:7" ht="11.25" hidden="1" customHeight="1" outlineLevel="2" x14ac:dyDescent="0.25">
      <c r="B5657" s="704" t="s">
        <v>692</v>
      </c>
      <c r="C5657" s="704" t="s">
        <v>909</v>
      </c>
      <c r="D5657" s="704" t="s">
        <v>44</v>
      </c>
      <c r="E5657" s="704" t="s">
        <v>861</v>
      </c>
      <c r="F5657" s="708"/>
      <c r="G5657" s="705">
        <v>347.78101059718119</v>
      </c>
    </row>
    <row r="5658" spans="2:7" ht="11.25" hidden="1" customHeight="1" outlineLevel="2" x14ac:dyDescent="0.25">
      <c r="B5658" s="704" t="s">
        <v>693</v>
      </c>
      <c r="C5658" s="704" t="s">
        <v>909</v>
      </c>
      <c r="D5658" s="704" t="s">
        <v>44</v>
      </c>
      <c r="E5658" s="704" t="s">
        <v>861</v>
      </c>
      <c r="F5658" s="708"/>
      <c r="G5658" s="705">
        <v>95.377505078119214</v>
      </c>
    </row>
    <row r="5659" spans="2:7" ht="11.25" hidden="1" customHeight="1" outlineLevel="2" x14ac:dyDescent="0.25">
      <c r="B5659" s="704" t="s">
        <v>694</v>
      </c>
      <c r="C5659" s="704" t="s">
        <v>909</v>
      </c>
      <c r="D5659" s="704" t="s">
        <v>44</v>
      </c>
      <c r="E5659" s="704" t="s">
        <v>861</v>
      </c>
      <c r="F5659" s="708"/>
      <c r="G5659" s="705">
        <v>85.966832069728909</v>
      </c>
    </row>
    <row r="5660" spans="2:7" ht="11.25" hidden="1" customHeight="1" outlineLevel="2" x14ac:dyDescent="0.25">
      <c r="B5660" s="704" t="s">
        <v>695</v>
      </c>
      <c r="C5660" s="704" t="s">
        <v>909</v>
      </c>
      <c r="D5660" s="704" t="s">
        <v>44</v>
      </c>
      <c r="E5660" s="704" t="s">
        <v>861</v>
      </c>
      <c r="F5660" s="708"/>
      <c r="G5660" s="705">
        <v>224.14857071263691</v>
      </c>
    </row>
    <row r="5661" spans="2:7" ht="11.25" hidden="1" customHeight="1" outlineLevel="2" x14ac:dyDescent="0.25">
      <c r="B5661" s="704" t="s">
        <v>696</v>
      </c>
      <c r="C5661" s="704" t="s">
        <v>909</v>
      </c>
      <c r="D5661" s="704" t="s">
        <v>44</v>
      </c>
      <c r="E5661" s="704" t="s">
        <v>861</v>
      </c>
      <c r="F5661" s="708"/>
      <c r="G5661" s="705">
        <v>204.84337885306908</v>
      </c>
    </row>
    <row r="5662" spans="2:7" ht="11.25" hidden="1" customHeight="1" outlineLevel="2" x14ac:dyDescent="0.25">
      <c r="B5662" s="704" t="s">
        <v>697</v>
      </c>
      <c r="C5662" s="704" t="s">
        <v>909</v>
      </c>
      <c r="D5662" s="704" t="s">
        <v>44</v>
      </c>
      <c r="E5662" s="704" t="s">
        <v>861</v>
      </c>
      <c r="F5662" s="708"/>
      <c r="G5662" s="705">
        <v>157.34463231973592</v>
      </c>
    </row>
    <row r="5663" spans="2:7" ht="11.25" hidden="1" customHeight="1" outlineLevel="2" x14ac:dyDescent="0.25">
      <c r="B5663" s="704" t="s">
        <v>698</v>
      </c>
      <c r="C5663" s="704" t="s">
        <v>909</v>
      </c>
      <c r="D5663" s="704" t="s">
        <v>44</v>
      </c>
      <c r="E5663" s="704" t="s">
        <v>861</v>
      </c>
      <c r="F5663" s="708"/>
      <c r="G5663" s="705">
        <v>239.20928830170703</v>
      </c>
    </row>
    <row r="5664" spans="2:7" ht="11.25" hidden="1" customHeight="1" outlineLevel="2" x14ac:dyDescent="0.25">
      <c r="B5664" s="704" t="s">
        <v>699</v>
      </c>
      <c r="C5664" s="704" t="s">
        <v>909</v>
      </c>
      <c r="D5664" s="704" t="s">
        <v>44</v>
      </c>
      <c r="E5664" s="704" t="s">
        <v>861</v>
      </c>
      <c r="F5664" s="708"/>
      <c r="G5664" s="705">
        <v>1.540882820570414E-32</v>
      </c>
    </row>
    <row r="5665" spans="2:7" ht="11.25" hidden="1" customHeight="1" outlineLevel="2" x14ac:dyDescent="0.25">
      <c r="B5665" s="704" t="s">
        <v>673</v>
      </c>
      <c r="C5665" s="704" t="s">
        <v>910</v>
      </c>
      <c r="D5665" s="704" t="s">
        <v>44</v>
      </c>
      <c r="E5665" s="704" t="s">
        <v>861</v>
      </c>
      <c r="F5665" s="708"/>
      <c r="G5665" s="705">
        <v>20.795545367537141</v>
      </c>
    </row>
    <row r="5666" spans="2:7" ht="11.25" hidden="1" customHeight="1" outlineLevel="2" x14ac:dyDescent="0.25">
      <c r="B5666" s="704" t="s">
        <v>677</v>
      </c>
      <c r="C5666" s="704" t="s">
        <v>910</v>
      </c>
      <c r="D5666" s="704" t="s">
        <v>44</v>
      </c>
      <c r="E5666" s="704" t="s">
        <v>861</v>
      </c>
      <c r="F5666" s="705">
        <v>1.2208815814322542E-3</v>
      </c>
      <c r="G5666" s="705">
        <v>38.655507139248847</v>
      </c>
    </row>
    <row r="5667" spans="2:7" ht="11.25" hidden="1" customHeight="1" outlineLevel="2" x14ac:dyDescent="0.25">
      <c r="B5667" s="704" t="s">
        <v>678</v>
      </c>
      <c r="C5667" s="704" t="s">
        <v>910</v>
      </c>
      <c r="D5667" s="704" t="s">
        <v>44</v>
      </c>
      <c r="E5667" s="704" t="s">
        <v>861</v>
      </c>
      <c r="F5667" s="708"/>
      <c r="G5667" s="705">
        <v>79.079760456691147</v>
      </c>
    </row>
    <row r="5668" spans="2:7" ht="11.25" hidden="1" customHeight="1" outlineLevel="2" x14ac:dyDescent="0.25">
      <c r="B5668" s="704" t="s">
        <v>679</v>
      </c>
      <c r="C5668" s="704" t="s">
        <v>910</v>
      </c>
      <c r="D5668" s="704" t="s">
        <v>44</v>
      </c>
      <c r="E5668" s="704" t="s">
        <v>861</v>
      </c>
      <c r="F5668" s="708"/>
      <c r="G5668" s="705">
        <v>27.82736031497026</v>
      </c>
    </row>
    <row r="5669" spans="2:7" ht="11.25" hidden="1" customHeight="1" outlineLevel="2" x14ac:dyDescent="0.25">
      <c r="B5669" s="704" t="s">
        <v>680</v>
      </c>
      <c r="C5669" s="704" t="s">
        <v>910</v>
      </c>
      <c r="D5669" s="704" t="s">
        <v>44</v>
      </c>
      <c r="E5669" s="704" t="s">
        <v>861</v>
      </c>
      <c r="F5669" s="708"/>
      <c r="G5669" s="705">
        <v>181.13464832459377</v>
      </c>
    </row>
    <row r="5670" spans="2:7" ht="11.25" hidden="1" customHeight="1" outlineLevel="2" x14ac:dyDescent="0.25">
      <c r="B5670" s="704" t="s">
        <v>681</v>
      </c>
      <c r="C5670" s="704" t="s">
        <v>910</v>
      </c>
      <c r="D5670" s="704" t="s">
        <v>44</v>
      </c>
      <c r="E5670" s="704" t="s">
        <v>861</v>
      </c>
      <c r="F5670" s="708"/>
      <c r="G5670" s="705">
        <v>202.20563236622567</v>
      </c>
    </row>
    <row r="5671" spans="2:7" ht="11.25" hidden="1" customHeight="1" outlineLevel="2" x14ac:dyDescent="0.25">
      <c r="B5671" s="704" t="s">
        <v>682</v>
      </c>
      <c r="C5671" s="704" t="s">
        <v>910</v>
      </c>
      <c r="D5671" s="704" t="s">
        <v>44</v>
      </c>
      <c r="E5671" s="704" t="s">
        <v>861</v>
      </c>
      <c r="F5671" s="708"/>
      <c r="G5671" s="705">
        <v>99.684272434038448</v>
      </c>
    </row>
    <row r="5672" spans="2:7" ht="11.25" hidden="1" customHeight="1" outlineLevel="2" x14ac:dyDescent="0.25">
      <c r="B5672" s="704" t="s">
        <v>683</v>
      </c>
      <c r="C5672" s="704" t="s">
        <v>910</v>
      </c>
      <c r="D5672" s="704" t="s">
        <v>44</v>
      </c>
      <c r="E5672" s="704" t="s">
        <v>861</v>
      </c>
      <c r="F5672" s="708"/>
      <c r="G5672" s="705">
        <v>46.858281472168187</v>
      </c>
    </row>
    <row r="5673" spans="2:7" ht="11.25" hidden="1" customHeight="1" outlineLevel="2" x14ac:dyDescent="0.25">
      <c r="B5673" s="704" t="s">
        <v>684</v>
      </c>
      <c r="C5673" s="704" t="s">
        <v>910</v>
      </c>
      <c r="D5673" s="704" t="s">
        <v>44</v>
      </c>
      <c r="E5673" s="704" t="s">
        <v>861</v>
      </c>
      <c r="F5673" s="708"/>
      <c r="G5673" s="705">
        <v>163.46163993283884</v>
      </c>
    </row>
    <row r="5674" spans="2:7" ht="11.25" hidden="1" customHeight="1" outlineLevel="2" x14ac:dyDescent="0.25">
      <c r="B5674" s="704" t="s">
        <v>685</v>
      </c>
      <c r="C5674" s="704" t="s">
        <v>910</v>
      </c>
      <c r="D5674" s="704" t="s">
        <v>44</v>
      </c>
      <c r="E5674" s="704" t="s">
        <v>861</v>
      </c>
      <c r="F5674" s="708"/>
      <c r="G5674" s="705">
        <v>249.41300317907019</v>
      </c>
    </row>
    <row r="5675" spans="2:7" ht="11.25" hidden="1" customHeight="1" outlineLevel="2" x14ac:dyDescent="0.25">
      <c r="B5675" s="704" t="s">
        <v>686</v>
      </c>
      <c r="C5675" s="704" t="s">
        <v>910</v>
      </c>
      <c r="D5675" s="704" t="s">
        <v>44</v>
      </c>
      <c r="E5675" s="704" t="s">
        <v>861</v>
      </c>
      <c r="F5675" s="708"/>
      <c r="G5675" s="705">
        <v>76.287978081635359</v>
      </c>
    </row>
    <row r="5676" spans="2:7" ht="11.25" hidden="1" customHeight="1" outlineLevel="2" x14ac:dyDescent="0.25">
      <c r="B5676" s="704" t="s">
        <v>687</v>
      </c>
      <c r="C5676" s="704" t="s">
        <v>910</v>
      </c>
      <c r="D5676" s="704" t="s">
        <v>44</v>
      </c>
      <c r="E5676" s="704" t="s">
        <v>861</v>
      </c>
      <c r="F5676" s="708"/>
      <c r="G5676" s="705">
        <v>93.381703617299223</v>
      </c>
    </row>
    <row r="5677" spans="2:7" ht="11.25" hidden="1" customHeight="1" outlineLevel="2" x14ac:dyDescent="0.25">
      <c r="B5677" s="704" t="s">
        <v>688</v>
      </c>
      <c r="C5677" s="704" t="s">
        <v>910</v>
      </c>
      <c r="D5677" s="704" t="s">
        <v>44</v>
      </c>
      <c r="E5677" s="704" t="s">
        <v>861</v>
      </c>
      <c r="F5677" s="708"/>
      <c r="G5677" s="705">
        <v>42.361451300908016</v>
      </c>
    </row>
    <row r="5678" spans="2:7" ht="11.25" hidden="1" customHeight="1" outlineLevel="2" x14ac:dyDescent="0.25">
      <c r="B5678" s="704" t="s">
        <v>689</v>
      </c>
      <c r="C5678" s="704" t="s">
        <v>910</v>
      </c>
      <c r="D5678" s="704" t="s">
        <v>44</v>
      </c>
      <c r="E5678" s="704" t="s">
        <v>861</v>
      </c>
      <c r="F5678" s="708"/>
      <c r="G5678" s="705">
        <v>206.92255401432075</v>
      </c>
    </row>
    <row r="5679" spans="2:7" ht="11.25" hidden="1" customHeight="1" outlineLevel="2" x14ac:dyDescent="0.25">
      <c r="B5679" s="704" t="s">
        <v>690</v>
      </c>
      <c r="C5679" s="704" t="s">
        <v>910</v>
      </c>
      <c r="D5679" s="704" t="s">
        <v>44</v>
      </c>
      <c r="E5679" s="704" t="s">
        <v>861</v>
      </c>
      <c r="F5679" s="708"/>
      <c r="G5679" s="705">
        <v>90.719363303972585</v>
      </c>
    </row>
    <row r="5680" spans="2:7" ht="11.25" hidden="1" customHeight="1" outlineLevel="2" x14ac:dyDescent="0.25">
      <c r="B5680" s="704" t="s">
        <v>691</v>
      </c>
      <c r="C5680" s="704" t="s">
        <v>910</v>
      </c>
      <c r="D5680" s="704" t="s">
        <v>44</v>
      </c>
      <c r="E5680" s="704" t="s">
        <v>861</v>
      </c>
      <c r="F5680" s="708"/>
      <c r="G5680" s="705">
        <v>35.469307378178527</v>
      </c>
    </row>
    <row r="5681" spans="2:7" ht="11.25" hidden="1" customHeight="1" outlineLevel="2" x14ac:dyDescent="0.25">
      <c r="B5681" s="704" t="s">
        <v>692</v>
      </c>
      <c r="C5681" s="704" t="s">
        <v>910</v>
      </c>
      <c r="D5681" s="704" t="s">
        <v>44</v>
      </c>
      <c r="E5681" s="704" t="s">
        <v>861</v>
      </c>
      <c r="F5681" s="708"/>
      <c r="G5681" s="705">
        <v>255.68679495760557</v>
      </c>
    </row>
    <row r="5682" spans="2:7" ht="11.25" hidden="1" customHeight="1" outlineLevel="2" x14ac:dyDescent="0.25">
      <c r="B5682" s="704" t="s">
        <v>693</v>
      </c>
      <c r="C5682" s="704" t="s">
        <v>910</v>
      </c>
      <c r="D5682" s="704" t="s">
        <v>44</v>
      </c>
      <c r="E5682" s="704" t="s">
        <v>861</v>
      </c>
      <c r="F5682" s="708"/>
      <c r="G5682" s="705">
        <v>70.121011811876031</v>
      </c>
    </row>
    <row r="5683" spans="2:7" ht="11.25" hidden="1" customHeight="1" outlineLevel="2" x14ac:dyDescent="0.25">
      <c r="B5683" s="704" t="s">
        <v>694</v>
      </c>
      <c r="C5683" s="704" t="s">
        <v>910</v>
      </c>
      <c r="D5683" s="704" t="s">
        <v>44</v>
      </c>
      <c r="E5683" s="704" t="s">
        <v>861</v>
      </c>
      <c r="F5683" s="708"/>
      <c r="G5683" s="705">
        <v>63.202372191583741</v>
      </c>
    </row>
    <row r="5684" spans="2:7" ht="11.25" hidden="1" customHeight="1" outlineLevel="2" x14ac:dyDescent="0.25">
      <c r="B5684" s="704" t="s">
        <v>695</v>
      </c>
      <c r="C5684" s="704" t="s">
        <v>910</v>
      </c>
      <c r="D5684" s="704" t="s">
        <v>44</v>
      </c>
      <c r="E5684" s="704" t="s">
        <v>861</v>
      </c>
      <c r="F5684" s="708"/>
      <c r="G5684" s="705">
        <v>164.79280336456816</v>
      </c>
    </row>
    <row r="5685" spans="2:7" ht="11.25" hidden="1" customHeight="1" outlineLevel="2" x14ac:dyDescent="0.25">
      <c r="B5685" s="704" t="s">
        <v>696</v>
      </c>
      <c r="C5685" s="704" t="s">
        <v>910</v>
      </c>
      <c r="D5685" s="704" t="s">
        <v>44</v>
      </c>
      <c r="E5685" s="704" t="s">
        <v>861</v>
      </c>
      <c r="F5685" s="708"/>
      <c r="G5685" s="705">
        <v>150.59973591377306</v>
      </c>
    </row>
    <row r="5686" spans="2:7" ht="11.25" hidden="1" customHeight="1" outlineLevel="2" x14ac:dyDescent="0.25">
      <c r="B5686" s="704" t="s">
        <v>697</v>
      </c>
      <c r="C5686" s="704" t="s">
        <v>910</v>
      </c>
      <c r="D5686" s="704" t="s">
        <v>44</v>
      </c>
      <c r="E5686" s="704" t="s">
        <v>861</v>
      </c>
      <c r="F5686" s="708"/>
      <c r="G5686" s="705">
        <v>115.67894580615162</v>
      </c>
    </row>
    <row r="5687" spans="2:7" ht="11.25" hidden="1" customHeight="1" outlineLevel="2" x14ac:dyDescent="0.25">
      <c r="B5687" s="704" t="s">
        <v>698</v>
      </c>
      <c r="C5687" s="704" t="s">
        <v>910</v>
      </c>
      <c r="D5687" s="704" t="s">
        <v>44</v>
      </c>
      <c r="E5687" s="704" t="s">
        <v>861</v>
      </c>
      <c r="F5687" s="708"/>
      <c r="G5687" s="705">
        <v>175.86544013752658</v>
      </c>
    </row>
    <row r="5688" spans="2:7" ht="11.25" hidden="1" customHeight="1" outlineLevel="2" x14ac:dyDescent="0.25">
      <c r="B5688" s="704" t="s">
        <v>699</v>
      </c>
      <c r="C5688" s="704" t="s">
        <v>910</v>
      </c>
      <c r="D5688" s="704" t="s">
        <v>44</v>
      </c>
      <c r="E5688" s="704" t="s">
        <v>861</v>
      </c>
      <c r="F5688" s="708"/>
      <c r="G5688" s="705">
        <v>1.8693729389601288E-30</v>
      </c>
    </row>
    <row r="5689" spans="2:7" ht="11.25" hidden="1" customHeight="1" outlineLevel="1" x14ac:dyDescent="0.25">
      <c r="B5689" s="704"/>
      <c r="C5689" s="704"/>
      <c r="D5689" s="707" t="s">
        <v>927</v>
      </c>
      <c r="E5689" s="704"/>
      <c r="F5689" s="709">
        <f t="shared" ref="F5689:G5689" si="14">SUBTOTAL(9,F5089:F5688)</f>
        <v>3.2101395951037954</v>
      </c>
      <c r="G5689" s="705">
        <f t="shared" si="14"/>
        <v>213384.4794664385</v>
      </c>
    </row>
    <row r="5690" spans="2:7" ht="11.25" hidden="1" customHeight="1" outlineLevel="2" x14ac:dyDescent="0.25">
      <c r="B5690" s="704" t="s">
        <v>673</v>
      </c>
      <c r="C5690" s="704" t="s">
        <v>814</v>
      </c>
      <c r="D5690" s="704" t="s">
        <v>815</v>
      </c>
      <c r="E5690" s="704" t="s">
        <v>448</v>
      </c>
      <c r="F5690" s="706">
        <v>2.6027026481861473E-34</v>
      </c>
      <c r="G5690" s="705">
        <v>1.7109690376180409E-30</v>
      </c>
    </row>
    <row r="5691" spans="2:7" ht="11.25" hidden="1" customHeight="1" outlineLevel="2" x14ac:dyDescent="0.25">
      <c r="B5691" s="704" t="s">
        <v>677</v>
      </c>
      <c r="C5691" s="704" t="s">
        <v>814</v>
      </c>
      <c r="D5691" s="704" t="s">
        <v>815</v>
      </c>
      <c r="E5691" s="704" t="s">
        <v>448</v>
      </c>
      <c r="F5691" s="706">
        <v>0.10608789328470504</v>
      </c>
      <c r="G5691" s="705">
        <v>303.62439702372995</v>
      </c>
    </row>
    <row r="5692" spans="2:7" ht="11.25" hidden="1" customHeight="1" outlineLevel="2" x14ac:dyDescent="0.25">
      <c r="B5692" s="704" t="s">
        <v>678</v>
      </c>
      <c r="C5692" s="704" t="s">
        <v>814</v>
      </c>
      <c r="D5692" s="704" t="s">
        <v>815</v>
      </c>
      <c r="E5692" s="704" t="s">
        <v>448</v>
      </c>
      <c r="F5692" s="706">
        <v>7.5074450865664661E-5</v>
      </c>
      <c r="G5692" s="705">
        <v>0.21800921633107243</v>
      </c>
    </row>
    <row r="5693" spans="2:7" ht="11.25" hidden="1" customHeight="1" outlineLevel="2" x14ac:dyDescent="0.25">
      <c r="B5693" s="704" t="s">
        <v>679</v>
      </c>
      <c r="C5693" s="704" t="s">
        <v>814</v>
      </c>
      <c r="D5693" s="704" t="s">
        <v>815</v>
      </c>
      <c r="E5693" s="704" t="s">
        <v>448</v>
      </c>
      <c r="F5693" s="706">
        <v>2.6757713009941471E-34</v>
      </c>
      <c r="G5693" s="705">
        <v>6.539019983539831E-31</v>
      </c>
    </row>
    <row r="5694" spans="2:7" ht="11.25" hidden="1" customHeight="1" outlineLevel="2" x14ac:dyDescent="0.25">
      <c r="B5694" s="704" t="s">
        <v>680</v>
      </c>
      <c r="C5694" s="704" t="s">
        <v>814</v>
      </c>
      <c r="D5694" s="704" t="s">
        <v>815</v>
      </c>
      <c r="E5694" s="704" t="s">
        <v>448</v>
      </c>
      <c r="F5694" s="706">
        <v>1.2726620208700038E-33</v>
      </c>
      <c r="G5694" s="705">
        <v>2.548002157498148E-30</v>
      </c>
    </row>
    <row r="5695" spans="2:7" ht="11.25" hidden="1" customHeight="1" outlineLevel="2" x14ac:dyDescent="0.25">
      <c r="B5695" s="704" t="s">
        <v>681</v>
      </c>
      <c r="C5695" s="704" t="s">
        <v>814</v>
      </c>
      <c r="D5695" s="704" t="s">
        <v>815</v>
      </c>
      <c r="E5695" s="704" t="s">
        <v>448</v>
      </c>
      <c r="F5695" s="706">
        <v>2.8331664148189346E-5</v>
      </c>
      <c r="G5695" s="705">
        <v>8.2272473986186881E-2</v>
      </c>
    </row>
    <row r="5696" spans="2:7" ht="11.25" hidden="1" customHeight="1" outlineLevel="2" x14ac:dyDescent="0.25">
      <c r="B5696" s="704" t="s">
        <v>682</v>
      </c>
      <c r="C5696" s="704" t="s">
        <v>814</v>
      </c>
      <c r="D5696" s="704" t="s">
        <v>815</v>
      </c>
      <c r="E5696" s="704" t="s">
        <v>448</v>
      </c>
      <c r="F5696" s="706">
        <v>3.8952874951531652E-34</v>
      </c>
      <c r="G5696" s="705">
        <v>6.1605054560983056E-31</v>
      </c>
    </row>
    <row r="5697" spans="2:7" ht="11.25" hidden="1" customHeight="1" outlineLevel="2" x14ac:dyDescent="0.25">
      <c r="B5697" s="704" t="s">
        <v>683</v>
      </c>
      <c r="C5697" s="704" t="s">
        <v>814</v>
      </c>
      <c r="D5697" s="704" t="s">
        <v>815</v>
      </c>
      <c r="E5697" s="704" t="s">
        <v>448</v>
      </c>
      <c r="F5697" s="705">
        <v>3.6481196869676405E-36</v>
      </c>
      <c r="G5697" s="705">
        <v>5.1032962245437871E-32</v>
      </c>
    </row>
    <row r="5698" spans="2:7" ht="11.25" hidden="1" customHeight="1" outlineLevel="2" x14ac:dyDescent="0.25">
      <c r="B5698" s="704" t="s">
        <v>684</v>
      </c>
      <c r="C5698" s="704" t="s">
        <v>814</v>
      </c>
      <c r="D5698" s="704" t="s">
        <v>815</v>
      </c>
      <c r="E5698" s="704" t="s">
        <v>448</v>
      </c>
      <c r="F5698" s="705">
        <v>2.3991914587645556E-6</v>
      </c>
      <c r="G5698" s="705">
        <v>7.0074351444588375E-3</v>
      </c>
    </row>
    <row r="5699" spans="2:7" ht="11.25" hidden="1" customHeight="1" outlineLevel="2" x14ac:dyDescent="0.25">
      <c r="B5699" s="704" t="s">
        <v>685</v>
      </c>
      <c r="C5699" s="704" t="s">
        <v>814</v>
      </c>
      <c r="D5699" s="704" t="s">
        <v>815</v>
      </c>
      <c r="E5699" s="704" t="s">
        <v>448</v>
      </c>
      <c r="F5699" s="705">
        <v>3.0242949543144318E-5</v>
      </c>
      <c r="G5699" s="705">
        <v>8.8241725961892573E-2</v>
      </c>
    </row>
    <row r="5700" spans="2:7" ht="11.25" hidden="1" customHeight="1" outlineLevel="2" x14ac:dyDescent="0.25">
      <c r="B5700" s="704" t="s">
        <v>686</v>
      </c>
      <c r="C5700" s="704" t="s">
        <v>814</v>
      </c>
      <c r="D5700" s="704" t="s">
        <v>815</v>
      </c>
      <c r="E5700" s="704" t="s">
        <v>448</v>
      </c>
      <c r="F5700" s="706">
        <v>1.7957041227941505E-6</v>
      </c>
      <c r="G5700" s="705">
        <v>5.190695610299445E-3</v>
      </c>
    </row>
    <row r="5701" spans="2:7" ht="11.25" hidden="1" customHeight="1" outlineLevel="2" x14ac:dyDescent="0.25">
      <c r="B5701" s="704" t="s">
        <v>687</v>
      </c>
      <c r="C5701" s="704" t="s">
        <v>814</v>
      </c>
      <c r="D5701" s="704" t="s">
        <v>815</v>
      </c>
      <c r="E5701" s="704" t="s">
        <v>448</v>
      </c>
      <c r="F5701" s="705">
        <v>9.7425381139052297E-34</v>
      </c>
      <c r="G5701" s="705">
        <v>6.5488706385837996E-30</v>
      </c>
    </row>
    <row r="5702" spans="2:7" ht="11.25" hidden="1" customHeight="1" outlineLevel="2" x14ac:dyDescent="0.25">
      <c r="B5702" s="704" t="s">
        <v>688</v>
      </c>
      <c r="C5702" s="704" t="s">
        <v>814</v>
      </c>
      <c r="D5702" s="704" t="s">
        <v>815</v>
      </c>
      <c r="E5702" s="704" t="s">
        <v>448</v>
      </c>
      <c r="F5702" s="705">
        <v>2.6842632411043145E-34</v>
      </c>
      <c r="G5702" s="705">
        <v>1.4108141940538616E-30</v>
      </c>
    </row>
    <row r="5703" spans="2:7" ht="11.25" hidden="1" customHeight="1" outlineLevel="2" x14ac:dyDescent="0.25">
      <c r="B5703" s="704" t="s">
        <v>689</v>
      </c>
      <c r="C5703" s="704" t="s">
        <v>814</v>
      </c>
      <c r="D5703" s="704" t="s">
        <v>815</v>
      </c>
      <c r="E5703" s="704" t="s">
        <v>448</v>
      </c>
      <c r="F5703" s="706">
        <v>2.2886705725982671E-34</v>
      </c>
      <c r="G5703" s="705">
        <v>3.4391137315468474E-31</v>
      </c>
    </row>
    <row r="5704" spans="2:7" ht="11.25" hidden="1" customHeight="1" outlineLevel="2" x14ac:dyDescent="0.25">
      <c r="B5704" s="704" t="s">
        <v>690</v>
      </c>
      <c r="C5704" s="704" t="s">
        <v>814</v>
      </c>
      <c r="D5704" s="704" t="s">
        <v>815</v>
      </c>
      <c r="E5704" s="704" t="s">
        <v>448</v>
      </c>
      <c r="F5704" s="705">
        <v>6.2264890773870382E-5</v>
      </c>
      <c r="G5704" s="705">
        <v>0.18167435383544203</v>
      </c>
    </row>
    <row r="5705" spans="2:7" ht="11.25" hidden="1" customHeight="1" outlineLevel="2" x14ac:dyDescent="0.25">
      <c r="B5705" s="704" t="s">
        <v>691</v>
      </c>
      <c r="C5705" s="704" t="s">
        <v>814</v>
      </c>
      <c r="D5705" s="704" t="s">
        <v>815</v>
      </c>
      <c r="E5705" s="704" t="s">
        <v>448</v>
      </c>
      <c r="F5705" s="705">
        <v>4.0916936318717795E-6</v>
      </c>
      <c r="G5705" s="705">
        <v>1.1938599343622174E-2</v>
      </c>
    </row>
    <row r="5706" spans="2:7" ht="11.25" hidden="1" customHeight="1" outlineLevel="2" x14ac:dyDescent="0.25">
      <c r="B5706" s="704" t="s">
        <v>692</v>
      </c>
      <c r="C5706" s="704" t="s">
        <v>814</v>
      </c>
      <c r="D5706" s="704" t="s">
        <v>815</v>
      </c>
      <c r="E5706" s="704" t="s">
        <v>448</v>
      </c>
      <c r="F5706" s="705">
        <v>6.6137027373922643E-6</v>
      </c>
      <c r="G5706" s="705">
        <v>1.9205561446003747E-2</v>
      </c>
    </row>
    <row r="5707" spans="2:7" ht="11.25" hidden="1" customHeight="1" outlineLevel="2" x14ac:dyDescent="0.25">
      <c r="B5707" s="704" t="s">
        <v>693</v>
      </c>
      <c r="C5707" s="704" t="s">
        <v>814</v>
      </c>
      <c r="D5707" s="704" t="s">
        <v>815</v>
      </c>
      <c r="E5707" s="704" t="s">
        <v>448</v>
      </c>
      <c r="F5707" s="706">
        <v>1.4306285918916574E-5</v>
      </c>
      <c r="G5707" s="705">
        <v>4.1785077518369469E-2</v>
      </c>
    </row>
    <row r="5708" spans="2:7" ht="11.25" hidden="1" customHeight="1" outlineLevel="2" x14ac:dyDescent="0.25">
      <c r="B5708" s="704" t="s">
        <v>694</v>
      </c>
      <c r="C5708" s="704" t="s">
        <v>814</v>
      </c>
      <c r="D5708" s="704" t="s">
        <v>815</v>
      </c>
      <c r="E5708" s="704" t="s">
        <v>448</v>
      </c>
      <c r="F5708" s="706">
        <v>8.4600258055354856E-35</v>
      </c>
      <c r="G5708" s="705">
        <v>1.4522433112864399E-31</v>
      </c>
    </row>
    <row r="5709" spans="2:7" ht="11.25" hidden="1" customHeight="1" outlineLevel="2" x14ac:dyDescent="0.25">
      <c r="B5709" s="704" t="s">
        <v>695</v>
      </c>
      <c r="C5709" s="704" t="s">
        <v>814</v>
      </c>
      <c r="D5709" s="704" t="s">
        <v>815</v>
      </c>
      <c r="E5709" s="704" t="s">
        <v>448</v>
      </c>
      <c r="F5709" s="706">
        <v>8.8858917893321879E-5</v>
      </c>
      <c r="G5709" s="705">
        <v>0.25953448303135218</v>
      </c>
    </row>
    <row r="5710" spans="2:7" ht="11.25" hidden="1" customHeight="1" outlineLevel="2" x14ac:dyDescent="0.25">
      <c r="B5710" s="704" t="s">
        <v>696</v>
      </c>
      <c r="C5710" s="704" t="s">
        <v>814</v>
      </c>
      <c r="D5710" s="704" t="s">
        <v>815</v>
      </c>
      <c r="E5710" s="704" t="s">
        <v>448</v>
      </c>
      <c r="F5710" s="705">
        <v>4.9085982753307848E-4</v>
      </c>
      <c r="G5710" s="705">
        <v>1.5156812504459787</v>
      </c>
    </row>
    <row r="5711" spans="2:7" ht="11.25" hidden="1" customHeight="1" outlineLevel="2" x14ac:dyDescent="0.25">
      <c r="B5711" s="704" t="s">
        <v>697</v>
      </c>
      <c r="C5711" s="704" t="s">
        <v>814</v>
      </c>
      <c r="D5711" s="704" t="s">
        <v>815</v>
      </c>
      <c r="E5711" s="704" t="s">
        <v>448</v>
      </c>
      <c r="F5711" s="705">
        <v>2.1290600677037856E-3</v>
      </c>
      <c r="G5711" s="705">
        <v>6.2184481965325373</v>
      </c>
    </row>
    <row r="5712" spans="2:7" ht="11.25" hidden="1" customHeight="1" outlineLevel="2" x14ac:dyDescent="0.25">
      <c r="B5712" s="704" t="s">
        <v>698</v>
      </c>
      <c r="C5712" s="704" t="s">
        <v>814</v>
      </c>
      <c r="D5712" s="704" t="s">
        <v>815</v>
      </c>
      <c r="E5712" s="704" t="s">
        <v>448</v>
      </c>
      <c r="F5712" s="705">
        <v>2.63116075488244E-34</v>
      </c>
      <c r="G5712" s="705">
        <v>3.4472761091999997E-31</v>
      </c>
    </row>
    <row r="5713" spans="2:7" ht="11.25" hidden="1" customHeight="1" outlineLevel="2" x14ac:dyDescent="0.25">
      <c r="B5713" s="704" t="s">
        <v>699</v>
      </c>
      <c r="C5713" s="704" t="s">
        <v>814</v>
      </c>
      <c r="D5713" s="704" t="s">
        <v>815</v>
      </c>
      <c r="E5713" s="704" t="s">
        <v>448</v>
      </c>
      <c r="F5713" s="705">
        <v>2.0593414926510195E-34</v>
      </c>
      <c r="G5713" s="705">
        <v>1.3405188215545494E-30</v>
      </c>
    </row>
    <row r="5714" spans="2:7" ht="11.25" hidden="1" customHeight="1" outlineLevel="2" x14ac:dyDescent="0.25">
      <c r="B5714" s="704" t="s">
        <v>673</v>
      </c>
      <c r="C5714" s="704" t="s">
        <v>854</v>
      </c>
      <c r="D5714" s="704" t="s">
        <v>815</v>
      </c>
      <c r="E5714" s="704" t="s">
        <v>824</v>
      </c>
      <c r="F5714" s="705">
        <v>1.6645027218787266E-36</v>
      </c>
      <c r="G5714" s="705">
        <v>2.4044512537756401E-32</v>
      </c>
    </row>
    <row r="5715" spans="2:7" ht="11.25" hidden="1" customHeight="1" outlineLevel="2" x14ac:dyDescent="0.25">
      <c r="B5715" s="704" t="s">
        <v>677</v>
      </c>
      <c r="C5715" s="704" t="s">
        <v>854</v>
      </c>
      <c r="D5715" s="704" t="s">
        <v>815</v>
      </c>
      <c r="E5715" s="704" t="s">
        <v>824</v>
      </c>
      <c r="F5715" s="705">
        <v>3.0204867505814241E-2</v>
      </c>
      <c r="G5715" s="705">
        <v>277.51855549860068</v>
      </c>
    </row>
    <row r="5716" spans="2:7" ht="11.25" hidden="1" customHeight="1" outlineLevel="2" x14ac:dyDescent="0.25">
      <c r="B5716" s="704" t="s">
        <v>678</v>
      </c>
      <c r="C5716" s="704" t="s">
        <v>854</v>
      </c>
      <c r="D5716" s="704" t="s">
        <v>815</v>
      </c>
      <c r="E5716" s="704" t="s">
        <v>824</v>
      </c>
      <c r="F5716" s="705">
        <v>2.1687760857036613E-5</v>
      </c>
      <c r="G5716" s="705">
        <v>0.19926444626918161</v>
      </c>
    </row>
    <row r="5717" spans="2:7" ht="11.25" hidden="1" customHeight="1" outlineLevel="2" x14ac:dyDescent="0.25">
      <c r="B5717" s="704" t="s">
        <v>679</v>
      </c>
      <c r="C5717" s="704" t="s">
        <v>854</v>
      </c>
      <c r="D5717" s="704" t="s">
        <v>815</v>
      </c>
      <c r="E5717" s="704" t="s">
        <v>824</v>
      </c>
      <c r="F5717" s="705">
        <v>1.6645027218787266E-36</v>
      </c>
      <c r="G5717" s="705">
        <v>2.4044512537756401E-32</v>
      </c>
    </row>
    <row r="5718" spans="2:7" ht="11.25" hidden="1" customHeight="1" outlineLevel="2" x14ac:dyDescent="0.25">
      <c r="B5718" s="704" t="s">
        <v>680</v>
      </c>
      <c r="C5718" s="704" t="s">
        <v>854</v>
      </c>
      <c r="D5718" s="704" t="s">
        <v>815</v>
      </c>
      <c r="E5718" s="704" t="s">
        <v>824</v>
      </c>
      <c r="F5718" s="705">
        <v>1.6645027218787266E-36</v>
      </c>
      <c r="G5718" s="705">
        <v>2.4044512537756401E-32</v>
      </c>
    </row>
    <row r="5719" spans="2:7" ht="11.25" hidden="1" customHeight="1" outlineLevel="2" x14ac:dyDescent="0.25">
      <c r="B5719" s="704" t="s">
        <v>681</v>
      </c>
      <c r="C5719" s="704" t="s">
        <v>854</v>
      </c>
      <c r="D5719" s="704" t="s">
        <v>815</v>
      </c>
      <c r="E5719" s="704" t="s">
        <v>824</v>
      </c>
      <c r="F5719" s="705">
        <v>8.1845449905951178E-6</v>
      </c>
      <c r="G5719" s="705">
        <v>7.5198570808169996E-2</v>
      </c>
    </row>
    <row r="5720" spans="2:7" ht="11.25" hidden="1" customHeight="1" outlineLevel="2" x14ac:dyDescent="0.25">
      <c r="B5720" s="704" t="s">
        <v>682</v>
      </c>
      <c r="C5720" s="704" t="s">
        <v>854</v>
      </c>
      <c r="D5720" s="704" t="s">
        <v>815</v>
      </c>
      <c r="E5720" s="704" t="s">
        <v>824</v>
      </c>
      <c r="F5720" s="705">
        <v>1.6645027218787266E-36</v>
      </c>
      <c r="G5720" s="705">
        <v>2.4044512537756401E-32</v>
      </c>
    </row>
    <row r="5721" spans="2:7" ht="11.25" hidden="1" customHeight="1" outlineLevel="2" x14ac:dyDescent="0.25">
      <c r="B5721" s="704" t="s">
        <v>683</v>
      </c>
      <c r="C5721" s="704" t="s">
        <v>854</v>
      </c>
      <c r="D5721" s="704" t="s">
        <v>815</v>
      </c>
      <c r="E5721" s="704" t="s">
        <v>824</v>
      </c>
      <c r="F5721" s="706">
        <v>1.6645027218787266E-36</v>
      </c>
      <c r="G5721" s="705">
        <v>2.4044512537756401E-32</v>
      </c>
    </row>
    <row r="5722" spans="2:7" ht="11.25" hidden="1" customHeight="1" outlineLevel="2" x14ac:dyDescent="0.25">
      <c r="B5722" s="704" t="s">
        <v>684</v>
      </c>
      <c r="C5722" s="704" t="s">
        <v>854</v>
      </c>
      <c r="D5722" s="704" t="s">
        <v>815</v>
      </c>
      <c r="E5722" s="704" t="s">
        <v>824</v>
      </c>
      <c r="F5722" s="706">
        <v>6.9710630690081591E-7</v>
      </c>
      <c r="G5722" s="705">
        <v>6.4049429622625486E-3</v>
      </c>
    </row>
    <row r="5723" spans="2:7" ht="11.25" hidden="1" customHeight="1" outlineLevel="2" x14ac:dyDescent="0.25">
      <c r="B5723" s="704" t="s">
        <v>685</v>
      </c>
      <c r="C5723" s="704" t="s">
        <v>854</v>
      </c>
      <c r="D5723" s="704" t="s">
        <v>815</v>
      </c>
      <c r="E5723" s="704" t="s">
        <v>824</v>
      </c>
      <c r="F5723" s="705">
        <v>8.7783771228476728E-6</v>
      </c>
      <c r="G5723" s="705">
        <v>8.0654710859250106E-2</v>
      </c>
    </row>
    <row r="5724" spans="2:7" ht="11.25" hidden="1" customHeight="1" outlineLevel="2" x14ac:dyDescent="0.25">
      <c r="B5724" s="704" t="s">
        <v>686</v>
      </c>
      <c r="C5724" s="704" t="s">
        <v>854</v>
      </c>
      <c r="D5724" s="704" t="s">
        <v>815</v>
      </c>
      <c r="E5724" s="704" t="s">
        <v>824</v>
      </c>
      <c r="F5724" s="705">
        <v>5.16374994401465E-7</v>
      </c>
      <c r="G5724" s="705">
        <v>4.7443911325303094E-3</v>
      </c>
    </row>
    <row r="5725" spans="2:7" ht="11.25" hidden="1" customHeight="1" outlineLevel="2" x14ac:dyDescent="0.25">
      <c r="B5725" s="704" t="s">
        <v>687</v>
      </c>
      <c r="C5725" s="704" t="s">
        <v>854</v>
      </c>
      <c r="D5725" s="704" t="s">
        <v>815</v>
      </c>
      <c r="E5725" s="704" t="s">
        <v>824</v>
      </c>
      <c r="F5725" s="705">
        <v>1.6645027218787266E-36</v>
      </c>
      <c r="G5725" s="705">
        <v>2.4044512537756401E-32</v>
      </c>
    </row>
    <row r="5726" spans="2:7" ht="11.25" hidden="1" customHeight="1" outlineLevel="2" x14ac:dyDescent="0.25">
      <c r="B5726" s="704" t="s">
        <v>688</v>
      </c>
      <c r="C5726" s="704" t="s">
        <v>854</v>
      </c>
      <c r="D5726" s="704" t="s">
        <v>815</v>
      </c>
      <c r="E5726" s="704" t="s">
        <v>824</v>
      </c>
      <c r="F5726" s="705">
        <v>1.6645027218787266E-36</v>
      </c>
      <c r="G5726" s="705">
        <v>2.4044512537756401E-32</v>
      </c>
    </row>
    <row r="5727" spans="2:7" ht="11.25" hidden="1" customHeight="1" outlineLevel="2" x14ac:dyDescent="0.25">
      <c r="B5727" s="704" t="s">
        <v>689</v>
      </c>
      <c r="C5727" s="704" t="s">
        <v>854</v>
      </c>
      <c r="D5727" s="704" t="s">
        <v>815</v>
      </c>
      <c r="E5727" s="704" t="s">
        <v>824</v>
      </c>
      <c r="F5727" s="705">
        <v>2.2753543115041698E-36</v>
      </c>
      <c r="G5727" s="705">
        <v>3.2868550119145637E-32</v>
      </c>
    </row>
    <row r="5728" spans="2:7" ht="11.25" hidden="1" customHeight="1" outlineLevel="2" x14ac:dyDescent="0.25">
      <c r="B5728" s="704" t="s">
        <v>690</v>
      </c>
      <c r="C5728" s="704" t="s">
        <v>854</v>
      </c>
      <c r="D5728" s="704" t="s">
        <v>815</v>
      </c>
      <c r="E5728" s="704" t="s">
        <v>824</v>
      </c>
      <c r="F5728" s="705">
        <v>1.8073128042055411E-5</v>
      </c>
      <c r="G5728" s="705">
        <v>0.16605366253637927</v>
      </c>
    </row>
    <row r="5729" spans="2:7" ht="11.25" hidden="1" customHeight="1" outlineLevel="2" x14ac:dyDescent="0.25">
      <c r="B5729" s="704" t="s">
        <v>691</v>
      </c>
      <c r="C5729" s="704" t="s">
        <v>854</v>
      </c>
      <c r="D5729" s="704" t="s">
        <v>815</v>
      </c>
      <c r="E5729" s="704" t="s">
        <v>824</v>
      </c>
      <c r="F5729" s="705">
        <v>1.1876625467322E-6</v>
      </c>
      <c r="G5729" s="705">
        <v>1.0912109511452375E-2</v>
      </c>
    </row>
    <row r="5730" spans="2:7" ht="11.25" hidden="1" customHeight="1" outlineLevel="2" x14ac:dyDescent="0.25">
      <c r="B5730" s="704" t="s">
        <v>692</v>
      </c>
      <c r="C5730" s="704" t="s">
        <v>854</v>
      </c>
      <c r="D5730" s="704" t="s">
        <v>815</v>
      </c>
      <c r="E5730" s="704" t="s">
        <v>824</v>
      </c>
      <c r="F5730" s="705">
        <v>1.9105900215015999E-6</v>
      </c>
      <c r="G5730" s="705">
        <v>1.7554250384832895E-2</v>
      </c>
    </row>
    <row r="5731" spans="2:7" ht="11.25" hidden="1" customHeight="1" outlineLevel="2" x14ac:dyDescent="0.25">
      <c r="B5731" s="704" t="s">
        <v>693</v>
      </c>
      <c r="C5731" s="704" t="s">
        <v>854</v>
      </c>
      <c r="D5731" s="704" t="s">
        <v>815</v>
      </c>
      <c r="E5731" s="704" t="s">
        <v>824</v>
      </c>
      <c r="F5731" s="705">
        <v>4.1568208108736294E-6</v>
      </c>
      <c r="G5731" s="705">
        <v>3.8192345126437918E-2</v>
      </c>
    </row>
    <row r="5732" spans="2:7" ht="11.25" hidden="1" customHeight="1" outlineLevel="2" x14ac:dyDescent="0.25">
      <c r="B5732" s="704" t="s">
        <v>694</v>
      </c>
      <c r="C5732" s="704" t="s">
        <v>854</v>
      </c>
      <c r="D5732" s="704" t="s">
        <v>815</v>
      </c>
      <c r="E5732" s="704" t="s">
        <v>824</v>
      </c>
      <c r="F5732" s="705">
        <v>1.6645027218787266E-36</v>
      </c>
      <c r="G5732" s="705">
        <v>2.4044512537756401E-32</v>
      </c>
    </row>
    <row r="5733" spans="2:7" ht="11.25" hidden="1" customHeight="1" outlineLevel="2" x14ac:dyDescent="0.25">
      <c r="B5733" s="704" t="s">
        <v>695</v>
      </c>
      <c r="C5733" s="704" t="s">
        <v>854</v>
      </c>
      <c r="D5733" s="704" t="s">
        <v>815</v>
      </c>
      <c r="E5733" s="704" t="s">
        <v>824</v>
      </c>
      <c r="F5733" s="705">
        <v>2.581873384638362E-5</v>
      </c>
      <c r="G5733" s="705">
        <v>0.23721979531086068</v>
      </c>
    </row>
    <row r="5734" spans="2:7" ht="11.25" hidden="1" customHeight="1" outlineLevel="2" x14ac:dyDescent="0.25">
      <c r="B5734" s="704" t="s">
        <v>696</v>
      </c>
      <c r="C5734" s="704" t="s">
        <v>854</v>
      </c>
      <c r="D5734" s="704" t="s">
        <v>815</v>
      </c>
      <c r="E5734" s="704" t="s">
        <v>824</v>
      </c>
      <c r="F5734" s="705">
        <v>1.5078150994127124E-4</v>
      </c>
      <c r="G5734" s="705">
        <v>1.3853630655264242</v>
      </c>
    </row>
    <row r="5735" spans="2:7" ht="11.25" hidden="1" customHeight="1" outlineLevel="2" x14ac:dyDescent="0.25">
      <c r="B5735" s="704" t="s">
        <v>697</v>
      </c>
      <c r="C5735" s="704" t="s">
        <v>854</v>
      </c>
      <c r="D5735" s="704" t="s">
        <v>815</v>
      </c>
      <c r="E5735" s="704" t="s">
        <v>824</v>
      </c>
      <c r="F5735" s="705">
        <v>6.1861745624093448E-4</v>
      </c>
      <c r="G5735" s="705">
        <v>5.6837809053225747</v>
      </c>
    </row>
    <row r="5736" spans="2:7" ht="11.25" hidden="1" customHeight="1" outlineLevel="2" x14ac:dyDescent="0.25">
      <c r="B5736" s="704" t="s">
        <v>698</v>
      </c>
      <c r="C5736" s="704" t="s">
        <v>854</v>
      </c>
      <c r="D5736" s="704" t="s">
        <v>815</v>
      </c>
      <c r="E5736" s="704" t="s">
        <v>824</v>
      </c>
      <c r="F5736" s="705">
        <v>1.6632094204000005E-36</v>
      </c>
      <c r="G5736" s="705">
        <v>2.4051963276000003E-32</v>
      </c>
    </row>
    <row r="5737" spans="2:7" ht="11.25" hidden="1" customHeight="1" outlineLevel="2" x14ac:dyDescent="0.25">
      <c r="B5737" s="704" t="s">
        <v>699</v>
      </c>
      <c r="C5737" s="704" t="s">
        <v>854</v>
      </c>
      <c r="D5737" s="704" t="s">
        <v>815</v>
      </c>
      <c r="E5737" s="704" t="s">
        <v>824</v>
      </c>
      <c r="F5737" s="705">
        <v>1.6645027218787266E-36</v>
      </c>
      <c r="G5737" s="705">
        <v>2.4044512537756401E-32</v>
      </c>
    </row>
    <row r="5738" spans="2:7" ht="11.25" hidden="1" customHeight="1" outlineLevel="2" x14ac:dyDescent="0.25">
      <c r="B5738" s="704" t="s">
        <v>673</v>
      </c>
      <c r="C5738" s="704" t="s">
        <v>918</v>
      </c>
      <c r="D5738" s="704" t="s">
        <v>815</v>
      </c>
      <c r="E5738" s="704" t="s">
        <v>861</v>
      </c>
      <c r="F5738" s="709"/>
      <c r="G5738" s="705">
        <v>1.0800699774071823E-29</v>
      </c>
    </row>
    <row r="5739" spans="2:7" ht="11.25" hidden="1" customHeight="1" outlineLevel="2" x14ac:dyDescent="0.25">
      <c r="B5739" s="704" t="s">
        <v>677</v>
      </c>
      <c r="C5739" s="704" t="s">
        <v>918</v>
      </c>
      <c r="D5739" s="704" t="s">
        <v>815</v>
      </c>
      <c r="E5739" s="704" t="s">
        <v>861</v>
      </c>
      <c r="F5739" s="706">
        <v>0.57705415091552159</v>
      </c>
      <c r="G5739" s="705">
        <v>19083.152012938397</v>
      </c>
    </row>
    <row r="5740" spans="2:7" ht="11.25" hidden="1" customHeight="1" outlineLevel="2" x14ac:dyDescent="0.25">
      <c r="B5740" s="704" t="s">
        <v>678</v>
      </c>
      <c r="C5740" s="704" t="s">
        <v>918</v>
      </c>
      <c r="D5740" s="704" t="s">
        <v>815</v>
      </c>
      <c r="E5740" s="704" t="s">
        <v>861</v>
      </c>
      <c r="F5740" s="709"/>
      <c r="G5740" s="705">
        <v>13.7021273564749</v>
      </c>
    </row>
    <row r="5741" spans="2:7" ht="11.25" hidden="1" customHeight="1" outlineLevel="2" x14ac:dyDescent="0.25">
      <c r="B5741" s="704" t="s">
        <v>679</v>
      </c>
      <c r="C5741" s="704" t="s">
        <v>918</v>
      </c>
      <c r="D5741" s="704" t="s">
        <v>815</v>
      </c>
      <c r="E5741" s="704" t="s">
        <v>861</v>
      </c>
      <c r="F5741" s="709"/>
      <c r="G5741" s="705">
        <v>1.3196731293639925E-29</v>
      </c>
    </row>
    <row r="5742" spans="2:7" ht="11.25" hidden="1" customHeight="1" outlineLevel="2" x14ac:dyDescent="0.25">
      <c r="B5742" s="704" t="s">
        <v>680</v>
      </c>
      <c r="C5742" s="704" t="s">
        <v>918</v>
      </c>
      <c r="D5742" s="704" t="s">
        <v>815</v>
      </c>
      <c r="E5742" s="704" t="s">
        <v>861</v>
      </c>
      <c r="F5742" s="709"/>
      <c r="G5742" s="705">
        <v>1.2941865666466332E-29</v>
      </c>
    </row>
    <row r="5743" spans="2:7" ht="11.25" hidden="1" customHeight="1" outlineLevel="2" x14ac:dyDescent="0.25">
      <c r="B5743" s="704" t="s">
        <v>681</v>
      </c>
      <c r="C5743" s="704" t="s">
        <v>918</v>
      </c>
      <c r="D5743" s="704" t="s">
        <v>815</v>
      </c>
      <c r="E5743" s="704" t="s">
        <v>861</v>
      </c>
      <c r="F5743" s="709"/>
      <c r="G5743" s="705">
        <v>5.1709206365457501</v>
      </c>
    </row>
    <row r="5744" spans="2:7" ht="11.25" hidden="1" customHeight="1" outlineLevel="2" x14ac:dyDescent="0.25">
      <c r="B5744" s="704" t="s">
        <v>682</v>
      </c>
      <c r="C5744" s="704" t="s">
        <v>918</v>
      </c>
      <c r="D5744" s="704" t="s">
        <v>815</v>
      </c>
      <c r="E5744" s="704" t="s">
        <v>861</v>
      </c>
      <c r="F5744" s="709"/>
      <c r="G5744" s="705">
        <v>2.8862541582913706E-30</v>
      </c>
    </row>
    <row r="5745" spans="2:7" ht="11.25" hidden="1" customHeight="1" outlineLevel="2" x14ac:dyDescent="0.25">
      <c r="B5745" s="704" t="s">
        <v>683</v>
      </c>
      <c r="C5745" s="704" t="s">
        <v>918</v>
      </c>
      <c r="D5745" s="704" t="s">
        <v>815</v>
      </c>
      <c r="E5745" s="704" t="s">
        <v>861</v>
      </c>
      <c r="F5745" s="709"/>
      <c r="G5745" s="705">
        <v>2.1486815209001712E-28</v>
      </c>
    </row>
    <row r="5746" spans="2:7" ht="11.25" hidden="1" customHeight="1" outlineLevel="2" x14ac:dyDescent="0.25">
      <c r="B5746" s="704" t="s">
        <v>684</v>
      </c>
      <c r="C5746" s="704" t="s">
        <v>918</v>
      </c>
      <c r="D5746" s="704" t="s">
        <v>815</v>
      </c>
      <c r="E5746" s="704" t="s">
        <v>861</v>
      </c>
      <c r="F5746" s="709"/>
      <c r="G5746" s="705">
        <v>0.44042558424449618</v>
      </c>
    </row>
    <row r="5747" spans="2:7" ht="11.25" hidden="1" customHeight="1" outlineLevel="2" x14ac:dyDescent="0.25">
      <c r="B5747" s="704" t="s">
        <v>685</v>
      </c>
      <c r="C5747" s="704" t="s">
        <v>918</v>
      </c>
      <c r="D5747" s="704" t="s">
        <v>815</v>
      </c>
      <c r="E5747" s="704" t="s">
        <v>861</v>
      </c>
      <c r="F5747" s="709"/>
      <c r="G5747" s="705">
        <v>5.5460958861494731</v>
      </c>
    </row>
    <row r="5748" spans="2:7" ht="11.25" hidden="1" customHeight="1" outlineLevel="2" x14ac:dyDescent="0.25">
      <c r="B5748" s="704" t="s">
        <v>686</v>
      </c>
      <c r="C5748" s="704" t="s">
        <v>918</v>
      </c>
      <c r="D5748" s="704" t="s">
        <v>815</v>
      </c>
      <c r="E5748" s="704" t="s">
        <v>861</v>
      </c>
      <c r="F5748" s="708"/>
      <c r="G5748" s="705">
        <v>0.32624110103422671</v>
      </c>
    </row>
    <row r="5749" spans="2:7" ht="11.25" hidden="1" customHeight="1" outlineLevel="2" x14ac:dyDescent="0.25">
      <c r="B5749" s="704" t="s">
        <v>687</v>
      </c>
      <c r="C5749" s="704" t="s">
        <v>918</v>
      </c>
      <c r="D5749" s="704" t="s">
        <v>815</v>
      </c>
      <c r="E5749" s="704" t="s">
        <v>861</v>
      </c>
      <c r="F5749" s="708"/>
      <c r="G5749" s="705">
        <v>2.6166589767479464E-28</v>
      </c>
    </row>
    <row r="5750" spans="2:7" ht="11.25" hidden="1" customHeight="1" outlineLevel="2" x14ac:dyDescent="0.25">
      <c r="B5750" s="704" t="s">
        <v>688</v>
      </c>
      <c r="C5750" s="704" t="s">
        <v>918</v>
      </c>
      <c r="D5750" s="704" t="s">
        <v>815</v>
      </c>
      <c r="E5750" s="704" t="s">
        <v>861</v>
      </c>
      <c r="F5750" s="709"/>
      <c r="G5750" s="705">
        <v>1.2545998713324452E-28</v>
      </c>
    </row>
    <row r="5751" spans="2:7" ht="11.25" hidden="1" customHeight="1" outlineLevel="2" x14ac:dyDescent="0.25">
      <c r="B5751" s="704" t="s">
        <v>689</v>
      </c>
      <c r="C5751" s="704" t="s">
        <v>918</v>
      </c>
      <c r="D5751" s="704" t="s">
        <v>815</v>
      </c>
      <c r="E5751" s="704" t="s">
        <v>861</v>
      </c>
      <c r="F5751" s="708"/>
      <c r="G5751" s="705">
        <v>2.963962154097215E-28</v>
      </c>
    </row>
    <row r="5752" spans="2:7" ht="11.25" hidden="1" customHeight="1" outlineLevel="2" x14ac:dyDescent="0.25">
      <c r="B5752" s="704" t="s">
        <v>690</v>
      </c>
      <c r="C5752" s="704" t="s">
        <v>918</v>
      </c>
      <c r="D5752" s="704" t="s">
        <v>815</v>
      </c>
      <c r="E5752" s="704" t="s">
        <v>861</v>
      </c>
      <c r="F5752" s="708"/>
      <c r="G5752" s="705">
        <v>11.418437984075728</v>
      </c>
    </row>
    <row r="5753" spans="2:7" ht="11.25" hidden="1" customHeight="1" outlineLevel="2" x14ac:dyDescent="0.25">
      <c r="B5753" s="704" t="s">
        <v>691</v>
      </c>
      <c r="C5753" s="704" t="s">
        <v>918</v>
      </c>
      <c r="D5753" s="704" t="s">
        <v>815</v>
      </c>
      <c r="E5753" s="704" t="s">
        <v>861</v>
      </c>
      <c r="F5753" s="708"/>
      <c r="G5753" s="705">
        <v>0.75035403335883288</v>
      </c>
    </row>
    <row r="5754" spans="2:7" ht="11.25" hidden="1" customHeight="1" outlineLevel="2" x14ac:dyDescent="0.25">
      <c r="B5754" s="704" t="s">
        <v>692</v>
      </c>
      <c r="C5754" s="704" t="s">
        <v>918</v>
      </c>
      <c r="D5754" s="704" t="s">
        <v>815</v>
      </c>
      <c r="E5754" s="704" t="s">
        <v>861</v>
      </c>
      <c r="F5754" s="708"/>
      <c r="G5754" s="705">
        <v>1.2070919861616314</v>
      </c>
    </row>
    <row r="5755" spans="2:7" ht="11.25" hidden="1" customHeight="1" outlineLevel="2" x14ac:dyDescent="0.25">
      <c r="B5755" s="704" t="s">
        <v>693</v>
      </c>
      <c r="C5755" s="704" t="s">
        <v>918</v>
      </c>
      <c r="D5755" s="704" t="s">
        <v>815</v>
      </c>
      <c r="E5755" s="704" t="s">
        <v>861</v>
      </c>
      <c r="F5755" s="708"/>
      <c r="G5755" s="705">
        <v>2.6262408646441644</v>
      </c>
    </row>
    <row r="5756" spans="2:7" ht="11.25" hidden="1" customHeight="1" outlineLevel="2" x14ac:dyDescent="0.25">
      <c r="B5756" s="704" t="s">
        <v>694</v>
      </c>
      <c r="C5756" s="704" t="s">
        <v>918</v>
      </c>
      <c r="D5756" s="704" t="s">
        <v>815</v>
      </c>
      <c r="E5756" s="704" t="s">
        <v>861</v>
      </c>
      <c r="F5756" s="708"/>
      <c r="G5756" s="705">
        <v>1.310900246665383E-29</v>
      </c>
    </row>
    <row r="5757" spans="2:7" ht="11.25" hidden="1" customHeight="1" outlineLevel="2" x14ac:dyDescent="0.25">
      <c r="B5757" s="704" t="s">
        <v>695</v>
      </c>
      <c r="C5757" s="704" t="s">
        <v>918</v>
      </c>
      <c r="D5757" s="704" t="s">
        <v>815</v>
      </c>
      <c r="E5757" s="704" t="s">
        <v>861</v>
      </c>
      <c r="F5757" s="708"/>
      <c r="G5757" s="705">
        <v>16.312053089128646</v>
      </c>
    </row>
    <row r="5758" spans="2:7" ht="11.25" hidden="1" customHeight="1" outlineLevel="2" x14ac:dyDescent="0.25">
      <c r="B5758" s="704" t="s">
        <v>696</v>
      </c>
      <c r="C5758" s="704" t="s">
        <v>918</v>
      </c>
      <c r="D5758" s="704" t="s">
        <v>815</v>
      </c>
      <c r="E5758" s="704" t="s">
        <v>861</v>
      </c>
      <c r="F5758" s="708"/>
      <c r="G5758" s="705">
        <v>95.262425811614619</v>
      </c>
    </row>
    <row r="5759" spans="2:7" ht="11.25" hidden="1" customHeight="1" outlineLevel="2" x14ac:dyDescent="0.25">
      <c r="B5759" s="704" t="s">
        <v>697</v>
      </c>
      <c r="C5759" s="704" t="s">
        <v>918</v>
      </c>
      <c r="D5759" s="704" t="s">
        <v>815</v>
      </c>
      <c r="E5759" s="704" t="s">
        <v>861</v>
      </c>
      <c r="F5759" s="708"/>
      <c r="G5759" s="705">
        <v>390.83676561208318</v>
      </c>
    </row>
    <row r="5760" spans="2:7" ht="11.25" hidden="1" customHeight="1" outlineLevel="2" x14ac:dyDescent="0.25">
      <c r="B5760" s="704" t="s">
        <v>698</v>
      </c>
      <c r="C5760" s="704" t="s">
        <v>918</v>
      </c>
      <c r="D5760" s="704" t="s">
        <v>815</v>
      </c>
      <c r="E5760" s="704" t="s">
        <v>861</v>
      </c>
      <c r="F5760" s="708"/>
      <c r="G5760" s="705">
        <v>1.0825125124E-29</v>
      </c>
    </row>
    <row r="5761" spans="2:7" ht="11.25" hidden="1" customHeight="1" outlineLevel="2" x14ac:dyDescent="0.25">
      <c r="B5761" s="704" t="s">
        <v>699</v>
      </c>
      <c r="C5761" s="704" t="s">
        <v>918</v>
      </c>
      <c r="D5761" s="704" t="s">
        <v>815</v>
      </c>
      <c r="E5761" s="704" t="s">
        <v>861</v>
      </c>
      <c r="F5761" s="708"/>
      <c r="G5761" s="705">
        <v>2.4695875283605399E-28</v>
      </c>
    </row>
    <row r="5762" spans="2:7" ht="11.25" hidden="1" customHeight="1" outlineLevel="1" x14ac:dyDescent="0.25">
      <c r="B5762" s="704"/>
      <c r="C5762" s="704"/>
      <c r="D5762" s="707" t="s">
        <v>928</v>
      </c>
      <c r="E5762" s="704"/>
      <c r="F5762" s="708">
        <f t="shared" ref="F5762:G5762" si="15">SUBTOTAL(9,F5690:F5761)</f>
        <v>0.7171412211180932</v>
      </c>
      <c r="G5762" s="705">
        <f t="shared" si="15"/>
        <v>20224.44847767118</v>
      </c>
    </row>
    <row r="5763" spans="2:7" ht="11.25" hidden="1" customHeight="1" outlineLevel="2" x14ac:dyDescent="0.25">
      <c r="B5763" s="704" t="s">
        <v>673</v>
      </c>
      <c r="C5763" s="704" t="s">
        <v>740</v>
      </c>
      <c r="D5763" s="704" t="s">
        <v>562</v>
      </c>
      <c r="E5763" s="704" t="s">
        <v>448</v>
      </c>
      <c r="F5763" s="705">
        <v>7.3702866842318918E-3</v>
      </c>
      <c r="G5763" s="705">
        <v>3.652169111732305</v>
      </c>
    </row>
    <row r="5764" spans="2:7" ht="11.25" hidden="1" customHeight="1" outlineLevel="2" x14ac:dyDescent="0.25">
      <c r="B5764" s="704" t="s">
        <v>677</v>
      </c>
      <c r="C5764" s="704" t="s">
        <v>740</v>
      </c>
      <c r="D5764" s="704" t="s">
        <v>562</v>
      </c>
      <c r="E5764" s="704" t="s">
        <v>448</v>
      </c>
      <c r="F5764" s="705">
        <v>7.4842654236593545E-2</v>
      </c>
      <c r="G5764" s="705">
        <v>37.027370508657683</v>
      </c>
    </row>
    <row r="5765" spans="2:7" ht="11.25" hidden="1" customHeight="1" outlineLevel="2" x14ac:dyDescent="0.25">
      <c r="B5765" s="704" t="s">
        <v>678</v>
      </c>
      <c r="C5765" s="704" t="s">
        <v>740</v>
      </c>
      <c r="D5765" s="704" t="s">
        <v>562</v>
      </c>
      <c r="E5765" s="704" t="s">
        <v>448</v>
      </c>
      <c r="F5765" s="705">
        <v>0.11428657386350884</v>
      </c>
      <c r="G5765" s="705">
        <v>56.636718159409739</v>
      </c>
    </row>
    <row r="5766" spans="2:7" ht="11.25" hidden="1" customHeight="1" outlineLevel="2" x14ac:dyDescent="0.25">
      <c r="B5766" s="704" t="s">
        <v>679</v>
      </c>
      <c r="C5766" s="704" t="s">
        <v>740</v>
      </c>
      <c r="D5766" s="704" t="s">
        <v>562</v>
      </c>
      <c r="E5766" s="704" t="s">
        <v>448</v>
      </c>
      <c r="F5766" s="705">
        <v>4.1950432967174465E-3</v>
      </c>
      <c r="G5766" s="705">
        <v>2.0789261118876348</v>
      </c>
    </row>
    <row r="5767" spans="2:7" ht="11.25" hidden="1" customHeight="1" outlineLevel="2" x14ac:dyDescent="0.25">
      <c r="B5767" s="704" t="s">
        <v>680</v>
      </c>
      <c r="C5767" s="704" t="s">
        <v>740</v>
      </c>
      <c r="D5767" s="704" t="s">
        <v>562</v>
      </c>
      <c r="E5767" s="704" t="s">
        <v>448</v>
      </c>
      <c r="F5767" s="705">
        <v>2.9481158625725302E-3</v>
      </c>
      <c r="G5767" s="705">
        <v>1.4608676392239264</v>
      </c>
    </row>
    <row r="5768" spans="2:7" ht="11.25" hidden="1" customHeight="1" outlineLevel="2" x14ac:dyDescent="0.25">
      <c r="B5768" s="704" t="s">
        <v>681</v>
      </c>
      <c r="C5768" s="704" t="s">
        <v>740</v>
      </c>
      <c r="D5768" s="704" t="s">
        <v>562</v>
      </c>
      <c r="E5768" s="704" t="s">
        <v>448</v>
      </c>
      <c r="F5768" s="705">
        <v>1.8821012549329937E-2</v>
      </c>
      <c r="G5768" s="705">
        <v>9.3270749178073853</v>
      </c>
    </row>
    <row r="5769" spans="2:7" ht="11.25" hidden="1" customHeight="1" outlineLevel="2" x14ac:dyDescent="0.25">
      <c r="B5769" s="704" t="s">
        <v>682</v>
      </c>
      <c r="C5769" s="704" t="s">
        <v>740</v>
      </c>
      <c r="D5769" s="704" t="s">
        <v>562</v>
      </c>
      <c r="E5769" s="704" t="s">
        <v>448</v>
      </c>
      <c r="F5769" s="705">
        <v>7.2562928156745515E-3</v>
      </c>
      <c r="G5769" s="705">
        <v>3.595981245420997</v>
      </c>
    </row>
    <row r="5770" spans="2:7" ht="11.25" hidden="1" customHeight="1" outlineLevel="2" x14ac:dyDescent="0.25">
      <c r="B5770" s="704" t="s">
        <v>683</v>
      </c>
      <c r="C5770" s="704" t="s">
        <v>740</v>
      </c>
      <c r="D5770" s="704" t="s">
        <v>562</v>
      </c>
      <c r="E5770" s="704" t="s">
        <v>448</v>
      </c>
      <c r="F5770" s="705">
        <v>8.6168472033301118E-3</v>
      </c>
      <c r="G5770" s="705">
        <v>4.2702288137846818</v>
      </c>
    </row>
    <row r="5771" spans="2:7" ht="11.25" hidden="1" customHeight="1" outlineLevel="2" x14ac:dyDescent="0.25">
      <c r="B5771" s="704" t="s">
        <v>684</v>
      </c>
      <c r="C5771" s="704" t="s">
        <v>740</v>
      </c>
      <c r="D5771" s="704" t="s">
        <v>562</v>
      </c>
      <c r="E5771" s="704" t="s">
        <v>448</v>
      </c>
      <c r="F5771" s="705">
        <v>5.3292844745707856E-3</v>
      </c>
      <c r="G5771" s="705">
        <v>2.6407967479482117</v>
      </c>
    </row>
    <row r="5772" spans="2:7" ht="11.25" hidden="1" customHeight="1" outlineLevel="2" x14ac:dyDescent="0.25">
      <c r="B5772" s="704" t="s">
        <v>685</v>
      </c>
      <c r="C5772" s="704" t="s">
        <v>740</v>
      </c>
      <c r="D5772" s="704" t="s">
        <v>562</v>
      </c>
      <c r="E5772" s="704" t="s">
        <v>448</v>
      </c>
      <c r="F5772" s="706">
        <v>2.6530826814721863E-2</v>
      </c>
      <c r="G5772" s="705">
        <v>13.147799718327935</v>
      </c>
    </row>
    <row r="5773" spans="2:7" ht="11.25" hidden="1" customHeight="1" outlineLevel="2" x14ac:dyDescent="0.25">
      <c r="B5773" s="704" t="s">
        <v>686</v>
      </c>
      <c r="C5773" s="704" t="s">
        <v>740</v>
      </c>
      <c r="D5773" s="704" t="s">
        <v>562</v>
      </c>
      <c r="E5773" s="704" t="s">
        <v>448</v>
      </c>
      <c r="F5773" s="706">
        <v>3.9686179640344233E-3</v>
      </c>
      <c r="G5773" s="705">
        <v>1.9665525247125553</v>
      </c>
    </row>
    <row r="5774" spans="2:7" ht="11.25" hidden="1" customHeight="1" outlineLevel="2" x14ac:dyDescent="0.25">
      <c r="B5774" s="704" t="s">
        <v>687</v>
      </c>
      <c r="C5774" s="704" t="s">
        <v>740</v>
      </c>
      <c r="D5774" s="704" t="s">
        <v>562</v>
      </c>
      <c r="E5774" s="704" t="s">
        <v>448</v>
      </c>
      <c r="F5774" s="706">
        <v>2.5510404275937572E-2</v>
      </c>
      <c r="G5774" s="705">
        <v>12.642120976729831</v>
      </c>
    </row>
    <row r="5775" spans="2:7" ht="11.25" hidden="1" customHeight="1" outlineLevel="2" x14ac:dyDescent="0.25">
      <c r="B5775" s="704" t="s">
        <v>688</v>
      </c>
      <c r="C5775" s="704" t="s">
        <v>740</v>
      </c>
      <c r="D5775" s="704" t="s">
        <v>562</v>
      </c>
      <c r="E5775" s="704" t="s">
        <v>448</v>
      </c>
      <c r="F5775" s="706">
        <v>6.7800992555511225E-2</v>
      </c>
      <c r="G5775" s="705">
        <v>33.599961387218762</v>
      </c>
    </row>
    <row r="5776" spans="2:7" ht="11.25" hidden="1" customHeight="1" outlineLevel="2" x14ac:dyDescent="0.25">
      <c r="B5776" s="704" t="s">
        <v>689</v>
      </c>
      <c r="C5776" s="704" t="s">
        <v>740</v>
      </c>
      <c r="D5776" s="704" t="s">
        <v>562</v>
      </c>
      <c r="E5776" s="704" t="s">
        <v>448</v>
      </c>
      <c r="F5776" s="706">
        <v>4.197467029550774E-3</v>
      </c>
      <c r="G5776" s="705">
        <v>2.0802013949915836</v>
      </c>
    </row>
    <row r="5777" spans="2:7" ht="11.25" hidden="1" customHeight="1" outlineLevel="2" x14ac:dyDescent="0.25">
      <c r="B5777" s="704" t="s">
        <v>690</v>
      </c>
      <c r="C5777" s="704" t="s">
        <v>740</v>
      </c>
      <c r="D5777" s="704" t="s">
        <v>562</v>
      </c>
      <c r="E5777" s="704" t="s">
        <v>448</v>
      </c>
      <c r="F5777" s="706">
        <v>9.9887392137490025E-2</v>
      </c>
      <c r="G5777" s="705">
        <v>49.500837797235441</v>
      </c>
    </row>
    <row r="5778" spans="2:7" ht="11.25" hidden="1" customHeight="1" outlineLevel="2" x14ac:dyDescent="0.25">
      <c r="B5778" s="704" t="s">
        <v>691</v>
      </c>
      <c r="C5778" s="704" t="s">
        <v>740</v>
      </c>
      <c r="D5778" s="704" t="s">
        <v>562</v>
      </c>
      <c r="E5778" s="704" t="s">
        <v>448</v>
      </c>
      <c r="F5778" s="705">
        <v>7.6304440369809129E-2</v>
      </c>
      <c r="G5778" s="705">
        <v>37.813999433017415</v>
      </c>
    </row>
    <row r="5779" spans="2:7" ht="11.25" hidden="1" customHeight="1" outlineLevel="2" x14ac:dyDescent="0.25">
      <c r="B5779" s="704" t="s">
        <v>692</v>
      </c>
      <c r="C5779" s="704" t="s">
        <v>740</v>
      </c>
      <c r="D5779" s="704" t="s">
        <v>562</v>
      </c>
      <c r="E5779" s="704" t="s">
        <v>448</v>
      </c>
      <c r="F5779" s="705">
        <v>8.9569829503893146E-3</v>
      </c>
      <c r="G5779" s="705">
        <v>4.4387925046226124</v>
      </c>
    </row>
    <row r="5780" spans="2:7" ht="11.25" hidden="1" customHeight="1" outlineLevel="2" x14ac:dyDescent="0.25">
      <c r="B5780" s="704" t="s">
        <v>693</v>
      </c>
      <c r="C5780" s="704" t="s">
        <v>740</v>
      </c>
      <c r="D5780" s="704" t="s">
        <v>562</v>
      </c>
      <c r="E5780" s="704" t="s">
        <v>448</v>
      </c>
      <c r="F5780" s="705">
        <v>4.082007380452779E-3</v>
      </c>
      <c r="G5780" s="705">
        <v>2.0227394610086709</v>
      </c>
    </row>
    <row r="5781" spans="2:7" ht="11.25" hidden="1" customHeight="1" outlineLevel="2" x14ac:dyDescent="0.25">
      <c r="B5781" s="704" t="s">
        <v>694</v>
      </c>
      <c r="C5781" s="704" t="s">
        <v>740</v>
      </c>
      <c r="D5781" s="704" t="s">
        <v>562</v>
      </c>
      <c r="E5781" s="704" t="s">
        <v>448</v>
      </c>
      <c r="F5781" s="705">
        <v>1.7008359952360049E-3</v>
      </c>
      <c r="G5781" s="705">
        <v>0.84280747753791596</v>
      </c>
    </row>
    <row r="5782" spans="2:7" ht="11.25" hidden="1" customHeight="1" outlineLevel="2" x14ac:dyDescent="0.25">
      <c r="B5782" s="704" t="s">
        <v>695</v>
      </c>
      <c r="C5782" s="704" t="s">
        <v>740</v>
      </c>
      <c r="D5782" s="704" t="s">
        <v>562</v>
      </c>
      <c r="E5782" s="704" t="s">
        <v>448</v>
      </c>
      <c r="F5782" s="705">
        <v>7.5970688631559558E-3</v>
      </c>
      <c r="G5782" s="705">
        <v>3.7645429265481249</v>
      </c>
    </row>
    <row r="5783" spans="2:7" ht="11.25" hidden="1" customHeight="1" outlineLevel="2" x14ac:dyDescent="0.25">
      <c r="B5783" s="704" t="s">
        <v>696</v>
      </c>
      <c r="C5783" s="704" t="s">
        <v>740</v>
      </c>
      <c r="D5783" s="704" t="s">
        <v>562</v>
      </c>
      <c r="E5783" s="704" t="s">
        <v>448</v>
      </c>
      <c r="F5783" s="705">
        <v>1.7121750038614301E-2</v>
      </c>
      <c r="G5783" s="705">
        <v>8.4842771081972685</v>
      </c>
    </row>
    <row r="5784" spans="2:7" ht="11.25" hidden="1" customHeight="1" outlineLevel="2" x14ac:dyDescent="0.25">
      <c r="B5784" s="704" t="s">
        <v>697</v>
      </c>
      <c r="C5784" s="704" t="s">
        <v>740</v>
      </c>
      <c r="D5784" s="704" t="s">
        <v>562</v>
      </c>
      <c r="E5784" s="704" t="s">
        <v>448</v>
      </c>
      <c r="F5784" s="705">
        <v>1.4853962678633991E-2</v>
      </c>
      <c r="G5784" s="705">
        <v>7.3605295088915534</v>
      </c>
    </row>
    <row r="5785" spans="2:7" ht="11.25" hidden="1" customHeight="1" outlineLevel="2" x14ac:dyDescent="0.25">
      <c r="B5785" s="704" t="s">
        <v>698</v>
      </c>
      <c r="C5785" s="704" t="s">
        <v>740</v>
      </c>
      <c r="D5785" s="704" t="s">
        <v>562</v>
      </c>
      <c r="E5785" s="704" t="s">
        <v>448</v>
      </c>
      <c r="F5785" s="705">
        <v>9.2979034095624843E-3</v>
      </c>
      <c r="G5785" s="705">
        <v>4.6073462309468267</v>
      </c>
    </row>
    <row r="5786" spans="2:7" ht="11.25" hidden="1" customHeight="1" outlineLevel="2" x14ac:dyDescent="0.25">
      <c r="B5786" s="704" t="s">
        <v>699</v>
      </c>
      <c r="C5786" s="704" t="s">
        <v>740</v>
      </c>
      <c r="D5786" s="704" t="s">
        <v>562</v>
      </c>
      <c r="E5786" s="704" t="s">
        <v>448</v>
      </c>
      <c r="F5786" s="705">
        <v>7.2109381319057142E-2</v>
      </c>
      <c r="G5786" s="705">
        <v>35.735070784261353</v>
      </c>
    </row>
    <row r="5787" spans="2:7" ht="11.25" hidden="1" customHeight="1" outlineLevel="2" x14ac:dyDescent="0.25">
      <c r="B5787" s="704" t="s">
        <v>673</v>
      </c>
      <c r="C5787" s="704" t="s">
        <v>741</v>
      </c>
      <c r="D5787" s="704" t="s">
        <v>562</v>
      </c>
      <c r="E5787" s="704" t="s">
        <v>448</v>
      </c>
      <c r="F5787" s="705">
        <v>4.7095798836008729E-2</v>
      </c>
      <c r="G5787" s="705">
        <v>24.366114974648408</v>
      </c>
    </row>
    <row r="5788" spans="2:7" ht="11.25" hidden="1" customHeight="1" outlineLevel="2" x14ac:dyDescent="0.25">
      <c r="B5788" s="704" t="s">
        <v>677</v>
      </c>
      <c r="C5788" s="704" t="s">
        <v>741</v>
      </c>
      <c r="D5788" s="704" t="s">
        <v>562</v>
      </c>
      <c r="E5788" s="704" t="s">
        <v>448</v>
      </c>
      <c r="F5788" s="705">
        <v>0.47824071431139598</v>
      </c>
      <c r="G5788" s="705">
        <v>247.03471866380158</v>
      </c>
    </row>
    <row r="5789" spans="2:7" ht="11.25" hidden="1" customHeight="1" outlineLevel="2" x14ac:dyDescent="0.25">
      <c r="B5789" s="704" t="s">
        <v>678</v>
      </c>
      <c r="C5789" s="704" t="s">
        <v>741</v>
      </c>
      <c r="D5789" s="704" t="s">
        <v>562</v>
      </c>
      <c r="E5789" s="704" t="s">
        <v>448</v>
      </c>
      <c r="F5789" s="705">
        <v>0.73028567078512452</v>
      </c>
      <c r="G5789" s="705">
        <v>383.79431954510562</v>
      </c>
    </row>
    <row r="5790" spans="2:7" ht="11.25" hidden="1" customHeight="1" outlineLevel="2" x14ac:dyDescent="0.25">
      <c r="B5790" s="704" t="s">
        <v>679</v>
      </c>
      <c r="C5790" s="704" t="s">
        <v>741</v>
      </c>
      <c r="D5790" s="704" t="s">
        <v>562</v>
      </c>
      <c r="E5790" s="704" t="s">
        <v>448</v>
      </c>
      <c r="F5790" s="705">
        <v>2.6806126766458025E-2</v>
      </c>
      <c r="G5790" s="705">
        <v>13.869927540116496</v>
      </c>
    </row>
    <row r="5791" spans="2:7" ht="11.25" hidden="1" customHeight="1" outlineLevel="2" x14ac:dyDescent="0.25">
      <c r="B5791" s="704" t="s">
        <v>680</v>
      </c>
      <c r="C5791" s="704" t="s">
        <v>741</v>
      </c>
      <c r="D5791" s="704" t="s">
        <v>562</v>
      </c>
      <c r="E5791" s="704" t="s">
        <v>448</v>
      </c>
      <c r="F5791" s="705">
        <v>1.8838312089448316E-2</v>
      </c>
      <c r="G5791" s="705">
        <v>9.7464418882401169</v>
      </c>
    </row>
    <row r="5792" spans="2:7" ht="11.25" hidden="1" customHeight="1" outlineLevel="2" x14ac:dyDescent="0.25">
      <c r="B5792" s="704" t="s">
        <v>681</v>
      </c>
      <c r="C5792" s="704" t="s">
        <v>741</v>
      </c>
      <c r="D5792" s="704" t="s">
        <v>562</v>
      </c>
      <c r="E5792" s="704" t="s">
        <v>448</v>
      </c>
      <c r="F5792" s="705">
        <v>0.12026536024038474</v>
      </c>
      <c r="G5792" s="705">
        <v>62.227238801992343</v>
      </c>
    </row>
    <row r="5793" spans="2:7" ht="11.25" hidden="1" customHeight="1" outlineLevel="2" x14ac:dyDescent="0.25">
      <c r="B5793" s="704" t="s">
        <v>682</v>
      </c>
      <c r="C5793" s="704" t="s">
        <v>741</v>
      </c>
      <c r="D5793" s="704" t="s">
        <v>562</v>
      </c>
      <c r="E5793" s="704" t="s">
        <v>448</v>
      </c>
      <c r="F5793" s="705">
        <v>4.6367351102704658E-2</v>
      </c>
      <c r="G5793" s="705">
        <v>23.991243873084002</v>
      </c>
    </row>
    <row r="5794" spans="2:7" ht="11.25" hidden="1" customHeight="1" outlineLevel="2" x14ac:dyDescent="0.25">
      <c r="B5794" s="704" t="s">
        <v>683</v>
      </c>
      <c r="C5794" s="704" t="s">
        <v>741</v>
      </c>
      <c r="D5794" s="704" t="s">
        <v>562</v>
      </c>
      <c r="E5794" s="704" t="s">
        <v>448</v>
      </c>
      <c r="F5794" s="705">
        <v>5.5061227858682352E-2</v>
      </c>
      <c r="G5794" s="705">
        <v>28.489598884659827</v>
      </c>
    </row>
    <row r="5795" spans="2:7" ht="11.25" hidden="1" customHeight="1" outlineLevel="2" x14ac:dyDescent="0.25">
      <c r="B5795" s="704" t="s">
        <v>684</v>
      </c>
      <c r="C5795" s="704" t="s">
        <v>741</v>
      </c>
      <c r="D5795" s="704" t="s">
        <v>562</v>
      </c>
      <c r="E5795" s="704" t="s">
        <v>448</v>
      </c>
      <c r="F5795" s="705">
        <v>3.4053908643260168E-2</v>
      </c>
      <c r="G5795" s="705">
        <v>17.618550520440692</v>
      </c>
    </row>
    <row r="5796" spans="2:7" ht="11.25" hidden="1" customHeight="1" outlineLevel="2" x14ac:dyDescent="0.25">
      <c r="B5796" s="704" t="s">
        <v>685</v>
      </c>
      <c r="C5796" s="704" t="s">
        <v>741</v>
      </c>
      <c r="D5796" s="704" t="s">
        <v>562</v>
      </c>
      <c r="E5796" s="704" t="s">
        <v>448</v>
      </c>
      <c r="F5796" s="705">
        <v>0.16953059311605337</v>
      </c>
      <c r="G5796" s="705">
        <v>87.717933652295898</v>
      </c>
    </row>
    <row r="5797" spans="2:7" ht="11.25" hidden="1" customHeight="1" outlineLevel="2" x14ac:dyDescent="0.25">
      <c r="B5797" s="704" t="s">
        <v>686</v>
      </c>
      <c r="C5797" s="704" t="s">
        <v>741</v>
      </c>
      <c r="D5797" s="704" t="s">
        <v>562</v>
      </c>
      <c r="E5797" s="704" t="s">
        <v>448</v>
      </c>
      <c r="F5797" s="705">
        <v>2.5359284373134679E-2</v>
      </c>
      <c r="G5797" s="705">
        <v>13.120213711142764</v>
      </c>
    </row>
    <row r="5798" spans="2:7" ht="11.25" hidden="1" customHeight="1" outlineLevel="2" x14ac:dyDescent="0.25">
      <c r="B5798" s="704" t="s">
        <v>687</v>
      </c>
      <c r="C5798" s="704" t="s">
        <v>741</v>
      </c>
      <c r="D5798" s="704" t="s">
        <v>562</v>
      </c>
      <c r="E5798" s="704" t="s">
        <v>448</v>
      </c>
      <c r="F5798" s="705">
        <v>0.16301022934064394</v>
      </c>
      <c r="G5798" s="705">
        <v>84.344238214335633</v>
      </c>
    </row>
    <row r="5799" spans="2:7" ht="11.25" hidden="1" customHeight="1" outlineLevel="2" x14ac:dyDescent="0.25">
      <c r="B5799" s="704" t="s">
        <v>688</v>
      </c>
      <c r="C5799" s="704" t="s">
        <v>741</v>
      </c>
      <c r="D5799" s="704" t="s">
        <v>562</v>
      </c>
      <c r="E5799" s="704" t="s">
        <v>448</v>
      </c>
      <c r="F5799" s="705">
        <v>0.43324512348042482</v>
      </c>
      <c r="G5799" s="705">
        <v>224.16789432742456</v>
      </c>
    </row>
    <row r="5800" spans="2:7" ht="11.25" hidden="1" customHeight="1" outlineLevel="2" x14ac:dyDescent="0.25">
      <c r="B5800" s="704" t="s">
        <v>689</v>
      </c>
      <c r="C5800" s="704" t="s">
        <v>741</v>
      </c>
      <c r="D5800" s="704" t="s">
        <v>562</v>
      </c>
      <c r="E5800" s="704" t="s">
        <v>448</v>
      </c>
      <c r="F5800" s="705">
        <v>2.6821603057754256E-2</v>
      </c>
      <c r="G5800" s="705">
        <v>13.878436626532737</v>
      </c>
    </row>
    <row r="5801" spans="2:7" ht="11.25" hidden="1" customHeight="1" outlineLevel="2" x14ac:dyDescent="0.25">
      <c r="B5801" s="704" t="s">
        <v>690</v>
      </c>
      <c r="C5801" s="704" t="s">
        <v>741</v>
      </c>
      <c r="D5801" s="704" t="s">
        <v>562</v>
      </c>
      <c r="E5801" s="704" t="s">
        <v>448</v>
      </c>
      <c r="F5801" s="705">
        <v>0.63827576985098367</v>
      </c>
      <c r="G5801" s="705">
        <v>330.25435579954865</v>
      </c>
    </row>
    <row r="5802" spans="2:7" ht="11.25" hidden="1" customHeight="1" outlineLevel="2" x14ac:dyDescent="0.25">
      <c r="B5802" s="704" t="s">
        <v>691</v>
      </c>
      <c r="C5802" s="704" t="s">
        <v>741</v>
      </c>
      <c r="D5802" s="704" t="s">
        <v>562</v>
      </c>
      <c r="E5802" s="704" t="s">
        <v>448</v>
      </c>
      <c r="F5802" s="705">
        <v>0.4875815242652749</v>
      </c>
      <c r="G5802" s="705">
        <v>252.28274321037858</v>
      </c>
    </row>
    <row r="5803" spans="2:7" ht="11.25" hidden="1" customHeight="1" outlineLevel="2" x14ac:dyDescent="0.25">
      <c r="B5803" s="704" t="s">
        <v>692</v>
      </c>
      <c r="C5803" s="704" t="s">
        <v>741</v>
      </c>
      <c r="D5803" s="704" t="s">
        <v>562</v>
      </c>
      <c r="E5803" s="704" t="s">
        <v>448</v>
      </c>
      <c r="F5803" s="705">
        <v>5.7234713543070269E-2</v>
      </c>
      <c r="G5803" s="705">
        <v>29.614182688886988</v>
      </c>
    </row>
    <row r="5804" spans="2:7" ht="11.25" hidden="1" customHeight="1" outlineLevel="2" x14ac:dyDescent="0.25">
      <c r="B5804" s="704" t="s">
        <v>693</v>
      </c>
      <c r="C5804" s="704" t="s">
        <v>741</v>
      </c>
      <c r="D5804" s="704" t="s">
        <v>562</v>
      </c>
      <c r="E5804" s="704" t="s">
        <v>448</v>
      </c>
      <c r="F5804" s="705">
        <v>2.6083822142005067E-2</v>
      </c>
      <c r="G5804" s="705">
        <v>13.495074849684986</v>
      </c>
    </row>
    <row r="5805" spans="2:7" ht="11.25" hidden="1" customHeight="1" outlineLevel="2" x14ac:dyDescent="0.25">
      <c r="B5805" s="704" t="s">
        <v>694</v>
      </c>
      <c r="C5805" s="704" t="s">
        <v>741</v>
      </c>
      <c r="D5805" s="704" t="s">
        <v>562</v>
      </c>
      <c r="E5805" s="704" t="s">
        <v>448</v>
      </c>
      <c r="F5805" s="705">
        <v>1.0868257803535075E-2</v>
      </c>
      <c r="G5805" s="705">
        <v>5.6229453512803449</v>
      </c>
    </row>
    <row r="5806" spans="2:7" ht="11.25" hidden="1" customHeight="1" outlineLevel="2" x14ac:dyDescent="0.25">
      <c r="B5806" s="704" t="s">
        <v>695</v>
      </c>
      <c r="C5806" s="704" t="s">
        <v>741</v>
      </c>
      <c r="D5806" s="704" t="s">
        <v>562</v>
      </c>
      <c r="E5806" s="704" t="s">
        <v>448</v>
      </c>
      <c r="F5806" s="705">
        <v>4.8544889193414494E-2</v>
      </c>
      <c r="G5806" s="705">
        <v>25.115830670688506</v>
      </c>
    </row>
    <row r="5807" spans="2:7" ht="11.25" hidden="1" customHeight="1" outlineLevel="2" x14ac:dyDescent="0.25">
      <c r="B5807" s="704" t="s">
        <v>696</v>
      </c>
      <c r="C5807" s="704" t="s">
        <v>741</v>
      </c>
      <c r="D5807" s="704" t="s">
        <v>562</v>
      </c>
      <c r="E5807" s="704" t="s">
        <v>448</v>
      </c>
      <c r="F5807" s="705">
        <v>0.10940713689246438</v>
      </c>
      <c r="G5807" s="705">
        <v>56.60431434455775</v>
      </c>
    </row>
    <row r="5808" spans="2:7" ht="11.25" hidden="1" customHeight="1" outlineLevel="2" x14ac:dyDescent="0.25">
      <c r="B5808" s="704" t="s">
        <v>697</v>
      </c>
      <c r="C5808" s="704" t="s">
        <v>741</v>
      </c>
      <c r="D5808" s="704" t="s">
        <v>562</v>
      </c>
      <c r="E5808" s="704" t="s">
        <v>448</v>
      </c>
      <c r="F5808" s="705">
        <v>9.4916121297656308E-2</v>
      </c>
      <c r="G5808" s="705">
        <v>49.107068082036555</v>
      </c>
    </row>
    <row r="5809" spans="2:7" ht="11.25" hidden="1" customHeight="1" outlineLevel="2" x14ac:dyDescent="0.25">
      <c r="B5809" s="704" t="s">
        <v>698</v>
      </c>
      <c r="C5809" s="704" t="s">
        <v>741</v>
      </c>
      <c r="D5809" s="704" t="s">
        <v>562</v>
      </c>
      <c r="E5809" s="704" t="s">
        <v>448</v>
      </c>
      <c r="F5809" s="705">
        <v>5.9413151896731416E-2</v>
      </c>
      <c r="G5809" s="705">
        <v>30.738774838759589</v>
      </c>
    </row>
    <row r="5810" spans="2:7" ht="11.25" hidden="1" customHeight="1" outlineLevel="2" x14ac:dyDescent="0.25">
      <c r="B5810" s="704" t="s">
        <v>699</v>
      </c>
      <c r="C5810" s="704" t="s">
        <v>741</v>
      </c>
      <c r="D5810" s="704" t="s">
        <v>562</v>
      </c>
      <c r="E5810" s="704" t="s">
        <v>448</v>
      </c>
      <c r="F5810" s="705">
        <v>0.46077539801993883</v>
      </c>
      <c r="G5810" s="705">
        <v>238.41295507060883</v>
      </c>
    </row>
    <row r="5811" spans="2:7" ht="11.25" hidden="1" customHeight="1" outlineLevel="2" x14ac:dyDescent="0.25">
      <c r="B5811" s="704" t="s">
        <v>673</v>
      </c>
      <c r="C5811" s="704" t="s">
        <v>742</v>
      </c>
      <c r="D5811" s="704" t="s">
        <v>562</v>
      </c>
      <c r="E5811" s="704" t="s">
        <v>448</v>
      </c>
      <c r="F5811" s="705">
        <v>2.0963845222397574E-5</v>
      </c>
      <c r="G5811" s="705">
        <v>9.3972635242634012E-3</v>
      </c>
    </row>
    <row r="5812" spans="2:7" ht="11.25" hidden="1" customHeight="1" outlineLevel="2" x14ac:dyDescent="0.25">
      <c r="B5812" s="704" t="s">
        <v>677</v>
      </c>
      <c r="C5812" s="704" t="s">
        <v>742</v>
      </c>
      <c r="D5812" s="704" t="s">
        <v>562</v>
      </c>
      <c r="E5812" s="704" t="s">
        <v>448</v>
      </c>
      <c r="F5812" s="705">
        <v>2.1288030916054792E-4</v>
      </c>
      <c r="G5812" s="705">
        <v>9.5273825633411871E-2</v>
      </c>
    </row>
    <row r="5813" spans="2:7" ht="11.25" hidden="1" customHeight="1" outlineLevel="2" x14ac:dyDescent="0.25">
      <c r="B5813" s="704" t="s">
        <v>678</v>
      </c>
      <c r="C5813" s="704" t="s">
        <v>742</v>
      </c>
      <c r="D5813" s="704" t="s">
        <v>562</v>
      </c>
      <c r="E5813" s="704" t="s">
        <v>448</v>
      </c>
      <c r="F5813" s="705">
        <v>3.3018083893596178E-4</v>
      </c>
      <c r="G5813" s="705">
        <v>0.14572982938756895</v>
      </c>
    </row>
    <row r="5814" spans="2:7" ht="11.25" hidden="1" customHeight="1" outlineLevel="2" x14ac:dyDescent="0.25">
      <c r="B5814" s="704" t="s">
        <v>679</v>
      </c>
      <c r="C5814" s="704" t="s">
        <v>742</v>
      </c>
      <c r="D5814" s="704" t="s">
        <v>562</v>
      </c>
      <c r="E5814" s="704" t="s">
        <v>448</v>
      </c>
      <c r="F5814" s="705">
        <v>1.193226579127512E-5</v>
      </c>
      <c r="G5814" s="705">
        <v>5.3492103383926005E-3</v>
      </c>
    </row>
    <row r="5815" spans="2:7" ht="11.25" hidden="1" customHeight="1" outlineLevel="2" x14ac:dyDescent="0.25">
      <c r="B5815" s="704" t="s">
        <v>680</v>
      </c>
      <c r="C5815" s="704" t="s">
        <v>742</v>
      </c>
      <c r="D5815" s="704" t="s">
        <v>562</v>
      </c>
      <c r="E5815" s="704" t="s">
        <v>448</v>
      </c>
      <c r="F5815" s="705">
        <v>8.3855421990795591E-6</v>
      </c>
      <c r="G5815" s="705">
        <v>3.7589049637673428E-3</v>
      </c>
    </row>
    <row r="5816" spans="2:7" ht="11.25" hidden="1" customHeight="1" outlineLevel="2" x14ac:dyDescent="0.25">
      <c r="B5816" s="704" t="s">
        <v>681</v>
      </c>
      <c r="C5816" s="704" t="s">
        <v>742</v>
      </c>
      <c r="D5816" s="704" t="s">
        <v>562</v>
      </c>
      <c r="E5816" s="704" t="s">
        <v>448</v>
      </c>
      <c r="F5816" s="705">
        <v>5.3533971759393667E-5</v>
      </c>
      <c r="G5816" s="705">
        <v>2.3999181208591697E-2</v>
      </c>
    </row>
    <row r="5817" spans="2:7" ht="11.25" hidden="1" customHeight="1" outlineLevel="2" x14ac:dyDescent="0.25">
      <c r="B5817" s="704" t="s">
        <v>682</v>
      </c>
      <c r="C5817" s="704" t="s">
        <v>742</v>
      </c>
      <c r="D5817" s="704" t="s">
        <v>562</v>
      </c>
      <c r="E5817" s="704" t="s">
        <v>448</v>
      </c>
      <c r="F5817" s="705">
        <v>2.0639596932865348E-5</v>
      </c>
      <c r="G5817" s="705">
        <v>9.2526803380129745E-3</v>
      </c>
    </row>
    <row r="5818" spans="2:7" ht="11.25" hidden="1" customHeight="1" outlineLevel="2" x14ac:dyDescent="0.25">
      <c r="B5818" s="704" t="s">
        <v>683</v>
      </c>
      <c r="C5818" s="704" t="s">
        <v>742</v>
      </c>
      <c r="D5818" s="704" t="s">
        <v>562</v>
      </c>
      <c r="E5818" s="704" t="s">
        <v>448</v>
      </c>
      <c r="F5818" s="706">
        <v>2.4509524654466707E-5</v>
      </c>
      <c r="G5818" s="705">
        <v>1.0987585180172909E-2</v>
      </c>
    </row>
    <row r="5819" spans="2:7" ht="11.25" hidden="1" customHeight="1" outlineLevel="2" x14ac:dyDescent="0.25">
      <c r="B5819" s="704" t="s">
        <v>684</v>
      </c>
      <c r="C5819" s="704" t="s">
        <v>742</v>
      </c>
      <c r="D5819" s="704" t="s">
        <v>562</v>
      </c>
      <c r="E5819" s="704" t="s">
        <v>448</v>
      </c>
      <c r="F5819" s="706">
        <v>1.5158470249126388E-5</v>
      </c>
      <c r="G5819" s="705">
        <v>6.7949492678398568E-3</v>
      </c>
    </row>
    <row r="5820" spans="2:7" ht="11.25" hidden="1" customHeight="1" outlineLevel="2" x14ac:dyDescent="0.25">
      <c r="B5820" s="704" t="s">
        <v>685</v>
      </c>
      <c r="C5820" s="704" t="s">
        <v>742</v>
      </c>
      <c r="D5820" s="704" t="s">
        <v>562</v>
      </c>
      <c r="E5820" s="704" t="s">
        <v>448</v>
      </c>
      <c r="F5820" s="706">
        <v>7.5463544015662737E-5</v>
      </c>
      <c r="G5820" s="705">
        <v>3.3830153933795341E-2</v>
      </c>
    </row>
    <row r="5821" spans="2:7" ht="11.25" hidden="1" customHeight="1" outlineLevel="2" x14ac:dyDescent="0.25">
      <c r="B5821" s="704" t="s">
        <v>686</v>
      </c>
      <c r="C5821" s="704" t="s">
        <v>742</v>
      </c>
      <c r="D5821" s="704" t="s">
        <v>562</v>
      </c>
      <c r="E5821" s="704" t="s">
        <v>448</v>
      </c>
      <c r="F5821" s="706">
        <v>1.1288222090369281E-5</v>
      </c>
      <c r="G5821" s="705">
        <v>5.0600634642477124E-3</v>
      </c>
    </row>
    <row r="5822" spans="2:7" ht="11.25" hidden="1" customHeight="1" outlineLevel="2" x14ac:dyDescent="0.25">
      <c r="B5822" s="704" t="s">
        <v>687</v>
      </c>
      <c r="C5822" s="704" t="s">
        <v>742</v>
      </c>
      <c r="D5822" s="704" t="s">
        <v>562</v>
      </c>
      <c r="E5822" s="704" t="s">
        <v>448</v>
      </c>
      <c r="F5822" s="706">
        <v>7.2561067701919861E-5</v>
      </c>
      <c r="G5822" s="705">
        <v>3.2528965415809977E-2</v>
      </c>
    </row>
    <row r="5823" spans="2:7" ht="11.25" hidden="1" customHeight="1" outlineLevel="2" x14ac:dyDescent="0.25">
      <c r="B5823" s="704" t="s">
        <v>688</v>
      </c>
      <c r="C5823" s="704" t="s">
        <v>742</v>
      </c>
      <c r="D5823" s="704" t="s">
        <v>562</v>
      </c>
      <c r="E5823" s="704" t="s">
        <v>448</v>
      </c>
      <c r="F5823" s="706">
        <v>1.9285126535993871E-4</v>
      </c>
      <c r="G5823" s="705">
        <v>8.6454807736710465E-2</v>
      </c>
    </row>
    <row r="5824" spans="2:7" ht="11.25" hidden="1" customHeight="1" outlineLevel="2" x14ac:dyDescent="0.25">
      <c r="B5824" s="704" t="s">
        <v>689</v>
      </c>
      <c r="C5824" s="704" t="s">
        <v>742</v>
      </c>
      <c r="D5824" s="704" t="s">
        <v>562</v>
      </c>
      <c r="E5824" s="704" t="s">
        <v>448</v>
      </c>
      <c r="F5824" s="706">
        <v>1.1939158374912438E-5</v>
      </c>
      <c r="G5824" s="705">
        <v>5.352493195413777E-3</v>
      </c>
    </row>
    <row r="5825" spans="2:7" ht="11.25" hidden="1" customHeight="1" outlineLevel="2" x14ac:dyDescent="0.25">
      <c r="B5825" s="704" t="s">
        <v>690</v>
      </c>
      <c r="C5825" s="704" t="s">
        <v>742</v>
      </c>
      <c r="D5825" s="704" t="s">
        <v>562</v>
      </c>
      <c r="E5825" s="704" t="s">
        <v>448</v>
      </c>
      <c r="F5825" s="706">
        <v>2.8411679710834754E-4</v>
      </c>
      <c r="G5825" s="705">
        <v>0.12736891840574346</v>
      </c>
    </row>
    <row r="5826" spans="2:7" ht="11.25" hidden="1" customHeight="1" outlineLevel="2" x14ac:dyDescent="0.25">
      <c r="B5826" s="704" t="s">
        <v>691</v>
      </c>
      <c r="C5826" s="704" t="s">
        <v>742</v>
      </c>
      <c r="D5826" s="704" t="s">
        <v>562</v>
      </c>
      <c r="E5826" s="704" t="s">
        <v>448</v>
      </c>
      <c r="F5826" s="706">
        <v>2.1703821382478786E-4</v>
      </c>
      <c r="G5826" s="705">
        <v>9.7297832973537959E-2</v>
      </c>
    </row>
    <row r="5827" spans="2:7" ht="11.25" hidden="1" customHeight="1" outlineLevel="2" x14ac:dyDescent="0.25">
      <c r="B5827" s="704" t="s">
        <v>692</v>
      </c>
      <c r="C5827" s="704" t="s">
        <v>742</v>
      </c>
      <c r="D5827" s="704" t="s">
        <v>562</v>
      </c>
      <c r="E5827" s="704" t="s">
        <v>448</v>
      </c>
      <c r="F5827" s="706">
        <v>2.5477006676748293E-5</v>
      </c>
      <c r="G5827" s="705">
        <v>1.1421290353531734E-2</v>
      </c>
    </row>
    <row r="5828" spans="2:7" ht="11.25" hidden="1" customHeight="1" outlineLevel="2" x14ac:dyDescent="0.25">
      <c r="B5828" s="704" t="s">
        <v>693</v>
      </c>
      <c r="C5828" s="704" t="s">
        <v>742</v>
      </c>
      <c r="D5828" s="704" t="s">
        <v>562</v>
      </c>
      <c r="E5828" s="704" t="s">
        <v>448</v>
      </c>
      <c r="F5828" s="706">
        <v>1.161074552443623E-5</v>
      </c>
      <c r="G5828" s="705">
        <v>5.2046318764360231E-3</v>
      </c>
    </row>
    <row r="5829" spans="2:7" ht="11.25" hidden="1" customHeight="1" outlineLevel="2" x14ac:dyDescent="0.25">
      <c r="B5829" s="704" t="s">
        <v>694</v>
      </c>
      <c r="C5829" s="704" t="s">
        <v>742</v>
      </c>
      <c r="D5829" s="704" t="s">
        <v>562</v>
      </c>
      <c r="E5829" s="704" t="s">
        <v>448</v>
      </c>
      <c r="F5829" s="706">
        <v>4.8378129390999237E-6</v>
      </c>
      <c r="G5829" s="705">
        <v>2.1685980479515974E-3</v>
      </c>
    </row>
    <row r="5830" spans="2:7" ht="11.25" hidden="1" customHeight="1" outlineLevel="2" x14ac:dyDescent="0.25">
      <c r="B5830" s="704" t="s">
        <v>695</v>
      </c>
      <c r="C5830" s="704" t="s">
        <v>742</v>
      </c>
      <c r="D5830" s="704" t="s">
        <v>562</v>
      </c>
      <c r="E5830" s="704" t="s">
        <v>448</v>
      </c>
      <c r="F5830" s="706">
        <v>2.1608890714879187E-5</v>
      </c>
      <c r="G5830" s="705">
        <v>9.68640521879407E-3</v>
      </c>
    </row>
    <row r="5831" spans="2:7" ht="11.25" hidden="1" customHeight="1" outlineLevel="2" x14ac:dyDescent="0.25">
      <c r="B5831" s="704" t="s">
        <v>696</v>
      </c>
      <c r="C5831" s="704" t="s">
        <v>742</v>
      </c>
      <c r="D5831" s="704" t="s">
        <v>562</v>
      </c>
      <c r="E5831" s="704" t="s">
        <v>448</v>
      </c>
      <c r="F5831" s="706">
        <v>4.8700624500488179E-5</v>
      </c>
      <c r="G5831" s="705">
        <v>2.1830561583907608E-2</v>
      </c>
    </row>
    <row r="5832" spans="2:7" ht="11.25" hidden="1" customHeight="1" outlineLevel="2" x14ac:dyDescent="0.25">
      <c r="B5832" s="704" t="s">
        <v>697</v>
      </c>
      <c r="C5832" s="704" t="s">
        <v>742</v>
      </c>
      <c r="D5832" s="704" t="s">
        <v>562</v>
      </c>
      <c r="E5832" s="704" t="s">
        <v>448</v>
      </c>
      <c r="F5832" s="706">
        <v>4.2250214331710654E-5</v>
      </c>
      <c r="G5832" s="705">
        <v>1.8939094609985139E-2</v>
      </c>
    </row>
    <row r="5833" spans="2:7" ht="11.25" hidden="1" customHeight="1" outlineLevel="2" x14ac:dyDescent="0.25">
      <c r="B5833" s="704" t="s">
        <v>698</v>
      </c>
      <c r="C5833" s="704" t="s">
        <v>742</v>
      </c>
      <c r="D5833" s="704" t="s">
        <v>562</v>
      </c>
      <c r="E5833" s="704" t="s">
        <v>448</v>
      </c>
      <c r="F5833" s="706">
        <v>2.6446697550729947E-5</v>
      </c>
      <c r="G5833" s="705">
        <v>1.1855017342523061E-2</v>
      </c>
    </row>
    <row r="5834" spans="2:7" ht="11.25" hidden="1" customHeight="1" outlineLevel="2" x14ac:dyDescent="0.25">
      <c r="B5834" s="704" t="s">
        <v>699</v>
      </c>
      <c r="C5834" s="704" t="s">
        <v>742</v>
      </c>
      <c r="D5834" s="704" t="s">
        <v>562</v>
      </c>
      <c r="E5834" s="704" t="s">
        <v>448</v>
      </c>
      <c r="F5834" s="706">
        <v>2.0510602594091495E-4</v>
      </c>
      <c r="G5834" s="705">
        <v>9.1948527770279481E-2</v>
      </c>
    </row>
    <row r="5835" spans="2:7" ht="11.25" hidden="1" customHeight="1" outlineLevel="2" x14ac:dyDescent="0.25">
      <c r="B5835" s="704" t="s">
        <v>673</v>
      </c>
      <c r="C5835" s="704" t="s">
        <v>743</v>
      </c>
      <c r="D5835" s="704" t="s">
        <v>562</v>
      </c>
      <c r="E5835" s="704" t="s">
        <v>448</v>
      </c>
      <c r="F5835" s="706">
        <v>3.2986222814138008E-4</v>
      </c>
      <c r="G5835" s="705">
        <v>0.14786407801371526</v>
      </c>
    </row>
    <row r="5836" spans="2:7" ht="11.25" hidden="1" customHeight="1" outlineLevel="2" x14ac:dyDescent="0.25">
      <c r="B5836" s="704" t="s">
        <v>677</v>
      </c>
      <c r="C5836" s="704" t="s">
        <v>743</v>
      </c>
      <c r="D5836" s="704" t="s">
        <v>562</v>
      </c>
      <c r="E5836" s="704" t="s">
        <v>448</v>
      </c>
      <c r="F5836" s="706">
        <v>3.349630970233909E-3</v>
      </c>
      <c r="G5836" s="705">
        <v>1.4991143732323027</v>
      </c>
    </row>
    <row r="5837" spans="2:7" ht="11.25" hidden="1" customHeight="1" outlineLevel="2" x14ac:dyDescent="0.25">
      <c r="B5837" s="704" t="s">
        <v>678</v>
      </c>
      <c r="C5837" s="704" t="s">
        <v>743</v>
      </c>
      <c r="D5837" s="704" t="s">
        <v>562</v>
      </c>
      <c r="E5837" s="704" t="s">
        <v>448</v>
      </c>
      <c r="F5837" s="706">
        <v>5.1149736432730773E-3</v>
      </c>
      <c r="G5837" s="705">
        <v>2.2930323379367263</v>
      </c>
    </row>
    <row r="5838" spans="2:7" ht="11.25" hidden="1" customHeight="1" outlineLevel="2" x14ac:dyDescent="0.25">
      <c r="B5838" s="704" t="s">
        <v>679</v>
      </c>
      <c r="C5838" s="704" t="s">
        <v>743</v>
      </c>
      <c r="D5838" s="704" t="s">
        <v>562</v>
      </c>
      <c r="E5838" s="704" t="s">
        <v>448</v>
      </c>
      <c r="F5838" s="706">
        <v>1.877519169457515E-4</v>
      </c>
      <c r="G5838" s="705">
        <v>8.4168909063771877E-2</v>
      </c>
    </row>
    <row r="5839" spans="2:7" ht="11.25" hidden="1" customHeight="1" outlineLevel="2" x14ac:dyDescent="0.25">
      <c r="B5839" s="704" t="s">
        <v>680</v>
      </c>
      <c r="C5839" s="704" t="s">
        <v>743</v>
      </c>
      <c r="D5839" s="704" t="s">
        <v>562</v>
      </c>
      <c r="E5839" s="704" t="s">
        <v>448</v>
      </c>
      <c r="F5839" s="706">
        <v>1.3194488672716551E-4</v>
      </c>
      <c r="G5839" s="705">
        <v>5.9145587268922648E-2</v>
      </c>
    </row>
    <row r="5840" spans="2:7" ht="11.25" hidden="1" customHeight="1" outlineLevel="2" x14ac:dyDescent="0.25">
      <c r="B5840" s="704" t="s">
        <v>681</v>
      </c>
      <c r="C5840" s="704" t="s">
        <v>743</v>
      </c>
      <c r="D5840" s="704" t="s">
        <v>562</v>
      </c>
      <c r="E5840" s="704" t="s">
        <v>448</v>
      </c>
      <c r="F5840" s="706">
        <v>8.4234641033372522E-4</v>
      </c>
      <c r="G5840" s="705">
        <v>0.37762238334466569</v>
      </c>
    </row>
    <row r="5841" spans="2:7" ht="11.25" hidden="1" customHeight="1" outlineLevel="2" x14ac:dyDescent="0.25">
      <c r="B5841" s="704" t="s">
        <v>682</v>
      </c>
      <c r="C5841" s="704" t="s">
        <v>743</v>
      </c>
      <c r="D5841" s="704" t="s">
        <v>562</v>
      </c>
      <c r="E5841" s="704" t="s">
        <v>448</v>
      </c>
      <c r="F5841" s="706">
        <v>3.2476005209238786E-4</v>
      </c>
      <c r="G5841" s="705">
        <v>0.14558929967250481</v>
      </c>
    </row>
    <row r="5842" spans="2:7" ht="11.25" hidden="1" customHeight="1" outlineLevel="2" x14ac:dyDescent="0.25">
      <c r="B5842" s="704" t="s">
        <v>683</v>
      </c>
      <c r="C5842" s="704" t="s">
        <v>743</v>
      </c>
      <c r="D5842" s="704" t="s">
        <v>562</v>
      </c>
      <c r="E5842" s="704" t="s">
        <v>448</v>
      </c>
      <c r="F5842" s="706">
        <v>3.8565260945625315E-4</v>
      </c>
      <c r="G5842" s="705">
        <v>0.17288721684572575</v>
      </c>
    </row>
    <row r="5843" spans="2:7" ht="11.25" hidden="1" customHeight="1" outlineLevel="2" x14ac:dyDescent="0.25">
      <c r="B5843" s="704" t="s">
        <v>684</v>
      </c>
      <c r="C5843" s="704" t="s">
        <v>743</v>
      </c>
      <c r="D5843" s="704" t="s">
        <v>562</v>
      </c>
      <c r="E5843" s="704" t="s">
        <v>448</v>
      </c>
      <c r="F5843" s="705">
        <v>2.3851567955644995E-4</v>
      </c>
      <c r="G5843" s="705">
        <v>0.10691709921297737</v>
      </c>
    </row>
    <row r="5844" spans="2:7" ht="11.25" hidden="1" customHeight="1" outlineLevel="2" x14ac:dyDescent="0.25">
      <c r="B5844" s="704" t="s">
        <v>685</v>
      </c>
      <c r="C5844" s="704" t="s">
        <v>743</v>
      </c>
      <c r="D5844" s="704" t="s">
        <v>562</v>
      </c>
      <c r="E5844" s="704" t="s">
        <v>448</v>
      </c>
      <c r="F5844" s="705">
        <v>1.1874040040779851E-3</v>
      </c>
      <c r="G5844" s="705">
        <v>0.53231069499156025</v>
      </c>
    </row>
    <row r="5845" spans="2:7" ht="11.25" hidden="1" customHeight="1" outlineLevel="2" x14ac:dyDescent="0.25">
      <c r="B5845" s="704" t="s">
        <v>686</v>
      </c>
      <c r="C5845" s="704" t="s">
        <v>743</v>
      </c>
      <c r="D5845" s="704" t="s">
        <v>562</v>
      </c>
      <c r="E5845" s="704" t="s">
        <v>448</v>
      </c>
      <c r="F5845" s="705">
        <v>1.7761805677803837E-4</v>
      </c>
      <c r="G5845" s="705">
        <v>7.9619164738370565E-2</v>
      </c>
    </row>
    <row r="5846" spans="2:7" ht="11.25" hidden="1" customHeight="1" outlineLevel="2" x14ac:dyDescent="0.25">
      <c r="B5846" s="704" t="s">
        <v>687</v>
      </c>
      <c r="C5846" s="704" t="s">
        <v>743</v>
      </c>
      <c r="D5846" s="704" t="s">
        <v>562</v>
      </c>
      <c r="E5846" s="704" t="s">
        <v>448</v>
      </c>
      <c r="F5846" s="705">
        <v>1.1417342750837532E-3</v>
      </c>
      <c r="G5846" s="705">
        <v>0.51183748470087342</v>
      </c>
    </row>
    <row r="5847" spans="2:7" ht="11.25" hidden="1" customHeight="1" outlineLevel="2" x14ac:dyDescent="0.25">
      <c r="B5847" s="704" t="s">
        <v>688</v>
      </c>
      <c r="C5847" s="704" t="s">
        <v>743</v>
      </c>
      <c r="D5847" s="704" t="s">
        <v>562</v>
      </c>
      <c r="E5847" s="704" t="s">
        <v>448</v>
      </c>
      <c r="F5847" s="705">
        <v>3.034475998306065E-3</v>
      </c>
      <c r="G5847" s="705">
        <v>1.3603492825938501</v>
      </c>
    </row>
    <row r="5848" spans="2:7" ht="11.25" hidden="1" customHeight="1" outlineLevel="2" x14ac:dyDescent="0.25">
      <c r="B5848" s="704" t="s">
        <v>689</v>
      </c>
      <c r="C5848" s="704" t="s">
        <v>743</v>
      </c>
      <c r="D5848" s="704" t="s">
        <v>562</v>
      </c>
      <c r="E5848" s="704" t="s">
        <v>448</v>
      </c>
      <c r="F5848" s="705">
        <v>1.8786024438956312E-4</v>
      </c>
      <c r="G5848" s="705">
        <v>8.422037350880765E-2</v>
      </c>
    </row>
    <row r="5849" spans="2:7" ht="11.25" hidden="1" customHeight="1" outlineLevel="2" x14ac:dyDescent="0.25">
      <c r="B5849" s="704" t="s">
        <v>690</v>
      </c>
      <c r="C5849" s="704" t="s">
        <v>743</v>
      </c>
      <c r="D5849" s="704" t="s">
        <v>562</v>
      </c>
      <c r="E5849" s="704" t="s">
        <v>448</v>
      </c>
      <c r="F5849" s="705">
        <v>4.4705252874168927E-3</v>
      </c>
      <c r="G5849" s="705">
        <v>2.0041277201735168</v>
      </c>
    </row>
    <row r="5850" spans="2:7" ht="11.25" hidden="1" customHeight="1" outlineLevel="2" x14ac:dyDescent="0.25">
      <c r="B5850" s="704" t="s">
        <v>691</v>
      </c>
      <c r="C5850" s="704" t="s">
        <v>743</v>
      </c>
      <c r="D5850" s="704" t="s">
        <v>562</v>
      </c>
      <c r="E5850" s="704" t="s">
        <v>448</v>
      </c>
      <c r="F5850" s="705">
        <v>3.4150545834343428E-3</v>
      </c>
      <c r="G5850" s="705">
        <v>1.5309618260523825</v>
      </c>
    </row>
    <row r="5851" spans="2:7" ht="11.25" hidden="1" customHeight="1" outlineLevel="2" x14ac:dyDescent="0.25">
      <c r="B5851" s="704" t="s">
        <v>692</v>
      </c>
      <c r="C5851" s="704" t="s">
        <v>743</v>
      </c>
      <c r="D5851" s="704" t="s">
        <v>562</v>
      </c>
      <c r="E5851" s="704" t="s">
        <v>448</v>
      </c>
      <c r="F5851" s="705">
        <v>4.0087562959592051E-4</v>
      </c>
      <c r="G5851" s="705">
        <v>0.17971188386085449</v>
      </c>
    </row>
    <row r="5852" spans="2:7" ht="11.25" hidden="1" customHeight="1" outlineLevel="2" x14ac:dyDescent="0.25">
      <c r="B5852" s="704" t="s">
        <v>693</v>
      </c>
      <c r="C5852" s="704" t="s">
        <v>743</v>
      </c>
      <c r="D5852" s="704" t="s">
        <v>562</v>
      </c>
      <c r="E5852" s="704" t="s">
        <v>448</v>
      </c>
      <c r="F5852" s="705">
        <v>1.826929583234267E-4</v>
      </c>
      <c r="G5852" s="705">
        <v>8.1893980764602345E-2</v>
      </c>
    </row>
    <row r="5853" spans="2:7" ht="11.25" hidden="1" customHeight="1" outlineLevel="2" x14ac:dyDescent="0.25">
      <c r="B5853" s="704" t="s">
        <v>694</v>
      </c>
      <c r="C5853" s="704" t="s">
        <v>743</v>
      </c>
      <c r="D5853" s="704" t="s">
        <v>562</v>
      </c>
      <c r="E5853" s="704" t="s">
        <v>448</v>
      </c>
      <c r="F5853" s="705">
        <v>7.6122038737023111E-5</v>
      </c>
      <c r="G5853" s="705">
        <v>3.4122495654620721E-2</v>
      </c>
    </row>
    <row r="5854" spans="2:7" ht="11.25" hidden="1" customHeight="1" outlineLevel="2" x14ac:dyDescent="0.25">
      <c r="B5854" s="704" t="s">
        <v>695</v>
      </c>
      <c r="C5854" s="704" t="s">
        <v>743</v>
      </c>
      <c r="D5854" s="704" t="s">
        <v>562</v>
      </c>
      <c r="E5854" s="704" t="s">
        <v>448</v>
      </c>
      <c r="F5854" s="705">
        <v>3.4001177154185567E-4</v>
      </c>
      <c r="G5854" s="705">
        <v>0.15241382156540048</v>
      </c>
    </row>
    <row r="5855" spans="2:7" ht="11.25" hidden="1" customHeight="1" outlineLevel="2" x14ac:dyDescent="0.25">
      <c r="B5855" s="704" t="s">
        <v>696</v>
      </c>
      <c r="C5855" s="704" t="s">
        <v>743</v>
      </c>
      <c r="D5855" s="704" t="s">
        <v>562</v>
      </c>
      <c r="E5855" s="704" t="s">
        <v>448</v>
      </c>
      <c r="F5855" s="705">
        <v>7.6629490526056827E-4</v>
      </c>
      <c r="G5855" s="705">
        <v>0.34349987917286018</v>
      </c>
    </row>
    <row r="5856" spans="2:7" ht="11.25" hidden="1" customHeight="1" outlineLevel="2" x14ac:dyDescent="0.25">
      <c r="B5856" s="704" t="s">
        <v>697</v>
      </c>
      <c r="C5856" s="704" t="s">
        <v>743</v>
      </c>
      <c r="D5856" s="704" t="s">
        <v>562</v>
      </c>
      <c r="E5856" s="704" t="s">
        <v>448</v>
      </c>
      <c r="F5856" s="705">
        <v>6.6479919854277748E-4</v>
      </c>
      <c r="G5856" s="705">
        <v>0.29800314517819759</v>
      </c>
    </row>
    <row r="5857" spans="2:7" ht="11.25" hidden="1" customHeight="1" outlineLevel="2" x14ac:dyDescent="0.25">
      <c r="B5857" s="704" t="s">
        <v>698</v>
      </c>
      <c r="C5857" s="704" t="s">
        <v>743</v>
      </c>
      <c r="D5857" s="704" t="s">
        <v>562</v>
      </c>
      <c r="E5857" s="704" t="s">
        <v>448</v>
      </c>
      <c r="F5857" s="705">
        <v>4.1613380245151844E-4</v>
      </c>
      <c r="G5857" s="705">
        <v>0.18653625755928072</v>
      </c>
    </row>
    <row r="5858" spans="2:7" ht="11.25" hidden="1" customHeight="1" outlineLevel="2" x14ac:dyDescent="0.25">
      <c r="B5858" s="704" t="s">
        <v>699</v>
      </c>
      <c r="C5858" s="704" t="s">
        <v>743</v>
      </c>
      <c r="D5858" s="704" t="s">
        <v>562</v>
      </c>
      <c r="E5858" s="704" t="s">
        <v>448</v>
      </c>
      <c r="F5858" s="705">
        <v>3.2273026226865057E-3</v>
      </c>
      <c r="G5858" s="705">
        <v>1.4467931290374436</v>
      </c>
    </row>
    <row r="5859" spans="2:7" ht="11.25" hidden="1" customHeight="1" outlineLevel="2" x14ac:dyDescent="0.25">
      <c r="B5859" s="704" t="s">
        <v>673</v>
      </c>
      <c r="C5859" s="704" t="s">
        <v>806</v>
      </c>
      <c r="D5859" s="704" t="s">
        <v>562</v>
      </c>
      <c r="E5859" s="704" t="s">
        <v>448</v>
      </c>
      <c r="F5859" s="705">
        <v>0.62825220434420115</v>
      </c>
      <c r="G5859" s="705">
        <v>751.78071449730828</v>
      </c>
    </row>
    <row r="5860" spans="2:7" ht="11.25" hidden="1" customHeight="1" outlineLevel="2" x14ac:dyDescent="0.25">
      <c r="B5860" s="704" t="s">
        <v>677</v>
      </c>
      <c r="C5860" s="704" t="s">
        <v>806</v>
      </c>
      <c r="D5860" s="704" t="s">
        <v>562</v>
      </c>
      <c r="E5860" s="704" t="s">
        <v>448</v>
      </c>
      <c r="F5860" s="705">
        <v>6.4354998010768583</v>
      </c>
      <c r="G5860" s="705">
        <v>7621.9013444893426</v>
      </c>
    </row>
    <row r="5861" spans="2:7" ht="11.25" hidden="1" customHeight="1" outlineLevel="2" x14ac:dyDescent="0.25">
      <c r="B5861" s="704" t="s">
        <v>678</v>
      </c>
      <c r="C5861" s="704" t="s">
        <v>806</v>
      </c>
      <c r="D5861" s="704" t="s">
        <v>562</v>
      </c>
      <c r="E5861" s="704" t="s">
        <v>448</v>
      </c>
      <c r="F5861" s="705">
        <v>9.6965335318887647</v>
      </c>
      <c r="G5861" s="705">
        <v>11658.386264400582</v>
      </c>
    </row>
    <row r="5862" spans="2:7" ht="11.25" hidden="1" customHeight="1" outlineLevel="2" x14ac:dyDescent="0.25">
      <c r="B5862" s="704" t="s">
        <v>679</v>
      </c>
      <c r="C5862" s="704" t="s">
        <v>806</v>
      </c>
      <c r="D5862" s="704" t="s">
        <v>562</v>
      </c>
      <c r="E5862" s="704" t="s">
        <v>448</v>
      </c>
      <c r="F5862" s="705">
        <v>0.35416536636019125</v>
      </c>
      <c r="G5862" s="705">
        <v>427.93657245233669</v>
      </c>
    </row>
    <row r="5863" spans="2:7" ht="11.25" hidden="1" customHeight="1" outlineLevel="2" x14ac:dyDescent="0.25">
      <c r="B5863" s="704" t="s">
        <v>680</v>
      </c>
      <c r="C5863" s="704" t="s">
        <v>806</v>
      </c>
      <c r="D5863" s="704" t="s">
        <v>562</v>
      </c>
      <c r="E5863" s="704" t="s">
        <v>448</v>
      </c>
      <c r="F5863" s="706">
        <v>0.24860644678291369</v>
      </c>
      <c r="G5863" s="705">
        <v>300.71207051577574</v>
      </c>
    </row>
    <row r="5864" spans="2:7" ht="11.25" hidden="1" customHeight="1" outlineLevel="2" x14ac:dyDescent="0.25">
      <c r="B5864" s="704" t="s">
        <v>681</v>
      </c>
      <c r="C5864" s="704" t="s">
        <v>806</v>
      </c>
      <c r="D5864" s="704" t="s">
        <v>562</v>
      </c>
      <c r="E5864" s="704" t="s">
        <v>448</v>
      </c>
      <c r="F5864" s="706">
        <v>1.5968497854374291</v>
      </c>
      <c r="G5864" s="705">
        <v>1919.9325559359677</v>
      </c>
    </row>
    <row r="5865" spans="2:7" ht="11.25" hidden="1" customHeight="1" outlineLevel="2" x14ac:dyDescent="0.25">
      <c r="B5865" s="704" t="s">
        <v>682</v>
      </c>
      <c r="C5865" s="704" t="s">
        <v>806</v>
      </c>
      <c r="D5865" s="704" t="s">
        <v>562</v>
      </c>
      <c r="E5865" s="704" t="s">
        <v>448</v>
      </c>
      <c r="F5865" s="706">
        <v>0.61559558776163514</v>
      </c>
      <c r="G5865" s="705">
        <v>740.21458407732689</v>
      </c>
    </row>
    <row r="5866" spans="2:7" ht="11.25" hidden="1" customHeight="1" outlineLevel="2" x14ac:dyDescent="0.25">
      <c r="B5866" s="704" t="s">
        <v>683</v>
      </c>
      <c r="C5866" s="704" t="s">
        <v>806</v>
      </c>
      <c r="D5866" s="704" t="s">
        <v>562</v>
      </c>
      <c r="E5866" s="704" t="s">
        <v>448</v>
      </c>
      <c r="F5866" s="706">
        <v>0.72747499964226536</v>
      </c>
      <c r="G5866" s="705">
        <v>879.00518713362874</v>
      </c>
    </row>
    <row r="5867" spans="2:7" ht="11.25" hidden="1" customHeight="1" outlineLevel="2" x14ac:dyDescent="0.25">
      <c r="B5867" s="704" t="s">
        <v>684</v>
      </c>
      <c r="C5867" s="704" t="s">
        <v>806</v>
      </c>
      <c r="D5867" s="704" t="s">
        <v>562</v>
      </c>
      <c r="E5867" s="704" t="s">
        <v>448</v>
      </c>
      <c r="F5867" s="706">
        <v>0.44940399512051776</v>
      </c>
      <c r="G5867" s="705">
        <v>543.59512816606787</v>
      </c>
    </row>
    <row r="5868" spans="2:7" ht="11.25" hidden="1" customHeight="1" outlineLevel="2" x14ac:dyDescent="0.25">
      <c r="B5868" s="704" t="s">
        <v>685</v>
      </c>
      <c r="C5868" s="704" t="s">
        <v>806</v>
      </c>
      <c r="D5868" s="704" t="s">
        <v>562</v>
      </c>
      <c r="E5868" s="704" t="s">
        <v>448</v>
      </c>
      <c r="F5868" s="706">
        <v>2.239856582100658</v>
      </c>
      <c r="G5868" s="705">
        <v>2706.4098410537913</v>
      </c>
    </row>
    <row r="5869" spans="2:7" ht="11.25" hidden="1" customHeight="1" outlineLevel="2" x14ac:dyDescent="0.25">
      <c r="B5869" s="704" t="s">
        <v>686</v>
      </c>
      <c r="C5869" s="704" t="s">
        <v>806</v>
      </c>
      <c r="D5869" s="704" t="s">
        <v>562</v>
      </c>
      <c r="E5869" s="704" t="s">
        <v>448</v>
      </c>
      <c r="F5869" s="706">
        <v>0.33828954759941277</v>
      </c>
      <c r="G5869" s="705">
        <v>404.80491708942435</v>
      </c>
    </row>
    <row r="5870" spans="2:7" ht="11.25" hidden="1" customHeight="1" outlineLevel="2" x14ac:dyDescent="0.25">
      <c r="B5870" s="704" t="s">
        <v>687</v>
      </c>
      <c r="C5870" s="704" t="s">
        <v>806</v>
      </c>
      <c r="D5870" s="704" t="s">
        <v>562</v>
      </c>
      <c r="E5870" s="704" t="s">
        <v>448</v>
      </c>
      <c r="F5870" s="705">
        <v>2.1644044118430013</v>
      </c>
      <c r="G5870" s="705">
        <v>2602.3189237116594</v>
      </c>
    </row>
    <row r="5871" spans="2:7" ht="11.25" hidden="1" customHeight="1" outlineLevel="2" x14ac:dyDescent="0.25">
      <c r="B5871" s="704" t="s">
        <v>688</v>
      </c>
      <c r="C5871" s="704" t="s">
        <v>806</v>
      </c>
      <c r="D5871" s="704" t="s">
        <v>562</v>
      </c>
      <c r="E5871" s="704" t="s">
        <v>448</v>
      </c>
      <c r="F5871" s="705">
        <v>5.7525051347264373</v>
      </c>
      <c r="G5871" s="705">
        <v>6916.3820597916174</v>
      </c>
    </row>
    <row r="5872" spans="2:7" ht="11.25" hidden="1" customHeight="1" outlineLevel="2" x14ac:dyDescent="0.25">
      <c r="B5872" s="704" t="s">
        <v>689</v>
      </c>
      <c r="C5872" s="704" t="s">
        <v>806</v>
      </c>
      <c r="D5872" s="704" t="s">
        <v>562</v>
      </c>
      <c r="E5872" s="704" t="s">
        <v>448</v>
      </c>
      <c r="F5872" s="705">
        <v>0.35673373902265876</v>
      </c>
      <c r="G5872" s="705">
        <v>428.19913844278261</v>
      </c>
    </row>
    <row r="5873" spans="2:7" ht="11.25" hidden="1" customHeight="1" outlineLevel="2" x14ac:dyDescent="0.25">
      <c r="B5873" s="704" t="s">
        <v>690</v>
      </c>
      <c r="C5873" s="704" t="s">
        <v>806</v>
      </c>
      <c r="D5873" s="704" t="s">
        <v>562</v>
      </c>
      <c r="E5873" s="704" t="s">
        <v>448</v>
      </c>
      <c r="F5873" s="705">
        <v>8.4329644053797512</v>
      </c>
      <c r="G5873" s="705">
        <v>10189.5209592059</v>
      </c>
    </row>
    <row r="5874" spans="2:7" ht="11.25" hidden="1" customHeight="1" outlineLevel="2" x14ac:dyDescent="0.25">
      <c r="B5874" s="704" t="s">
        <v>691</v>
      </c>
      <c r="C5874" s="704" t="s">
        <v>806</v>
      </c>
      <c r="D5874" s="704" t="s">
        <v>562</v>
      </c>
      <c r="E5874" s="704" t="s">
        <v>448</v>
      </c>
      <c r="F5874" s="705">
        <v>6.4419821077171537</v>
      </c>
      <c r="G5874" s="705">
        <v>7783.8205391545462</v>
      </c>
    </row>
    <row r="5875" spans="2:7" ht="11.25" hidden="1" customHeight="1" outlineLevel="2" x14ac:dyDescent="0.25">
      <c r="B5875" s="704" t="s">
        <v>692</v>
      </c>
      <c r="C5875" s="704" t="s">
        <v>806</v>
      </c>
      <c r="D5875" s="704" t="s">
        <v>562</v>
      </c>
      <c r="E5875" s="704" t="s">
        <v>448</v>
      </c>
      <c r="F5875" s="705">
        <v>0.75994646202777494</v>
      </c>
      <c r="G5875" s="705">
        <v>913.70271961065737</v>
      </c>
    </row>
    <row r="5876" spans="2:7" ht="11.25" hidden="1" customHeight="1" outlineLevel="2" x14ac:dyDescent="0.25">
      <c r="B5876" s="704" t="s">
        <v>693</v>
      </c>
      <c r="C5876" s="704" t="s">
        <v>806</v>
      </c>
      <c r="D5876" s="704" t="s">
        <v>562</v>
      </c>
      <c r="E5876" s="704" t="s">
        <v>448</v>
      </c>
      <c r="F5876" s="705">
        <v>0.34422444894639931</v>
      </c>
      <c r="G5876" s="705">
        <v>416.37081979628192</v>
      </c>
    </row>
    <row r="5877" spans="2:7" ht="11.25" hidden="1" customHeight="1" outlineLevel="2" x14ac:dyDescent="0.25">
      <c r="B5877" s="704" t="s">
        <v>694</v>
      </c>
      <c r="C5877" s="704" t="s">
        <v>806</v>
      </c>
      <c r="D5877" s="704" t="s">
        <v>562</v>
      </c>
      <c r="E5877" s="704" t="s">
        <v>448</v>
      </c>
      <c r="F5877" s="705">
        <v>0.1434268115230245</v>
      </c>
      <c r="G5877" s="705">
        <v>173.48773106205579</v>
      </c>
    </row>
    <row r="5878" spans="2:7" ht="11.25" hidden="1" customHeight="1" outlineLevel="2" x14ac:dyDescent="0.25">
      <c r="B5878" s="704" t="s">
        <v>695</v>
      </c>
      <c r="C5878" s="704" t="s">
        <v>806</v>
      </c>
      <c r="D5878" s="704" t="s">
        <v>562</v>
      </c>
      <c r="E5878" s="704" t="s">
        <v>448</v>
      </c>
      <c r="F5878" s="705">
        <v>0.64063980464410519</v>
      </c>
      <c r="G5878" s="705">
        <v>774.91198827606638</v>
      </c>
    </row>
    <row r="5879" spans="2:7" ht="11.25" hidden="1" customHeight="1" outlineLevel="2" x14ac:dyDescent="0.25">
      <c r="B5879" s="704" t="s">
        <v>696</v>
      </c>
      <c r="C5879" s="704" t="s">
        <v>806</v>
      </c>
      <c r="D5879" s="704" t="s">
        <v>562</v>
      </c>
      <c r="E5879" s="704" t="s">
        <v>448</v>
      </c>
      <c r="F5879" s="705">
        <v>1.4594780424414191</v>
      </c>
      <c r="G5879" s="705">
        <v>1746.4451665843728</v>
      </c>
    </row>
    <row r="5880" spans="2:7" ht="11.25" hidden="1" customHeight="1" outlineLevel="2" x14ac:dyDescent="0.25">
      <c r="B5880" s="704" t="s">
        <v>697</v>
      </c>
      <c r="C5880" s="704" t="s">
        <v>806</v>
      </c>
      <c r="D5880" s="704" t="s">
        <v>562</v>
      </c>
      <c r="E5880" s="704" t="s">
        <v>448</v>
      </c>
      <c r="F5880" s="705">
        <v>1.2525941779097507</v>
      </c>
      <c r="G5880" s="705">
        <v>1515.1277760483033</v>
      </c>
    </row>
    <row r="5881" spans="2:7" ht="11.25" hidden="1" customHeight="1" outlineLevel="2" x14ac:dyDescent="0.25">
      <c r="B5881" s="704" t="s">
        <v>698</v>
      </c>
      <c r="C5881" s="704" t="s">
        <v>806</v>
      </c>
      <c r="D5881" s="704" t="s">
        <v>562</v>
      </c>
      <c r="E5881" s="704" t="s">
        <v>448</v>
      </c>
      <c r="F5881" s="705">
        <v>0.7840665293224568</v>
      </c>
      <c r="G5881" s="705">
        <v>948.40026910526331</v>
      </c>
    </row>
    <row r="5882" spans="2:7" ht="11.25" hidden="1" customHeight="1" outlineLevel="2" x14ac:dyDescent="0.25">
      <c r="B5882" s="704" t="s">
        <v>699</v>
      </c>
      <c r="C5882" s="704" t="s">
        <v>806</v>
      </c>
      <c r="D5882" s="704" t="s">
        <v>562</v>
      </c>
      <c r="E5882" s="704" t="s">
        <v>448</v>
      </c>
      <c r="F5882" s="705">
        <v>6.1180506136403068</v>
      </c>
      <c r="G5882" s="705">
        <v>7355.8860654933478</v>
      </c>
    </row>
    <row r="5883" spans="2:7" ht="11.25" hidden="1" customHeight="1" outlineLevel="2" x14ac:dyDescent="0.25">
      <c r="B5883" s="704" t="s">
        <v>673</v>
      </c>
      <c r="C5883" s="704" t="s">
        <v>807</v>
      </c>
      <c r="D5883" s="704" t="s">
        <v>562</v>
      </c>
      <c r="E5883" s="704" t="s">
        <v>448</v>
      </c>
      <c r="F5883" s="705">
        <v>0.13522090382010343</v>
      </c>
      <c r="G5883" s="705">
        <v>188.12547563539894</v>
      </c>
    </row>
    <row r="5884" spans="2:7" ht="11.25" hidden="1" customHeight="1" outlineLevel="2" x14ac:dyDescent="0.25">
      <c r="B5884" s="704" t="s">
        <v>677</v>
      </c>
      <c r="C5884" s="704" t="s">
        <v>807</v>
      </c>
      <c r="D5884" s="704" t="s">
        <v>562</v>
      </c>
      <c r="E5884" s="704" t="s">
        <v>448</v>
      </c>
      <c r="F5884" s="705">
        <v>1.3849621021815595</v>
      </c>
      <c r="G5884" s="705">
        <v>1907.3054832559583</v>
      </c>
    </row>
    <row r="5885" spans="2:7" ht="11.25" hidden="1" customHeight="1" outlineLevel="2" x14ac:dyDescent="0.25">
      <c r="B5885" s="704" t="s">
        <v>678</v>
      </c>
      <c r="C5885" s="704" t="s">
        <v>807</v>
      </c>
      <c r="D5885" s="704" t="s">
        <v>562</v>
      </c>
      <c r="E5885" s="704" t="s">
        <v>448</v>
      </c>
      <c r="F5885" s="705">
        <v>2.087139642350635</v>
      </c>
      <c r="G5885" s="705">
        <v>2917.395559776568</v>
      </c>
    </row>
    <row r="5886" spans="2:7" ht="11.25" hidden="1" customHeight="1" outlineLevel="2" x14ac:dyDescent="0.25">
      <c r="B5886" s="704" t="s">
        <v>679</v>
      </c>
      <c r="C5886" s="704" t="s">
        <v>807</v>
      </c>
      <c r="D5886" s="704" t="s">
        <v>562</v>
      </c>
      <c r="E5886" s="704" t="s">
        <v>448</v>
      </c>
      <c r="F5886" s="705">
        <v>7.6237286928608039E-2</v>
      </c>
      <c r="G5886" s="705">
        <v>107.08697777272873</v>
      </c>
    </row>
    <row r="5887" spans="2:7" ht="11.25" hidden="1" customHeight="1" outlineLevel="2" x14ac:dyDescent="0.25">
      <c r="B5887" s="704" t="s">
        <v>680</v>
      </c>
      <c r="C5887" s="704" t="s">
        <v>807</v>
      </c>
      <c r="D5887" s="704" t="s">
        <v>562</v>
      </c>
      <c r="E5887" s="704" t="s">
        <v>448</v>
      </c>
      <c r="F5887" s="705">
        <v>5.3515464293503526E-2</v>
      </c>
      <c r="G5887" s="705">
        <v>75.250280374770213</v>
      </c>
    </row>
    <row r="5888" spans="2:7" ht="11.25" hidden="1" customHeight="1" outlineLevel="2" x14ac:dyDescent="0.25">
      <c r="B5888" s="704" t="s">
        <v>681</v>
      </c>
      <c r="C5888" s="704" t="s">
        <v>807</v>
      </c>
      <c r="D5888" s="704" t="s">
        <v>562</v>
      </c>
      <c r="E5888" s="704" t="s">
        <v>448</v>
      </c>
      <c r="F5888" s="705">
        <v>0.34371550348272156</v>
      </c>
      <c r="G5888" s="705">
        <v>480.44395599023773</v>
      </c>
    </row>
    <row r="5889" spans="2:7" ht="11.25" hidden="1" customHeight="1" outlineLevel="2" x14ac:dyDescent="0.25">
      <c r="B5889" s="704" t="s">
        <v>682</v>
      </c>
      <c r="C5889" s="704" t="s">
        <v>807</v>
      </c>
      <c r="D5889" s="704" t="s">
        <v>562</v>
      </c>
      <c r="E5889" s="704" t="s">
        <v>448</v>
      </c>
      <c r="F5889" s="705">
        <v>0.13250461589580495</v>
      </c>
      <c r="G5889" s="705">
        <v>185.23145121031641</v>
      </c>
    </row>
    <row r="5890" spans="2:7" ht="11.25" hidden="1" customHeight="1" outlineLevel="2" x14ac:dyDescent="0.25">
      <c r="B5890" s="704" t="s">
        <v>683</v>
      </c>
      <c r="C5890" s="704" t="s">
        <v>807</v>
      </c>
      <c r="D5890" s="704" t="s">
        <v>562</v>
      </c>
      <c r="E5890" s="704" t="s">
        <v>448</v>
      </c>
      <c r="F5890" s="705">
        <v>0.15659551811736472</v>
      </c>
      <c r="G5890" s="705">
        <v>219.96237579573284</v>
      </c>
    </row>
    <row r="5891" spans="2:7" ht="11.25" hidden="1" customHeight="1" outlineLevel="2" x14ac:dyDescent="0.25">
      <c r="B5891" s="704" t="s">
        <v>684</v>
      </c>
      <c r="C5891" s="704" t="s">
        <v>807</v>
      </c>
      <c r="D5891" s="704" t="s">
        <v>562</v>
      </c>
      <c r="E5891" s="704" t="s">
        <v>448</v>
      </c>
      <c r="F5891" s="705">
        <v>9.6739513430686278E-2</v>
      </c>
      <c r="G5891" s="705">
        <v>136.02944878800878</v>
      </c>
    </row>
    <row r="5892" spans="2:7" ht="11.25" hidden="1" customHeight="1" outlineLevel="2" x14ac:dyDescent="0.25">
      <c r="B5892" s="704" t="s">
        <v>685</v>
      </c>
      <c r="C5892" s="704" t="s">
        <v>807</v>
      </c>
      <c r="D5892" s="704" t="s">
        <v>562</v>
      </c>
      <c r="E5892" s="704" t="s">
        <v>448</v>
      </c>
      <c r="F5892" s="705">
        <v>0.48214943366195656</v>
      </c>
      <c r="G5892" s="705">
        <v>677.25202512335488</v>
      </c>
    </row>
    <row r="5893" spans="2:7" ht="11.25" hidden="1" customHeight="1" outlineLevel="2" x14ac:dyDescent="0.25">
      <c r="B5893" s="704" t="s">
        <v>686</v>
      </c>
      <c r="C5893" s="704" t="s">
        <v>807</v>
      </c>
      <c r="D5893" s="704" t="s">
        <v>562</v>
      </c>
      <c r="E5893" s="704" t="s">
        <v>448</v>
      </c>
      <c r="F5893" s="705">
        <v>7.2811237666009221E-2</v>
      </c>
      <c r="G5893" s="705">
        <v>101.29843723796694</v>
      </c>
    </row>
    <row r="5894" spans="2:7" ht="11.25" hidden="1" customHeight="1" outlineLevel="2" x14ac:dyDescent="0.25">
      <c r="B5894" s="704" t="s">
        <v>687</v>
      </c>
      <c r="C5894" s="704" t="s">
        <v>807</v>
      </c>
      <c r="D5894" s="704" t="s">
        <v>562</v>
      </c>
      <c r="E5894" s="704" t="s">
        <v>448</v>
      </c>
      <c r="F5894" s="705">
        <v>0.46587932309584934</v>
      </c>
      <c r="G5894" s="705">
        <v>651.20414578015641</v>
      </c>
    </row>
    <row r="5895" spans="2:7" ht="11.25" hidden="1" customHeight="1" outlineLevel="2" x14ac:dyDescent="0.25">
      <c r="B5895" s="704" t="s">
        <v>688</v>
      </c>
      <c r="C5895" s="704" t="s">
        <v>807</v>
      </c>
      <c r="D5895" s="704" t="s">
        <v>562</v>
      </c>
      <c r="E5895" s="704" t="s">
        <v>448</v>
      </c>
      <c r="F5895" s="705">
        <v>1.2382039938822023</v>
      </c>
      <c r="G5895" s="705">
        <v>1730.7553653662535</v>
      </c>
    </row>
    <row r="5896" spans="2:7" ht="11.25" hidden="1" customHeight="1" outlineLevel="2" x14ac:dyDescent="0.25">
      <c r="B5896" s="704" t="s">
        <v>689</v>
      </c>
      <c r="C5896" s="704" t="s">
        <v>807</v>
      </c>
      <c r="D5896" s="704" t="s">
        <v>562</v>
      </c>
      <c r="E5896" s="704" t="s">
        <v>448</v>
      </c>
      <c r="F5896" s="705">
        <v>7.6783915928831464E-2</v>
      </c>
      <c r="G5896" s="705">
        <v>107.15252720643366</v>
      </c>
    </row>
    <row r="5897" spans="2:7" ht="11.25" hidden="1" customHeight="1" outlineLevel="2" x14ac:dyDescent="0.25">
      <c r="B5897" s="704" t="s">
        <v>690</v>
      </c>
      <c r="C5897" s="704" t="s">
        <v>807</v>
      </c>
      <c r="D5897" s="704" t="s">
        <v>562</v>
      </c>
      <c r="E5897" s="704" t="s">
        <v>448</v>
      </c>
      <c r="F5897" s="705">
        <v>1.8152710420546403</v>
      </c>
      <c r="G5897" s="705">
        <v>2549.8262045980073</v>
      </c>
    </row>
    <row r="5898" spans="2:7" ht="11.25" hidden="1" customHeight="1" outlineLevel="2" x14ac:dyDescent="0.25">
      <c r="B5898" s="704" t="s">
        <v>691</v>
      </c>
      <c r="C5898" s="704" t="s">
        <v>807</v>
      </c>
      <c r="D5898" s="704" t="s">
        <v>562</v>
      </c>
      <c r="E5898" s="704" t="s">
        <v>448</v>
      </c>
      <c r="F5898" s="705">
        <v>1.386693922478782</v>
      </c>
      <c r="G5898" s="705">
        <v>1947.8227184046455</v>
      </c>
    </row>
    <row r="5899" spans="2:7" ht="11.25" hidden="1" customHeight="1" outlineLevel="2" x14ac:dyDescent="0.25">
      <c r="B5899" s="704" t="s">
        <v>692</v>
      </c>
      <c r="C5899" s="704" t="s">
        <v>807</v>
      </c>
      <c r="D5899" s="704" t="s">
        <v>562</v>
      </c>
      <c r="E5899" s="704" t="s">
        <v>448</v>
      </c>
      <c r="F5899" s="705">
        <v>0.16357541052000124</v>
      </c>
      <c r="G5899" s="705">
        <v>228.64512447361099</v>
      </c>
    </row>
    <row r="5900" spans="2:7" ht="11.25" hidden="1" customHeight="1" outlineLevel="2" x14ac:dyDescent="0.25">
      <c r="B5900" s="704" t="s">
        <v>693</v>
      </c>
      <c r="C5900" s="704" t="s">
        <v>807</v>
      </c>
      <c r="D5900" s="704" t="s">
        <v>562</v>
      </c>
      <c r="E5900" s="704" t="s">
        <v>448</v>
      </c>
      <c r="F5900" s="705">
        <v>7.4098348554754001E-2</v>
      </c>
      <c r="G5900" s="705">
        <v>104.19269446692651</v>
      </c>
    </row>
    <row r="5901" spans="2:7" ht="11.25" hidden="1" customHeight="1" outlineLevel="2" x14ac:dyDescent="0.25">
      <c r="B5901" s="704" t="s">
        <v>694</v>
      </c>
      <c r="C5901" s="704" t="s">
        <v>807</v>
      </c>
      <c r="D5901" s="704" t="s">
        <v>562</v>
      </c>
      <c r="E5901" s="704" t="s">
        <v>448</v>
      </c>
      <c r="F5901" s="705">
        <v>3.0874311894483707E-2</v>
      </c>
      <c r="G5901" s="705">
        <v>43.413609175826792</v>
      </c>
    </row>
    <row r="5902" spans="2:7" ht="11.25" hidden="1" customHeight="1" outlineLevel="2" x14ac:dyDescent="0.25">
      <c r="B5902" s="704" t="s">
        <v>695</v>
      </c>
      <c r="C5902" s="704" t="s">
        <v>807</v>
      </c>
      <c r="D5902" s="704" t="s">
        <v>562</v>
      </c>
      <c r="E5902" s="704" t="s">
        <v>448</v>
      </c>
      <c r="F5902" s="706">
        <v>0.13790525199731937</v>
      </c>
      <c r="G5902" s="705">
        <v>193.91405372997039</v>
      </c>
    </row>
    <row r="5903" spans="2:7" ht="11.25" hidden="1" customHeight="1" outlineLevel="2" x14ac:dyDescent="0.25">
      <c r="B5903" s="704" t="s">
        <v>696</v>
      </c>
      <c r="C5903" s="704" t="s">
        <v>807</v>
      </c>
      <c r="D5903" s="704" t="s">
        <v>562</v>
      </c>
      <c r="E5903" s="704" t="s">
        <v>448</v>
      </c>
      <c r="F5903" s="706">
        <v>0.31412858399018823</v>
      </c>
      <c r="G5903" s="705">
        <v>437.03053738508902</v>
      </c>
    </row>
    <row r="5904" spans="2:7" ht="11.25" hidden="1" customHeight="1" outlineLevel="2" x14ac:dyDescent="0.25">
      <c r="B5904" s="704" t="s">
        <v>697</v>
      </c>
      <c r="C5904" s="704" t="s">
        <v>807</v>
      </c>
      <c r="D5904" s="704" t="s">
        <v>562</v>
      </c>
      <c r="E5904" s="704" t="s">
        <v>448</v>
      </c>
      <c r="F5904" s="706">
        <v>0.26963576758023999</v>
      </c>
      <c r="G5904" s="705">
        <v>379.14557351045181</v>
      </c>
    </row>
    <row r="5905" spans="2:7" ht="11.25" hidden="1" customHeight="1" outlineLevel="2" x14ac:dyDescent="0.25">
      <c r="B5905" s="704" t="s">
        <v>698</v>
      </c>
      <c r="C5905" s="704" t="s">
        <v>807</v>
      </c>
      <c r="D5905" s="704" t="s">
        <v>562</v>
      </c>
      <c r="E5905" s="704" t="s">
        <v>448</v>
      </c>
      <c r="F5905" s="706">
        <v>0.1687795568083493</v>
      </c>
      <c r="G5905" s="705">
        <v>237.32778677854199</v>
      </c>
    </row>
    <row r="5906" spans="2:7" ht="11.25" hidden="1" customHeight="1" outlineLevel="2" x14ac:dyDescent="0.25">
      <c r="B5906" s="704" t="s">
        <v>699</v>
      </c>
      <c r="C5906" s="704" t="s">
        <v>807</v>
      </c>
      <c r="D5906" s="704" t="s">
        <v>562</v>
      </c>
      <c r="E5906" s="704" t="s">
        <v>448</v>
      </c>
      <c r="F5906" s="706">
        <v>1.3168854816368287</v>
      </c>
      <c r="G5906" s="705">
        <v>1840.7379650521693</v>
      </c>
    </row>
    <row r="5907" spans="2:7" ht="11.25" hidden="1" customHeight="1" outlineLevel="2" x14ac:dyDescent="0.25">
      <c r="B5907" s="704" t="s">
        <v>673</v>
      </c>
      <c r="C5907" s="704" t="s">
        <v>808</v>
      </c>
      <c r="D5907" s="704" t="s">
        <v>562</v>
      </c>
      <c r="E5907" s="704" t="s">
        <v>448</v>
      </c>
      <c r="F5907" s="706">
        <v>6.2416764107243512E-2</v>
      </c>
      <c r="G5907" s="705">
        <v>99.761567778925709</v>
      </c>
    </row>
    <row r="5908" spans="2:7" ht="11.25" hidden="1" customHeight="1" outlineLevel="2" x14ac:dyDescent="0.25">
      <c r="B5908" s="704" t="s">
        <v>677</v>
      </c>
      <c r="C5908" s="704" t="s">
        <v>808</v>
      </c>
      <c r="D5908" s="704" t="s">
        <v>562</v>
      </c>
      <c r="E5908" s="704" t="s">
        <v>448</v>
      </c>
      <c r="F5908" s="706">
        <v>0.63925898419780991</v>
      </c>
      <c r="G5908" s="705">
        <v>1011.4286580449817</v>
      </c>
    </row>
    <row r="5909" spans="2:7" ht="11.25" hidden="1" customHeight="1" outlineLevel="2" x14ac:dyDescent="0.25">
      <c r="B5909" s="704" t="s">
        <v>678</v>
      </c>
      <c r="C5909" s="704" t="s">
        <v>808</v>
      </c>
      <c r="D5909" s="704" t="s">
        <v>562</v>
      </c>
      <c r="E5909" s="704" t="s">
        <v>448</v>
      </c>
      <c r="F5909" s="705">
        <v>0.9634243155897495</v>
      </c>
      <c r="G5909" s="705">
        <v>1547.0711299458567</v>
      </c>
    </row>
    <row r="5910" spans="2:7" ht="11.25" hidden="1" customHeight="1" outlineLevel="2" x14ac:dyDescent="0.25">
      <c r="B5910" s="704" t="s">
        <v>679</v>
      </c>
      <c r="C5910" s="704" t="s">
        <v>808</v>
      </c>
      <c r="D5910" s="704" t="s">
        <v>562</v>
      </c>
      <c r="E5910" s="704" t="s">
        <v>448</v>
      </c>
      <c r="F5910" s="705">
        <v>3.5191875018602263E-2</v>
      </c>
      <c r="G5910" s="705">
        <v>56.787343104586185</v>
      </c>
    </row>
    <row r="5911" spans="2:7" ht="11.25" hidden="1" customHeight="1" outlineLevel="2" x14ac:dyDescent="0.25">
      <c r="B5911" s="704" t="s">
        <v>680</v>
      </c>
      <c r="C5911" s="704" t="s">
        <v>808</v>
      </c>
      <c r="D5911" s="704" t="s">
        <v>562</v>
      </c>
      <c r="E5911" s="704" t="s">
        <v>448</v>
      </c>
      <c r="F5911" s="705">
        <v>2.4703389359723295E-2</v>
      </c>
      <c r="G5911" s="705">
        <v>39.904626975997559</v>
      </c>
    </row>
    <row r="5912" spans="2:7" ht="11.25" hidden="1" customHeight="1" outlineLevel="2" x14ac:dyDescent="0.25">
      <c r="B5912" s="704" t="s">
        <v>681</v>
      </c>
      <c r="C5912" s="704" t="s">
        <v>808</v>
      </c>
      <c r="D5912" s="704" t="s">
        <v>562</v>
      </c>
      <c r="E5912" s="704" t="s">
        <v>448</v>
      </c>
      <c r="F5912" s="706">
        <v>0.15865918845652613</v>
      </c>
      <c r="G5912" s="705">
        <v>254.77564134257565</v>
      </c>
    </row>
    <row r="5913" spans="2:7" ht="11.25" hidden="1" customHeight="1" outlineLevel="2" x14ac:dyDescent="0.25">
      <c r="B5913" s="704" t="s">
        <v>682</v>
      </c>
      <c r="C5913" s="704" t="s">
        <v>808</v>
      </c>
      <c r="D5913" s="704" t="s">
        <v>562</v>
      </c>
      <c r="E5913" s="704" t="s">
        <v>448</v>
      </c>
      <c r="F5913" s="705">
        <v>6.1164191227447796E-2</v>
      </c>
      <c r="G5913" s="705">
        <v>98.22678187904684</v>
      </c>
    </row>
    <row r="5914" spans="2:7" ht="11.25" hidden="1" customHeight="1" outlineLevel="2" x14ac:dyDescent="0.25">
      <c r="B5914" s="704" t="s">
        <v>683</v>
      </c>
      <c r="C5914" s="704" t="s">
        <v>808</v>
      </c>
      <c r="D5914" s="704" t="s">
        <v>562</v>
      </c>
      <c r="E5914" s="704" t="s">
        <v>448</v>
      </c>
      <c r="F5914" s="705">
        <v>7.2286021513749632E-2</v>
      </c>
      <c r="G5914" s="705">
        <v>116.64419679347615</v>
      </c>
    </row>
    <row r="5915" spans="2:7" ht="11.25" hidden="1" customHeight="1" outlineLevel="2" x14ac:dyDescent="0.25">
      <c r="B5915" s="704" t="s">
        <v>684</v>
      </c>
      <c r="C5915" s="704" t="s">
        <v>808</v>
      </c>
      <c r="D5915" s="704" t="s">
        <v>562</v>
      </c>
      <c r="E5915" s="704" t="s">
        <v>448</v>
      </c>
      <c r="F5915" s="706">
        <v>4.4656108838234801E-2</v>
      </c>
      <c r="G5915" s="705">
        <v>72.135289792686592</v>
      </c>
    </row>
    <row r="5916" spans="2:7" ht="11.25" hidden="1" customHeight="1" outlineLevel="2" x14ac:dyDescent="0.25">
      <c r="B5916" s="704" t="s">
        <v>685</v>
      </c>
      <c r="C5916" s="704" t="s">
        <v>808</v>
      </c>
      <c r="D5916" s="704" t="s">
        <v>562</v>
      </c>
      <c r="E5916" s="704" t="s">
        <v>448</v>
      </c>
      <c r="F5916" s="705">
        <v>0.22256491920155413</v>
      </c>
      <c r="G5916" s="705">
        <v>359.14144837552897</v>
      </c>
    </row>
    <row r="5917" spans="2:7" ht="11.25" hidden="1" customHeight="1" outlineLevel="2" x14ac:dyDescent="0.25">
      <c r="B5917" s="704" t="s">
        <v>686</v>
      </c>
      <c r="C5917" s="704" t="s">
        <v>808</v>
      </c>
      <c r="D5917" s="704" t="s">
        <v>562</v>
      </c>
      <c r="E5917" s="704" t="s">
        <v>448</v>
      </c>
      <c r="F5917" s="705">
        <v>3.3609021293821942E-2</v>
      </c>
      <c r="G5917" s="705">
        <v>53.717778350960415</v>
      </c>
    </row>
    <row r="5918" spans="2:7" ht="11.25" hidden="1" customHeight="1" outlineLevel="2" x14ac:dyDescent="0.25">
      <c r="B5918" s="704" t="s">
        <v>687</v>
      </c>
      <c r="C5918" s="704" t="s">
        <v>808</v>
      </c>
      <c r="D5918" s="704" t="s">
        <v>562</v>
      </c>
      <c r="E5918" s="704" t="s">
        <v>448</v>
      </c>
      <c r="F5918" s="705">
        <v>0.21505005314771897</v>
      </c>
      <c r="G5918" s="705">
        <v>345.32852670924314</v>
      </c>
    </row>
    <row r="5919" spans="2:7" ht="11.25" hidden="1" customHeight="1" outlineLevel="2" x14ac:dyDescent="0.25">
      <c r="B5919" s="704" t="s">
        <v>688</v>
      </c>
      <c r="C5919" s="704" t="s">
        <v>808</v>
      </c>
      <c r="D5919" s="704" t="s">
        <v>562</v>
      </c>
      <c r="E5919" s="704" t="s">
        <v>448</v>
      </c>
      <c r="F5919" s="706">
        <v>0.57155510546904886</v>
      </c>
      <c r="G5919" s="705">
        <v>917.80655488408775</v>
      </c>
    </row>
    <row r="5920" spans="2:7" ht="11.25" hidden="1" customHeight="1" outlineLevel="2" x14ac:dyDescent="0.25">
      <c r="B5920" s="704" t="s">
        <v>689</v>
      </c>
      <c r="C5920" s="704" t="s">
        <v>808</v>
      </c>
      <c r="D5920" s="704" t="s">
        <v>562</v>
      </c>
      <c r="E5920" s="704" t="s">
        <v>448</v>
      </c>
      <c r="F5920" s="706">
        <v>3.5443237065293259E-2</v>
      </c>
      <c r="G5920" s="705">
        <v>56.822147707017933</v>
      </c>
    </row>
    <row r="5921" spans="2:7" ht="11.25" hidden="1" customHeight="1" outlineLevel="2" x14ac:dyDescent="0.25">
      <c r="B5921" s="704" t="s">
        <v>690</v>
      </c>
      <c r="C5921" s="704" t="s">
        <v>808</v>
      </c>
      <c r="D5921" s="704" t="s">
        <v>562</v>
      </c>
      <c r="E5921" s="704" t="s">
        <v>448</v>
      </c>
      <c r="F5921" s="706">
        <v>0.83794719732797318</v>
      </c>
      <c r="G5921" s="705">
        <v>1352.1526291709292</v>
      </c>
    </row>
    <row r="5922" spans="2:7" ht="11.25" hidden="1" customHeight="1" outlineLevel="2" x14ac:dyDescent="0.25">
      <c r="B5922" s="704" t="s">
        <v>691</v>
      </c>
      <c r="C5922" s="704" t="s">
        <v>808</v>
      </c>
      <c r="D5922" s="704" t="s">
        <v>562</v>
      </c>
      <c r="E5922" s="704" t="s">
        <v>448</v>
      </c>
      <c r="F5922" s="705">
        <v>0.64011188036513567</v>
      </c>
      <c r="G5922" s="705">
        <v>1032.9162570947967</v>
      </c>
    </row>
    <row r="5923" spans="2:7" ht="11.25" hidden="1" customHeight="1" outlineLevel="2" x14ac:dyDescent="0.25">
      <c r="B5923" s="704" t="s">
        <v>692</v>
      </c>
      <c r="C5923" s="704" t="s">
        <v>808</v>
      </c>
      <c r="D5923" s="704" t="s">
        <v>562</v>
      </c>
      <c r="E5923" s="704" t="s">
        <v>448</v>
      </c>
      <c r="F5923" s="705">
        <v>7.5506474242336266E-2</v>
      </c>
      <c r="G5923" s="705">
        <v>121.24863966101067</v>
      </c>
    </row>
    <row r="5924" spans="2:7" ht="11.25" hidden="1" customHeight="1" outlineLevel="2" x14ac:dyDescent="0.25">
      <c r="B5924" s="704" t="s">
        <v>693</v>
      </c>
      <c r="C5924" s="704" t="s">
        <v>808</v>
      </c>
      <c r="D5924" s="704" t="s">
        <v>562</v>
      </c>
      <c r="E5924" s="704" t="s">
        <v>448</v>
      </c>
      <c r="F5924" s="705">
        <v>3.4204688948351325E-2</v>
      </c>
      <c r="G5924" s="705">
        <v>55.25254305238127</v>
      </c>
    </row>
    <row r="5925" spans="2:7" ht="11.25" hidden="1" customHeight="1" outlineLevel="2" x14ac:dyDescent="0.25">
      <c r="B5925" s="704" t="s">
        <v>694</v>
      </c>
      <c r="C5925" s="704" t="s">
        <v>808</v>
      </c>
      <c r="D5925" s="704" t="s">
        <v>562</v>
      </c>
      <c r="E5925" s="704" t="s">
        <v>448</v>
      </c>
      <c r="F5925" s="705">
        <v>1.4251953919227468E-2</v>
      </c>
      <c r="G5925" s="705">
        <v>23.021901071385656</v>
      </c>
    </row>
    <row r="5926" spans="2:7" ht="11.25" hidden="1" customHeight="1" outlineLevel="2" x14ac:dyDescent="0.25">
      <c r="B5926" s="704" t="s">
        <v>695</v>
      </c>
      <c r="C5926" s="704" t="s">
        <v>808</v>
      </c>
      <c r="D5926" s="704" t="s">
        <v>562</v>
      </c>
      <c r="E5926" s="704" t="s">
        <v>448</v>
      </c>
      <c r="F5926" s="705">
        <v>6.3658728113471078E-2</v>
      </c>
      <c r="G5926" s="705">
        <v>102.83117428343876</v>
      </c>
    </row>
    <row r="5927" spans="2:7" ht="11.25" hidden="1" customHeight="1" outlineLevel="2" x14ac:dyDescent="0.25">
      <c r="B5927" s="704" t="s">
        <v>696</v>
      </c>
      <c r="C5927" s="704" t="s">
        <v>808</v>
      </c>
      <c r="D5927" s="704" t="s">
        <v>562</v>
      </c>
      <c r="E5927" s="704" t="s">
        <v>448</v>
      </c>
      <c r="F5927" s="705">
        <v>0.14499893087046081</v>
      </c>
      <c r="G5927" s="705">
        <v>231.75382334130677</v>
      </c>
    </row>
    <row r="5928" spans="2:7" ht="11.25" hidden="1" customHeight="1" outlineLevel="2" x14ac:dyDescent="0.25">
      <c r="B5928" s="704" t="s">
        <v>697</v>
      </c>
      <c r="C5928" s="704" t="s">
        <v>808</v>
      </c>
      <c r="D5928" s="704" t="s">
        <v>562</v>
      </c>
      <c r="E5928" s="704" t="s">
        <v>448</v>
      </c>
      <c r="F5928" s="705">
        <v>0.12446704519310667</v>
      </c>
      <c r="G5928" s="705">
        <v>201.05802446795116</v>
      </c>
    </row>
    <row r="5929" spans="2:7" ht="11.25" hidden="1" customHeight="1" outlineLevel="2" x14ac:dyDescent="0.25">
      <c r="B5929" s="704" t="s">
        <v>698</v>
      </c>
      <c r="C5929" s="704" t="s">
        <v>808</v>
      </c>
      <c r="D5929" s="704" t="s">
        <v>562</v>
      </c>
      <c r="E5929" s="704" t="s">
        <v>448</v>
      </c>
      <c r="F5929" s="705">
        <v>7.7910682995426889E-2</v>
      </c>
      <c r="G5929" s="705">
        <v>125.85307544649778</v>
      </c>
    </row>
    <row r="5930" spans="2:7" ht="11.25" hidden="1" customHeight="1" outlineLevel="2" x14ac:dyDescent="0.25">
      <c r="B5930" s="704" t="s">
        <v>699</v>
      </c>
      <c r="C5930" s="704" t="s">
        <v>808</v>
      </c>
      <c r="D5930" s="704" t="s">
        <v>562</v>
      </c>
      <c r="E5930" s="704" t="s">
        <v>448</v>
      </c>
      <c r="F5930" s="705">
        <v>0.60787476836765519</v>
      </c>
      <c r="G5930" s="705">
        <v>976.12844458231825</v>
      </c>
    </row>
    <row r="5931" spans="2:7" ht="11.25" hidden="1" customHeight="1" outlineLevel="2" x14ac:dyDescent="0.25">
      <c r="B5931" s="704" t="s">
        <v>673</v>
      </c>
      <c r="C5931" s="704" t="s">
        <v>809</v>
      </c>
      <c r="D5931" s="704" t="s">
        <v>562</v>
      </c>
      <c r="E5931" s="704" t="s">
        <v>448</v>
      </c>
      <c r="F5931" s="705">
        <v>0.14383021169032278</v>
      </c>
      <c r="G5931" s="705">
        <v>214.05211103029106</v>
      </c>
    </row>
    <row r="5932" spans="2:7" ht="11.25" hidden="1" customHeight="1" outlineLevel="2" x14ac:dyDescent="0.25">
      <c r="B5932" s="704" t="s">
        <v>677</v>
      </c>
      <c r="C5932" s="704" t="s">
        <v>809</v>
      </c>
      <c r="D5932" s="704" t="s">
        <v>562</v>
      </c>
      <c r="E5932" s="704" t="s">
        <v>448</v>
      </c>
      <c r="F5932" s="706">
        <v>1.4731857228006735</v>
      </c>
      <c r="G5932" s="705">
        <v>2170.1600656973615</v>
      </c>
    </row>
    <row r="5933" spans="2:7" ht="11.25" hidden="1" customHeight="1" outlineLevel="2" x14ac:dyDescent="0.25">
      <c r="B5933" s="704" t="s">
        <v>678</v>
      </c>
      <c r="C5933" s="704" t="s">
        <v>809</v>
      </c>
      <c r="D5933" s="704" t="s">
        <v>562</v>
      </c>
      <c r="E5933" s="704" t="s">
        <v>448</v>
      </c>
      <c r="F5933" s="706">
        <v>2.2199933029878864</v>
      </c>
      <c r="G5933" s="705">
        <v>3319.4559034055983</v>
      </c>
    </row>
    <row r="5934" spans="2:7" ht="11.25" hidden="1" customHeight="1" outlineLevel="2" x14ac:dyDescent="0.25">
      <c r="B5934" s="704" t="s">
        <v>679</v>
      </c>
      <c r="C5934" s="704" t="s">
        <v>809</v>
      </c>
      <c r="D5934" s="704" t="s">
        <v>562</v>
      </c>
      <c r="E5934" s="704" t="s">
        <v>448</v>
      </c>
      <c r="F5934" s="705">
        <v>8.1088857052143304E-2</v>
      </c>
      <c r="G5934" s="705">
        <v>121.84503430042093</v>
      </c>
    </row>
    <row r="5935" spans="2:7" ht="11.25" hidden="1" customHeight="1" outlineLevel="2" x14ac:dyDescent="0.25">
      <c r="B5935" s="704" t="s">
        <v>680</v>
      </c>
      <c r="C5935" s="704" t="s">
        <v>809</v>
      </c>
      <c r="D5935" s="704" t="s">
        <v>562</v>
      </c>
      <c r="E5935" s="704" t="s">
        <v>448</v>
      </c>
      <c r="F5935" s="705">
        <v>5.6920914715594961E-2</v>
      </c>
      <c r="G5935" s="705">
        <v>85.620825559936463</v>
      </c>
    </row>
    <row r="5936" spans="2:7" ht="11.25" hidden="1" customHeight="1" outlineLevel="2" x14ac:dyDescent="0.25">
      <c r="B5936" s="704" t="s">
        <v>681</v>
      </c>
      <c r="C5936" s="704" t="s">
        <v>809</v>
      </c>
      <c r="D5936" s="704" t="s">
        <v>562</v>
      </c>
      <c r="E5936" s="704" t="s">
        <v>448</v>
      </c>
      <c r="F5936" s="705">
        <v>0.36559419984828079</v>
      </c>
      <c r="G5936" s="705">
        <v>546.6563137025538</v>
      </c>
    </row>
    <row r="5937" spans="2:7" ht="11.25" hidden="1" customHeight="1" outlineLevel="2" x14ac:dyDescent="0.25">
      <c r="B5937" s="704" t="s">
        <v>682</v>
      </c>
      <c r="C5937" s="704" t="s">
        <v>809</v>
      </c>
      <c r="D5937" s="704" t="s">
        <v>562</v>
      </c>
      <c r="E5937" s="704" t="s">
        <v>448</v>
      </c>
      <c r="F5937" s="705">
        <v>0.14093893559249601</v>
      </c>
      <c r="G5937" s="705">
        <v>210.75909828079961</v>
      </c>
    </row>
    <row r="5938" spans="2:7" ht="11.25" hidden="1" customHeight="1" outlineLevel="2" x14ac:dyDescent="0.25">
      <c r="B5938" s="704" t="s">
        <v>683</v>
      </c>
      <c r="C5938" s="704" t="s">
        <v>809</v>
      </c>
      <c r="D5938" s="704" t="s">
        <v>562</v>
      </c>
      <c r="E5938" s="704" t="s">
        <v>448</v>
      </c>
      <c r="F5938" s="705">
        <v>0.16656087015012072</v>
      </c>
      <c r="G5938" s="705">
        <v>250.27638965328114</v>
      </c>
    </row>
    <row r="5939" spans="2:7" ht="11.25" hidden="1" customHeight="1" outlineLevel="2" x14ac:dyDescent="0.25">
      <c r="B5939" s="704" t="s">
        <v>684</v>
      </c>
      <c r="C5939" s="704" t="s">
        <v>809</v>
      </c>
      <c r="D5939" s="704" t="s">
        <v>562</v>
      </c>
      <c r="E5939" s="704" t="s">
        <v>448</v>
      </c>
      <c r="F5939" s="705">
        <v>0.10289544200947633</v>
      </c>
      <c r="G5939" s="705">
        <v>154.77617555257081</v>
      </c>
    </row>
    <row r="5940" spans="2:7" ht="11.25" hidden="1" customHeight="1" outlineLevel="2" x14ac:dyDescent="0.25">
      <c r="B5940" s="704" t="s">
        <v>685</v>
      </c>
      <c r="C5940" s="704" t="s">
        <v>809</v>
      </c>
      <c r="D5940" s="704" t="s">
        <v>562</v>
      </c>
      <c r="E5940" s="704" t="s">
        <v>448</v>
      </c>
      <c r="F5940" s="705">
        <v>0.51283233404281592</v>
      </c>
      <c r="G5940" s="705">
        <v>770.58814050435888</v>
      </c>
    </row>
    <row r="5941" spans="2:7" ht="11.25" hidden="1" customHeight="1" outlineLevel="2" x14ac:dyDescent="0.25">
      <c r="B5941" s="704" t="s">
        <v>686</v>
      </c>
      <c r="C5941" s="704" t="s">
        <v>809</v>
      </c>
      <c r="D5941" s="704" t="s">
        <v>562</v>
      </c>
      <c r="E5941" s="704" t="s">
        <v>448</v>
      </c>
      <c r="F5941" s="705">
        <v>7.7447056589120711E-2</v>
      </c>
      <c r="G5941" s="705">
        <v>115.2589278892364</v>
      </c>
    </row>
    <row r="5942" spans="2:7" ht="11.25" hidden="1" customHeight="1" outlineLevel="2" x14ac:dyDescent="0.25">
      <c r="B5942" s="704" t="s">
        <v>687</v>
      </c>
      <c r="C5942" s="704" t="s">
        <v>809</v>
      </c>
      <c r="D5942" s="704" t="s">
        <v>562</v>
      </c>
      <c r="E5942" s="704" t="s">
        <v>448</v>
      </c>
      <c r="F5942" s="705">
        <v>0.49553419167077961</v>
      </c>
      <c r="G5942" s="705">
        <v>740.94993506092646</v>
      </c>
    </row>
    <row r="5943" spans="2:7" ht="11.25" hidden="1" customHeight="1" outlineLevel="2" x14ac:dyDescent="0.25">
      <c r="B5943" s="704" t="s">
        <v>688</v>
      </c>
      <c r="C5943" s="704" t="s">
        <v>809</v>
      </c>
      <c r="D5943" s="704" t="s">
        <v>562</v>
      </c>
      <c r="E5943" s="704" t="s">
        <v>448</v>
      </c>
      <c r="F5943" s="705">
        <v>1.317020106687121</v>
      </c>
      <c r="G5943" s="705">
        <v>1969.2802490318973</v>
      </c>
    </row>
    <row r="5944" spans="2:7" ht="11.25" hidden="1" customHeight="1" outlineLevel="2" x14ac:dyDescent="0.25">
      <c r="B5944" s="704" t="s">
        <v>689</v>
      </c>
      <c r="C5944" s="704" t="s">
        <v>809</v>
      </c>
      <c r="D5944" s="704" t="s">
        <v>562</v>
      </c>
      <c r="E5944" s="704" t="s">
        <v>448</v>
      </c>
      <c r="F5944" s="705">
        <v>8.1671922425588184E-2</v>
      </c>
      <c r="G5944" s="705">
        <v>121.91973657939863</v>
      </c>
    </row>
    <row r="5945" spans="2:7" ht="11.25" hidden="1" customHeight="1" outlineLevel="2" x14ac:dyDescent="0.25">
      <c r="B5945" s="704" t="s">
        <v>690</v>
      </c>
      <c r="C5945" s="704" t="s">
        <v>809</v>
      </c>
      <c r="D5945" s="704" t="s">
        <v>562</v>
      </c>
      <c r="E5945" s="704" t="s">
        <v>448</v>
      </c>
      <c r="F5945" s="705">
        <v>1.9307916426153819</v>
      </c>
      <c r="G5945" s="705">
        <v>2901.2304510351387</v>
      </c>
    </row>
    <row r="5946" spans="2:7" ht="11.25" hidden="1" customHeight="1" outlineLevel="2" x14ac:dyDescent="0.25">
      <c r="B5946" s="704" t="s">
        <v>691</v>
      </c>
      <c r="C5946" s="704" t="s">
        <v>809</v>
      </c>
      <c r="D5946" s="704" t="s">
        <v>562</v>
      </c>
      <c r="E5946" s="704" t="s">
        <v>448</v>
      </c>
      <c r="F5946" s="705">
        <v>1.4749403806671226</v>
      </c>
      <c r="G5946" s="705">
        <v>2216.2633736554017</v>
      </c>
    </row>
    <row r="5947" spans="2:7" ht="11.25" hidden="1" customHeight="1" outlineLevel="2" x14ac:dyDescent="0.25">
      <c r="B5947" s="704" t="s">
        <v>692</v>
      </c>
      <c r="C5947" s="704" t="s">
        <v>809</v>
      </c>
      <c r="D5947" s="704" t="s">
        <v>562</v>
      </c>
      <c r="E5947" s="704" t="s">
        <v>448</v>
      </c>
      <c r="F5947" s="705">
        <v>0.17398757882652927</v>
      </c>
      <c r="G5947" s="705">
        <v>260.15560875552171</v>
      </c>
    </row>
    <row r="5948" spans="2:7" ht="11.25" hidden="1" customHeight="1" outlineLevel="2" x14ac:dyDescent="0.25">
      <c r="B5948" s="704" t="s">
        <v>693</v>
      </c>
      <c r="C5948" s="704" t="s">
        <v>809</v>
      </c>
      <c r="D5948" s="704" t="s">
        <v>562</v>
      </c>
      <c r="E5948" s="704" t="s">
        <v>448</v>
      </c>
      <c r="F5948" s="705">
        <v>7.8813589588410476E-2</v>
      </c>
      <c r="G5948" s="705">
        <v>118.55187680576191</v>
      </c>
    </row>
    <row r="5949" spans="2:7" ht="11.25" hidden="1" customHeight="1" outlineLevel="2" x14ac:dyDescent="0.25">
      <c r="B5949" s="704" t="s">
        <v>694</v>
      </c>
      <c r="C5949" s="704" t="s">
        <v>809</v>
      </c>
      <c r="D5949" s="704" t="s">
        <v>562</v>
      </c>
      <c r="E5949" s="704" t="s">
        <v>448</v>
      </c>
      <c r="F5949" s="706">
        <v>3.2838998701065943E-2</v>
      </c>
      <c r="G5949" s="705">
        <v>49.396644477034144</v>
      </c>
    </row>
    <row r="5950" spans="2:7" ht="11.25" hidden="1" customHeight="1" outlineLevel="2" x14ac:dyDescent="0.25">
      <c r="B5950" s="704" t="s">
        <v>695</v>
      </c>
      <c r="C5950" s="704" t="s">
        <v>809</v>
      </c>
      <c r="D5950" s="704" t="s">
        <v>562</v>
      </c>
      <c r="E5950" s="704" t="s">
        <v>448</v>
      </c>
      <c r="F5950" s="706">
        <v>0.14668078929074529</v>
      </c>
      <c r="G5950" s="705">
        <v>220.63834412112848</v>
      </c>
    </row>
    <row r="5951" spans="2:7" ht="11.25" hidden="1" customHeight="1" outlineLevel="2" x14ac:dyDescent="0.25">
      <c r="B5951" s="704" t="s">
        <v>696</v>
      </c>
      <c r="C5951" s="704" t="s">
        <v>809</v>
      </c>
      <c r="D5951" s="704" t="s">
        <v>562</v>
      </c>
      <c r="E5951" s="704" t="s">
        <v>448</v>
      </c>
      <c r="F5951" s="706">
        <v>0.33412861213816575</v>
      </c>
      <c r="G5951" s="705">
        <v>497.25966103150762</v>
      </c>
    </row>
    <row r="5952" spans="2:7" ht="11.25" hidden="1" customHeight="1" outlineLevel="2" x14ac:dyDescent="0.25">
      <c r="B5952" s="704" t="s">
        <v>697</v>
      </c>
      <c r="C5952" s="704" t="s">
        <v>809</v>
      </c>
      <c r="D5952" s="704" t="s">
        <v>562</v>
      </c>
      <c r="E5952" s="704" t="s">
        <v>448</v>
      </c>
      <c r="F5952" s="706">
        <v>0.28679385297718296</v>
      </c>
      <c r="G5952" s="705">
        <v>431.39743494108751</v>
      </c>
    </row>
    <row r="5953" spans="2:7" ht="11.25" hidden="1" customHeight="1" outlineLevel="2" x14ac:dyDescent="0.25">
      <c r="B5953" s="704" t="s">
        <v>698</v>
      </c>
      <c r="C5953" s="704" t="s">
        <v>809</v>
      </c>
      <c r="D5953" s="704" t="s">
        <v>562</v>
      </c>
      <c r="E5953" s="704" t="s">
        <v>448</v>
      </c>
      <c r="F5953" s="706">
        <v>0.17951986564079098</v>
      </c>
      <c r="G5953" s="705">
        <v>270.03503580500643</v>
      </c>
    </row>
    <row r="5954" spans="2:7" ht="11.25" hidden="1" customHeight="1" outlineLevel="2" x14ac:dyDescent="0.25">
      <c r="B5954" s="704" t="s">
        <v>699</v>
      </c>
      <c r="C5954" s="704" t="s">
        <v>809</v>
      </c>
      <c r="D5954" s="704" t="s">
        <v>562</v>
      </c>
      <c r="E5954" s="704" t="s">
        <v>448</v>
      </c>
      <c r="F5954" s="706">
        <v>1.4007102895760024</v>
      </c>
      <c r="G5954" s="705">
        <v>2094.4194370128689</v>
      </c>
    </row>
    <row r="5955" spans="2:7" ht="11.25" hidden="1" customHeight="1" outlineLevel="2" x14ac:dyDescent="0.25">
      <c r="B5955" s="704" t="s">
        <v>673</v>
      </c>
      <c r="C5955" s="704" t="s">
        <v>810</v>
      </c>
      <c r="D5955" s="704" t="s">
        <v>562</v>
      </c>
      <c r="E5955" s="704" t="s">
        <v>448</v>
      </c>
      <c r="F5955" s="706">
        <v>0.27166171761358199</v>
      </c>
      <c r="G5955" s="705">
        <v>337.22070169515143</v>
      </c>
    </row>
    <row r="5956" spans="2:7" ht="11.25" hidden="1" customHeight="1" outlineLevel="2" x14ac:dyDescent="0.25">
      <c r="B5956" s="704" t="s">
        <v>677</v>
      </c>
      <c r="C5956" s="704" t="s">
        <v>810</v>
      </c>
      <c r="D5956" s="704" t="s">
        <v>562</v>
      </c>
      <c r="E5956" s="704" t="s">
        <v>448</v>
      </c>
      <c r="F5956" s="706">
        <v>2.7827754777491314</v>
      </c>
      <c r="G5956" s="705">
        <v>3418.8975955506776</v>
      </c>
    </row>
    <row r="5957" spans="2:7" ht="11.25" hidden="1" customHeight="1" outlineLevel="2" x14ac:dyDescent="0.25">
      <c r="B5957" s="704" t="s">
        <v>678</v>
      </c>
      <c r="C5957" s="704" t="s">
        <v>810</v>
      </c>
      <c r="D5957" s="704" t="s">
        <v>562</v>
      </c>
      <c r="E5957" s="704" t="s">
        <v>448</v>
      </c>
      <c r="F5957" s="706">
        <v>4.1928603075270461</v>
      </c>
      <c r="G5957" s="705">
        <v>5229.5111581098772</v>
      </c>
    </row>
    <row r="5958" spans="2:7" ht="11.25" hidden="1" customHeight="1" outlineLevel="2" x14ac:dyDescent="0.25">
      <c r="B5958" s="704" t="s">
        <v>679</v>
      </c>
      <c r="C5958" s="704" t="s">
        <v>810</v>
      </c>
      <c r="D5958" s="704" t="s">
        <v>562</v>
      </c>
      <c r="E5958" s="704" t="s">
        <v>448</v>
      </c>
      <c r="F5958" s="706">
        <v>0.15314380399161515</v>
      </c>
      <c r="G5958" s="705">
        <v>191.95625433998825</v>
      </c>
    </row>
    <row r="5959" spans="2:7" ht="11.25" hidden="1" customHeight="1" outlineLevel="2" x14ac:dyDescent="0.25">
      <c r="B5959" s="704" t="s">
        <v>680</v>
      </c>
      <c r="C5959" s="704" t="s">
        <v>810</v>
      </c>
      <c r="D5959" s="704" t="s">
        <v>562</v>
      </c>
      <c r="E5959" s="704" t="s">
        <v>448</v>
      </c>
      <c r="F5959" s="705">
        <v>0.1074992685860421</v>
      </c>
      <c r="G5959" s="705">
        <v>134.88819874619705</v>
      </c>
    </row>
    <row r="5960" spans="2:7" ht="11.25" hidden="1" customHeight="1" outlineLevel="2" x14ac:dyDescent="0.25">
      <c r="B5960" s="704" t="s">
        <v>681</v>
      </c>
      <c r="C5960" s="704" t="s">
        <v>810</v>
      </c>
      <c r="D5960" s="704" t="s">
        <v>562</v>
      </c>
      <c r="E5960" s="704" t="s">
        <v>448</v>
      </c>
      <c r="F5960" s="705">
        <v>0.69049082898012282</v>
      </c>
      <c r="G5960" s="705">
        <v>861.20957486736324</v>
      </c>
    </row>
    <row r="5961" spans="2:7" ht="11.25" hidden="1" customHeight="1" outlineLevel="2" x14ac:dyDescent="0.25">
      <c r="B5961" s="704" t="s">
        <v>682</v>
      </c>
      <c r="C5961" s="704" t="s">
        <v>810</v>
      </c>
      <c r="D5961" s="704" t="s">
        <v>562</v>
      </c>
      <c r="E5961" s="704" t="s">
        <v>448</v>
      </c>
      <c r="F5961" s="706">
        <v>0.26618859834949959</v>
      </c>
      <c r="G5961" s="705">
        <v>332.03260134701856</v>
      </c>
    </row>
    <row r="5962" spans="2:7" ht="11.25" hidden="1" customHeight="1" outlineLevel="2" x14ac:dyDescent="0.25">
      <c r="B5962" s="704" t="s">
        <v>683</v>
      </c>
      <c r="C5962" s="704" t="s">
        <v>810</v>
      </c>
      <c r="D5962" s="704" t="s">
        <v>562</v>
      </c>
      <c r="E5962" s="704" t="s">
        <v>448</v>
      </c>
      <c r="F5962" s="705">
        <v>0.31456564551731547</v>
      </c>
      <c r="G5962" s="705">
        <v>394.28869209894185</v>
      </c>
    </row>
    <row r="5963" spans="2:7" ht="11.25" hidden="1" customHeight="1" outlineLevel="2" x14ac:dyDescent="0.25">
      <c r="B5963" s="704" t="s">
        <v>684</v>
      </c>
      <c r="C5963" s="704" t="s">
        <v>810</v>
      </c>
      <c r="D5963" s="704" t="s">
        <v>562</v>
      </c>
      <c r="E5963" s="704" t="s">
        <v>448</v>
      </c>
      <c r="F5963" s="705">
        <v>0.19432560743005151</v>
      </c>
      <c r="G5963" s="705">
        <v>243.83653898268093</v>
      </c>
    </row>
    <row r="5964" spans="2:7" ht="11.25" hidden="1" customHeight="1" outlineLevel="2" x14ac:dyDescent="0.25">
      <c r="B5964" s="704" t="s">
        <v>685</v>
      </c>
      <c r="C5964" s="704" t="s">
        <v>810</v>
      </c>
      <c r="D5964" s="704" t="s">
        <v>562</v>
      </c>
      <c r="E5964" s="704" t="s">
        <v>448</v>
      </c>
      <c r="F5964" s="705">
        <v>0.96853124357559817</v>
      </c>
      <c r="G5964" s="705">
        <v>1213.9942719704384</v>
      </c>
    </row>
    <row r="5965" spans="2:7" ht="11.25" hidden="1" customHeight="1" outlineLevel="2" x14ac:dyDescent="0.25">
      <c r="B5965" s="704" t="s">
        <v>686</v>
      </c>
      <c r="C5965" s="704" t="s">
        <v>810</v>
      </c>
      <c r="D5965" s="704" t="s">
        <v>562</v>
      </c>
      <c r="E5965" s="704" t="s">
        <v>448</v>
      </c>
      <c r="F5965" s="705">
        <v>0.14627938465953266</v>
      </c>
      <c r="G5965" s="705">
        <v>181.5803948812293</v>
      </c>
    </row>
    <row r="5966" spans="2:7" ht="11.25" hidden="1" customHeight="1" outlineLevel="2" x14ac:dyDescent="0.25">
      <c r="B5966" s="704" t="s">
        <v>687</v>
      </c>
      <c r="C5966" s="704" t="s">
        <v>810</v>
      </c>
      <c r="D5966" s="704" t="s">
        <v>562</v>
      </c>
      <c r="E5966" s="704" t="s">
        <v>448</v>
      </c>
      <c r="F5966" s="705">
        <v>0.93590642091496123</v>
      </c>
      <c r="G5966" s="705">
        <v>1167.3019448411928</v>
      </c>
    </row>
    <row r="5967" spans="2:7" ht="11.25" hidden="1" customHeight="1" outlineLevel="2" x14ac:dyDescent="0.25">
      <c r="B5967" s="704" t="s">
        <v>688</v>
      </c>
      <c r="C5967" s="704" t="s">
        <v>810</v>
      </c>
      <c r="D5967" s="704" t="s">
        <v>562</v>
      </c>
      <c r="E5967" s="704" t="s">
        <v>448</v>
      </c>
      <c r="F5967" s="705">
        <v>2.4874314326763627</v>
      </c>
      <c r="G5967" s="705">
        <v>3102.4304220529284</v>
      </c>
    </row>
    <row r="5968" spans="2:7" ht="11.25" hidden="1" customHeight="1" outlineLevel="2" x14ac:dyDescent="0.25">
      <c r="B5968" s="704" t="s">
        <v>689</v>
      </c>
      <c r="C5968" s="704" t="s">
        <v>810</v>
      </c>
      <c r="D5968" s="704" t="s">
        <v>562</v>
      </c>
      <c r="E5968" s="704" t="s">
        <v>448</v>
      </c>
      <c r="F5968" s="705">
        <v>0.15425464245185572</v>
      </c>
      <c r="G5968" s="705">
        <v>192.07402631619459</v>
      </c>
    </row>
    <row r="5969" spans="2:7" ht="11.25" hidden="1" customHeight="1" outlineLevel="2" x14ac:dyDescent="0.25">
      <c r="B5969" s="704" t="s">
        <v>690</v>
      </c>
      <c r="C5969" s="704" t="s">
        <v>810</v>
      </c>
      <c r="D5969" s="704" t="s">
        <v>562</v>
      </c>
      <c r="E5969" s="704" t="s">
        <v>448</v>
      </c>
      <c r="F5969" s="705">
        <v>3.6464778276617857</v>
      </c>
      <c r="G5969" s="705">
        <v>4570.6352909658926</v>
      </c>
    </row>
    <row r="5970" spans="2:7" ht="11.25" hidden="1" customHeight="1" outlineLevel="2" x14ac:dyDescent="0.25">
      <c r="B5970" s="704" t="s">
        <v>691</v>
      </c>
      <c r="C5970" s="704" t="s">
        <v>810</v>
      </c>
      <c r="D5970" s="704" t="s">
        <v>562</v>
      </c>
      <c r="E5970" s="704" t="s">
        <v>448</v>
      </c>
      <c r="F5970" s="705">
        <v>2.7855611929633168</v>
      </c>
      <c r="G5970" s="705">
        <v>3491.5301087410762</v>
      </c>
    </row>
    <row r="5971" spans="2:7" ht="11.25" hidden="1" customHeight="1" outlineLevel="2" x14ac:dyDescent="0.25">
      <c r="B5971" s="704" t="s">
        <v>692</v>
      </c>
      <c r="C5971" s="704" t="s">
        <v>810</v>
      </c>
      <c r="D5971" s="704" t="s">
        <v>562</v>
      </c>
      <c r="E5971" s="704" t="s">
        <v>448</v>
      </c>
      <c r="F5971" s="705">
        <v>0.32860710657978875</v>
      </c>
      <c r="G5971" s="705">
        <v>409.85242677404693</v>
      </c>
    </row>
    <row r="5972" spans="2:7" ht="11.25" hidden="1" customHeight="1" outlineLevel="2" x14ac:dyDescent="0.25">
      <c r="B5972" s="704" t="s">
        <v>693</v>
      </c>
      <c r="C5972" s="704" t="s">
        <v>810</v>
      </c>
      <c r="D5972" s="704" t="s">
        <v>562</v>
      </c>
      <c r="E5972" s="704" t="s">
        <v>448</v>
      </c>
      <c r="F5972" s="705">
        <v>0.14884514215540387</v>
      </c>
      <c r="G5972" s="705">
        <v>186.76818593676472</v>
      </c>
    </row>
    <row r="5973" spans="2:7" ht="11.25" hidden="1" customHeight="1" outlineLevel="2" x14ac:dyDescent="0.25">
      <c r="B5973" s="704" t="s">
        <v>694</v>
      </c>
      <c r="C5973" s="704" t="s">
        <v>810</v>
      </c>
      <c r="D5973" s="704" t="s">
        <v>562</v>
      </c>
      <c r="E5973" s="704" t="s">
        <v>448</v>
      </c>
      <c r="F5973" s="705">
        <v>6.2018813596753569E-2</v>
      </c>
      <c r="G5973" s="705">
        <v>77.820125626903021</v>
      </c>
    </row>
    <row r="5974" spans="2:7" ht="11.25" hidden="1" customHeight="1" outlineLevel="2" x14ac:dyDescent="0.25">
      <c r="B5974" s="704" t="s">
        <v>695</v>
      </c>
      <c r="C5974" s="704" t="s">
        <v>810</v>
      </c>
      <c r="D5974" s="704" t="s">
        <v>562</v>
      </c>
      <c r="E5974" s="704" t="s">
        <v>448</v>
      </c>
      <c r="F5974" s="705">
        <v>0.2770173420855857</v>
      </c>
      <c r="G5974" s="705">
        <v>347.59643894986755</v>
      </c>
    </row>
    <row r="5975" spans="2:7" ht="11.25" hidden="1" customHeight="1" outlineLevel="2" x14ac:dyDescent="0.25">
      <c r="B5975" s="704" t="s">
        <v>696</v>
      </c>
      <c r="C5975" s="704" t="s">
        <v>810</v>
      </c>
      <c r="D5975" s="704" t="s">
        <v>562</v>
      </c>
      <c r="E5975" s="704" t="s">
        <v>448</v>
      </c>
      <c r="F5975" s="705">
        <v>0.63109104046865494</v>
      </c>
      <c r="G5975" s="705">
        <v>839.9627993340473</v>
      </c>
    </row>
    <row r="5976" spans="2:7" ht="11.25" hidden="1" customHeight="1" outlineLevel="2" x14ac:dyDescent="0.25">
      <c r="B5976" s="704" t="s">
        <v>697</v>
      </c>
      <c r="C5976" s="704" t="s">
        <v>810</v>
      </c>
      <c r="D5976" s="704" t="s">
        <v>562</v>
      </c>
      <c r="E5976" s="704" t="s">
        <v>448</v>
      </c>
      <c r="F5976" s="705">
        <v>0.54163096415622658</v>
      </c>
      <c r="G5976" s="705">
        <v>679.62908687562094</v>
      </c>
    </row>
    <row r="5977" spans="2:7" ht="11.25" hidden="1" customHeight="1" outlineLevel="2" x14ac:dyDescent="0.25">
      <c r="B5977" s="704" t="s">
        <v>698</v>
      </c>
      <c r="C5977" s="704" t="s">
        <v>810</v>
      </c>
      <c r="D5977" s="704" t="s">
        <v>562</v>
      </c>
      <c r="E5977" s="704" t="s">
        <v>448</v>
      </c>
      <c r="F5977" s="705">
        <v>0.33903614549757299</v>
      </c>
      <c r="G5977" s="705">
        <v>425.41668256838119</v>
      </c>
    </row>
    <row r="5978" spans="2:7" ht="11.25" hidden="1" customHeight="1" outlineLevel="2" x14ac:dyDescent="0.25">
      <c r="B5978" s="704" t="s">
        <v>699</v>
      </c>
      <c r="C5978" s="704" t="s">
        <v>810</v>
      </c>
      <c r="D5978" s="704" t="s">
        <v>562</v>
      </c>
      <c r="E5978" s="704" t="s">
        <v>448</v>
      </c>
      <c r="F5978" s="705">
        <v>2.6454950497395657</v>
      </c>
      <c r="G5978" s="705">
        <v>3299.5742241188864</v>
      </c>
    </row>
    <row r="5979" spans="2:7" ht="11.25" hidden="1" customHeight="1" outlineLevel="2" x14ac:dyDescent="0.25">
      <c r="B5979" s="704" t="s">
        <v>673</v>
      </c>
      <c r="C5979" s="704" t="s">
        <v>811</v>
      </c>
      <c r="D5979" s="704" t="s">
        <v>562</v>
      </c>
      <c r="E5979" s="704" t="s">
        <v>448</v>
      </c>
      <c r="F5979" s="705">
        <v>1.1565134777539565E-2</v>
      </c>
      <c r="G5979" s="705">
        <v>15.860966418852914</v>
      </c>
    </row>
    <row r="5980" spans="2:7" ht="11.25" hidden="1" customHeight="1" outlineLevel="2" x14ac:dyDescent="0.25">
      <c r="B5980" s="704" t="s">
        <v>677</v>
      </c>
      <c r="C5980" s="704" t="s">
        <v>811</v>
      </c>
      <c r="D5980" s="704" t="s">
        <v>562</v>
      </c>
      <c r="E5980" s="704" t="s">
        <v>448</v>
      </c>
      <c r="F5980" s="705">
        <v>0.11846688800462295</v>
      </c>
      <c r="G5980" s="705">
        <v>160.80583685890625</v>
      </c>
    </row>
    <row r="5981" spans="2:7" ht="11.25" hidden="1" customHeight="1" outlineLevel="2" x14ac:dyDescent="0.25">
      <c r="B5981" s="704" t="s">
        <v>678</v>
      </c>
      <c r="C5981" s="704" t="s">
        <v>811</v>
      </c>
      <c r="D5981" s="704" t="s">
        <v>562</v>
      </c>
      <c r="E5981" s="704" t="s">
        <v>448</v>
      </c>
      <c r="F5981" s="705">
        <v>0.17849838683746341</v>
      </c>
      <c r="G5981" s="705">
        <v>245.96709721365178</v>
      </c>
    </row>
    <row r="5982" spans="2:7" ht="11.25" hidden="1" customHeight="1" outlineLevel="2" x14ac:dyDescent="0.25">
      <c r="B5982" s="704" t="s">
        <v>679</v>
      </c>
      <c r="C5982" s="704" t="s">
        <v>811</v>
      </c>
      <c r="D5982" s="704" t="s">
        <v>562</v>
      </c>
      <c r="E5982" s="704" t="s">
        <v>448</v>
      </c>
      <c r="F5982" s="706">
        <v>6.5196598144264773E-3</v>
      </c>
      <c r="G5982" s="705">
        <v>9.0285559139728306</v>
      </c>
    </row>
    <row r="5983" spans="2:7" ht="11.25" hidden="1" customHeight="1" outlineLevel="2" x14ac:dyDescent="0.25">
      <c r="B5983" s="704" t="s">
        <v>680</v>
      </c>
      <c r="C5983" s="704" t="s">
        <v>811</v>
      </c>
      <c r="D5983" s="704" t="s">
        <v>562</v>
      </c>
      <c r="E5983" s="704" t="s">
        <v>448</v>
      </c>
      <c r="F5983" s="706">
        <v>4.5764779604096882E-3</v>
      </c>
      <c r="G5983" s="705">
        <v>6.3443900229961221</v>
      </c>
    </row>
    <row r="5984" spans="2:7" ht="11.25" hidden="1" customHeight="1" outlineLevel="2" x14ac:dyDescent="0.25">
      <c r="B5984" s="704" t="s">
        <v>681</v>
      </c>
      <c r="C5984" s="704" t="s">
        <v>811</v>
      </c>
      <c r="D5984" s="704" t="s">
        <v>562</v>
      </c>
      <c r="E5984" s="704" t="s">
        <v>448</v>
      </c>
      <c r="F5984" s="706">
        <v>2.9395560416299052E-2</v>
      </c>
      <c r="G5984" s="705">
        <v>40.506502265385294</v>
      </c>
    </row>
    <row r="5985" spans="2:7" ht="11.25" hidden="1" customHeight="1" outlineLevel="2" x14ac:dyDescent="0.25">
      <c r="B5985" s="704" t="s">
        <v>682</v>
      </c>
      <c r="C5985" s="704" t="s">
        <v>811</v>
      </c>
      <c r="D5985" s="704" t="s">
        <v>562</v>
      </c>
      <c r="E5985" s="704" t="s">
        <v>448</v>
      </c>
      <c r="F5985" s="706">
        <v>1.1332175635057546E-2</v>
      </c>
      <c r="G5985" s="705">
        <v>15.616966404101557</v>
      </c>
    </row>
    <row r="5986" spans="2:7" ht="11.25" hidden="1" customHeight="1" outlineLevel="2" x14ac:dyDescent="0.25">
      <c r="B5986" s="704" t="s">
        <v>683</v>
      </c>
      <c r="C5986" s="704" t="s">
        <v>811</v>
      </c>
      <c r="D5986" s="704" t="s">
        <v>562</v>
      </c>
      <c r="E5986" s="704" t="s">
        <v>448</v>
      </c>
      <c r="F5986" s="706">
        <v>1.3391730923369885E-2</v>
      </c>
      <c r="G5986" s="705">
        <v>18.545142022193009</v>
      </c>
    </row>
    <row r="5987" spans="2:7" ht="11.25" hidden="1" customHeight="1" outlineLevel="2" x14ac:dyDescent="0.25">
      <c r="B5987" s="704" t="s">
        <v>684</v>
      </c>
      <c r="C5987" s="704" t="s">
        <v>811</v>
      </c>
      <c r="D5987" s="704" t="s">
        <v>562</v>
      </c>
      <c r="E5987" s="704" t="s">
        <v>448</v>
      </c>
      <c r="F5987" s="706">
        <v>8.2728634297405054E-3</v>
      </c>
      <c r="G5987" s="705">
        <v>11.46870366904267</v>
      </c>
    </row>
    <row r="5988" spans="2:7" ht="11.25" hidden="1" customHeight="1" outlineLevel="2" x14ac:dyDescent="0.25">
      <c r="B5988" s="704" t="s">
        <v>685</v>
      </c>
      <c r="C5988" s="704" t="s">
        <v>811</v>
      </c>
      <c r="D5988" s="704" t="s">
        <v>562</v>
      </c>
      <c r="E5988" s="704" t="s">
        <v>448</v>
      </c>
      <c r="F5988" s="705">
        <v>4.1232440009336686E-2</v>
      </c>
      <c r="G5988" s="705">
        <v>57.099512826849697</v>
      </c>
    </row>
    <row r="5989" spans="2:7" ht="11.25" hidden="1" customHeight="1" outlineLevel="2" x14ac:dyDescent="0.25">
      <c r="B5989" s="704" t="s">
        <v>686</v>
      </c>
      <c r="C5989" s="704" t="s">
        <v>811</v>
      </c>
      <c r="D5989" s="704" t="s">
        <v>562</v>
      </c>
      <c r="E5989" s="704" t="s">
        <v>448</v>
      </c>
      <c r="F5989" s="705">
        <v>6.2273813898424974E-3</v>
      </c>
      <c r="G5989" s="705">
        <v>8.5405242930944851</v>
      </c>
    </row>
    <row r="5990" spans="2:7" ht="11.25" hidden="1" customHeight="1" outlineLevel="2" x14ac:dyDescent="0.25">
      <c r="B5990" s="704" t="s">
        <v>687</v>
      </c>
      <c r="C5990" s="704" t="s">
        <v>811</v>
      </c>
      <c r="D5990" s="704" t="s">
        <v>562</v>
      </c>
      <c r="E5990" s="704" t="s">
        <v>448</v>
      </c>
      <c r="F5990" s="705">
        <v>3.9843379563300828E-2</v>
      </c>
      <c r="G5990" s="705">
        <v>54.903380383993714</v>
      </c>
    </row>
    <row r="5991" spans="2:7" ht="11.25" hidden="1" customHeight="1" outlineLevel="2" x14ac:dyDescent="0.25">
      <c r="B5991" s="704" t="s">
        <v>688</v>
      </c>
      <c r="C5991" s="704" t="s">
        <v>811</v>
      </c>
      <c r="D5991" s="704" t="s">
        <v>562</v>
      </c>
      <c r="E5991" s="704" t="s">
        <v>448</v>
      </c>
      <c r="F5991" s="705">
        <v>0.10589484503523743</v>
      </c>
      <c r="G5991" s="705">
        <v>145.92091777535475</v>
      </c>
    </row>
    <row r="5992" spans="2:7" ht="11.25" hidden="1" customHeight="1" outlineLevel="2" x14ac:dyDescent="0.25">
      <c r="B5992" s="704" t="s">
        <v>689</v>
      </c>
      <c r="C5992" s="704" t="s">
        <v>811</v>
      </c>
      <c r="D5992" s="704" t="s">
        <v>562</v>
      </c>
      <c r="E5992" s="704" t="s">
        <v>448</v>
      </c>
      <c r="F5992" s="705">
        <v>6.566916609476457E-3</v>
      </c>
      <c r="G5992" s="705">
        <v>9.0340883773261424</v>
      </c>
    </row>
    <row r="5993" spans="2:7" ht="11.25" hidden="1" customHeight="1" outlineLevel="2" x14ac:dyDescent="0.25">
      <c r="B5993" s="704" t="s">
        <v>690</v>
      </c>
      <c r="C5993" s="704" t="s">
        <v>811</v>
      </c>
      <c r="D5993" s="704" t="s">
        <v>562</v>
      </c>
      <c r="E5993" s="704" t="s">
        <v>448</v>
      </c>
      <c r="F5993" s="705">
        <v>0.15523835936171626</v>
      </c>
      <c r="G5993" s="705">
        <v>214.97737739323549</v>
      </c>
    </row>
    <row r="5994" spans="2:7" ht="11.25" hidden="1" customHeight="1" outlineLevel="2" x14ac:dyDescent="0.25">
      <c r="B5994" s="704" t="s">
        <v>691</v>
      </c>
      <c r="C5994" s="704" t="s">
        <v>811</v>
      </c>
      <c r="D5994" s="704" t="s">
        <v>562</v>
      </c>
      <c r="E5994" s="704" t="s">
        <v>448</v>
      </c>
      <c r="F5994" s="705">
        <v>0.11858730079874923</v>
      </c>
      <c r="G5994" s="705">
        <v>164.22215945919541</v>
      </c>
    </row>
    <row r="5995" spans="2:7" ht="11.25" hidden="1" customHeight="1" outlineLevel="2" x14ac:dyDescent="0.25">
      <c r="B5995" s="704" t="s">
        <v>692</v>
      </c>
      <c r="C5995" s="704" t="s">
        <v>811</v>
      </c>
      <c r="D5995" s="704" t="s">
        <v>562</v>
      </c>
      <c r="E5995" s="704" t="s">
        <v>448</v>
      </c>
      <c r="F5995" s="705">
        <v>1.3989451211373211E-2</v>
      </c>
      <c r="G5995" s="705">
        <v>19.277202222636564</v>
      </c>
    </row>
    <row r="5996" spans="2:7" ht="11.25" hidden="1" customHeight="1" outlineLevel="2" x14ac:dyDescent="0.25">
      <c r="B5996" s="704" t="s">
        <v>693</v>
      </c>
      <c r="C5996" s="704" t="s">
        <v>811</v>
      </c>
      <c r="D5996" s="704" t="s">
        <v>562</v>
      </c>
      <c r="E5996" s="704" t="s">
        <v>448</v>
      </c>
      <c r="F5996" s="705">
        <v>6.3366638853253072E-3</v>
      </c>
      <c r="G5996" s="705">
        <v>8.7845364724666837</v>
      </c>
    </row>
    <row r="5997" spans="2:7" ht="11.25" hidden="1" customHeight="1" outlineLevel="2" x14ac:dyDescent="0.25">
      <c r="B5997" s="704" t="s">
        <v>694</v>
      </c>
      <c r="C5997" s="704" t="s">
        <v>811</v>
      </c>
      <c r="D5997" s="704" t="s">
        <v>562</v>
      </c>
      <c r="E5997" s="704" t="s">
        <v>448</v>
      </c>
      <c r="F5997" s="705">
        <v>2.6402760360310527E-3</v>
      </c>
      <c r="G5997" s="705">
        <v>3.6602271369017094</v>
      </c>
    </row>
    <row r="5998" spans="2:7" ht="11.25" hidden="1" customHeight="1" outlineLevel="2" x14ac:dyDescent="0.25">
      <c r="B5998" s="704" t="s">
        <v>695</v>
      </c>
      <c r="C5998" s="704" t="s">
        <v>811</v>
      </c>
      <c r="D5998" s="704" t="s">
        <v>562</v>
      </c>
      <c r="E5998" s="704" t="s">
        <v>448</v>
      </c>
      <c r="F5998" s="705">
        <v>1.1793231427693214E-2</v>
      </c>
      <c r="G5998" s="705">
        <v>16.349008527257443</v>
      </c>
    </row>
    <row r="5999" spans="2:7" ht="11.25" hidden="1" customHeight="1" outlineLevel="2" x14ac:dyDescent="0.25">
      <c r="B5999" s="704" t="s">
        <v>696</v>
      </c>
      <c r="C5999" s="704" t="s">
        <v>811</v>
      </c>
      <c r="D5999" s="704" t="s">
        <v>562</v>
      </c>
      <c r="E5999" s="704" t="s">
        <v>448</v>
      </c>
      <c r="F5999" s="705">
        <v>2.8867518778119786E-2</v>
      </c>
      <c r="G5999" s="705">
        <v>36.846251604707561</v>
      </c>
    </row>
    <row r="6000" spans="2:7" ht="11.25" hidden="1" customHeight="1" outlineLevel="2" x14ac:dyDescent="0.25">
      <c r="B6000" s="704" t="s">
        <v>697</v>
      </c>
      <c r="C6000" s="704" t="s">
        <v>811</v>
      </c>
      <c r="D6000" s="704" t="s">
        <v>562</v>
      </c>
      <c r="E6000" s="704" t="s">
        <v>448</v>
      </c>
      <c r="F6000" s="705">
        <v>2.3058406444197398E-2</v>
      </c>
      <c r="G6000" s="705">
        <v>31.965955225755881</v>
      </c>
    </row>
    <row r="6001" spans="2:7" ht="11.25" hidden="1" customHeight="1" outlineLevel="2" x14ac:dyDescent="0.25">
      <c r="B6001" s="704" t="s">
        <v>698</v>
      </c>
      <c r="C6001" s="704" t="s">
        <v>811</v>
      </c>
      <c r="D6001" s="704" t="s">
        <v>562</v>
      </c>
      <c r="E6001" s="704" t="s">
        <v>448</v>
      </c>
      <c r="F6001" s="705">
        <v>1.4433512177440563E-2</v>
      </c>
      <c r="G6001" s="705">
        <v>20.009223602078375</v>
      </c>
    </row>
    <row r="6002" spans="2:7" ht="11.25" hidden="1" customHeight="1" outlineLevel="2" x14ac:dyDescent="0.25">
      <c r="B6002" s="704" t="s">
        <v>699</v>
      </c>
      <c r="C6002" s="704" t="s">
        <v>811</v>
      </c>
      <c r="D6002" s="704" t="s">
        <v>562</v>
      </c>
      <c r="E6002" s="704" t="s">
        <v>448</v>
      </c>
      <c r="F6002" s="705">
        <v>0.11262397568025019</v>
      </c>
      <c r="G6002" s="705">
        <v>155.19359822644017</v>
      </c>
    </row>
    <row r="6003" spans="2:7" ht="11.25" hidden="1" customHeight="1" outlineLevel="2" x14ac:dyDescent="0.25">
      <c r="B6003" s="704" t="s">
        <v>673</v>
      </c>
      <c r="C6003" s="704" t="s">
        <v>848</v>
      </c>
      <c r="D6003" s="704" t="s">
        <v>562</v>
      </c>
      <c r="E6003" s="704" t="s">
        <v>824</v>
      </c>
      <c r="F6003" s="705">
        <v>3.6384345763566771E-2</v>
      </c>
      <c r="G6003" s="705">
        <v>100.02805363405341</v>
      </c>
    </row>
    <row r="6004" spans="2:7" ht="11.25" hidden="1" customHeight="1" outlineLevel="2" x14ac:dyDescent="0.25">
      <c r="B6004" s="704" t="s">
        <v>677</v>
      </c>
      <c r="C6004" s="704" t="s">
        <v>848</v>
      </c>
      <c r="D6004" s="704" t="s">
        <v>562</v>
      </c>
      <c r="E6004" s="704" t="s">
        <v>824</v>
      </c>
      <c r="F6004" s="705">
        <v>0.36888139860577845</v>
      </c>
      <c r="G6004" s="705">
        <v>1014.1306600621522</v>
      </c>
    </row>
    <row r="6005" spans="2:7" ht="11.25" hidden="1" customHeight="1" outlineLevel="2" x14ac:dyDescent="0.25">
      <c r="B6005" s="704" t="s">
        <v>678</v>
      </c>
      <c r="C6005" s="704" t="s">
        <v>848</v>
      </c>
      <c r="D6005" s="704" t="s">
        <v>562</v>
      </c>
      <c r="E6005" s="704" t="s">
        <v>824</v>
      </c>
      <c r="F6005" s="705">
        <v>0.56423763009244987</v>
      </c>
      <c r="G6005" s="705">
        <v>1551.2045324630681</v>
      </c>
    </row>
    <row r="6006" spans="2:7" ht="11.25" hidden="1" customHeight="1" outlineLevel="2" x14ac:dyDescent="0.25">
      <c r="B6006" s="704" t="s">
        <v>679</v>
      </c>
      <c r="C6006" s="704" t="s">
        <v>848</v>
      </c>
      <c r="D6006" s="704" t="s">
        <v>562</v>
      </c>
      <c r="E6006" s="704" t="s">
        <v>824</v>
      </c>
      <c r="F6006" s="705">
        <v>2.0711105499173436E-2</v>
      </c>
      <c r="G6006" s="705">
        <v>56.939053722583722</v>
      </c>
    </row>
    <row r="6007" spans="2:7" ht="11.25" hidden="1" customHeight="1" outlineLevel="2" x14ac:dyDescent="0.25">
      <c r="B6007" s="704" t="s">
        <v>680</v>
      </c>
      <c r="C6007" s="704" t="s">
        <v>848</v>
      </c>
      <c r="D6007" s="704" t="s">
        <v>562</v>
      </c>
      <c r="E6007" s="704" t="s">
        <v>824</v>
      </c>
      <c r="F6007" s="705">
        <v>1.4553745318781888E-2</v>
      </c>
      <c r="G6007" s="705">
        <v>40.011209914967608</v>
      </c>
    </row>
    <row r="6008" spans="2:7" ht="11.25" hidden="1" customHeight="1" outlineLevel="2" x14ac:dyDescent="0.25">
      <c r="B6008" s="704" t="s">
        <v>681</v>
      </c>
      <c r="C6008" s="704" t="s">
        <v>848</v>
      </c>
      <c r="D6008" s="704" t="s">
        <v>562</v>
      </c>
      <c r="E6008" s="704" t="s">
        <v>824</v>
      </c>
      <c r="F6008" s="705">
        <v>9.2920050415449526E-2</v>
      </c>
      <c r="G6008" s="705">
        <v>255.45624991930327</v>
      </c>
    </row>
    <row r="6009" spans="2:7" ht="11.25" hidden="1" customHeight="1" outlineLevel="2" x14ac:dyDescent="0.25">
      <c r="B6009" s="704" t="s">
        <v>682</v>
      </c>
      <c r="C6009" s="704" t="s">
        <v>848</v>
      </c>
      <c r="D6009" s="704" t="s">
        <v>562</v>
      </c>
      <c r="E6009" s="704" t="s">
        <v>824</v>
      </c>
      <c r="F6009" s="705">
        <v>3.5824613663857634E-2</v>
      </c>
      <c r="G6009" s="705">
        <v>98.489164482617952</v>
      </c>
    </row>
    <row r="6010" spans="2:7" ht="11.25" hidden="1" customHeight="1" outlineLevel="2" x14ac:dyDescent="0.25">
      <c r="B6010" s="704" t="s">
        <v>683</v>
      </c>
      <c r="C6010" s="704" t="s">
        <v>848</v>
      </c>
      <c r="D6010" s="704" t="s">
        <v>562</v>
      </c>
      <c r="E6010" s="704" t="s">
        <v>824</v>
      </c>
      <c r="F6010" s="705">
        <v>4.254172054770132E-2</v>
      </c>
      <c r="G6010" s="705">
        <v>116.95588002359445</v>
      </c>
    </row>
    <row r="6011" spans="2:7" ht="11.25" hidden="1" customHeight="1" outlineLevel="2" x14ac:dyDescent="0.25">
      <c r="B6011" s="704" t="s">
        <v>684</v>
      </c>
      <c r="C6011" s="704" t="s">
        <v>848</v>
      </c>
      <c r="D6011" s="704" t="s">
        <v>562</v>
      </c>
      <c r="E6011" s="704" t="s">
        <v>824</v>
      </c>
      <c r="F6011" s="705">
        <v>2.6308709422878548E-2</v>
      </c>
      <c r="G6011" s="705">
        <v>72.327962091847823</v>
      </c>
    </row>
    <row r="6012" spans="2:7" ht="11.25" hidden="1" customHeight="1" outlineLevel="2" x14ac:dyDescent="0.25">
      <c r="B6012" s="704" t="s">
        <v>685</v>
      </c>
      <c r="C6012" s="704" t="s">
        <v>848</v>
      </c>
      <c r="D6012" s="704" t="s">
        <v>562</v>
      </c>
      <c r="E6012" s="704" t="s">
        <v>824</v>
      </c>
      <c r="F6012" s="705">
        <v>0.13098369234738819</v>
      </c>
      <c r="G6012" s="705">
        <v>360.10105081448398</v>
      </c>
    </row>
    <row r="6013" spans="2:7" ht="11.25" hidden="1" customHeight="1" outlineLevel="2" x14ac:dyDescent="0.25">
      <c r="B6013" s="704" t="s">
        <v>686</v>
      </c>
      <c r="C6013" s="704" t="s">
        <v>848</v>
      </c>
      <c r="D6013" s="704" t="s">
        <v>562</v>
      </c>
      <c r="E6013" s="704" t="s">
        <v>824</v>
      </c>
      <c r="F6013" s="705">
        <v>1.9591568265605448E-2</v>
      </c>
      <c r="G6013" s="705">
        <v>53.861272720595693</v>
      </c>
    </row>
    <row r="6014" spans="2:7" ht="11.25" hidden="1" customHeight="1" outlineLevel="2" x14ac:dyDescent="0.25">
      <c r="B6014" s="704" t="s">
        <v>687</v>
      </c>
      <c r="C6014" s="704" t="s">
        <v>848</v>
      </c>
      <c r="D6014" s="704" t="s">
        <v>562</v>
      </c>
      <c r="E6014" s="704" t="s">
        <v>824</v>
      </c>
      <c r="F6014" s="705">
        <v>0.12594586760984561</v>
      </c>
      <c r="G6014" s="705">
        <v>346.25099284528926</v>
      </c>
    </row>
    <row r="6015" spans="2:7" ht="11.25" hidden="1" customHeight="1" outlineLevel="2" x14ac:dyDescent="0.25">
      <c r="B6015" s="704" t="s">
        <v>688</v>
      </c>
      <c r="C6015" s="704" t="s">
        <v>848</v>
      </c>
      <c r="D6015" s="704" t="s">
        <v>562</v>
      </c>
      <c r="E6015" s="704" t="s">
        <v>824</v>
      </c>
      <c r="F6015" s="705">
        <v>0.33473606048260102</v>
      </c>
      <c r="G6015" s="705">
        <v>920.25825443787141</v>
      </c>
    </row>
    <row r="6016" spans="2:7" ht="11.25" hidden="1" customHeight="1" outlineLevel="2" x14ac:dyDescent="0.25">
      <c r="B6016" s="704" t="s">
        <v>689</v>
      </c>
      <c r="C6016" s="704" t="s">
        <v>848</v>
      </c>
      <c r="D6016" s="704" t="s">
        <v>562</v>
      </c>
      <c r="E6016" s="704" t="s">
        <v>824</v>
      </c>
      <c r="F6016" s="705">
        <v>2.0723793907664347E-2</v>
      </c>
      <c r="G6016" s="705">
        <v>56.97393433347353</v>
      </c>
    </row>
    <row r="6017" spans="2:7" ht="11.25" hidden="1" customHeight="1" outlineLevel="2" x14ac:dyDescent="0.25">
      <c r="B6017" s="704" t="s">
        <v>690</v>
      </c>
      <c r="C6017" s="704" t="s">
        <v>848</v>
      </c>
      <c r="D6017" s="704" t="s">
        <v>562</v>
      </c>
      <c r="E6017" s="704" t="s">
        <v>824</v>
      </c>
      <c r="F6017" s="705">
        <v>0.49314833898858085</v>
      </c>
      <c r="G6017" s="705">
        <v>1355.7645752086828</v>
      </c>
    </row>
    <row r="6018" spans="2:7" ht="11.25" hidden="1" customHeight="1" outlineLevel="2" x14ac:dyDescent="0.25">
      <c r="B6018" s="704" t="s">
        <v>691</v>
      </c>
      <c r="C6018" s="704" t="s">
        <v>848</v>
      </c>
      <c r="D6018" s="704" t="s">
        <v>562</v>
      </c>
      <c r="E6018" s="704" t="s">
        <v>824</v>
      </c>
      <c r="F6018" s="705">
        <v>0.37671817912642153</v>
      </c>
      <c r="G6018" s="705">
        <v>1035.6750464783363</v>
      </c>
    </row>
    <row r="6019" spans="2:7" ht="11.25" hidden="1" customHeight="1" outlineLevel="2" x14ac:dyDescent="0.25">
      <c r="B6019" s="704" t="s">
        <v>692</v>
      </c>
      <c r="C6019" s="704" t="s">
        <v>848</v>
      </c>
      <c r="D6019" s="704" t="s">
        <v>562</v>
      </c>
      <c r="E6019" s="704" t="s">
        <v>824</v>
      </c>
      <c r="F6019" s="705">
        <v>4.4220978668541813E-2</v>
      </c>
      <c r="G6019" s="705">
        <v>121.57258981697566</v>
      </c>
    </row>
    <row r="6020" spans="2:7" ht="11.25" hidden="1" customHeight="1" outlineLevel="2" x14ac:dyDescent="0.25">
      <c r="B6020" s="704" t="s">
        <v>693</v>
      </c>
      <c r="C6020" s="704" t="s">
        <v>848</v>
      </c>
      <c r="D6020" s="704" t="s">
        <v>562</v>
      </c>
      <c r="E6020" s="704" t="s">
        <v>824</v>
      </c>
      <c r="F6020" s="705">
        <v>2.0151327485214001E-2</v>
      </c>
      <c r="G6020" s="705">
        <v>55.4001698586885</v>
      </c>
    </row>
    <row r="6021" spans="2:7" ht="11.25" hidden="1" customHeight="1" outlineLevel="2" x14ac:dyDescent="0.25">
      <c r="B6021" s="704" t="s">
        <v>694</v>
      </c>
      <c r="C6021" s="704" t="s">
        <v>848</v>
      </c>
      <c r="D6021" s="704" t="s">
        <v>562</v>
      </c>
      <c r="E6021" s="704" t="s">
        <v>824</v>
      </c>
      <c r="F6021" s="705">
        <v>8.3963916579327495E-3</v>
      </c>
      <c r="G6021" s="705">
        <v>23.083395945186712</v>
      </c>
    </row>
    <row r="6022" spans="2:7" ht="11.25" hidden="1" customHeight="1" outlineLevel="2" x14ac:dyDescent="0.25">
      <c r="B6022" s="704" t="s">
        <v>695</v>
      </c>
      <c r="C6022" s="704" t="s">
        <v>848</v>
      </c>
      <c r="D6022" s="704" t="s">
        <v>562</v>
      </c>
      <c r="E6022" s="704" t="s">
        <v>824</v>
      </c>
      <c r="F6022" s="705">
        <v>3.7503867800615341E-2</v>
      </c>
      <c r="G6022" s="705">
        <v>103.10582481057411</v>
      </c>
    </row>
    <row r="6023" spans="2:7" ht="11.25" hidden="1" customHeight="1" outlineLevel="2" x14ac:dyDescent="0.25">
      <c r="B6023" s="704" t="s">
        <v>696</v>
      </c>
      <c r="C6023" s="704" t="s">
        <v>848</v>
      </c>
      <c r="D6023" s="704" t="s">
        <v>562</v>
      </c>
      <c r="E6023" s="704" t="s">
        <v>824</v>
      </c>
      <c r="F6023" s="705">
        <v>8.4523655447193355E-2</v>
      </c>
      <c r="G6023" s="705">
        <v>232.37286231548134</v>
      </c>
    </row>
    <row r="6024" spans="2:7" ht="11.25" hidden="1" customHeight="1" outlineLevel="2" x14ac:dyDescent="0.25">
      <c r="B6024" s="704" t="s">
        <v>697</v>
      </c>
      <c r="C6024" s="704" t="s">
        <v>848</v>
      </c>
      <c r="D6024" s="704" t="s">
        <v>562</v>
      </c>
      <c r="E6024" s="704" t="s">
        <v>824</v>
      </c>
      <c r="F6024" s="705">
        <v>7.3328489510338019E-2</v>
      </c>
      <c r="G6024" s="705">
        <v>201.59500627913744</v>
      </c>
    </row>
    <row r="6025" spans="2:7" ht="11.25" hidden="1" customHeight="1" outlineLevel="2" x14ac:dyDescent="0.25">
      <c r="B6025" s="704" t="s">
        <v>698</v>
      </c>
      <c r="C6025" s="704" t="s">
        <v>848</v>
      </c>
      <c r="D6025" s="704" t="s">
        <v>562</v>
      </c>
      <c r="E6025" s="704" t="s">
        <v>824</v>
      </c>
      <c r="F6025" s="705">
        <v>4.5900270086638446E-2</v>
      </c>
      <c r="G6025" s="705">
        <v>126.18924529489709</v>
      </c>
    </row>
    <row r="6026" spans="2:7" ht="11.25" hidden="1" customHeight="1" outlineLevel="2" x14ac:dyDescent="0.25">
      <c r="B6026" s="704" t="s">
        <v>699</v>
      </c>
      <c r="C6026" s="704" t="s">
        <v>848</v>
      </c>
      <c r="D6026" s="704" t="s">
        <v>562</v>
      </c>
      <c r="E6026" s="704" t="s">
        <v>824</v>
      </c>
      <c r="F6026" s="705">
        <v>0.35600685864437548</v>
      </c>
      <c r="G6026" s="705">
        <v>978.73633851137288</v>
      </c>
    </row>
    <row r="6027" spans="2:7" ht="11.25" hidden="1" customHeight="1" outlineLevel="2" x14ac:dyDescent="0.25">
      <c r="B6027" s="704" t="s">
        <v>673</v>
      </c>
      <c r="C6027" s="704" t="s">
        <v>849</v>
      </c>
      <c r="D6027" s="704" t="s">
        <v>562</v>
      </c>
      <c r="E6027" s="704" t="s">
        <v>824</v>
      </c>
      <c r="F6027" s="705">
        <v>5.2826159052379472E-3</v>
      </c>
      <c r="G6027" s="705">
        <v>22.279737619328749</v>
      </c>
    </row>
    <row r="6028" spans="2:7" ht="11.25" hidden="1" customHeight="1" outlineLevel="2" x14ac:dyDescent="0.25">
      <c r="B6028" s="704" t="s">
        <v>677</v>
      </c>
      <c r="C6028" s="704" t="s">
        <v>849</v>
      </c>
      <c r="D6028" s="704" t="s">
        <v>562</v>
      </c>
      <c r="E6028" s="704" t="s">
        <v>824</v>
      </c>
      <c r="F6028" s="706">
        <v>5.3557592745492585E-2</v>
      </c>
      <c r="G6028" s="705">
        <v>225.8820426583093</v>
      </c>
    </row>
    <row r="6029" spans="2:7" ht="11.25" hidden="1" customHeight="1" outlineLevel="2" x14ac:dyDescent="0.25">
      <c r="B6029" s="704" t="s">
        <v>678</v>
      </c>
      <c r="C6029" s="704" t="s">
        <v>849</v>
      </c>
      <c r="D6029" s="704" t="s">
        <v>562</v>
      </c>
      <c r="E6029" s="704" t="s">
        <v>824</v>
      </c>
      <c r="F6029" s="706">
        <v>8.1921207419282785E-2</v>
      </c>
      <c r="G6029" s="705">
        <v>345.50706750717495</v>
      </c>
    </row>
    <row r="6030" spans="2:7" ht="11.25" hidden="1" customHeight="1" outlineLevel="2" x14ac:dyDescent="0.25">
      <c r="B6030" s="704" t="s">
        <v>679</v>
      </c>
      <c r="C6030" s="704" t="s">
        <v>849</v>
      </c>
      <c r="D6030" s="704" t="s">
        <v>562</v>
      </c>
      <c r="E6030" s="704" t="s">
        <v>824</v>
      </c>
      <c r="F6030" s="706">
        <v>3.0070277089293339E-3</v>
      </c>
      <c r="G6030" s="705">
        <v>12.682313951704058</v>
      </c>
    </row>
    <row r="6031" spans="2:7" ht="11.25" hidden="1" customHeight="1" outlineLevel="2" x14ac:dyDescent="0.25">
      <c r="B6031" s="704" t="s">
        <v>680</v>
      </c>
      <c r="C6031" s="704" t="s">
        <v>849</v>
      </c>
      <c r="D6031" s="704" t="s">
        <v>562</v>
      </c>
      <c r="E6031" s="704" t="s">
        <v>824</v>
      </c>
      <c r="F6031" s="706">
        <v>2.1130471702491172E-3</v>
      </c>
      <c r="G6031" s="705">
        <v>8.9118919024822016</v>
      </c>
    </row>
    <row r="6032" spans="2:7" ht="11.25" hidden="1" customHeight="1" outlineLevel="2" x14ac:dyDescent="0.25">
      <c r="B6032" s="704" t="s">
        <v>681</v>
      </c>
      <c r="C6032" s="704" t="s">
        <v>849</v>
      </c>
      <c r="D6032" s="704" t="s">
        <v>562</v>
      </c>
      <c r="E6032" s="704" t="s">
        <v>824</v>
      </c>
      <c r="F6032" s="706">
        <v>1.3490991423886631E-2</v>
      </c>
      <c r="G6032" s="705">
        <v>56.899007257791723</v>
      </c>
    </row>
    <row r="6033" spans="2:7" ht="11.25" hidden="1" customHeight="1" outlineLevel="2" x14ac:dyDescent="0.25">
      <c r="B6033" s="704" t="s">
        <v>682</v>
      </c>
      <c r="C6033" s="704" t="s">
        <v>849</v>
      </c>
      <c r="D6033" s="704" t="s">
        <v>562</v>
      </c>
      <c r="E6033" s="704" t="s">
        <v>824</v>
      </c>
      <c r="F6033" s="706">
        <v>5.2013488495035688E-3</v>
      </c>
      <c r="G6033" s="705">
        <v>21.936985538788534</v>
      </c>
    </row>
    <row r="6034" spans="2:7" ht="11.25" hidden="1" customHeight="1" outlineLevel="2" x14ac:dyDescent="0.25">
      <c r="B6034" s="704" t="s">
        <v>683</v>
      </c>
      <c r="C6034" s="704" t="s">
        <v>849</v>
      </c>
      <c r="D6034" s="704" t="s">
        <v>562</v>
      </c>
      <c r="E6034" s="704" t="s">
        <v>824</v>
      </c>
      <c r="F6034" s="706">
        <v>6.1766014019330219E-3</v>
      </c>
      <c r="G6034" s="705">
        <v>26.050135857066277</v>
      </c>
    </row>
    <row r="6035" spans="2:7" ht="11.25" hidden="1" customHeight="1" outlineLevel="2" x14ac:dyDescent="0.25">
      <c r="B6035" s="704" t="s">
        <v>684</v>
      </c>
      <c r="C6035" s="704" t="s">
        <v>849</v>
      </c>
      <c r="D6035" s="704" t="s">
        <v>562</v>
      </c>
      <c r="E6035" s="704" t="s">
        <v>824</v>
      </c>
      <c r="F6035" s="706">
        <v>3.8197387245930015E-3</v>
      </c>
      <c r="G6035" s="705">
        <v>16.109958528361226</v>
      </c>
    </row>
    <row r="6036" spans="2:7" ht="11.25" hidden="1" customHeight="1" outlineLevel="2" x14ac:dyDescent="0.25">
      <c r="B6036" s="704" t="s">
        <v>685</v>
      </c>
      <c r="C6036" s="704" t="s">
        <v>849</v>
      </c>
      <c r="D6036" s="704" t="s">
        <v>562</v>
      </c>
      <c r="E6036" s="704" t="s">
        <v>824</v>
      </c>
      <c r="F6036" s="706">
        <v>1.9017429874520476E-2</v>
      </c>
      <c r="G6036" s="705">
        <v>80.207008365566054</v>
      </c>
    </row>
    <row r="6037" spans="2:7" ht="11.25" hidden="1" customHeight="1" outlineLevel="2" x14ac:dyDescent="0.25">
      <c r="B6037" s="704" t="s">
        <v>686</v>
      </c>
      <c r="C6037" s="704" t="s">
        <v>849</v>
      </c>
      <c r="D6037" s="704" t="s">
        <v>562</v>
      </c>
      <c r="E6037" s="704" t="s">
        <v>824</v>
      </c>
      <c r="F6037" s="706">
        <v>2.8444862441340305E-3</v>
      </c>
      <c r="G6037" s="705">
        <v>11.996764677313619</v>
      </c>
    </row>
    <row r="6038" spans="2:7" ht="11.25" hidden="1" customHeight="1" outlineLevel="2" x14ac:dyDescent="0.25">
      <c r="B6038" s="704" t="s">
        <v>687</v>
      </c>
      <c r="C6038" s="704" t="s">
        <v>849</v>
      </c>
      <c r="D6038" s="704" t="s">
        <v>562</v>
      </c>
      <c r="E6038" s="704" t="s">
        <v>824</v>
      </c>
      <c r="F6038" s="706">
        <v>1.8285988177867463E-2</v>
      </c>
      <c r="G6038" s="705">
        <v>77.12215228113547</v>
      </c>
    </row>
    <row r="6039" spans="2:7" ht="11.25" hidden="1" customHeight="1" outlineLevel="2" x14ac:dyDescent="0.25">
      <c r="B6039" s="704" t="s">
        <v>688</v>
      </c>
      <c r="C6039" s="704" t="s">
        <v>849</v>
      </c>
      <c r="D6039" s="704" t="s">
        <v>562</v>
      </c>
      <c r="E6039" s="704" t="s">
        <v>824</v>
      </c>
      <c r="F6039" s="706">
        <v>4.8600102456009361E-2</v>
      </c>
      <c r="G6039" s="705">
        <v>204.97350177503944</v>
      </c>
    </row>
    <row r="6040" spans="2:7" ht="11.25" hidden="1" customHeight="1" outlineLevel="2" x14ac:dyDescent="0.25">
      <c r="B6040" s="704" t="s">
        <v>689</v>
      </c>
      <c r="C6040" s="704" t="s">
        <v>849</v>
      </c>
      <c r="D6040" s="704" t="s">
        <v>562</v>
      </c>
      <c r="E6040" s="704" t="s">
        <v>824</v>
      </c>
      <c r="F6040" s="706">
        <v>3.0088713522519964E-3</v>
      </c>
      <c r="G6040" s="705">
        <v>12.690075819586045</v>
      </c>
    </row>
    <row r="6041" spans="2:7" ht="11.25" hidden="1" customHeight="1" outlineLevel="2" x14ac:dyDescent="0.25">
      <c r="B6041" s="704" t="s">
        <v>690</v>
      </c>
      <c r="C6041" s="704" t="s">
        <v>849</v>
      </c>
      <c r="D6041" s="704" t="s">
        <v>562</v>
      </c>
      <c r="E6041" s="704" t="s">
        <v>824</v>
      </c>
      <c r="F6041" s="706">
        <v>7.1599807122564599E-2</v>
      </c>
      <c r="G6041" s="705">
        <v>301.97601047400155</v>
      </c>
    </row>
    <row r="6042" spans="2:7" ht="11.25" hidden="1" customHeight="1" outlineLevel="2" x14ac:dyDescent="0.25">
      <c r="B6042" s="704" t="s">
        <v>691</v>
      </c>
      <c r="C6042" s="704" t="s">
        <v>849</v>
      </c>
      <c r="D6042" s="704" t="s">
        <v>562</v>
      </c>
      <c r="E6042" s="704" t="s">
        <v>824</v>
      </c>
      <c r="F6042" s="706">
        <v>5.4695411285579656E-2</v>
      </c>
      <c r="G6042" s="705">
        <v>230.68085301253305</v>
      </c>
    </row>
    <row r="6043" spans="2:7" ht="11.25" hidden="1" customHeight="1" outlineLevel="2" x14ac:dyDescent="0.25">
      <c r="B6043" s="704" t="s">
        <v>692</v>
      </c>
      <c r="C6043" s="704" t="s">
        <v>849</v>
      </c>
      <c r="D6043" s="704" t="s">
        <v>562</v>
      </c>
      <c r="E6043" s="704" t="s">
        <v>824</v>
      </c>
      <c r="F6043" s="706">
        <v>6.4204122836250856E-3</v>
      </c>
      <c r="G6043" s="705">
        <v>27.07844479771374</v>
      </c>
    </row>
    <row r="6044" spans="2:7" ht="11.25" hidden="1" customHeight="1" outlineLevel="2" x14ac:dyDescent="0.25">
      <c r="B6044" s="704" t="s">
        <v>693</v>
      </c>
      <c r="C6044" s="704" t="s">
        <v>849</v>
      </c>
      <c r="D6044" s="704" t="s">
        <v>562</v>
      </c>
      <c r="E6044" s="704" t="s">
        <v>824</v>
      </c>
      <c r="F6044" s="706">
        <v>2.9257580851434297E-3</v>
      </c>
      <c r="G6044" s="705">
        <v>12.339536683638533</v>
      </c>
    </row>
    <row r="6045" spans="2:7" ht="11.25" hidden="1" customHeight="1" outlineLevel="2" x14ac:dyDescent="0.25">
      <c r="B6045" s="704" t="s">
        <v>694</v>
      </c>
      <c r="C6045" s="704" t="s">
        <v>849</v>
      </c>
      <c r="D6045" s="704" t="s">
        <v>562</v>
      </c>
      <c r="E6045" s="704" t="s">
        <v>824</v>
      </c>
      <c r="F6045" s="706">
        <v>1.219064613819287E-3</v>
      </c>
      <c r="G6045" s="705">
        <v>5.141476151490683</v>
      </c>
    </row>
    <row r="6046" spans="2:7" ht="11.25" hidden="1" customHeight="1" outlineLevel="2" x14ac:dyDescent="0.25">
      <c r="B6046" s="704" t="s">
        <v>695</v>
      </c>
      <c r="C6046" s="704" t="s">
        <v>849</v>
      </c>
      <c r="D6046" s="704" t="s">
        <v>562</v>
      </c>
      <c r="E6046" s="704" t="s">
        <v>824</v>
      </c>
      <c r="F6046" s="706">
        <v>5.4451602495098712E-3</v>
      </c>
      <c r="G6046" s="705">
        <v>22.965261052412146</v>
      </c>
    </row>
    <row r="6047" spans="2:7" ht="11.25" hidden="1" customHeight="1" outlineLevel="2" x14ac:dyDescent="0.25">
      <c r="B6047" s="704" t="s">
        <v>696</v>
      </c>
      <c r="C6047" s="704" t="s">
        <v>849</v>
      </c>
      <c r="D6047" s="704" t="s">
        <v>562</v>
      </c>
      <c r="E6047" s="704" t="s">
        <v>824</v>
      </c>
      <c r="F6047" s="706">
        <v>1.2271918174877128E-2</v>
      </c>
      <c r="G6047" s="705">
        <v>51.75753682288606</v>
      </c>
    </row>
    <row r="6048" spans="2:7" ht="11.25" hidden="1" customHeight="1" outlineLevel="2" x14ac:dyDescent="0.25">
      <c r="B6048" s="704" t="s">
        <v>697</v>
      </c>
      <c r="C6048" s="704" t="s">
        <v>849</v>
      </c>
      <c r="D6048" s="704" t="s">
        <v>562</v>
      </c>
      <c r="E6048" s="704" t="s">
        <v>824</v>
      </c>
      <c r="F6048" s="706">
        <v>1.06465150052929E-2</v>
      </c>
      <c r="G6048" s="705">
        <v>44.902228597148998</v>
      </c>
    </row>
    <row r="6049" spans="2:7" ht="11.25" hidden="1" customHeight="1" outlineLevel="2" x14ac:dyDescent="0.25">
      <c r="B6049" s="704" t="s">
        <v>698</v>
      </c>
      <c r="C6049" s="704" t="s">
        <v>849</v>
      </c>
      <c r="D6049" s="704" t="s">
        <v>562</v>
      </c>
      <c r="E6049" s="704" t="s">
        <v>824</v>
      </c>
      <c r="F6049" s="706">
        <v>6.664224954197418E-3</v>
      </c>
      <c r="G6049" s="705">
        <v>28.106729435282233</v>
      </c>
    </row>
    <row r="6050" spans="2:7" ht="11.25" hidden="1" customHeight="1" outlineLevel="2" x14ac:dyDescent="0.25">
      <c r="B6050" s="704" t="s">
        <v>699</v>
      </c>
      <c r="C6050" s="704" t="s">
        <v>849</v>
      </c>
      <c r="D6050" s="704" t="s">
        <v>562</v>
      </c>
      <c r="E6050" s="704" t="s">
        <v>824</v>
      </c>
      <c r="F6050" s="706">
        <v>5.1688382856910568E-2</v>
      </c>
      <c r="G6050" s="705">
        <v>217.9985297460419</v>
      </c>
    </row>
    <row r="6051" spans="2:7" ht="11.25" hidden="1" customHeight="1" outlineLevel="2" x14ac:dyDescent="0.25">
      <c r="B6051" s="704" t="s">
        <v>673</v>
      </c>
      <c r="C6051" s="704" t="s">
        <v>850</v>
      </c>
      <c r="D6051" s="704" t="s">
        <v>562</v>
      </c>
      <c r="E6051" s="704" t="s">
        <v>824</v>
      </c>
      <c r="F6051" s="706">
        <v>3.9081835497185545E-3</v>
      </c>
      <c r="G6051" s="705">
        <v>26.115864471802386</v>
      </c>
    </row>
    <row r="6052" spans="2:7" ht="11.25" hidden="1" customHeight="1" outlineLevel="2" x14ac:dyDescent="0.25">
      <c r="B6052" s="704" t="s">
        <v>677</v>
      </c>
      <c r="C6052" s="704" t="s">
        <v>850</v>
      </c>
      <c r="D6052" s="704" t="s">
        <v>562</v>
      </c>
      <c r="E6052" s="704" t="s">
        <v>824</v>
      </c>
      <c r="F6052" s="706">
        <v>3.9622987548885796E-2</v>
      </c>
      <c r="G6052" s="705">
        <v>264.77450172930423</v>
      </c>
    </row>
    <row r="6053" spans="2:7" ht="11.25" hidden="1" customHeight="1" outlineLevel="2" x14ac:dyDescent="0.25">
      <c r="B6053" s="704" t="s">
        <v>678</v>
      </c>
      <c r="C6053" s="704" t="s">
        <v>850</v>
      </c>
      <c r="D6053" s="704" t="s">
        <v>562</v>
      </c>
      <c r="E6053" s="704" t="s">
        <v>824</v>
      </c>
      <c r="F6053" s="705">
        <v>6.0606933308219903E-2</v>
      </c>
      <c r="G6053" s="705">
        <v>404.99647378806412</v>
      </c>
    </row>
    <row r="6054" spans="2:7" ht="11.25" hidden="1" customHeight="1" outlineLevel="2" x14ac:dyDescent="0.25">
      <c r="B6054" s="704" t="s">
        <v>679</v>
      </c>
      <c r="C6054" s="704" t="s">
        <v>850</v>
      </c>
      <c r="D6054" s="704" t="s">
        <v>562</v>
      </c>
      <c r="E6054" s="704" t="s">
        <v>824</v>
      </c>
      <c r="F6054" s="705">
        <v>2.2246598962176361E-3</v>
      </c>
      <c r="G6054" s="705">
        <v>14.865940653694253</v>
      </c>
    </row>
    <row r="6055" spans="2:7" ht="11.25" hidden="1" customHeight="1" outlineLevel="2" x14ac:dyDescent="0.25">
      <c r="B6055" s="704" t="s">
        <v>680</v>
      </c>
      <c r="C6055" s="704" t="s">
        <v>850</v>
      </c>
      <c r="D6055" s="704" t="s">
        <v>562</v>
      </c>
      <c r="E6055" s="704" t="s">
        <v>824</v>
      </c>
      <c r="F6055" s="705">
        <v>1.5632741809808526E-3</v>
      </c>
      <c r="G6055" s="705">
        <v>10.446335719315398</v>
      </c>
    </row>
    <row r="6056" spans="2:7" ht="11.25" hidden="1" customHeight="1" outlineLevel="2" x14ac:dyDescent="0.25">
      <c r="B6056" s="704" t="s">
        <v>681</v>
      </c>
      <c r="C6056" s="704" t="s">
        <v>850</v>
      </c>
      <c r="D6056" s="704" t="s">
        <v>562</v>
      </c>
      <c r="E6056" s="704" t="s">
        <v>824</v>
      </c>
      <c r="F6056" s="705">
        <v>9.9809027847814029E-3</v>
      </c>
      <c r="G6056" s="705">
        <v>66.695846589803509</v>
      </c>
    </row>
    <row r="6057" spans="2:7" ht="11.25" hidden="1" customHeight="1" outlineLevel="2" x14ac:dyDescent="0.25">
      <c r="B6057" s="704" t="s">
        <v>682</v>
      </c>
      <c r="C6057" s="704" t="s">
        <v>850</v>
      </c>
      <c r="D6057" s="704" t="s">
        <v>562</v>
      </c>
      <c r="E6057" s="704" t="s">
        <v>824</v>
      </c>
      <c r="F6057" s="705">
        <v>3.8480600808703091E-3</v>
      </c>
      <c r="G6057" s="705">
        <v>25.714071218799624</v>
      </c>
    </row>
    <row r="6058" spans="2:7" ht="11.25" hidden="1" customHeight="1" outlineLevel="2" x14ac:dyDescent="0.25">
      <c r="B6058" s="704" t="s">
        <v>683</v>
      </c>
      <c r="C6058" s="704" t="s">
        <v>850</v>
      </c>
      <c r="D6058" s="704" t="s">
        <v>562</v>
      </c>
      <c r="E6058" s="704" t="s">
        <v>824</v>
      </c>
      <c r="F6058" s="705">
        <v>4.5695691928592371E-3</v>
      </c>
      <c r="G6058" s="705">
        <v>30.535455912716497</v>
      </c>
    </row>
    <row r="6059" spans="2:7" ht="11.25" hidden="1" customHeight="1" outlineLevel="2" x14ac:dyDescent="0.25">
      <c r="B6059" s="704" t="s">
        <v>684</v>
      </c>
      <c r="C6059" s="704" t="s">
        <v>850</v>
      </c>
      <c r="D6059" s="704" t="s">
        <v>562</v>
      </c>
      <c r="E6059" s="704" t="s">
        <v>824</v>
      </c>
      <c r="F6059" s="705">
        <v>2.8259171894739529E-3</v>
      </c>
      <c r="G6059" s="705">
        <v>18.883761940652953</v>
      </c>
    </row>
    <row r="6060" spans="2:7" ht="11.25" hidden="1" customHeight="1" outlineLevel="2" x14ac:dyDescent="0.25">
      <c r="B6060" s="704" t="s">
        <v>685</v>
      </c>
      <c r="C6060" s="704" t="s">
        <v>850</v>
      </c>
      <c r="D6060" s="704" t="s">
        <v>562</v>
      </c>
      <c r="E6060" s="704" t="s">
        <v>824</v>
      </c>
      <c r="F6060" s="705">
        <v>1.4069465547469446E-2</v>
      </c>
      <c r="G6060" s="705">
        <v>94.016956601532954</v>
      </c>
    </row>
    <row r="6061" spans="2:7" ht="11.25" hidden="1" customHeight="1" outlineLevel="2" x14ac:dyDescent="0.25">
      <c r="B6061" s="704" t="s">
        <v>686</v>
      </c>
      <c r="C6061" s="704" t="s">
        <v>850</v>
      </c>
      <c r="D6061" s="704" t="s">
        <v>562</v>
      </c>
      <c r="E6061" s="704" t="s">
        <v>824</v>
      </c>
      <c r="F6061" s="705">
        <v>2.1044068912638215E-3</v>
      </c>
      <c r="G6061" s="705">
        <v>14.062372371045388</v>
      </c>
    </row>
    <row r="6062" spans="2:7" ht="11.25" hidden="1" customHeight="1" outlineLevel="2" x14ac:dyDescent="0.25">
      <c r="B6062" s="704" t="s">
        <v>687</v>
      </c>
      <c r="C6062" s="704" t="s">
        <v>850</v>
      </c>
      <c r="D6062" s="704" t="s">
        <v>562</v>
      </c>
      <c r="E6062" s="704" t="s">
        <v>824</v>
      </c>
      <c r="F6062" s="705">
        <v>1.3528335643395643E-2</v>
      </c>
      <c r="G6062" s="705">
        <v>90.401026543620958</v>
      </c>
    </row>
    <row r="6063" spans="2:7" ht="11.25" hidden="1" customHeight="1" outlineLevel="2" x14ac:dyDescent="0.25">
      <c r="B6063" s="704" t="s">
        <v>688</v>
      </c>
      <c r="C6063" s="704" t="s">
        <v>850</v>
      </c>
      <c r="D6063" s="704" t="s">
        <v>562</v>
      </c>
      <c r="E6063" s="704" t="s">
        <v>824</v>
      </c>
      <c r="F6063" s="705">
        <v>3.5955287988522461E-2</v>
      </c>
      <c r="G6063" s="705">
        <v>240.26573656140948</v>
      </c>
    </row>
    <row r="6064" spans="2:7" ht="11.25" hidden="1" customHeight="1" outlineLevel="2" x14ac:dyDescent="0.25">
      <c r="B6064" s="704" t="s">
        <v>689</v>
      </c>
      <c r="C6064" s="704" t="s">
        <v>850</v>
      </c>
      <c r="D6064" s="704" t="s">
        <v>562</v>
      </c>
      <c r="E6064" s="704" t="s">
        <v>824</v>
      </c>
      <c r="F6064" s="705">
        <v>2.2260233424271467E-3</v>
      </c>
      <c r="G6064" s="705">
        <v>14.875046195226567</v>
      </c>
    </row>
    <row r="6065" spans="2:7" ht="11.25" hidden="1" customHeight="1" outlineLevel="2" x14ac:dyDescent="0.25">
      <c r="B6065" s="704" t="s">
        <v>690</v>
      </c>
      <c r="C6065" s="704" t="s">
        <v>850</v>
      </c>
      <c r="D6065" s="704" t="s">
        <v>562</v>
      </c>
      <c r="E6065" s="704" t="s">
        <v>824</v>
      </c>
      <c r="F6065" s="705">
        <v>5.2970946551511126E-2</v>
      </c>
      <c r="G6065" s="705">
        <v>353.97037231175739</v>
      </c>
    </row>
    <row r="6066" spans="2:7" ht="11.25" hidden="1" customHeight="1" outlineLevel="2" x14ac:dyDescent="0.25">
      <c r="B6066" s="704" t="s">
        <v>691</v>
      </c>
      <c r="C6066" s="704" t="s">
        <v>850</v>
      </c>
      <c r="D6066" s="704" t="s">
        <v>562</v>
      </c>
      <c r="E6066" s="704" t="s">
        <v>824</v>
      </c>
      <c r="F6066" s="705">
        <v>4.046472867951504E-2</v>
      </c>
      <c r="G6066" s="705">
        <v>270.39956327360318</v>
      </c>
    </row>
    <row r="6067" spans="2:7" ht="11.25" hidden="1" customHeight="1" outlineLevel="2" x14ac:dyDescent="0.25">
      <c r="B6067" s="704" t="s">
        <v>692</v>
      </c>
      <c r="C6067" s="704" t="s">
        <v>850</v>
      </c>
      <c r="D6067" s="704" t="s">
        <v>562</v>
      </c>
      <c r="E6067" s="704" t="s">
        <v>824</v>
      </c>
      <c r="F6067" s="705">
        <v>4.7499463464159217E-3</v>
      </c>
      <c r="G6067" s="705">
        <v>31.740795516228921</v>
      </c>
    </row>
    <row r="6068" spans="2:7" ht="11.25" hidden="1" customHeight="1" outlineLevel="2" x14ac:dyDescent="0.25">
      <c r="B6068" s="704" t="s">
        <v>693</v>
      </c>
      <c r="C6068" s="704" t="s">
        <v>850</v>
      </c>
      <c r="D6068" s="704" t="s">
        <v>562</v>
      </c>
      <c r="E6068" s="704" t="s">
        <v>824</v>
      </c>
      <c r="F6068" s="705">
        <v>2.1645316467214298E-3</v>
      </c>
      <c r="G6068" s="705">
        <v>14.464162998338544</v>
      </c>
    </row>
    <row r="6069" spans="2:7" ht="11.25" hidden="1" customHeight="1" outlineLevel="2" x14ac:dyDescent="0.25">
      <c r="B6069" s="704" t="s">
        <v>694</v>
      </c>
      <c r="C6069" s="704" t="s">
        <v>850</v>
      </c>
      <c r="D6069" s="704" t="s">
        <v>562</v>
      </c>
      <c r="E6069" s="704" t="s">
        <v>824</v>
      </c>
      <c r="F6069" s="705">
        <v>9.0188886595263186E-4</v>
      </c>
      <c r="G6069" s="705">
        <v>6.0267338502080481</v>
      </c>
    </row>
    <row r="6070" spans="2:7" ht="11.25" hidden="1" customHeight="1" outlineLevel="2" x14ac:dyDescent="0.25">
      <c r="B6070" s="704" t="s">
        <v>695</v>
      </c>
      <c r="C6070" s="704" t="s">
        <v>850</v>
      </c>
      <c r="D6070" s="704" t="s">
        <v>562</v>
      </c>
      <c r="E6070" s="704" t="s">
        <v>824</v>
      </c>
      <c r="F6070" s="705">
        <v>4.0284377748685705E-3</v>
      </c>
      <c r="G6070" s="705">
        <v>26.919403110879923</v>
      </c>
    </row>
    <row r="6071" spans="2:7" ht="11.25" hidden="1" customHeight="1" outlineLevel="2" x14ac:dyDescent="0.25">
      <c r="B6071" s="704" t="s">
        <v>696</v>
      </c>
      <c r="C6071" s="704" t="s">
        <v>850</v>
      </c>
      <c r="D6071" s="704" t="s">
        <v>562</v>
      </c>
      <c r="E6071" s="704" t="s">
        <v>824</v>
      </c>
      <c r="F6071" s="705">
        <v>9.0790144571183187E-3</v>
      </c>
      <c r="G6071" s="705">
        <v>60.669131917008968</v>
      </c>
    </row>
    <row r="6072" spans="2:7" ht="11.25" hidden="1" customHeight="1" outlineLevel="2" x14ac:dyDescent="0.25">
      <c r="B6072" s="704" t="s">
        <v>697</v>
      </c>
      <c r="C6072" s="704" t="s">
        <v>850</v>
      </c>
      <c r="D6072" s="704" t="s">
        <v>562</v>
      </c>
      <c r="E6072" s="704" t="s">
        <v>824</v>
      </c>
      <c r="F6072" s="705">
        <v>7.8764943278680898E-3</v>
      </c>
      <c r="G6072" s="705">
        <v>52.633471673695801</v>
      </c>
    </row>
    <row r="6073" spans="2:7" ht="11.25" hidden="1" customHeight="1" outlineLevel="2" x14ac:dyDescent="0.25">
      <c r="B6073" s="704" t="s">
        <v>698</v>
      </c>
      <c r="C6073" s="704" t="s">
        <v>850</v>
      </c>
      <c r="D6073" s="704" t="s">
        <v>562</v>
      </c>
      <c r="E6073" s="704" t="s">
        <v>824</v>
      </c>
      <c r="F6073" s="706">
        <v>4.9303266896477292E-3</v>
      </c>
      <c r="G6073" s="705">
        <v>32.946152561838986</v>
      </c>
    </row>
    <row r="6074" spans="2:7" ht="11.25" hidden="1" customHeight="1" outlineLevel="2" x14ac:dyDescent="0.25">
      <c r="B6074" s="704" t="s">
        <v>699</v>
      </c>
      <c r="C6074" s="704" t="s">
        <v>850</v>
      </c>
      <c r="D6074" s="704" t="s">
        <v>562</v>
      </c>
      <c r="E6074" s="704" t="s">
        <v>824</v>
      </c>
      <c r="F6074" s="706">
        <v>3.8240056055927264E-2</v>
      </c>
      <c r="G6074" s="705">
        <v>255.53358683384806</v>
      </c>
    </row>
    <row r="6075" spans="2:7" ht="11.25" hidden="1" customHeight="1" outlineLevel="2" x14ac:dyDescent="0.25">
      <c r="B6075" s="704" t="s">
        <v>673</v>
      </c>
      <c r="C6075" s="704" t="s">
        <v>851</v>
      </c>
      <c r="D6075" s="704" t="s">
        <v>562</v>
      </c>
      <c r="E6075" s="704" t="s">
        <v>824</v>
      </c>
      <c r="F6075" s="706">
        <v>6.8456794077263764E-3</v>
      </c>
      <c r="G6075" s="705">
        <v>32.442423705899067</v>
      </c>
    </row>
    <row r="6076" spans="2:7" ht="11.25" hidden="1" customHeight="1" outlineLevel="2" x14ac:dyDescent="0.25">
      <c r="B6076" s="704" t="s">
        <v>677</v>
      </c>
      <c r="C6076" s="704" t="s">
        <v>851</v>
      </c>
      <c r="D6076" s="704" t="s">
        <v>562</v>
      </c>
      <c r="E6076" s="704" t="s">
        <v>824</v>
      </c>
      <c r="F6076" s="706">
        <v>6.940462645987458E-2</v>
      </c>
      <c r="G6076" s="705">
        <v>328.91617569000817</v>
      </c>
    </row>
    <row r="6077" spans="2:7" ht="11.25" hidden="1" customHeight="1" outlineLevel="2" x14ac:dyDescent="0.25">
      <c r="B6077" s="704" t="s">
        <v>678</v>
      </c>
      <c r="C6077" s="704" t="s">
        <v>851</v>
      </c>
      <c r="D6077" s="704" t="s">
        <v>562</v>
      </c>
      <c r="E6077" s="704" t="s">
        <v>824</v>
      </c>
      <c r="F6077" s="706">
        <v>0.10616070306572964</v>
      </c>
      <c r="G6077" s="705">
        <v>503.10715499542187</v>
      </c>
    </row>
    <row r="6078" spans="2:7" ht="11.25" hidden="1" customHeight="1" outlineLevel="2" x14ac:dyDescent="0.25">
      <c r="B6078" s="704" t="s">
        <v>679</v>
      </c>
      <c r="C6078" s="704" t="s">
        <v>851</v>
      </c>
      <c r="D6078" s="704" t="s">
        <v>562</v>
      </c>
      <c r="E6078" s="704" t="s">
        <v>824</v>
      </c>
      <c r="F6078" s="706">
        <v>3.8967695134035389E-3</v>
      </c>
      <c r="G6078" s="705">
        <v>18.467233775082786</v>
      </c>
    </row>
    <row r="6079" spans="2:7" ht="11.25" hidden="1" customHeight="1" outlineLevel="2" x14ac:dyDescent="0.25">
      <c r="B6079" s="704" t="s">
        <v>680</v>
      </c>
      <c r="C6079" s="704" t="s">
        <v>851</v>
      </c>
      <c r="D6079" s="704" t="s">
        <v>562</v>
      </c>
      <c r="E6079" s="704" t="s">
        <v>824</v>
      </c>
      <c r="F6079" s="706">
        <v>2.7382725438853317E-3</v>
      </c>
      <c r="G6079" s="705">
        <v>12.976966865629823</v>
      </c>
    </row>
    <row r="6080" spans="2:7" ht="11.25" hidden="1" customHeight="1" outlineLevel="2" x14ac:dyDescent="0.25">
      <c r="B6080" s="704" t="s">
        <v>681</v>
      </c>
      <c r="C6080" s="704" t="s">
        <v>851</v>
      </c>
      <c r="D6080" s="704" t="s">
        <v>562</v>
      </c>
      <c r="E6080" s="704" t="s">
        <v>824</v>
      </c>
      <c r="F6080" s="705">
        <v>1.7482808254073539E-2</v>
      </c>
      <c r="G6080" s="705">
        <v>82.85299930405678</v>
      </c>
    </row>
    <row r="6081" spans="2:7" ht="11.25" hidden="1" customHeight="1" outlineLevel="2" x14ac:dyDescent="0.25">
      <c r="B6081" s="704" t="s">
        <v>682</v>
      </c>
      <c r="C6081" s="704" t="s">
        <v>851</v>
      </c>
      <c r="D6081" s="704" t="s">
        <v>562</v>
      </c>
      <c r="E6081" s="704" t="s">
        <v>824</v>
      </c>
      <c r="F6081" s="705">
        <v>6.7403599914786401E-3</v>
      </c>
      <c r="G6081" s="705">
        <v>31.94330560274031</v>
      </c>
    </row>
    <row r="6082" spans="2:7" ht="11.25" hidden="1" customHeight="1" outlineLevel="2" x14ac:dyDescent="0.25">
      <c r="B6082" s="704" t="s">
        <v>683</v>
      </c>
      <c r="C6082" s="704" t="s">
        <v>851</v>
      </c>
      <c r="D6082" s="704" t="s">
        <v>562</v>
      </c>
      <c r="E6082" s="704" t="s">
        <v>824</v>
      </c>
      <c r="F6082" s="705">
        <v>8.0041797070417534E-3</v>
      </c>
      <c r="G6082" s="705">
        <v>37.932690867465752</v>
      </c>
    </row>
    <row r="6083" spans="2:7" ht="11.25" hidden="1" customHeight="1" outlineLevel="2" x14ac:dyDescent="0.25">
      <c r="B6083" s="704" t="s">
        <v>684</v>
      </c>
      <c r="C6083" s="704" t="s">
        <v>851</v>
      </c>
      <c r="D6083" s="704" t="s">
        <v>562</v>
      </c>
      <c r="E6083" s="704" t="s">
        <v>824</v>
      </c>
      <c r="F6083" s="705">
        <v>4.9499528738813367E-3</v>
      </c>
      <c r="G6083" s="705">
        <v>23.458376829344239</v>
      </c>
    </row>
    <row r="6084" spans="2:7" ht="11.25" hidden="1" customHeight="1" outlineLevel="2" x14ac:dyDescent="0.25">
      <c r="B6084" s="704" t="s">
        <v>685</v>
      </c>
      <c r="C6084" s="704" t="s">
        <v>851</v>
      </c>
      <c r="D6084" s="704" t="s">
        <v>562</v>
      </c>
      <c r="E6084" s="704" t="s">
        <v>824</v>
      </c>
      <c r="F6084" s="705">
        <v>2.4644418818184098E-2</v>
      </c>
      <c r="G6084" s="705">
        <v>116.79278747660922</v>
      </c>
    </row>
    <row r="6085" spans="2:7" ht="11.25" hidden="1" customHeight="1" outlineLevel="2" x14ac:dyDescent="0.25">
      <c r="B6085" s="704" t="s">
        <v>686</v>
      </c>
      <c r="C6085" s="704" t="s">
        <v>851</v>
      </c>
      <c r="D6085" s="704" t="s">
        <v>562</v>
      </c>
      <c r="E6085" s="704" t="s">
        <v>824</v>
      </c>
      <c r="F6085" s="705">
        <v>3.6861342594498594E-3</v>
      </c>
      <c r="G6085" s="705">
        <v>17.468984397627455</v>
      </c>
    </row>
    <row r="6086" spans="2:7" ht="11.25" hidden="1" customHeight="1" outlineLevel="2" x14ac:dyDescent="0.25">
      <c r="B6086" s="704" t="s">
        <v>687</v>
      </c>
      <c r="C6086" s="704" t="s">
        <v>851</v>
      </c>
      <c r="D6086" s="704" t="s">
        <v>562</v>
      </c>
      <c r="E6086" s="704" t="s">
        <v>824</v>
      </c>
      <c r="F6086" s="705">
        <v>2.3696574642381348E-2</v>
      </c>
      <c r="G6086" s="705">
        <v>112.30064206016809</v>
      </c>
    </row>
    <row r="6087" spans="2:7" ht="11.25" hidden="1" customHeight="1" outlineLevel="2" x14ac:dyDescent="0.25">
      <c r="B6087" s="704" t="s">
        <v>688</v>
      </c>
      <c r="C6087" s="704" t="s">
        <v>851</v>
      </c>
      <c r="D6087" s="704" t="s">
        <v>562</v>
      </c>
      <c r="E6087" s="704" t="s">
        <v>824</v>
      </c>
      <c r="F6087" s="705">
        <v>6.2980223819647158E-2</v>
      </c>
      <c r="G6087" s="705">
        <v>298.47021150601103</v>
      </c>
    </row>
    <row r="6088" spans="2:7" ht="11.25" hidden="1" customHeight="1" outlineLevel="2" x14ac:dyDescent="0.25">
      <c r="B6088" s="704" t="s">
        <v>689</v>
      </c>
      <c r="C6088" s="704" t="s">
        <v>851</v>
      </c>
      <c r="D6088" s="704" t="s">
        <v>562</v>
      </c>
      <c r="E6088" s="704" t="s">
        <v>824</v>
      </c>
      <c r="F6088" s="705">
        <v>3.8991571239832762E-3</v>
      </c>
      <c r="G6088" s="705">
        <v>18.478544330353166</v>
      </c>
    </row>
    <row r="6089" spans="2:7" ht="11.25" hidden="1" customHeight="1" outlineLevel="2" x14ac:dyDescent="0.25">
      <c r="B6089" s="704" t="s">
        <v>690</v>
      </c>
      <c r="C6089" s="704" t="s">
        <v>851</v>
      </c>
      <c r="D6089" s="704" t="s">
        <v>562</v>
      </c>
      <c r="E6089" s="704" t="s">
        <v>824</v>
      </c>
      <c r="F6089" s="705">
        <v>9.2785227636794421E-2</v>
      </c>
      <c r="G6089" s="705">
        <v>439.71943080230926</v>
      </c>
    </row>
    <row r="6090" spans="2:7" ht="11.25" hidden="1" customHeight="1" outlineLevel="2" x14ac:dyDescent="0.25">
      <c r="B6090" s="704" t="s">
        <v>691</v>
      </c>
      <c r="C6090" s="704" t="s">
        <v>851</v>
      </c>
      <c r="D6090" s="704" t="s">
        <v>562</v>
      </c>
      <c r="E6090" s="704" t="s">
        <v>824</v>
      </c>
      <c r="F6090" s="705">
        <v>7.0879094562371708E-2</v>
      </c>
      <c r="G6090" s="705">
        <v>335.90399297824308</v>
      </c>
    </row>
    <row r="6091" spans="2:7" ht="11.25" hidden="1" customHeight="1" outlineLevel="2" x14ac:dyDescent="0.25">
      <c r="B6091" s="704" t="s">
        <v>692</v>
      </c>
      <c r="C6091" s="704" t="s">
        <v>851</v>
      </c>
      <c r="D6091" s="704" t="s">
        <v>562</v>
      </c>
      <c r="E6091" s="704" t="s">
        <v>824</v>
      </c>
      <c r="F6091" s="705">
        <v>8.3201323583173697E-3</v>
      </c>
      <c r="G6091" s="705">
        <v>39.430046143649669</v>
      </c>
    </row>
    <row r="6092" spans="2:7" ht="11.25" hidden="1" customHeight="1" outlineLevel="2" x14ac:dyDescent="0.25">
      <c r="B6092" s="704" t="s">
        <v>693</v>
      </c>
      <c r="C6092" s="704" t="s">
        <v>851</v>
      </c>
      <c r="D6092" s="704" t="s">
        <v>562</v>
      </c>
      <c r="E6092" s="704" t="s">
        <v>824</v>
      </c>
      <c r="F6092" s="705">
        <v>3.7914516929596844E-3</v>
      </c>
      <c r="G6092" s="705">
        <v>17.968112415058503</v>
      </c>
    </row>
    <row r="6093" spans="2:7" ht="11.25" hidden="1" customHeight="1" outlineLevel="2" x14ac:dyDescent="0.25">
      <c r="B6093" s="704" t="s">
        <v>694</v>
      </c>
      <c r="C6093" s="704" t="s">
        <v>851</v>
      </c>
      <c r="D6093" s="704" t="s">
        <v>562</v>
      </c>
      <c r="E6093" s="704" t="s">
        <v>824</v>
      </c>
      <c r="F6093" s="705">
        <v>1.5797708556097678E-3</v>
      </c>
      <c r="G6093" s="705">
        <v>7.4867087962662477</v>
      </c>
    </row>
    <row r="6094" spans="2:7" ht="11.25" hidden="1" customHeight="1" outlineLevel="2" x14ac:dyDescent="0.25">
      <c r="B6094" s="704" t="s">
        <v>695</v>
      </c>
      <c r="C6094" s="704" t="s">
        <v>851</v>
      </c>
      <c r="D6094" s="704" t="s">
        <v>562</v>
      </c>
      <c r="E6094" s="704" t="s">
        <v>824</v>
      </c>
      <c r="F6094" s="705">
        <v>7.0563124194715377E-3</v>
      </c>
      <c r="G6094" s="705">
        <v>33.440652983807361</v>
      </c>
    </row>
    <row r="6095" spans="2:7" ht="11.25" hidden="1" customHeight="1" outlineLevel="2" x14ac:dyDescent="0.25">
      <c r="B6095" s="704" t="s">
        <v>696</v>
      </c>
      <c r="C6095" s="704" t="s">
        <v>851</v>
      </c>
      <c r="D6095" s="704" t="s">
        <v>562</v>
      </c>
      <c r="E6095" s="704" t="s">
        <v>824</v>
      </c>
      <c r="F6095" s="705">
        <v>1.590301931897304E-2</v>
      </c>
      <c r="G6095" s="705">
        <v>75.366171073811458</v>
      </c>
    </row>
    <row r="6096" spans="2:7" ht="11.25" hidden="1" customHeight="1" outlineLevel="2" x14ac:dyDescent="0.25">
      <c r="B6096" s="704" t="s">
        <v>697</v>
      </c>
      <c r="C6096" s="704" t="s">
        <v>851</v>
      </c>
      <c r="D6096" s="704" t="s">
        <v>562</v>
      </c>
      <c r="E6096" s="704" t="s">
        <v>824</v>
      </c>
      <c r="F6096" s="705">
        <v>1.3796667924116789E-2</v>
      </c>
      <c r="G6096" s="705">
        <v>65.383949421575181</v>
      </c>
    </row>
    <row r="6097" spans="2:7" ht="11.25" hidden="1" customHeight="1" outlineLevel="2" x14ac:dyDescent="0.25">
      <c r="B6097" s="704" t="s">
        <v>698</v>
      </c>
      <c r="C6097" s="704" t="s">
        <v>851</v>
      </c>
      <c r="D6097" s="704" t="s">
        <v>562</v>
      </c>
      <c r="E6097" s="704" t="s">
        <v>824</v>
      </c>
      <c r="F6097" s="705">
        <v>8.6360862335731047E-3</v>
      </c>
      <c r="G6097" s="705">
        <v>40.927352772197814</v>
      </c>
    </row>
    <row r="6098" spans="2:7" ht="11.25" hidden="1" customHeight="1" outlineLevel="2" x14ac:dyDescent="0.25">
      <c r="B6098" s="704" t="s">
        <v>699</v>
      </c>
      <c r="C6098" s="704" t="s">
        <v>851</v>
      </c>
      <c r="D6098" s="704" t="s">
        <v>562</v>
      </c>
      <c r="E6098" s="704" t="s">
        <v>824</v>
      </c>
      <c r="F6098" s="705">
        <v>6.6982327101831968E-2</v>
      </c>
      <c r="G6098" s="705">
        <v>317.436795686994</v>
      </c>
    </row>
    <row r="6099" spans="2:7" ht="11.25" hidden="1" customHeight="1" outlineLevel="2" x14ac:dyDescent="0.25">
      <c r="B6099" s="704" t="s">
        <v>673</v>
      </c>
      <c r="C6099" s="704" t="s">
        <v>852</v>
      </c>
      <c r="D6099" s="704" t="s">
        <v>562</v>
      </c>
      <c r="E6099" s="704" t="s">
        <v>824</v>
      </c>
      <c r="F6099" s="705">
        <v>1.709327559185819E-4</v>
      </c>
      <c r="G6099" s="705">
        <v>0.4385482812485953</v>
      </c>
    </row>
    <row r="6100" spans="2:7" ht="11.25" hidden="1" customHeight="1" outlineLevel="2" x14ac:dyDescent="0.25">
      <c r="B6100" s="704" t="s">
        <v>677</v>
      </c>
      <c r="C6100" s="704" t="s">
        <v>852</v>
      </c>
      <c r="D6100" s="704" t="s">
        <v>562</v>
      </c>
      <c r="E6100" s="704" t="s">
        <v>824</v>
      </c>
      <c r="F6100" s="705">
        <v>1.7329953949131356E-3</v>
      </c>
      <c r="G6100" s="705">
        <v>4.4462087468212346</v>
      </c>
    </row>
    <row r="6101" spans="2:7" ht="11.25" hidden="1" customHeight="1" outlineLevel="2" x14ac:dyDescent="0.25">
      <c r="B6101" s="704" t="s">
        <v>678</v>
      </c>
      <c r="C6101" s="704" t="s">
        <v>852</v>
      </c>
      <c r="D6101" s="704" t="s">
        <v>562</v>
      </c>
      <c r="E6101" s="704" t="s">
        <v>824</v>
      </c>
      <c r="F6101" s="705">
        <v>2.6507734895127254E-3</v>
      </c>
      <c r="G6101" s="705">
        <v>6.8008713755718073</v>
      </c>
    </row>
    <row r="6102" spans="2:7" ht="11.25" hidden="1" customHeight="1" outlineLevel="2" x14ac:dyDescent="0.25">
      <c r="B6102" s="704" t="s">
        <v>679</v>
      </c>
      <c r="C6102" s="704" t="s">
        <v>852</v>
      </c>
      <c r="D6102" s="704" t="s">
        <v>562</v>
      </c>
      <c r="E6102" s="704" t="s">
        <v>824</v>
      </c>
      <c r="F6102" s="705">
        <v>9.7300164900953034E-5</v>
      </c>
      <c r="G6102" s="705">
        <v>0.24963536801554007</v>
      </c>
    </row>
    <row r="6103" spans="2:7" ht="11.25" hidden="1" customHeight="1" outlineLevel="2" x14ac:dyDescent="0.25">
      <c r="B6103" s="704" t="s">
        <v>680</v>
      </c>
      <c r="C6103" s="704" t="s">
        <v>852</v>
      </c>
      <c r="D6103" s="704" t="s">
        <v>562</v>
      </c>
      <c r="E6103" s="704" t="s">
        <v>824</v>
      </c>
      <c r="F6103" s="705">
        <v>6.8373170706200536E-5</v>
      </c>
      <c r="G6103" s="705">
        <v>0.17541944146135918</v>
      </c>
    </row>
    <row r="6104" spans="2:7" ht="11.25" hidden="1" customHeight="1" outlineLevel="2" x14ac:dyDescent="0.25">
      <c r="B6104" s="704" t="s">
        <v>681</v>
      </c>
      <c r="C6104" s="704" t="s">
        <v>852</v>
      </c>
      <c r="D6104" s="704" t="s">
        <v>562</v>
      </c>
      <c r="E6104" s="704" t="s">
        <v>824</v>
      </c>
      <c r="F6104" s="705">
        <v>4.3653590037097157E-4</v>
      </c>
      <c r="G6104" s="705">
        <v>1.1199843820419029</v>
      </c>
    </row>
    <row r="6105" spans="2:7" ht="11.25" hidden="1" customHeight="1" outlineLevel="2" x14ac:dyDescent="0.25">
      <c r="B6105" s="704" t="s">
        <v>682</v>
      </c>
      <c r="C6105" s="704" t="s">
        <v>852</v>
      </c>
      <c r="D6105" s="704" t="s">
        <v>562</v>
      </c>
      <c r="E6105" s="704" t="s">
        <v>824</v>
      </c>
      <c r="F6105" s="705">
        <v>1.683031077866119E-4</v>
      </c>
      <c r="G6105" s="705">
        <v>0.43180151628413532</v>
      </c>
    </row>
    <row r="6106" spans="2:7" ht="11.25" hidden="1" customHeight="1" outlineLevel="2" x14ac:dyDescent="0.25">
      <c r="B6106" s="704" t="s">
        <v>683</v>
      </c>
      <c r="C6106" s="704" t="s">
        <v>852</v>
      </c>
      <c r="D6106" s="704" t="s">
        <v>562</v>
      </c>
      <c r="E6106" s="704" t="s">
        <v>824</v>
      </c>
      <c r="F6106" s="705">
        <v>1.9985973673732941E-4</v>
      </c>
      <c r="G6106" s="705">
        <v>0.51276428174759381</v>
      </c>
    </row>
    <row r="6107" spans="2:7" ht="11.25" hidden="1" customHeight="1" outlineLevel="2" x14ac:dyDescent="0.25">
      <c r="B6107" s="704" t="s">
        <v>684</v>
      </c>
      <c r="C6107" s="704" t="s">
        <v>852</v>
      </c>
      <c r="D6107" s="704" t="s">
        <v>562</v>
      </c>
      <c r="E6107" s="704" t="s">
        <v>824</v>
      </c>
      <c r="F6107" s="705">
        <v>1.2359750964284618E-4</v>
      </c>
      <c r="G6107" s="705">
        <v>0.31710418957673447</v>
      </c>
    </row>
    <row r="6108" spans="2:7" ht="11.25" hidden="1" customHeight="1" outlineLevel="2" x14ac:dyDescent="0.25">
      <c r="B6108" s="704" t="s">
        <v>685</v>
      </c>
      <c r="C6108" s="704" t="s">
        <v>852</v>
      </c>
      <c r="D6108" s="704" t="s">
        <v>562</v>
      </c>
      <c r="E6108" s="704" t="s">
        <v>824</v>
      </c>
      <c r="F6108" s="705">
        <v>6.153578796533755E-4</v>
      </c>
      <c r="G6108" s="705">
        <v>1.5787762698812735</v>
      </c>
    </row>
    <row r="6109" spans="2:7" ht="11.25" hidden="1" customHeight="1" outlineLevel="2" x14ac:dyDescent="0.25">
      <c r="B6109" s="704" t="s">
        <v>686</v>
      </c>
      <c r="C6109" s="704" t="s">
        <v>852</v>
      </c>
      <c r="D6109" s="704" t="s">
        <v>562</v>
      </c>
      <c r="E6109" s="704" t="s">
        <v>824</v>
      </c>
      <c r="F6109" s="705">
        <v>9.2040668484160272E-5</v>
      </c>
      <c r="G6109" s="705">
        <v>0.23614155974119244</v>
      </c>
    </row>
    <row r="6110" spans="2:7" ht="11.25" hidden="1" customHeight="1" outlineLevel="2" x14ac:dyDescent="0.25">
      <c r="B6110" s="704" t="s">
        <v>687</v>
      </c>
      <c r="C6110" s="704" t="s">
        <v>852</v>
      </c>
      <c r="D6110" s="704" t="s">
        <v>562</v>
      </c>
      <c r="E6110" s="704" t="s">
        <v>824</v>
      </c>
      <c r="F6110" s="705">
        <v>5.9169028018920666E-4</v>
      </c>
      <c r="G6110" s="705">
        <v>1.518051074964208</v>
      </c>
    </row>
    <row r="6111" spans="2:7" ht="11.25" hidden="1" customHeight="1" outlineLevel="2" x14ac:dyDescent="0.25">
      <c r="B6111" s="704" t="s">
        <v>688</v>
      </c>
      <c r="C6111" s="704" t="s">
        <v>852</v>
      </c>
      <c r="D6111" s="704" t="s">
        <v>562</v>
      </c>
      <c r="E6111" s="704" t="s">
        <v>824</v>
      </c>
      <c r="F6111" s="705">
        <v>1.5725802603472057E-3</v>
      </c>
      <c r="G6111" s="705">
        <v>4.0346453919292884</v>
      </c>
    </row>
    <row r="6112" spans="2:7" ht="11.25" hidden="1" customHeight="1" outlineLevel="2" x14ac:dyDescent="0.25">
      <c r="B6112" s="704" t="s">
        <v>689</v>
      </c>
      <c r="C6112" s="704" t="s">
        <v>852</v>
      </c>
      <c r="D6112" s="704" t="s">
        <v>562</v>
      </c>
      <c r="E6112" s="704" t="s">
        <v>824</v>
      </c>
      <c r="F6112" s="706">
        <v>9.7359802268702847E-5</v>
      </c>
      <c r="G6112" s="705">
        <v>0.24978815433121657</v>
      </c>
    </row>
    <row r="6113" spans="2:7" ht="11.25" hidden="1" customHeight="1" outlineLevel="2" x14ac:dyDescent="0.25">
      <c r="B6113" s="704" t="s">
        <v>690</v>
      </c>
      <c r="C6113" s="704" t="s">
        <v>852</v>
      </c>
      <c r="D6113" s="704" t="s">
        <v>562</v>
      </c>
      <c r="E6113" s="704" t="s">
        <v>824</v>
      </c>
      <c r="F6113" s="706">
        <v>2.3167965407913447E-3</v>
      </c>
      <c r="G6113" s="705">
        <v>5.9440179160602913</v>
      </c>
    </row>
    <row r="6114" spans="2:7" ht="11.25" hidden="1" customHeight="1" outlineLevel="2" x14ac:dyDescent="0.25">
      <c r="B6114" s="704" t="s">
        <v>691</v>
      </c>
      <c r="C6114" s="704" t="s">
        <v>852</v>
      </c>
      <c r="D6114" s="704" t="s">
        <v>562</v>
      </c>
      <c r="E6114" s="704" t="s">
        <v>824</v>
      </c>
      <c r="F6114" s="706">
        <v>1.7698105964725312E-3</v>
      </c>
      <c r="G6114" s="705">
        <v>4.5406645073565439</v>
      </c>
    </row>
    <row r="6115" spans="2:7" ht="11.25" hidden="1" customHeight="1" outlineLevel="2" x14ac:dyDescent="0.25">
      <c r="B6115" s="704" t="s">
        <v>692</v>
      </c>
      <c r="C6115" s="704" t="s">
        <v>852</v>
      </c>
      <c r="D6115" s="704" t="s">
        <v>562</v>
      </c>
      <c r="E6115" s="704" t="s">
        <v>824</v>
      </c>
      <c r="F6115" s="706">
        <v>2.0774890753981262E-4</v>
      </c>
      <c r="G6115" s="705">
        <v>0.5330049369897959</v>
      </c>
    </row>
    <row r="6116" spans="2:7" ht="11.25" hidden="1" customHeight="1" outlineLevel="2" x14ac:dyDescent="0.25">
      <c r="B6116" s="704" t="s">
        <v>693</v>
      </c>
      <c r="C6116" s="704" t="s">
        <v>852</v>
      </c>
      <c r="D6116" s="704" t="s">
        <v>562</v>
      </c>
      <c r="E6116" s="704" t="s">
        <v>824</v>
      </c>
      <c r="F6116" s="706">
        <v>9.4670453843990885E-5</v>
      </c>
      <c r="G6116" s="705">
        <v>0.2428882636025779</v>
      </c>
    </row>
    <row r="6117" spans="2:7" ht="11.25" hidden="1" customHeight="1" outlineLevel="2" x14ac:dyDescent="0.25">
      <c r="B6117" s="704" t="s">
        <v>694</v>
      </c>
      <c r="C6117" s="704" t="s">
        <v>852</v>
      </c>
      <c r="D6117" s="704" t="s">
        <v>562</v>
      </c>
      <c r="E6117" s="704" t="s">
        <v>824</v>
      </c>
      <c r="F6117" s="706">
        <v>3.9445992812686384E-5</v>
      </c>
      <c r="G6117" s="705">
        <v>0.10120357786648831</v>
      </c>
    </row>
    <row r="6118" spans="2:7" ht="11.25" hidden="1" customHeight="1" outlineLevel="2" x14ac:dyDescent="0.25">
      <c r="B6118" s="704" t="s">
        <v>695</v>
      </c>
      <c r="C6118" s="704" t="s">
        <v>852</v>
      </c>
      <c r="D6118" s="704" t="s">
        <v>562</v>
      </c>
      <c r="E6118" s="704" t="s">
        <v>824</v>
      </c>
      <c r="F6118" s="706">
        <v>1.761922099466127E-4</v>
      </c>
      <c r="G6118" s="705">
        <v>0.45204233599147631</v>
      </c>
    </row>
    <row r="6119" spans="2:7" ht="11.25" hidden="1" customHeight="1" outlineLevel="2" x14ac:dyDescent="0.25">
      <c r="B6119" s="704" t="s">
        <v>696</v>
      </c>
      <c r="C6119" s="704" t="s">
        <v>852</v>
      </c>
      <c r="D6119" s="704" t="s">
        <v>562</v>
      </c>
      <c r="E6119" s="704" t="s">
        <v>824</v>
      </c>
      <c r="F6119" s="705">
        <v>3.9708976179666405E-4</v>
      </c>
      <c r="G6119" s="705">
        <v>1.0187823755726289</v>
      </c>
    </row>
    <row r="6120" spans="2:7" ht="11.25" hidden="1" customHeight="1" outlineLevel="2" x14ac:dyDescent="0.25">
      <c r="B6120" s="704" t="s">
        <v>697</v>
      </c>
      <c r="C6120" s="704" t="s">
        <v>852</v>
      </c>
      <c r="D6120" s="704" t="s">
        <v>562</v>
      </c>
      <c r="E6120" s="704" t="s">
        <v>824</v>
      </c>
      <c r="F6120" s="705">
        <v>3.4449533463809984E-4</v>
      </c>
      <c r="G6120" s="705">
        <v>0.88384441559019666</v>
      </c>
    </row>
    <row r="6121" spans="2:7" ht="11.25" hidden="1" customHeight="1" outlineLevel="2" x14ac:dyDescent="0.25">
      <c r="B6121" s="704" t="s">
        <v>698</v>
      </c>
      <c r="C6121" s="704" t="s">
        <v>852</v>
      </c>
      <c r="D6121" s="704" t="s">
        <v>562</v>
      </c>
      <c r="E6121" s="704" t="s">
        <v>824</v>
      </c>
      <c r="F6121" s="705">
        <v>2.156382602380132E-4</v>
      </c>
      <c r="G6121" s="705">
        <v>0.55324594012796635</v>
      </c>
    </row>
    <row r="6122" spans="2:7" ht="11.25" hidden="1" customHeight="1" outlineLevel="2" x14ac:dyDescent="0.25">
      <c r="B6122" s="704" t="s">
        <v>699</v>
      </c>
      <c r="C6122" s="704" t="s">
        <v>852</v>
      </c>
      <c r="D6122" s="704" t="s">
        <v>562</v>
      </c>
      <c r="E6122" s="704" t="s">
        <v>824</v>
      </c>
      <c r="F6122" s="706">
        <v>1.6725092037238058E-3</v>
      </c>
      <c r="G6122" s="705">
        <v>4.291028803047328</v>
      </c>
    </row>
    <row r="6123" spans="2:7" ht="11.25" hidden="1" customHeight="1" outlineLevel="2" x14ac:dyDescent="0.25">
      <c r="B6123" s="704" t="s">
        <v>673</v>
      </c>
      <c r="C6123" s="704" t="s">
        <v>853</v>
      </c>
      <c r="D6123" s="704" t="s">
        <v>562</v>
      </c>
      <c r="E6123" s="704" t="s">
        <v>824</v>
      </c>
      <c r="F6123" s="705">
        <v>4.9869833710106336E-5</v>
      </c>
      <c r="G6123" s="705">
        <v>0.40735357326601507</v>
      </c>
    </row>
    <row r="6124" spans="2:7" ht="11.25" hidden="1" customHeight="1" outlineLevel="2" x14ac:dyDescent="0.25">
      <c r="B6124" s="704" t="s">
        <v>677</v>
      </c>
      <c r="C6124" s="704" t="s">
        <v>853</v>
      </c>
      <c r="D6124" s="704" t="s">
        <v>562</v>
      </c>
      <c r="E6124" s="704" t="s">
        <v>824</v>
      </c>
      <c r="F6124" s="705">
        <v>5.0560314801938156E-4</v>
      </c>
      <c r="G6124" s="705">
        <v>4.1299417230520508</v>
      </c>
    </row>
    <row r="6125" spans="2:7" ht="11.25" hidden="1" customHeight="1" outlineLevel="2" x14ac:dyDescent="0.25">
      <c r="B6125" s="704" t="s">
        <v>678</v>
      </c>
      <c r="C6125" s="704" t="s">
        <v>853</v>
      </c>
      <c r="D6125" s="704" t="s">
        <v>562</v>
      </c>
      <c r="E6125" s="704" t="s">
        <v>824</v>
      </c>
      <c r="F6125" s="706">
        <v>7.7336572515426881E-4</v>
      </c>
      <c r="G6125" s="705">
        <v>6.3171143407926156</v>
      </c>
    </row>
    <row r="6126" spans="2:7" ht="11.25" hidden="1" customHeight="1" outlineLevel="2" x14ac:dyDescent="0.25">
      <c r="B6126" s="704" t="s">
        <v>679</v>
      </c>
      <c r="C6126" s="704" t="s">
        <v>853</v>
      </c>
      <c r="D6126" s="704" t="s">
        <v>562</v>
      </c>
      <c r="E6126" s="704" t="s">
        <v>824</v>
      </c>
      <c r="F6126" s="705">
        <v>2.8387459149993452E-5</v>
      </c>
      <c r="G6126" s="705">
        <v>0.23187822629461491</v>
      </c>
    </row>
    <row r="6127" spans="2:7" ht="11.25" hidden="1" customHeight="1" outlineLevel="2" x14ac:dyDescent="0.25">
      <c r="B6127" s="704" t="s">
        <v>680</v>
      </c>
      <c r="C6127" s="704" t="s">
        <v>853</v>
      </c>
      <c r="D6127" s="704" t="s">
        <v>562</v>
      </c>
      <c r="E6127" s="704" t="s">
        <v>824</v>
      </c>
      <c r="F6127" s="705">
        <v>1.9947915176651401E-5</v>
      </c>
      <c r="G6127" s="705">
        <v>0.16294150789387843</v>
      </c>
    </row>
    <row r="6128" spans="2:7" ht="11.25" hidden="1" customHeight="1" outlineLevel="2" x14ac:dyDescent="0.25">
      <c r="B6128" s="704" t="s">
        <v>681</v>
      </c>
      <c r="C6128" s="704" t="s">
        <v>853</v>
      </c>
      <c r="D6128" s="704" t="s">
        <v>562</v>
      </c>
      <c r="E6128" s="704" t="s">
        <v>824</v>
      </c>
      <c r="F6128" s="705">
        <v>1.2735993078527062E-4</v>
      </c>
      <c r="G6128" s="705">
        <v>1.0403176422910887</v>
      </c>
    </row>
    <row r="6129" spans="2:7" ht="11.25" hidden="1" customHeight="1" outlineLevel="2" x14ac:dyDescent="0.25">
      <c r="B6129" s="704" t="s">
        <v>682</v>
      </c>
      <c r="C6129" s="704" t="s">
        <v>853</v>
      </c>
      <c r="D6129" s="704" t="s">
        <v>562</v>
      </c>
      <c r="E6129" s="704" t="s">
        <v>824</v>
      </c>
      <c r="F6129" s="706">
        <v>4.9102618847407216E-5</v>
      </c>
      <c r="G6129" s="705">
        <v>0.40108673210333123</v>
      </c>
    </row>
    <row r="6130" spans="2:7" ht="11.25" hidden="1" customHeight="1" outlineLevel="2" x14ac:dyDescent="0.25">
      <c r="B6130" s="704" t="s">
        <v>683</v>
      </c>
      <c r="C6130" s="704" t="s">
        <v>853</v>
      </c>
      <c r="D6130" s="704" t="s">
        <v>562</v>
      </c>
      <c r="E6130" s="704" t="s">
        <v>824</v>
      </c>
      <c r="F6130" s="706">
        <v>5.8309334389929612E-5</v>
      </c>
      <c r="G6130" s="705">
        <v>0.47629031802753474</v>
      </c>
    </row>
    <row r="6131" spans="2:7" ht="11.25" hidden="1" customHeight="1" outlineLevel="2" x14ac:dyDescent="0.25">
      <c r="B6131" s="704" t="s">
        <v>684</v>
      </c>
      <c r="C6131" s="704" t="s">
        <v>853</v>
      </c>
      <c r="D6131" s="704" t="s">
        <v>562</v>
      </c>
      <c r="E6131" s="704" t="s">
        <v>824</v>
      </c>
      <c r="F6131" s="706">
        <v>3.6059739073114789E-5</v>
      </c>
      <c r="G6131" s="705">
        <v>0.29454797516755449</v>
      </c>
    </row>
    <row r="6132" spans="2:7" ht="11.25" hidden="1" customHeight="1" outlineLevel="2" x14ac:dyDescent="0.25">
      <c r="B6132" s="704" t="s">
        <v>685</v>
      </c>
      <c r="C6132" s="704" t="s">
        <v>853</v>
      </c>
      <c r="D6132" s="704" t="s">
        <v>562</v>
      </c>
      <c r="E6132" s="704" t="s">
        <v>824</v>
      </c>
      <c r="F6132" s="705">
        <v>1.7953141964670663E-4</v>
      </c>
      <c r="G6132" s="705">
        <v>1.4664735264849904</v>
      </c>
    </row>
    <row r="6133" spans="2:7" ht="11.25" hidden="1" customHeight="1" outlineLevel="2" x14ac:dyDescent="0.25">
      <c r="B6133" s="704" t="s">
        <v>686</v>
      </c>
      <c r="C6133" s="704" t="s">
        <v>853</v>
      </c>
      <c r="D6133" s="704" t="s">
        <v>562</v>
      </c>
      <c r="E6133" s="704" t="s">
        <v>824</v>
      </c>
      <c r="F6133" s="705">
        <v>2.6852991774017796E-5</v>
      </c>
      <c r="G6133" s="705">
        <v>0.21934441288145931</v>
      </c>
    </row>
    <row r="6134" spans="2:7" ht="11.25" hidden="1" customHeight="1" outlineLevel="2" x14ac:dyDescent="0.25">
      <c r="B6134" s="704" t="s">
        <v>687</v>
      </c>
      <c r="C6134" s="704" t="s">
        <v>853</v>
      </c>
      <c r="D6134" s="704" t="s">
        <v>562</v>
      </c>
      <c r="E6134" s="704" t="s">
        <v>824</v>
      </c>
      <c r="F6134" s="705">
        <v>1.7262627052776994E-4</v>
      </c>
      <c r="G6134" s="705">
        <v>1.410071292642699</v>
      </c>
    </row>
    <row r="6135" spans="2:7" ht="11.25" hidden="1" customHeight="1" outlineLevel="2" x14ac:dyDescent="0.25">
      <c r="B6135" s="704" t="s">
        <v>688</v>
      </c>
      <c r="C6135" s="704" t="s">
        <v>853</v>
      </c>
      <c r="D6135" s="704" t="s">
        <v>562</v>
      </c>
      <c r="E6135" s="704" t="s">
        <v>824</v>
      </c>
      <c r="F6135" s="705">
        <v>4.5880242657735657E-4</v>
      </c>
      <c r="G6135" s="705">
        <v>3.7476537851210465</v>
      </c>
    </row>
    <row r="6136" spans="2:7" ht="11.25" hidden="1" customHeight="1" outlineLevel="2" x14ac:dyDescent="0.25">
      <c r="B6136" s="704" t="s">
        <v>689</v>
      </c>
      <c r="C6136" s="704" t="s">
        <v>853</v>
      </c>
      <c r="D6136" s="704" t="s">
        <v>562</v>
      </c>
      <c r="E6136" s="704" t="s">
        <v>824</v>
      </c>
      <c r="F6136" s="705">
        <v>2.8404828565524986E-5</v>
      </c>
      <c r="G6136" s="705">
        <v>0.23202026388569311</v>
      </c>
    </row>
    <row r="6137" spans="2:7" ht="11.25" hidden="1" customHeight="1" outlineLevel="2" x14ac:dyDescent="0.25">
      <c r="B6137" s="704" t="s">
        <v>690</v>
      </c>
      <c r="C6137" s="704" t="s">
        <v>853</v>
      </c>
      <c r="D6137" s="704" t="s">
        <v>562</v>
      </c>
      <c r="E6137" s="704" t="s">
        <v>824</v>
      </c>
      <c r="F6137" s="705">
        <v>6.7592773308463227E-4</v>
      </c>
      <c r="G6137" s="705">
        <v>5.5212063938054987</v>
      </c>
    </row>
    <row r="6138" spans="2:7" ht="11.25" hidden="1" customHeight="1" outlineLevel="2" x14ac:dyDescent="0.25">
      <c r="B6138" s="704" t="s">
        <v>691</v>
      </c>
      <c r="C6138" s="704" t="s">
        <v>853</v>
      </c>
      <c r="D6138" s="704" t="s">
        <v>562</v>
      </c>
      <c r="E6138" s="704" t="s">
        <v>824</v>
      </c>
      <c r="F6138" s="705">
        <v>5.1634473004307858E-4</v>
      </c>
      <c r="G6138" s="705">
        <v>4.2176769212382297</v>
      </c>
    </row>
    <row r="6139" spans="2:7" ht="11.25" hidden="1" customHeight="1" outlineLevel="2" x14ac:dyDescent="0.25">
      <c r="B6139" s="704" t="s">
        <v>692</v>
      </c>
      <c r="C6139" s="704" t="s">
        <v>853</v>
      </c>
      <c r="D6139" s="704" t="s">
        <v>562</v>
      </c>
      <c r="E6139" s="704" t="s">
        <v>824</v>
      </c>
      <c r="F6139" s="705">
        <v>6.061101700046418E-5</v>
      </c>
      <c r="G6139" s="705">
        <v>0.49509134192358573</v>
      </c>
    </row>
    <row r="6140" spans="2:7" ht="11.25" hidden="1" customHeight="1" outlineLevel="2" x14ac:dyDescent="0.25">
      <c r="B6140" s="704" t="s">
        <v>693</v>
      </c>
      <c r="C6140" s="704" t="s">
        <v>853</v>
      </c>
      <c r="D6140" s="704" t="s">
        <v>562</v>
      </c>
      <c r="E6140" s="704" t="s">
        <v>824</v>
      </c>
      <c r="F6140" s="705">
        <v>2.7620205128656482E-5</v>
      </c>
      <c r="G6140" s="705">
        <v>0.22561112058680091</v>
      </c>
    </row>
    <row r="6141" spans="2:7" ht="11.25" hidden="1" customHeight="1" outlineLevel="2" x14ac:dyDescent="0.25">
      <c r="B6141" s="704" t="s">
        <v>694</v>
      </c>
      <c r="C6141" s="704" t="s">
        <v>853</v>
      </c>
      <c r="D6141" s="704" t="s">
        <v>562</v>
      </c>
      <c r="E6141" s="704" t="s">
        <v>824</v>
      </c>
      <c r="F6141" s="705">
        <v>1.1508418664877356E-5</v>
      </c>
      <c r="G6141" s="705">
        <v>9.4004700970541172E-2</v>
      </c>
    </row>
    <row r="6142" spans="2:7" ht="11.25" hidden="1" customHeight="1" outlineLevel="2" x14ac:dyDescent="0.25">
      <c r="B6142" s="704" t="s">
        <v>695</v>
      </c>
      <c r="C6142" s="704" t="s">
        <v>853</v>
      </c>
      <c r="D6142" s="704" t="s">
        <v>562</v>
      </c>
      <c r="E6142" s="704" t="s">
        <v>824</v>
      </c>
      <c r="F6142" s="705">
        <v>5.1404283913450805E-5</v>
      </c>
      <c r="G6142" s="705">
        <v>0.41988754857894145</v>
      </c>
    </row>
    <row r="6143" spans="2:7" ht="11.25" hidden="1" customHeight="1" outlineLevel="2" x14ac:dyDescent="0.25">
      <c r="B6143" s="704" t="s">
        <v>696</v>
      </c>
      <c r="C6143" s="704" t="s">
        <v>853</v>
      </c>
      <c r="D6143" s="704" t="s">
        <v>562</v>
      </c>
      <c r="E6143" s="704" t="s">
        <v>824</v>
      </c>
      <c r="F6143" s="706">
        <v>1.1585141332680361E-4</v>
      </c>
      <c r="G6143" s="705">
        <v>0.94631345768927633</v>
      </c>
    </row>
    <row r="6144" spans="2:7" ht="11.25" hidden="1" customHeight="1" outlineLevel="2" x14ac:dyDescent="0.25">
      <c r="B6144" s="704" t="s">
        <v>697</v>
      </c>
      <c r="C6144" s="704" t="s">
        <v>853</v>
      </c>
      <c r="D6144" s="704" t="s">
        <v>562</v>
      </c>
      <c r="E6144" s="704" t="s">
        <v>824</v>
      </c>
      <c r="F6144" s="706">
        <v>1.0050694786151339E-4</v>
      </c>
      <c r="G6144" s="705">
        <v>0.82097404928424733</v>
      </c>
    </row>
    <row r="6145" spans="2:7" ht="11.25" hidden="1" customHeight="1" outlineLevel="2" x14ac:dyDescent="0.25">
      <c r="B6145" s="704" t="s">
        <v>698</v>
      </c>
      <c r="C6145" s="704" t="s">
        <v>853</v>
      </c>
      <c r="D6145" s="704" t="s">
        <v>562</v>
      </c>
      <c r="E6145" s="704" t="s">
        <v>824</v>
      </c>
      <c r="F6145" s="705">
        <v>6.2912714788697737E-5</v>
      </c>
      <c r="G6145" s="705">
        <v>0.51389227736357357</v>
      </c>
    </row>
    <row r="6146" spans="2:7" ht="11.25" hidden="1" customHeight="1" outlineLevel="2" x14ac:dyDescent="0.25">
      <c r="B6146" s="704" t="s">
        <v>699</v>
      </c>
      <c r="C6146" s="704" t="s">
        <v>853</v>
      </c>
      <c r="D6146" s="704" t="s">
        <v>562</v>
      </c>
      <c r="E6146" s="704" t="s">
        <v>824</v>
      </c>
      <c r="F6146" s="705">
        <v>4.8795706147164149E-4</v>
      </c>
      <c r="G6146" s="705">
        <v>3.9857984037881882</v>
      </c>
    </row>
    <row r="6147" spans="2:7" ht="11.25" hidden="1" customHeight="1" outlineLevel="2" x14ac:dyDescent="0.25">
      <c r="B6147" s="704" t="s">
        <v>673</v>
      </c>
      <c r="C6147" s="704" t="s">
        <v>707</v>
      </c>
      <c r="D6147" s="704" t="s">
        <v>562</v>
      </c>
      <c r="E6147" s="704" t="s">
        <v>676</v>
      </c>
      <c r="F6147" s="705">
        <v>0.80389029621148067</v>
      </c>
      <c r="G6147" s="705">
        <v>22.323202308482106</v>
      </c>
    </row>
    <row r="6148" spans="2:7" ht="11.25" hidden="1" customHeight="1" outlineLevel="2" x14ac:dyDescent="0.25">
      <c r="B6148" s="704" t="s">
        <v>677</v>
      </c>
      <c r="C6148" s="704" t="s">
        <v>707</v>
      </c>
      <c r="D6148" s="704" t="s">
        <v>562</v>
      </c>
      <c r="E6148" s="704" t="s">
        <v>676</v>
      </c>
      <c r="F6148" s="705">
        <v>8.1502164299902571</v>
      </c>
      <c r="G6148" s="705">
        <v>226.32283468358179</v>
      </c>
    </row>
    <row r="6149" spans="2:7" ht="11.25" hidden="1" customHeight="1" outlineLevel="2" x14ac:dyDescent="0.25">
      <c r="B6149" s="704" t="s">
        <v>678</v>
      </c>
      <c r="C6149" s="704" t="s">
        <v>707</v>
      </c>
      <c r="D6149" s="704" t="s">
        <v>562</v>
      </c>
      <c r="E6149" s="704" t="s">
        <v>676</v>
      </c>
      <c r="F6149" s="705">
        <v>12.466476998302486</v>
      </c>
      <c r="G6149" s="705">
        <v>340.74661593145191</v>
      </c>
    </row>
    <row r="6150" spans="2:7" ht="11.25" hidden="1" customHeight="1" outlineLevel="2" x14ac:dyDescent="0.25">
      <c r="B6150" s="704" t="s">
        <v>679</v>
      </c>
      <c r="C6150" s="704" t="s">
        <v>707</v>
      </c>
      <c r="D6150" s="704" t="s">
        <v>562</v>
      </c>
      <c r="E6150" s="704" t="s">
        <v>676</v>
      </c>
      <c r="F6150" s="705">
        <v>0.45759936476541224</v>
      </c>
      <c r="G6150" s="705">
        <v>12.707056676741562</v>
      </c>
    </row>
    <row r="6151" spans="2:7" ht="11.25" hidden="1" customHeight="1" outlineLevel="2" x14ac:dyDescent="0.25">
      <c r="B6151" s="704" t="s">
        <v>680</v>
      </c>
      <c r="C6151" s="704" t="s">
        <v>707</v>
      </c>
      <c r="D6151" s="704" t="s">
        <v>562</v>
      </c>
      <c r="E6151" s="704" t="s">
        <v>676</v>
      </c>
      <c r="F6151" s="705">
        <v>0.32155618159207844</v>
      </c>
      <c r="G6151" s="705">
        <v>8.9292837239369938</v>
      </c>
    </row>
    <row r="6152" spans="2:7" ht="11.25" hidden="1" customHeight="1" outlineLevel="2" x14ac:dyDescent="0.25">
      <c r="B6152" s="704" t="s">
        <v>681</v>
      </c>
      <c r="C6152" s="704" t="s">
        <v>707</v>
      </c>
      <c r="D6152" s="704" t="s">
        <v>562</v>
      </c>
      <c r="E6152" s="704" t="s">
        <v>676</v>
      </c>
      <c r="F6152" s="705">
        <v>2.0530121720126187</v>
      </c>
      <c r="G6152" s="705">
        <v>57.010031357646497</v>
      </c>
    </row>
    <row r="6153" spans="2:7" ht="11.25" hidden="1" customHeight="1" outlineLevel="2" x14ac:dyDescent="0.25">
      <c r="B6153" s="704" t="s">
        <v>682</v>
      </c>
      <c r="C6153" s="704" t="s">
        <v>707</v>
      </c>
      <c r="D6153" s="704" t="s">
        <v>562</v>
      </c>
      <c r="E6153" s="704" t="s">
        <v>676</v>
      </c>
      <c r="F6153" s="705">
        <v>0.79152314227951082</v>
      </c>
      <c r="G6153" s="705">
        <v>21.979777353708155</v>
      </c>
    </row>
    <row r="6154" spans="2:7" ht="11.25" hidden="1" customHeight="1" outlineLevel="2" x14ac:dyDescent="0.25">
      <c r="B6154" s="704" t="s">
        <v>683</v>
      </c>
      <c r="C6154" s="704" t="s">
        <v>707</v>
      </c>
      <c r="D6154" s="704" t="s">
        <v>562</v>
      </c>
      <c r="E6154" s="704" t="s">
        <v>676</v>
      </c>
      <c r="F6154" s="705">
        <v>0.93993347307302555</v>
      </c>
      <c r="G6154" s="705">
        <v>26.100982031370055</v>
      </c>
    </row>
    <row r="6155" spans="2:7" ht="11.25" hidden="1" customHeight="1" outlineLevel="2" x14ac:dyDescent="0.25">
      <c r="B6155" s="704" t="s">
        <v>684</v>
      </c>
      <c r="C6155" s="704" t="s">
        <v>707</v>
      </c>
      <c r="D6155" s="704" t="s">
        <v>562</v>
      </c>
      <c r="E6155" s="704" t="s">
        <v>676</v>
      </c>
      <c r="F6155" s="705">
        <v>0.58127444167930864</v>
      </c>
      <c r="G6155" s="705">
        <v>16.141390455217483</v>
      </c>
    </row>
    <row r="6156" spans="2:7" ht="11.25" hidden="1" customHeight="1" outlineLevel="2" x14ac:dyDescent="0.25">
      <c r="B6156" s="704" t="s">
        <v>685</v>
      </c>
      <c r="C6156" s="704" t="s">
        <v>707</v>
      </c>
      <c r="D6156" s="704" t="s">
        <v>562</v>
      </c>
      <c r="E6156" s="704" t="s">
        <v>676</v>
      </c>
      <c r="F6156" s="705">
        <v>2.8940065278472278</v>
      </c>
      <c r="G6156" s="705">
        <v>80.363539269096719</v>
      </c>
    </row>
    <row r="6157" spans="2:7" ht="11.25" hidden="1" customHeight="1" outlineLevel="2" x14ac:dyDescent="0.25">
      <c r="B6157" s="704" t="s">
        <v>686</v>
      </c>
      <c r="C6157" s="704" t="s">
        <v>707</v>
      </c>
      <c r="D6157" s="704" t="s">
        <v>562</v>
      </c>
      <c r="E6157" s="704" t="s">
        <v>676</v>
      </c>
      <c r="F6157" s="705">
        <v>0.43286396927672166</v>
      </c>
      <c r="G6157" s="705">
        <v>12.020187405879009</v>
      </c>
    </row>
    <row r="6158" spans="2:7" ht="11.25" hidden="1" customHeight="1" outlineLevel="2" x14ac:dyDescent="0.25">
      <c r="B6158" s="704" t="s">
        <v>687</v>
      </c>
      <c r="C6158" s="704" t="s">
        <v>707</v>
      </c>
      <c r="D6158" s="704" t="s">
        <v>562</v>
      </c>
      <c r="E6158" s="704" t="s">
        <v>676</v>
      </c>
      <c r="F6158" s="705">
        <v>2.7826968199379243</v>
      </c>
      <c r="G6158" s="705">
        <v>77.272648231711429</v>
      </c>
    </row>
    <row r="6159" spans="2:7" ht="11.25" hidden="1" customHeight="1" outlineLevel="2" x14ac:dyDescent="0.25">
      <c r="B6159" s="704" t="s">
        <v>688</v>
      </c>
      <c r="C6159" s="704" t="s">
        <v>707</v>
      </c>
      <c r="D6159" s="704" t="s">
        <v>562</v>
      </c>
      <c r="E6159" s="704" t="s">
        <v>676</v>
      </c>
      <c r="F6159" s="705">
        <v>7.3957932096994758</v>
      </c>
      <c r="G6159" s="705">
        <v>205.37351360308639</v>
      </c>
    </row>
    <row r="6160" spans="2:7" ht="11.25" hidden="1" customHeight="1" outlineLevel="2" x14ac:dyDescent="0.25">
      <c r="B6160" s="704" t="s">
        <v>689</v>
      </c>
      <c r="C6160" s="704" t="s">
        <v>707</v>
      </c>
      <c r="D6160" s="704" t="s">
        <v>562</v>
      </c>
      <c r="E6160" s="704" t="s">
        <v>676</v>
      </c>
      <c r="F6160" s="706">
        <v>0.45787966256603563</v>
      </c>
      <c r="G6160" s="705">
        <v>12.714840924623184</v>
      </c>
    </row>
    <row r="6161" spans="2:7" ht="11.25" hidden="1" customHeight="1" outlineLevel="2" x14ac:dyDescent="0.25">
      <c r="B6161" s="704" t="s">
        <v>690</v>
      </c>
      <c r="C6161" s="704" t="s">
        <v>707</v>
      </c>
      <c r="D6161" s="704" t="s">
        <v>562</v>
      </c>
      <c r="E6161" s="704" t="s">
        <v>676</v>
      </c>
      <c r="F6161" s="706">
        <v>10.895809456793888</v>
      </c>
      <c r="G6161" s="705">
        <v>302.56525324110635</v>
      </c>
    </row>
    <row r="6162" spans="2:7" ht="11.25" hidden="1" customHeight="1" outlineLevel="2" x14ac:dyDescent="0.25">
      <c r="B6162" s="704" t="s">
        <v>691</v>
      </c>
      <c r="C6162" s="704" t="s">
        <v>707</v>
      </c>
      <c r="D6162" s="704" t="s">
        <v>562</v>
      </c>
      <c r="E6162" s="704" t="s">
        <v>676</v>
      </c>
      <c r="F6162" s="706">
        <v>8.3233571286583228</v>
      </c>
      <c r="G6162" s="705">
        <v>231.13105238481612</v>
      </c>
    </row>
    <row r="6163" spans="2:7" ht="11.25" hidden="1" customHeight="1" outlineLevel="2" x14ac:dyDescent="0.25">
      <c r="B6163" s="704" t="s">
        <v>692</v>
      </c>
      <c r="C6163" s="704" t="s">
        <v>707</v>
      </c>
      <c r="D6163" s="704" t="s">
        <v>562</v>
      </c>
      <c r="E6163" s="704" t="s">
        <v>676</v>
      </c>
      <c r="F6163" s="706">
        <v>0.97703593809878764</v>
      </c>
      <c r="G6163" s="705">
        <v>27.131288254133135</v>
      </c>
    </row>
    <row r="6164" spans="2:7" ht="11.25" hidden="1" customHeight="1" outlineLevel="2" x14ac:dyDescent="0.25">
      <c r="B6164" s="704" t="s">
        <v>693</v>
      </c>
      <c r="C6164" s="704" t="s">
        <v>707</v>
      </c>
      <c r="D6164" s="704" t="s">
        <v>562</v>
      </c>
      <c r="E6164" s="704" t="s">
        <v>676</v>
      </c>
      <c r="F6164" s="706">
        <v>0.44523152539822219</v>
      </c>
      <c r="G6164" s="705">
        <v>12.363623190069534</v>
      </c>
    </row>
    <row r="6165" spans="2:7" ht="11.25" hidden="1" customHeight="1" outlineLevel="2" x14ac:dyDescent="0.25">
      <c r="B6165" s="704" t="s">
        <v>694</v>
      </c>
      <c r="C6165" s="704" t="s">
        <v>707</v>
      </c>
      <c r="D6165" s="704" t="s">
        <v>562</v>
      </c>
      <c r="E6165" s="704" t="s">
        <v>676</v>
      </c>
      <c r="F6165" s="706">
        <v>0.18551328676898304</v>
      </c>
      <c r="G6165" s="705">
        <v>5.1515106412369462</v>
      </c>
    </row>
    <row r="6166" spans="2:7" ht="11.25" hidden="1" customHeight="1" outlineLevel="2" x14ac:dyDescent="0.25">
      <c r="B6166" s="704" t="s">
        <v>695</v>
      </c>
      <c r="C6166" s="704" t="s">
        <v>707</v>
      </c>
      <c r="D6166" s="704" t="s">
        <v>562</v>
      </c>
      <c r="E6166" s="704" t="s">
        <v>676</v>
      </c>
      <c r="F6166" s="706">
        <v>0.8286253371338661</v>
      </c>
      <c r="G6166" s="705">
        <v>23.010059382546729</v>
      </c>
    </row>
    <row r="6167" spans="2:7" ht="11.25" hidden="1" customHeight="1" outlineLevel="2" x14ac:dyDescent="0.25">
      <c r="B6167" s="704" t="s">
        <v>696</v>
      </c>
      <c r="C6167" s="704" t="s">
        <v>707</v>
      </c>
      <c r="D6167" s="704" t="s">
        <v>562</v>
      </c>
      <c r="E6167" s="704" t="s">
        <v>676</v>
      </c>
      <c r="F6167" s="706">
        <v>1.8674995986614304</v>
      </c>
      <c r="G6167" s="705">
        <v>51.858542427595189</v>
      </c>
    </row>
    <row r="6168" spans="2:7" ht="11.25" hidden="1" customHeight="1" outlineLevel="2" x14ac:dyDescent="0.25">
      <c r="B6168" s="704" t="s">
        <v>697</v>
      </c>
      <c r="C6168" s="704" t="s">
        <v>707</v>
      </c>
      <c r="D6168" s="704" t="s">
        <v>562</v>
      </c>
      <c r="E6168" s="704" t="s">
        <v>676</v>
      </c>
      <c r="F6168" s="706">
        <v>1.6201484591108302</v>
      </c>
      <c r="G6168" s="705">
        <v>44.989842843554328</v>
      </c>
    </row>
    <row r="6169" spans="2:7" ht="11.25" hidden="1" customHeight="1" outlineLevel="2" x14ac:dyDescent="0.25">
      <c r="B6169" s="704" t="s">
        <v>698</v>
      </c>
      <c r="C6169" s="704" t="s">
        <v>707</v>
      </c>
      <c r="D6169" s="704" t="s">
        <v>562</v>
      </c>
      <c r="E6169" s="704" t="s">
        <v>676</v>
      </c>
      <c r="F6169" s="706">
        <v>1.0141385558556011</v>
      </c>
      <c r="G6169" s="705">
        <v>28.161586421188282</v>
      </c>
    </row>
    <row r="6170" spans="2:7" ht="11.25" hidden="1" customHeight="1" outlineLevel="2" x14ac:dyDescent="0.25">
      <c r="B6170" s="704" t="s">
        <v>699</v>
      </c>
      <c r="C6170" s="704" t="s">
        <v>707</v>
      </c>
      <c r="D6170" s="704" t="s">
        <v>562</v>
      </c>
      <c r="E6170" s="704" t="s">
        <v>676</v>
      </c>
      <c r="F6170" s="705">
        <v>7.8657579870359395</v>
      </c>
      <c r="G6170" s="705">
        <v>218.42403159830533</v>
      </c>
    </row>
    <row r="6171" spans="2:7" ht="11.25" hidden="1" customHeight="1" outlineLevel="2" x14ac:dyDescent="0.25">
      <c r="B6171" s="704" t="s">
        <v>673</v>
      </c>
      <c r="C6171" s="704" t="s">
        <v>708</v>
      </c>
      <c r="D6171" s="704" t="s">
        <v>562</v>
      </c>
      <c r="E6171" s="704" t="s">
        <v>676</v>
      </c>
      <c r="F6171" s="705">
        <v>3.0820012848344892E-2</v>
      </c>
      <c r="G6171" s="705">
        <v>1.1203546486198888</v>
      </c>
    </row>
    <row r="6172" spans="2:7" ht="11.25" hidden="1" customHeight="1" outlineLevel="2" x14ac:dyDescent="0.25">
      <c r="B6172" s="704" t="s">
        <v>677</v>
      </c>
      <c r="C6172" s="704" t="s">
        <v>708</v>
      </c>
      <c r="D6172" s="704" t="s">
        <v>562</v>
      </c>
      <c r="E6172" s="704" t="s">
        <v>676</v>
      </c>
      <c r="F6172" s="706">
        <v>0.31246768022732224</v>
      </c>
      <c r="G6172" s="705">
        <v>11.358677462985122</v>
      </c>
    </row>
    <row r="6173" spans="2:7" ht="11.25" hidden="1" customHeight="1" outlineLevel="2" x14ac:dyDescent="0.25">
      <c r="B6173" s="704" t="s">
        <v>678</v>
      </c>
      <c r="C6173" s="704" t="s">
        <v>708</v>
      </c>
      <c r="D6173" s="704" t="s">
        <v>562</v>
      </c>
      <c r="E6173" s="704" t="s">
        <v>676</v>
      </c>
      <c r="F6173" s="705">
        <v>0.47044393202359197</v>
      </c>
      <c r="G6173" s="705">
        <v>17.37411697467277</v>
      </c>
    </row>
    <row r="6174" spans="2:7" ht="11.25" hidden="1" customHeight="1" outlineLevel="2" x14ac:dyDescent="0.25">
      <c r="B6174" s="704" t="s">
        <v>679</v>
      </c>
      <c r="C6174" s="704" t="s">
        <v>708</v>
      </c>
      <c r="D6174" s="704" t="s">
        <v>562</v>
      </c>
      <c r="E6174" s="704" t="s">
        <v>676</v>
      </c>
      <c r="F6174" s="705">
        <v>1.7543707988243121E-2</v>
      </c>
      <c r="G6174" s="705">
        <v>0.63774025382771027</v>
      </c>
    </row>
    <row r="6175" spans="2:7" ht="11.25" hidden="1" customHeight="1" outlineLevel="2" x14ac:dyDescent="0.25">
      <c r="B6175" s="704" t="s">
        <v>680</v>
      </c>
      <c r="C6175" s="704" t="s">
        <v>708</v>
      </c>
      <c r="D6175" s="704" t="s">
        <v>562</v>
      </c>
      <c r="E6175" s="704" t="s">
        <v>676</v>
      </c>
      <c r="F6175" s="705">
        <v>1.2328011684503582E-2</v>
      </c>
      <c r="G6175" s="705">
        <v>0.44814172465763152</v>
      </c>
    </row>
    <row r="6176" spans="2:7" ht="11.25" hidden="1" customHeight="1" outlineLevel="2" x14ac:dyDescent="0.25">
      <c r="B6176" s="704" t="s">
        <v>681</v>
      </c>
      <c r="C6176" s="704" t="s">
        <v>708</v>
      </c>
      <c r="D6176" s="704" t="s">
        <v>562</v>
      </c>
      <c r="E6176" s="704" t="s">
        <v>676</v>
      </c>
      <c r="F6176" s="705">
        <v>7.8709602870745632E-2</v>
      </c>
      <c r="G6176" s="705">
        <v>2.8612134238946356</v>
      </c>
    </row>
    <row r="6177" spans="2:7" ht="11.25" hidden="1" customHeight="1" outlineLevel="2" x14ac:dyDescent="0.25">
      <c r="B6177" s="704" t="s">
        <v>682</v>
      </c>
      <c r="C6177" s="704" t="s">
        <v>708</v>
      </c>
      <c r="D6177" s="704" t="s">
        <v>562</v>
      </c>
      <c r="E6177" s="704" t="s">
        <v>676</v>
      </c>
      <c r="F6177" s="705">
        <v>3.0345865254220984E-2</v>
      </c>
      <c r="G6177" s="705">
        <v>1.1031182470573777</v>
      </c>
    </row>
    <row r="6178" spans="2:7" ht="11.25" hidden="1" customHeight="1" outlineLevel="2" x14ac:dyDescent="0.25">
      <c r="B6178" s="704" t="s">
        <v>683</v>
      </c>
      <c r="C6178" s="704" t="s">
        <v>708</v>
      </c>
      <c r="D6178" s="704" t="s">
        <v>562</v>
      </c>
      <c r="E6178" s="704" t="s">
        <v>676</v>
      </c>
      <c r="F6178" s="705">
        <v>3.6035731103460943E-2</v>
      </c>
      <c r="G6178" s="705">
        <v>1.3099533293498919</v>
      </c>
    </row>
    <row r="6179" spans="2:7" ht="11.25" hidden="1" customHeight="1" outlineLevel="2" x14ac:dyDescent="0.25">
      <c r="B6179" s="704" t="s">
        <v>684</v>
      </c>
      <c r="C6179" s="704" t="s">
        <v>708</v>
      </c>
      <c r="D6179" s="704" t="s">
        <v>562</v>
      </c>
      <c r="E6179" s="704" t="s">
        <v>676</v>
      </c>
      <c r="F6179" s="705">
        <v>2.2285249245554545E-2</v>
      </c>
      <c r="G6179" s="705">
        <v>0.81010283897226931</v>
      </c>
    </row>
    <row r="6180" spans="2:7" ht="11.25" hidden="1" customHeight="1" outlineLevel="2" x14ac:dyDescent="0.25">
      <c r="B6180" s="704" t="s">
        <v>685</v>
      </c>
      <c r="C6180" s="704" t="s">
        <v>708</v>
      </c>
      <c r="D6180" s="704" t="s">
        <v>562</v>
      </c>
      <c r="E6180" s="704" t="s">
        <v>676</v>
      </c>
      <c r="F6180" s="705">
        <v>0.11095210001795748</v>
      </c>
      <c r="G6180" s="705">
        <v>4.0332771965903778</v>
      </c>
    </row>
    <row r="6181" spans="2:7" ht="11.25" hidden="1" customHeight="1" outlineLevel="2" x14ac:dyDescent="0.25">
      <c r="B6181" s="704" t="s">
        <v>686</v>
      </c>
      <c r="C6181" s="704" t="s">
        <v>708</v>
      </c>
      <c r="D6181" s="704" t="s">
        <v>562</v>
      </c>
      <c r="E6181" s="704" t="s">
        <v>676</v>
      </c>
      <c r="F6181" s="705">
        <v>1.65953890168536E-2</v>
      </c>
      <c r="G6181" s="705">
        <v>0.60326811648002643</v>
      </c>
    </row>
    <row r="6182" spans="2:7" ht="11.25" hidden="1" customHeight="1" outlineLevel="2" x14ac:dyDescent="0.25">
      <c r="B6182" s="704" t="s">
        <v>687</v>
      </c>
      <c r="C6182" s="704" t="s">
        <v>708</v>
      </c>
      <c r="D6182" s="704" t="s">
        <v>562</v>
      </c>
      <c r="E6182" s="704" t="s">
        <v>676</v>
      </c>
      <c r="F6182" s="705">
        <v>0.10668472970592245</v>
      </c>
      <c r="G6182" s="705">
        <v>3.8781524742745832</v>
      </c>
    </row>
    <row r="6183" spans="2:7" ht="11.25" hidden="1" customHeight="1" outlineLevel="2" x14ac:dyDescent="0.25">
      <c r="B6183" s="704" t="s">
        <v>688</v>
      </c>
      <c r="C6183" s="704" t="s">
        <v>708</v>
      </c>
      <c r="D6183" s="704" t="s">
        <v>562</v>
      </c>
      <c r="E6183" s="704" t="s">
        <v>676</v>
      </c>
      <c r="F6183" s="705">
        <v>0.28354423042470622</v>
      </c>
      <c r="G6183" s="705">
        <v>10.307266369421551</v>
      </c>
    </row>
    <row r="6184" spans="2:7" ht="11.25" hidden="1" customHeight="1" outlineLevel="2" x14ac:dyDescent="0.25">
      <c r="B6184" s="704" t="s">
        <v>689</v>
      </c>
      <c r="C6184" s="704" t="s">
        <v>708</v>
      </c>
      <c r="D6184" s="704" t="s">
        <v>562</v>
      </c>
      <c r="E6184" s="704" t="s">
        <v>676</v>
      </c>
      <c r="F6184" s="705">
        <v>1.7554447475995934E-2</v>
      </c>
      <c r="G6184" s="705">
        <v>0.63813102666113275</v>
      </c>
    </row>
    <row r="6185" spans="2:7" ht="11.25" hidden="1" customHeight="1" outlineLevel="2" x14ac:dyDescent="0.25">
      <c r="B6185" s="704" t="s">
        <v>690</v>
      </c>
      <c r="C6185" s="704" t="s">
        <v>708</v>
      </c>
      <c r="D6185" s="704" t="s">
        <v>562</v>
      </c>
      <c r="E6185" s="704" t="s">
        <v>676</v>
      </c>
      <c r="F6185" s="705">
        <v>0.41772985581005884</v>
      </c>
      <c r="G6185" s="705">
        <v>15.185114246318433</v>
      </c>
    </row>
    <row r="6186" spans="2:7" ht="11.25" hidden="1" customHeight="1" outlineLevel="2" x14ac:dyDescent="0.25">
      <c r="B6186" s="704" t="s">
        <v>691</v>
      </c>
      <c r="C6186" s="704" t="s">
        <v>708</v>
      </c>
      <c r="D6186" s="704" t="s">
        <v>562</v>
      </c>
      <c r="E6186" s="704" t="s">
        <v>676</v>
      </c>
      <c r="F6186" s="705">
        <v>0.31910583205520271</v>
      </c>
      <c r="G6186" s="705">
        <v>11.5999817643679</v>
      </c>
    </row>
    <row r="6187" spans="2:7" ht="11.25" hidden="1" customHeight="1" outlineLevel="2" x14ac:dyDescent="0.25">
      <c r="B6187" s="704" t="s">
        <v>692</v>
      </c>
      <c r="C6187" s="704" t="s">
        <v>708</v>
      </c>
      <c r="D6187" s="704" t="s">
        <v>562</v>
      </c>
      <c r="E6187" s="704" t="s">
        <v>676</v>
      </c>
      <c r="F6187" s="705">
        <v>3.7458184472513867E-2</v>
      </c>
      <c r="G6187" s="705">
        <v>1.3616620042505496</v>
      </c>
    </row>
    <row r="6188" spans="2:7" ht="11.25" hidden="1" customHeight="1" outlineLevel="2" x14ac:dyDescent="0.25">
      <c r="B6188" s="704" t="s">
        <v>693</v>
      </c>
      <c r="C6188" s="704" t="s">
        <v>708</v>
      </c>
      <c r="D6188" s="704" t="s">
        <v>562</v>
      </c>
      <c r="E6188" s="704" t="s">
        <v>676</v>
      </c>
      <c r="F6188" s="705">
        <v>1.7069548546124459E-2</v>
      </c>
      <c r="G6188" s="705">
        <v>0.62050435499914391</v>
      </c>
    </row>
    <row r="6189" spans="2:7" ht="11.25" hidden="1" customHeight="1" outlineLevel="2" x14ac:dyDescent="0.25">
      <c r="B6189" s="704" t="s">
        <v>694</v>
      </c>
      <c r="C6189" s="704" t="s">
        <v>708</v>
      </c>
      <c r="D6189" s="704" t="s">
        <v>562</v>
      </c>
      <c r="E6189" s="704" t="s">
        <v>676</v>
      </c>
      <c r="F6189" s="705">
        <v>7.1123124991880138E-3</v>
      </c>
      <c r="G6189" s="705">
        <v>0.25854331046833284</v>
      </c>
    </row>
    <row r="6190" spans="2:7" ht="11.25" hidden="1" customHeight="1" outlineLevel="2" x14ac:dyDescent="0.25">
      <c r="B6190" s="704" t="s">
        <v>695</v>
      </c>
      <c r="C6190" s="704" t="s">
        <v>708</v>
      </c>
      <c r="D6190" s="704" t="s">
        <v>562</v>
      </c>
      <c r="E6190" s="704" t="s">
        <v>676</v>
      </c>
      <c r="F6190" s="705">
        <v>3.1768328983932448E-2</v>
      </c>
      <c r="G6190" s="705">
        <v>1.1548271877610636</v>
      </c>
    </row>
    <row r="6191" spans="2:7" ht="11.25" hidden="1" customHeight="1" outlineLevel="2" x14ac:dyDescent="0.25">
      <c r="B6191" s="704" t="s">
        <v>696</v>
      </c>
      <c r="C6191" s="704" t="s">
        <v>708</v>
      </c>
      <c r="D6191" s="704" t="s">
        <v>562</v>
      </c>
      <c r="E6191" s="704" t="s">
        <v>676</v>
      </c>
      <c r="F6191" s="705">
        <v>7.1597260727998824E-2</v>
      </c>
      <c r="G6191" s="705">
        <v>2.6026707618678606</v>
      </c>
    </row>
    <row r="6192" spans="2:7" ht="11.25" hidden="1" customHeight="1" outlineLevel="2" x14ac:dyDescent="0.25">
      <c r="B6192" s="704" t="s">
        <v>697</v>
      </c>
      <c r="C6192" s="704" t="s">
        <v>708</v>
      </c>
      <c r="D6192" s="704" t="s">
        <v>562</v>
      </c>
      <c r="E6192" s="704" t="s">
        <v>676</v>
      </c>
      <c r="F6192" s="705">
        <v>6.2114199145451354E-2</v>
      </c>
      <c r="G6192" s="705">
        <v>2.2579461629686737</v>
      </c>
    </row>
    <row r="6193" spans="2:7" ht="11.25" hidden="1" customHeight="1" outlineLevel="2" x14ac:dyDescent="0.25">
      <c r="B6193" s="704" t="s">
        <v>698</v>
      </c>
      <c r="C6193" s="704" t="s">
        <v>708</v>
      </c>
      <c r="D6193" s="704" t="s">
        <v>562</v>
      </c>
      <c r="E6193" s="704" t="s">
        <v>676</v>
      </c>
      <c r="F6193" s="706">
        <v>3.8880617557343837E-2</v>
      </c>
      <c r="G6193" s="705">
        <v>1.4133705507282956</v>
      </c>
    </row>
    <row r="6194" spans="2:7" ht="11.25" hidden="1" customHeight="1" outlineLevel="2" x14ac:dyDescent="0.25">
      <c r="B6194" s="704" t="s">
        <v>699</v>
      </c>
      <c r="C6194" s="704" t="s">
        <v>708</v>
      </c>
      <c r="D6194" s="704" t="s">
        <v>562</v>
      </c>
      <c r="E6194" s="704" t="s">
        <v>676</v>
      </c>
      <c r="F6194" s="706">
        <v>0.30156209923680644</v>
      </c>
      <c r="G6194" s="705">
        <v>10.96223943213959</v>
      </c>
    </row>
    <row r="6195" spans="2:7" ht="11.25" hidden="1" customHeight="1" outlineLevel="2" x14ac:dyDescent="0.25">
      <c r="B6195" s="704" t="s">
        <v>673</v>
      </c>
      <c r="C6195" s="704" t="s">
        <v>709</v>
      </c>
      <c r="D6195" s="704" t="s">
        <v>562</v>
      </c>
      <c r="E6195" s="704" t="s">
        <v>676</v>
      </c>
      <c r="F6195" s="706">
        <v>2.2126505603820529E-2</v>
      </c>
      <c r="G6195" s="705">
        <v>1.5518808101577897</v>
      </c>
    </row>
    <row r="6196" spans="2:7" ht="11.25" hidden="1" customHeight="1" outlineLevel="2" x14ac:dyDescent="0.25">
      <c r="B6196" s="704" t="s">
        <v>677</v>
      </c>
      <c r="C6196" s="704" t="s">
        <v>709</v>
      </c>
      <c r="D6196" s="704" t="s">
        <v>562</v>
      </c>
      <c r="E6196" s="704" t="s">
        <v>676</v>
      </c>
      <c r="F6196" s="706">
        <v>0.22432880827507179</v>
      </c>
      <c r="G6196" s="705">
        <v>15.733691800152682</v>
      </c>
    </row>
    <row r="6197" spans="2:7" ht="11.25" hidden="1" customHeight="1" outlineLevel="2" x14ac:dyDescent="0.25">
      <c r="B6197" s="704" t="s">
        <v>678</v>
      </c>
      <c r="C6197" s="704" t="s">
        <v>709</v>
      </c>
      <c r="D6197" s="704" t="s">
        <v>562</v>
      </c>
      <c r="E6197" s="704" t="s">
        <v>676</v>
      </c>
      <c r="F6197" s="706">
        <v>0.34313093907309017</v>
      </c>
      <c r="G6197" s="705">
        <v>24.066112630568846</v>
      </c>
    </row>
    <row r="6198" spans="2:7" ht="11.25" hidden="1" customHeight="1" outlineLevel="2" x14ac:dyDescent="0.25">
      <c r="B6198" s="704" t="s">
        <v>679</v>
      </c>
      <c r="C6198" s="704" t="s">
        <v>709</v>
      </c>
      <c r="D6198" s="704" t="s">
        <v>562</v>
      </c>
      <c r="E6198" s="704" t="s">
        <v>676</v>
      </c>
      <c r="F6198" s="706">
        <v>1.2595095281793192E-2</v>
      </c>
      <c r="G6198" s="705">
        <v>0.88337908455013547</v>
      </c>
    </row>
    <row r="6199" spans="2:7" ht="11.25" hidden="1" customHeight="1" outlineLevel="2" x14ac:dyDescent="0.25">
      <c r="B6199" s="704" t="s">
        <v>680</v>
      </c>
      <c r="C6199" s="704" t="s">
        <v>709</v>
      </c>
      <c r="D6199" s="704" t="s">
        <v>562</v>
      </c>
      <c r="E6199" s="704" t="s">
        <v>676</v>
      </c>
      <c r="F6199" s="705">
        <v>8.8506123491543607E-3</v>
      </c>
      <c r="G6199" s="705">
        <v>0.62075257486488022</v>
      </c>
    </row>
    <row r="6200" spans="2:7" ht="11.25" hidden="1" customHeight="1" outlineLevel="2" x14ac:dyDescent="0.25">
      <c r="B6200" s="704" t="s">
        <v>681</v>
      </c>
      <c r="C6200" s="704" t="s">
        <v>709</v>
      </c>
      <c r="D6200" s="704" t="s">
        <v>562</v>
      </c>
      <c r="E6200" s="704" t="s">
        <v>676</v>
      </c>
      <c r="F6200" s="705">
        <v>5.6507694617332536E-2</v>
      </c>
      <c r="G6200" s="705">
        <v>3.9632664729696248</v>
      </c>
    </row>
    <row r="6201" spans="2:7" ht="11.25" hidden="1" customHeight="1" outlineLevel="2" x14ac:dyDescent="0.25">
      <c r="B6201" s="704" t="s">
        <v>682</v>
      </c>
      <c r="C6201" s="704" t="s">
        <v>709</v>
      </c>
      <c r="D6201" s="704" t="s">
        <v>562</v>
      </c>
      <c r="E6201" s="704" t="s">
        <v>676</v>
      </c>
      <c r="F6201" s="705">
        <v>2.1786092390987586E-2</v>
      </c>
      <c r="G6201" s="705">
        <v>1.5280055082165012</v>
      </c>
    </row>
    <row r="6202" spans="2:7" ht="11.25" hidden="1" customHeight="1" outlineLevel="2" x14ac:dyDescent="0.25">
      <c r="B6202" s="704" t="s">
        <v>683</v>
      </c>
      <c r="C6202" s="704" t="s">
        <v>709</v>
      </c>
      <c r="D6202" s="704" t="s">
        <v>562</v>
      </c>
      <c r="E6202" s="704" t="s">
        <v>676</v>
      </c>
      <c r="F6202" s="705">
        <v>2.5870986359397209E-2</v>
      </c>
      <c r="G6202" s="705">
        <v>1.8145070878291276</v>
      </c>
    </row>
    <row r="6203" spans="2:7" ht="11.25" hidden="1" customHeight="1" outlineLevel="2" x14ac:dyDescent="0.25">
      <c r="B6203" s="704" t="s">
        <v>684</v>
      </c>
      <c r="C6203" s="704" t="s">
        <v>709</v>
      </c>
      <c r="D6203" s="704" t="s">
        <v>562</v>
      </c>
      <c r="E6203" s="704" t="s">
        <v>676</v>
      </c>
      <c r="F6203" s="705">
        <v>1.5999167104088559E-2</v>
      </c>
      <c r="G6203" s="705">
        <v>1.1221293777027717</v>
      </c>
    </row>
    <row r="6204" spans="2:7" ht="11.25" hidden="1" customHeight="1" outlineLevel="2" x14ac:dyDescent="0.25">
      <c r="B6204" s="704" t="s">
        <v>685</v>
      </c>
      <c r="C6204" s="704" t="s">
        <v>709</v>
      </c>
      <c r="D6204" s="704" t="s">
        <v>562</v>
      </c>
      <c r="E6204" s="704" t="s">
        <v>676</v>
      </c>
      <c r="F6204" s="705">
        <v>7.9655401992502456E-2</v>
      </c>
      <c r="G6204" s="705">
        <v>5.5867712213196885</v>
      </c>
    </row>
    <row r="6205" spans="2:7" ht="11.25" hidden="1" customHeight="1" outlineLevel="2" x14ac:dyDescent="0.25">
      <c r="B6205" s="704" t="s">
        <v>686</v>
      </c>
      <c r="C6205" s="704" t="s">
        <v>709</v>
      </c>
      <c r="D6205" s="704" t="s">
        <v>562</v>
      </c>
      <c r="E6205" s="704" t="s">
        <v>676</v>
      </c>
      <c r="F6205" s="705">
        <v>1.1914278289997571E-2</v>
      </c>
      <c r="G6205" s="705">
        <v>0.83562722800012534</v>
      </c>
    </row>
    <row r="6206" spans="2:7" ht="11.25" hidden="1" customHeight="1" outlineLevel="2" x14ac:dyDescent="0.25">
      <c r="B6206" s="704" t="s">
        <v>687</v>
      </c>
      <c r="C6206" s="704" t="s">
        <v>709</v>
      </c>
      <c r="D6206" s="704" t="s">
        <v>562</v>
      </c>
      <c r="E6206" s="704" t="s">
        <v>676</v>
      </c>
      <c r="F6206" s="705">
        <v>7.6591716168153481E-2</v>
      </c>
      <c r="G6206" s="705">
        <v>5.3718982900224015</v>
      </c>
    </row>
    <row r="6207" spans="2:7" ht="11.25" hidden="1" customHeight="1" outlineLevel="2" x14ac:dyDescent="0.25">
      <c r="B6207" s="704" t="s">
        <v>688</v>
      </c>
      <c r="C6207" s="704" t="s">
        <v>709</v>
      </c>
      <c r="D6207" s="704" t="s">
        <v>562</v>
      </c>
      <c r="E6207" s="704" t="s">
        <v>676</v>
      </c>
      <c r="F6207" s="705">
        <v>0.2035638211704178</v>
      </c>
      <c r="G6207" s="705">
        <v>14.277294563293603</v>
      </c>
    </row>
    <row r="6208" spans="2:7" ht="11.25" hidden="1" customHeight="1" outlineLevel="2" x14ac:dyDescent="0.25">
      <c r="B6208" s="704" t="s">
        <v>689</v>
      </c>
      <c r="C6208" s="704" t="s">
        <v>709</v>
      </c>
      <c r="D6208" s="704" t="s">
        <v>562</v>
      </c>
      <c r="E6208" s="704" t="s">
        <v>676</v>
      </c>
      <c r="F6208" s="705">
        <v>1.2602822046007678E-2</v>
      </c>
      <c r="G6208" s="705">
        <v>0.88391979965758738</v>
      </c>
    </row>
    <row r="6209" spans="2:7" ht="11.25" hidden="1" customHeight="1" outlineLevel="2" x14ac:dyDescent="0.25">
      <c r="B6209" s="704" t="s">
        <v>690</v>
      </c>
      <c r="C6209" s="704" t="s">
        <v>709</v>
      </c>
      <c r="D6209" s="704" t="s">
        <v>562</v>
      </c>
      <c r="E6209" s="704" t="s">
        <v>676</v>
      </c>
      <c r="F6209" s="705">
        <v>0.29989947010126278</v>
      </c>
      <c r="G6209" s="705">
        <v>21.033963650974869</v>
      </c>
    </row>
    <row r="6210" spans="2:7" ht="11.25" hidden="1" customHeight="1" outlineLevel="2" x14ac:dyDescent="0.25">
      <c r="B6210" s="704" t="s">
        <v>691</v>
      </c>
      <c r="C6210" s="704" t="s">
        <v>709</v>
      </c>
      <c r="D6210" s="704" t="s">
        <v>562</v>
      </c>
      <c r="E6210" s="704" t="s">
        <v>676</v>
      </c>
      <c r="F6210" s="705">
        <v>0.22909449030175949</v>
      </c>
      <c r="G6210" s="705">
        <v>16.067940127399936</v>
      </c>
    </row>
    <row r="6211" spans="2:7" ht="11.25" hidden="1" customHeight="1" outlineLevel="2" x14ac:dyDescent="0.25">
      <c r="B6211" s="704" t="s">
        <v>692</v>
      </c>
      <c r="C6211" s="704" t="s">
        <v>709</v>
      </c>
      <c r="D6211" s="704" t="s">
        <v>562</v>
      </c>
      <c r="E6211" s="704" t="s">
        <v>676</v>
      </c>
      <c r="F6211" s="705">
        <v>2.6892229931785205E-2</v>
      </c>
      <c r="G6211" s="705">
        <v>1.8861312120538736</v>
      </c>
    </row>
    <row r="6212" spans="2:7" ht="11.25" hidden="1" customHeight="1" outlineLevel="2" x14ac:dyDescent="0.25">
      <c r="B6212" s="704" t="s">
        <v>693</v>
      </c>
      <c r="C6212" s="704" t="s">
        <v>709</v>
      </c>
      <c r="D6212" s="704" t="s">
        <v>562</v>
      </c>
      <c r="E6212" s="704" t="s">
        <v>676</v>
      </c>
      <c r="F6212" s="705">
        <v>1.2254690431152205E-2</v>
      </c>
      <c r="G6212" s="705">
        <v>0.85950329113721513</v>
      </c>
    </row>
    <row r="6213" spans="2:7" ht="11.25" hidden="1" customHeight="1" outlineLevel="2" x14ac:dyDescent="0.25">
      <c r="B6213" s="704" t="s">
        <v>694</v>
      </c>
      <c r="C6213" s="704" t="s">
        <v>709</v>
      </c>
      <c r="D6213" s="704" t="s">
        <v>562</v>
      </c>
      <c r="E6213" s="704" t="s">
        <v>676</v>
      </c>
      <c r="F6213" s="705">
        <v>5.1061178969264345E-3</v>
      </c>
      <c r="G6213" s="705">
        <v>0.35812635250793856</v>
      </c>
    </row>
    <row r="6214" spans="2:7" ht="11.25" hidden="1" customHeight="1" outlineLevel="2" x14ac:dyDescent="0.25">
      <c r="B6214" s="704" t="s">
        <v>695</v>
      </c>
      <c r="C6214" s="704" t="s">
        <v>709</v>
      </c>
      <c r="D6214" s="704" t="s">
        <v>562</v>
      </c>
      <c r="E6214" s="704" t="s">
        <v>676</v>
      </c>
      <c r="F6214" s="705">
        <v>2.2807327588897228E-2</v>
      </c>
      <c r="G6214" s="705">
        <v>1.5996316381951805</v>
      </c>
    </row>
    <row r="6215" spans="2:7" ht="11.25" hidden="1" customHeight="1" outlineLevel="2" x14ac:dyDescent="0.25">
      <c r="B6215" s="704" t="s">
        <v>696</v>
      </c>
      <c r="C6215" s="704" t="s">
        <v>709</v>
      </c>
      <c r="D6215" s="704" t="s">
        <v>562</v>
      </c>
      <c r="E6215" s="704" t="s">
        <v>676</v>
      </c>
      <c r="F6215" s="705">
        <v>5.1401582455882416E-2</v>
      </c>
      <c r="G6215" s="705">
        <v>3.6051392396005935</v>
      </c>
    </row>
    <row r="6216" spans="2:7" ht="11.25" hidden="1" customHeight="1" outlineLevel="2" x14ac:dyDescent="0.25">
      <c r="B6216" s="704" t="s">
        <v>697</v>
      </c>
      <c r="C6216" s="704" t="s">
        <v>709</v>
      </c>
      <c r="D6216" s="704" t="s">
        <v>562</v>
      </c>
      <c r="E6216" s="704" t="s">
        <v>676</v>
      </c>
      <c r="F6216" s="705">
        <v>4.4593407557090681E-2</v>
      </c>
      <c r="G6216" s="705">
        <v>3.1276383486012045</v>
      </c>
    </row>
    <row r="6217" spans="2:7" ht="11.25" hidden="1" customHeight="1" outlineLevel="2" x14ac:dyDescent="0.25">
      <c r="B6217" s="704" t="s">
        <v>698</v>
      </c>
      <c r="C6217" s="704" t="s">
        <v>709</v>
      </c>
      <c r="D6217" s="704" t="s">
        <v>562</v>
      </c>
      <c r="E6217" s="704" t="s">
        <v>676</v>
      </c>
      <c r="F6217" s="705">
        <v>2.7913444141903009E-2</v>
      </c>
      <c r="G6217" s="705">
        <v>1.9577563776975262</v>
      </c>
    </row>
    <row r="6218" spans="2:7" ht="11.25" hidden="1" customHeight="1" outlineLevel="2" x14ac:dyDescent="0.25">
      <c r="B6218" s="704" t="s">
        <v>699</v>
      </c>
      <c r="C6218" s="704" t="s">
        <v>709</v>
      </c>
      <c r="D6218" s="704" t="s">
        <v>562</v>
      </c>
      <c r="E6218" s="704" t="s">
        <v>676</v>
      </c>
      <c r="F6218" s="705">
        <v>0.21649947585021689</v>
      </c>
      <c r="G6218" s="705">
        <v>15.184567052122661</v>
      </c>
    </row>
    <row r="6219" spans="2:7" ht="11.25" hidden="1" customHeight="1" outlineLevel="2" x14ac:dyDescent="0.25">
      <c r="B6219" s="704" t="s">
        <v>673</v>
      </c>
      <c r="C6219" s="704" t="s">
        <v>710</v>
      </c>
      <c r="D6219" s="704" t="s">
        <v>562</v>
      </c>
      <c r="E6219" s="704" t="s">
        <v>676</v>
      </c>
      <c r="F6219" s="705">
        <v>0.26247878185096873</v>
      </c>
      <c r="G6219" s="705">
        <v>54.927756521867629</v>
      </c>
    </row>
    <row r="6220" spans="2:7" ht="11.25" hidden="1" customHeight="1" outlineLevel="2" x14ac:dyDescent="0.25">
      <c r="B6220" s="704" t="s">
        <v>677</v>
      </c>
      <c r="C6220" s="704" t="s">
        <v>710</v>
      </c>
      <c r="D6220" s="704" t="s">
        <v>562</v>
      </c>
      <c r="E6220" s="704" t="s">
        <v>676</v>
      </c>
      <c r="F6220" s="705">
        <v>2.6281236090389046</v>
      </c>
      <c r="G6220" s="705">
        <v>549.97583847754686</v>
      </c>
    </row>
    <row r="6221" spans="2:7" ht="11.25" hidden="1" customHeight="1" outlineLevel="2" x14ac:dyDescent="0.25">
      <c r="B6221" s="704" t="s">
        <v>678</v>
      </c>
      <c r="C6221" s="704" t="s">
        <v>710</v>
      </c>
      <c r="D6221" s="704" t="s">
        <v>562</v>
      </c>
      <c r="E6221" s="704" t="s">
        <v>676</v>
      </c>
      <c r="F6221" s="705">
        <v>4.0199516030353193</v>
      </c>
      <c r="G6221" s="705">
        <v>841.23768857037055</v>
      </c>
    </row>
    <row r="6222" spans="2:7" ht="11.25" hidden="1" customHeight="1" outlineLevel="2" x14ac:dyDescent="0.25">
      <c r="B6222" s="704" t="s">
        <v>679</v>
      </c>
      <c r="C6222" s="704" t="s">
        <v>710</v>
      </c>
      <c r="D6222" s="704" t="s">
        <v>562</v>
      </c>
      <c r="E6222" s="704" t="s">
        <v>676</v>
      </c>
      <c r="F6222" s="705">
        <v>0.14755787278165058</v>
      </c>
      <c r="G6222" s="705">
        <v>30.878775200898904</v>
      </c>
    </row>
    <row r="6223" spans="2:7" ht="11.25" hidden="1" customHeight="1" outlineLevel="2" x14ac:dyDescent="0.25">
      <c r="B6223" s="704" t="s">
        <v>680</v>
      </c>
      <c r="C6223" s="704" t="s">
        <v>710</v>
      </c>
      <c r="D6223" s="704" t="s">
        <v>562</v>
      </c>
      <c r="E6223" s="704" t="s">
        <v>676</v>
      </c>
      <c r="F6223" s="705">
        <v>0.1036892906838866</v>
      </c>
      <c r="G6223" s="705">
        <v>21.698588080993254</v>
      </c>
    </row>
    <row r="6224" spans="2:7" ht="11.25" hidden="1" customHeight="1" outlineLevel="2" x14ac:dyDescent="0.25">
      <c r="B6224" s="704" t="s">
        <v>681</v>
      </c>
      <c r="C6224" s="704" t="s">
        <v>710</v>
      </c>
      <c r="D6224" s="704" t="s">
        <v>562</v>
      </c>
      <c r="E6224" s="704" t="s">
        <v>676</v>
      </c>
      <c r="F6224" s="705">
        <v>0.66201618483337998</v>
      </c>
      <c r="G6224" s="705">
        <v>138.53727196872038</v>
      </c>
    </row>
    <row r="6225" spans="2:7" ht="11.25" hidden="1" customHeight="1" outlineLevel="2" x14ac:dyDescent="0.25">
      <c r="B6225" s="704" t="s">
        <v>682</v>
      </c>
      <c r="C6225" s="704" t="s">
        <v>710</v>
      </c>
      <c r="D6225" s="704" t="s">
        <v>562</v>
      </c>
      <c r="E6225" s="704" t="s">
        <v>676</v>
      </c>
      <c r="F6225" s="705">
        <v>0.25523512839652945</v>
      </c>
      <c r="G6225" s="705">
        <v>53.411924720210095</v>
      </c>
    </row>
    <row r="6226" spans="2:7" ht="11.25" hidden="1" customHeight="1" outlineLevel="2" x14ac:dyDescent="0.25">
      <c r="B6226" s="704" t="s">
        <v>683</v>
      </c>
      <c r="C6226" s="704" t="s">
        <v>710</v>
      </c>
      <c r="D6226" s="704" t="s">
        <v>562</v>
      </c>
      <c r="E6226" s="704" t="s">
        <v>676</v>
      </c>
      <c r="F6226" s="705">
        <v>0.30309192013613762</v>
      </c>
      <c r="G6226" s="705">
        <v>63.42664529103574</v>
      </c>
    </row>
    <row r="6227" spans="2:7" ht="11.25" hidden="1" customHeight="1" outlineLevel="2" x14ac:dyDescent="0.25">
      <c r="B6227" s="704" t="s">
        <v>684</v>
      </c>
      <c r="C6227" s="704" t="s">
        <v>710</v>
      </c>
      <c r="D6227" s="704" t="s">
        <v>562</v>
      </c>
      <c r="E6227" s="704" t="s">
        <v>676</v>
      </c>
      <c r="F6227" s="705">
        <v>0.18743832256555615</v>
      </c>
      <c r="G6227" s="705">
        <v>39.22438184348573</v>
      </c>
    </row>
    <row r="6228" spans="2:7" ht="11.25" hidden="1" customHeight="1" outlineLevel="2" x14ac:dyDescent="0.25">
      <c r="B6228" s="704" t="s">
        <v>685</v>
      </c>
      <c r="C6228" s="704" t="s">
        <v>710</v>
      </c>
      <c r="D6228" s="704" t="s">
        <v>562</v>
      </c>
      <c r="E6228" s="704" t="s">
        <v>676</v>
      </c>
      <c r="F6228" s="705">
        <v>0.93320323895943269</v>
      </c>
      <c r="G6228" s="705">
        <v>195.28737619111058</v>
      </c>
    </row>
    <row r="6229" spans="2:7" ht="11.25" hidden="1" customHeight="1" outlineLevel="2" x14ac:dyDescent="0.25">
      <c r="B6229" s="704" t="s">
        <v>686</v>
      </c>
      <c r="C6229" s="704" t="s">
        <v>710</v>
      </c>
      <c r="D6229" s="704" t="s">
        <v>562</v>
      </c>
      <c r="E6229" s="704" t="s">
        <v>676</v>
      </c>
      <c r="F6229" s="705">
        <v>0.13958170785634988</v>
      </c>
      <c r="G6229" s="705">
        <v>29.209630368554183</v>
      </c>
    </row>
    <row r="6230" spans="2:7" ht="11.25" hidden="1" customHeight="1" outlineLevel="2" x14ac:dyDescent="0.25">
      <c r="B6230" s="704" t="s">
        <v>687</v>
      </c>
      <c r="C6230" s="704" t="s">
        <v>710</v>
      </c>
      <c r="D6230" s="704" t="s">
        <v>562</v>
      </c>
      <c r="E6230" s="704" t="s">
        <v>676</v>
      </c>
      <c r="F6230" s="705">
        <v>0.89731112300669391</v>
      </c>
      <c r="G6230" s="705">
        <v>187.77625373243035</v>
      </c>
    </row>
    <row r="6231" spans="2:7" ht="11.25" hidden="1" customHeight="1" outlineLevel="2" x14ac:dyDescent="0.25">
      <c r="B6231" s="704" t="s">
        <v>688</v>
      </c>
      <c r="C6231" s="704" t="s">
        <v>710</v>
      </c>
      <c r="D6231" s="704" t="s">
        <v>562</v>
      </c>
      <c r="E6231" s="704" t="s">
        <v>676</v>
      </c>
      <c r="F6231" s="705">
        <v>2.3848521572137651</v>
      </c>
      <c r="G6231" s="705">
        <v>499.06767720562118</v>
      </c>
    </row>
    <row r="6232" spans="2:7" ht="11.25" hidden="1" customHeight="1" outlineLevel="2" x14ac:dyDescent="0.25">
      <c r="B6232" s="704" t="s">
        <v>689</v>
      </c>
      <c r="C6232" s="704" t="s">
        <v>710</v>
      </c>
      <c r="D6232" s="704" t="s">
        <v>562</v>
      </c>
      <c r="E6232" s="704" t="s">
        <v>676</v>
      </c>
      <c r="F6232" s="705">
        <v>0.14764831004826631</v>
      </c>
      <c r="G6232" s="705">
        <v>30.897689713160869</v>
      </c>
    </row>
    <row r="6233" spans="2:7" ht="11.25" hidden="1" customHeight="1" outlineLevel="2" x14ac:dyDescent="0.25">
      <c r="B6233" s="704" t="s">
        <v>690</v>
      </c>
      <c r="C6233" s="704" t="s">
        <v>710</v>
      </c>
      <c r="D6233" s="704" t="s">
        <v>562</v>
      </c>
      <c r="E6233" s="704" t="s">
        <v>676</v>
      </c>
      <c r="F6233" s="705">
        <v>3.513470422790975</v>
      </c>
      <c r="G6233" s="705">
        <v>735.24816769713982</v>
      </c>
    </row>
    <row r="6234" spans="2:7" ht="11.25" hidden="1" customHeight="1" outlineLevel="2" x14ac:dyDescent="0.25">
      <c r="B6234" s="704" t="s">
        <v>691</v>
      </c>
      <c r="C6234" s="704" t="s">
        <v>710</v>
      </c>
      <c r="D6234" s="704" t="s">
        <v>562</v>
      </c>
      <c r="E6234" s="704" t="s">
        <v>676</v>
      </c>
      <c r="F6234" s="705">
        <v>2.683956332832051</v>
      </c>
      <c r="G6234" s="705">
        <v>561.6596612133518</v>
      </c>
    </row>
    <row r="6235" spans="2:7" ht="11.25" hidden="1" customHeight="1" outlineLevel="2" x14ac:dyDescent="0.25">
      <c r="B6235" s="704" t="s">
        <v>692</v>
      </c>
      <c r="C6235" s="704" t="s">
        <v>710</v>
      </c>
      <c r="D6235" s="704" t="s">
        <v>562</v>
      </c>
      <c r="E6235" s="704" t="s">
        <v>676</v>
      </c>
      <c r="F6235" s="705">
        <v>0.31505591050933679</v>
      </c>
      <c r="G6235" s="705">
        <v>65.93032710244583</v>
      </c>
    </row>
    <row r="6236" spans="2:7" ht="11.25" hidden="1" customHeight="1" outlineLevel="2" x14ac:dyDescent="0.25">
      <c r="B6236" s="704" t="s">
        <v>693</v>
      </c>
      <c r="C6236" s="704" t="s">
        <v>710</v>
      </c>
      <c r="D6236" s="704" t="s">
        <v>562</v>
      </c>
      <c r="E6236" s="704" t="s">
        <v>676</v>
      </c>
      <c r="F6236" s="705">
        <v>0.14356985771390601</v>
      </c>
      <c r="G6236" s="705">
        <v>30.044210736543562</v>
      </c>
    </row>
    <row r="6237" spans="2:7" ht="11.25" hidden="1" customHeight="1" outlineLevel="2" x14ac:dyDescent="0.25">
      <c r="B6237" s="704" t="s">
        <v>694</v>
      </c>
      <c r="C6237" s="704" t="s">
        <v>710</v>
      </c>
      <c r="D6237" s="704" t="s">
        <v>562</v>
      </c>
      <c r="E6237" s="704" t="s">
        <v>676</v>
      </c>
      <c r="F6237" s="705">
        <v>5.9820733071715031E-2</v>
      </c>
      <c r="G6237" s="705">
        <v>12.518425573434866</v>
      </c>
    </row>
    <row r="6238" spans="2:7" ht="11.25" hidden="1" customHeight="1" outlineLevel="2" x14ac:dyDescent="0.25">
      <c r="B6238" s="704" t="s">
        <v>695</v>
      </c>
      <c r="C6238" s="704" t="s">
        <v>710</v>
      </c>
      <c r="D6238" s="704" t="s">
        <v>562</v>
      </c>
      <c r="E6238" s="704" t="s">
        <v>676</v>
      </c>
      <c r="F6238" s="705">
        <v>0.26719934941387496</v>
      </c>
      <c r="G6238" s="705">
        <v>55.915601097845638</v>
      </c>
    </row>
    <row r="6239" spans="2:7" ht="11.25" hidden="1" customHeight="1" outlineLevel="2" x14ac:dyDescent="0.25">
      <c r="B6239" s="704" t="s">
        <v>696</v>
      </c>
      <c r="C6239" s="704" t="s">
        <v>710</v>
      </c>
      <c r="D6239" s="704" t="s">
        <v>562</v>
      </c>
      <c r="E6239" s="704" t="s">
        <v>676</v>
      </c>
      <c r="F6239" s="706">
        <v>0.60219551463713816</v>
      </c>
      <c r="G6239" s="705">
        <v>126.01866617678417</v>
      </c>
    </row>
    <row r="6240" spans="2:7" ht="11.25" hidden="1" customHeight="1" outlineLevel="2" x14ac:dyDescent="0.25">
      <c r="B6240" s="704" t="s">
        <v>697</v>
      </c>
      <c r="C6240" s="704" t="s">
        <v>710</v>
      </c>
      <c r="D6240" s="704" t="s">
        <v>562</v>
      </c>
      <c r="E6240" s="704" t="s">
        <v>676</v>
      </c>
      <c r="F6240" s="706">
        <v>0.52243437838819229</v>
      </c>
      <c r="G6240" s="705">
        <v>109.32740132390965</v>
      </c>
    </row>
    <row r="6241" spans="2:7" ht="11.25" hidden="1" customHeight="1" outlineLevel="2" x14ac:dyDescent="0.25">
      <c r="B6241" s="704" t="s">
        <v>698</v>
      </c>
      <c r="C6241" s="704" t="s">
        <v>710</v>
      </c>
      <c r="D6241" s="704" t="s">
        <v>562</v>
      </c>
      <c r="E6241" s="704" t="s">
        <v>676</v>
      </c>
      <c r="F6241" s="706">
        <v>0.32701980654527202</v>
      </c>
      <c r="G6241" s="705">
        <v>68.434006398427684</v>
      </c>
    </row>
    <row r="6242" spans="2:7" ht="11.25" hidden="1" customHeight="1" outlineLevel="2" x14ac:dyDescent="0.25">
      <c r="B6242" s="704" t="s">
        <v>699</v>
      </c>
      <c r="C6242" s="704" t="s">
        <v>710</v>
      </c>
      <c r="D6242" s="704" t="s">
        <v>562</v>
      </c>
      <c r="E6242" s="704" t="s">
        <v>676</v>
      </c>
      <c r="F6242" s="706">
        <v>2.5364016897199861</v>
      </c>
      <c r="G6242" s="705">
        <v>530.78105237226794</v>
      </c>
    </row>
    <row r="6243" spans="2:7" ht="11.25" hidden="1" customHeight="1" outlineLevel="2" x14ac:dyDescent="0.25">
      <c r="B6243" s="704" t="s">
        <v>673</v>
      </c>
      <c r="C6243" s="704" t="s">
        <v>911</v>
      </c>
      <c r="D6243" s="704" t="s">
        <v>562</v>
      </c>
      <c r="E6243" s="704" t="s">
        <v>861</v>
      </c>
      <c r="F6243" s="709"/>
      <c r="G6243" s="705">
        <v>585.73383072857894</v>
      </c>
    </row>
    <row r="6244" spans="2:7" ht="11.25" hidden="1" customHeight="1" outlineLevel="2" x14ac:dyDescent="0.25">
      <c r="B6244" s="704" t="s">
        <v>677</v>
      </c>
      <c r="C6244" s="704" t="s">
        <v>911</v>
      </c>
      <c r="D6244" s="704" t="s">
        <v>562</v>
      </c>
      <c r="E6244" s="704" t="s">
        <v>861</v>
      </c>
      <c r="F6244" s="706">
        <v>0.17141661872200284</v>
      </c>
      <c r="G6244" s="705">
        <v>5864.7825924575491</v>
      </c>
    </row>
    <row r="6245" spans="2:7" ht="11.25" hidden="1" customHeight="1" outlineLevel="2" x14ac:dyDescent="0.25">
      <c r="B6245" s="704" t="s">
        <v>678</v>
      </c>
      <c r="C6245" s="704" t="s">
        <v>911</v>
      </c>
      <c r="D6245" s="704" t="s">
        <v>562</v>
      </c>
      <c r="E6245" s="704" t="s">
        <v>861</v>
      </c>
      <c r="F6245" s="709"/>
      <c r="G6245" s="705">
        <v>8970.713241220119</v>
      </c>
    </row>
    <row r="6246" spans="2:7" ht="11.25" hidden="1" customHeight="1" outlineLevel="2" x14ac:dyDescent="0.25">
      <c r="B6246" s="704" t="s">
        <v>679</v>
      </c>
      <c r="C6246" s="704" t="s">
        <v>911</v>
      </c>
      <c r="D6246" s="704" t="s">
        <v>562</v>
      </c>
      <c r="E6246" s="704" t="s">
        <v>861</v>
      </c>
      <c r="F6246" s="709"/>
      <c r="G6246" s="705">
        <v>329.28218213815569</v>
      </c>
    </row>
    <row r="6247" spans="2:7" ht="11.25" hidden="1" customHeight="1" outlineLevel="2" x14ac:dyDescent="0.25">
      <c r="B6247" s="704" t="s">
        <v>680</v>
      </c>
      <c r="C6247" s="704" t="s">
        <v>911</v>
      </c>
      <c r="D6247" s="704" t="s">
        <v>562</v>
      </c>
      <c r="E6247" s="704" t="s">
        <v>861</v>
      </c>
      <c r="F6247" s="709"/>
      <c r="G6247" s="705">
        <v>231.38747408109805</v>
      </c>
    </row>
    <row r="6248" spans="2:7" ht="11.25" hidden="1" customHeight="1" outlineLevel="2" x14ac:dyDescent="0.25">
      <c r="B6248" s="704" t="s">
        <v>681</v>
      </c>
      <c r="C6248" s="704" t="s">
        <v>911</v>
      </c>
      <c r="D6248" s="704" t="s">
        <v>562</v>
      </c>
      <c r="E6248" s="704" t="s">
        <v>861</v>
      </c>
      <c r="F6248" s="709"/>
      <c r="G6248" s="705">
        <v>1477.3199383849005</v>
      </c>
    </row>
    <row r="6249" spans="2:7" ht="11.25" hidden="1" customHeight="1" outlineLevel="2" x14ac:dyDescent="0.25">
      <c r="B6249" s="704" t="s">
        <v>682</v>
      </c>
      <c r="C6249" s="704" t="s">
        <v>911</v>
      </c>
      <c r="D6249" s="704" t="s">
        <v>562</v>
      </c>
      <c r="E6249" s="704" t="s">
        <v>861</v>
      </c>
      <c r="F6249" s="709"/>
      <c r="G6249" s="705">
        <v>569.56913568653567</v>
      </c>
    </row>
    <row r="6250" spans="2:7" ht="11.25" hidden="1" customHeight="1" outlineLevel="2" x14ac:dyDescent="0.25">
      <c r="B6250" s="704" t="s">
        <v>683</v>
      </c>
      <c r="C6250" s="704" t="s">
        <v>911</v>
      </c>
      <c r="D6250" s="704" t="s">
        <v>562</v>
      </c>
      <c r="E6250" s="704" t="s">
        <v>861</v>
      </c>
      <c r="F6250" s="709"/>
      <c r="G6250" s="705">
        <v>676.36349042196366</v>
      </c>
    </row>
    <row r="6251" spans="2:7" ht="11.25" hidden="1" customHeight="1" outlineLevel="2" x14ac:dyDescent="0.25">
      <c r="B6251" s="704" t="s">
        <v>684</v>
      </c>
      <c r="C6251" s="704" t="s">
        <v>911</v>
      </c>
      <c r="D6251" s="704" t="s">
        <v>562</v>
      </c>
      <c r="E6251" s="704" t="s">
        <v>861</v>
      </c>
      <c r="F6251" s="709"/>
      <c r="G6251" s="705">
        <v>418.27734181256534</v>
      </c>
    </row>
    <row r="6252" spans="2:7" ht="11.25" hidden="1" customHeight="1" outlineLevel="2" x14ac:dyDescent="0.25">
      <c r="B6252" s="704" t="s">
        <v>685</v>
      </c>
      <c r="C6252" s="704" t="s">
        <v>911</v>
      </c>
      <c r="D6252" s="704" t="s">
        <v>562</v>
      </c>
      <c r="E6252" s="704" t="s">
        <v>861</v>
      </c>
      <c r="F6252" s="709"/>
      <c r="G6252" s="705">
        <v>2082.4869279698496</v>
      </c>
    </row>
    <row r="6253" spans="2:7" ht="11.25" hidden="1" customHeight="1" outlineLevel="2" x14ac:dyDescent="0.25">
      <c r="B6253" s="704" t="s">
        <v>686</v>
      </c>
      <c r="C6253" s="704" t="s">
        <v>911</v>
      </c>
      <c r="D6253" s="704" t="s">
        <v>562</v>
      </c>
      <c r="E6253" s="704" t="s">
        <v>861</v>
      </c>
      <c r="F6253" s="709"/>
      <c r="G6253" s="705">
        <v>311.48317081668608</v>
      </c>
    </row>
    <row r="6254" spans="2:7" ht="11.25" hidden="1" customHeight="1" outlineLevel="2" x14ac:dyDescent="0.25">
      <c r="B6254" s="704" t="s">
        <v>687</v>
      </c>
      <c r="C6254" s="704" t="s">
        <v>911</v>
      </c>
      <c r="D6254" s="704" t="s">
        <v>562</v>
      </c>
      <c r="E6254" s="704" t="s">
        <v>861</v>
      </c>
      <c r="F6254" s="709"/>
      <c r="G6254" s="705">
        <v>2002.3915727239646</v>
      </c>
    </row>
    <row r="6255" spans="2:7" ht="11.25" hidden="1" customHeight="1" outlineLevel="2" x14ac:dyDescent="0.25">
      <c r="B6255" s="704" t="s">
        <v>688</v>
      </c>
      <c r="C6255" s="704" t="s">
        <v>911</v>
      </c>
      <c r="D6255" s="704" t="s">
        <v>562</v>
      </c>
      <c r="E6255" s="704" t="s">
        <v>861</v>
      </c>
      <c r="F6255" s="709"/>
      <c r="G6255" s="705">
        <v>5321.9118384811973</v>
      </c>
    </row>
    <row r="6256" spans="2:7" ht="11.25" hidden="1" customHeight="1" outlineLevel="2" x14ac:dyDescent="0.25">
      <c r="B6256" s="704" t="s">
        <v>689</v>
      </c>
      <c r="C6256" s="704" t="s">
        <v>911</v>
      </c>
      <c r="D6256" s="704" t="s">
        <v>562</v>
      </c>
      <c r="E6256" s="704" t="s">
        <v>861</v>
      </c>
      <c r="F6256" s="709"/>
      <c r="G6256" s="705">
        <v>329.48391964223151</v>
      </c>
    </row>
    <row r="6257" spans="2:7" ht="11.25" hidden="1" customHeight="1" outlineLevel="2" x14ac:dyDescent="0.25">
      <c r="B6257" s="704" t="s">
        <v>690</v>
      </c>
      <c r="C6257" s="704" t="s">
        <v>911</v>
      </c>
      <c r="D6257" s="704" t="s">
        <v>562</v>
      </c>
      <c r="E6257" s="704" t="s">
        <v>861</v>
      </c>
      <c r="F6257" s="709"/>
      <c r="G6257" s="705">
        <v>7840.4765827600477</v>
      </c>
    </row>
    <row r="6258" spans="2:7" ht="11.25" hidden="1" customHeight="1" outlineLevel="2" x14ac:dyDescent="0.25">
      <c r="B6258" s="704" t="s">
        <v>691</v>
      </c>
      <c r="C6258" s="704" t="s">
        <v>911</v>
      </c>
      <c r="D6258" s="704" t="s">
        <v>562</v>
      </c>
      <c r="E6258" s="704" t="s">
        <v>861</v>
      </c>
      <c r="F6258" s="709"/>
      <c r="G6258" s="705">
        <v>5989.3749209399357</v>
      </c>
    </row>
    <row r="6259" spans="2:7" ht="11.25" hidden="1" customHeight="1" outlineLevel="2" x14ac:dyDescent="0.25">
      <c r="B6259" s="704" t="s">
        <v>692</v>
      </c>
      <c r="C6259" s="704" t="s">
        <v>911</v>
      </c>
      <c r="D6259" s="704" t="s">
        <v>562</v>
      </c>
      <c r="E6259" s="704" t="s">
        <v>861</v>
      </c>
      <c r="F6259" s="709"/>
      <c r="G6259" s="705">
        <v>703.06191334968537</v>
      </c>
    </row>
    <row r="6260" spans="2:7" ht="11.25" hidden="1" customHeight="1" outlineLevel="2" x14ac:dyDescent="0.25">
      <c r="B6260" s="704" t="s">
        <v>693</v>
      </c>
      <c r="C6260" s="704" t="s">
        <v>911</v>
      </c>
      <c r="D6260" s="704" t="s">
        <v>562</v>
      </c>
      <c r="E6260" s="704" t="s">
        <v>861</v>
      </c>
      <c r="F6260" s="709"/>
      <c r="G6260" s="705">
        <v>320.38265623720895</v>
      </c>
    </row>
    <row r="6261" spans="2:7" ht="11.25" hidden="1" customHeight="1" outlineLevel="2" x14ac:dyDescent="0.25">
      <c r="B6261" s="704" t="s">
        <v>694</v>
      </c>
      <c r="C6261" s="704" t="s">
        <v>911</v>
      </c>
      <c r="D6261" s="704" t="s">
        <v>562</v>
      </c>
      <c r="E6261" s="704" t="s">
        <v>861</v>
      </c>
      <c r="F6261" s="709"/>
      <c r="G6261" s="705">
        <v>133.49279606888405</v>
      </c>
    </row>
    <row r="6262" spans="2:7" ht="11.25" hidden="1" customHeight="1" outlineLevel="2" x14ac:dyDescent="0.25">
      <c r="B6262" s="704" t="s">
        <v>695</v>
      </c>
      <c r="C6262" s="704" t="s">
        <v>911</v>
      </c>
      <c r="D6262" s="704" t="s">
        <v>562</v>
      </c>
      <c r="E6262" s="704" t="s">
        <v>861</v>
      </c>
      <c r="F6262" s="709"/>
      <c r="G6262" s="705">
        <v>596.26772387437336</v>
      </c>
    </row>
    <row r="6263" spans="2:7" ht="11.25" hidden="1" customHeight="1" outlineLevel="2" x14ac:dyDescent="0.25">
      <c r="B6263" s="704" t="s">
        <v>696</v>
      </c>
      <c r="C6263" s="704" t="s">
        <v>911</v>
      </c>
      <c r="D6263" s="704" t="s">
        <v>562</v>
      </c>
      <c r="E6263" s="704" t="s">
        <v>861</v>
      </c>
      <c r="F6263" s="709"/>
      <c r="G6263" s="705">
        <v>1343.8273722187325</v>
      </c>
    </row>
    <row r="6264" spans="2:7" ht="11.25" hidden="1" customHeight="1" outlineLevel="2" x14ac:dyDescent="0.25">
      <c r="B6264" s="704" t="s">
        <v>697</v>
      </c>
      <c r="C6264" s="704" t="s">
        <v>911</v>
      </c>
      <c r="D6264" s="704" t="s">
        <v>562</v>
      </c>
      <c r="E6264" s="704" t="s">
        <v>861</v>
      </c>
      <c r="F6264" s="708"/>
      <c r="G6264" s="705">
        <v>1165.8372272032475</v>
      </c>
    </row>
    <row r="6265" spans="2:7" ht="11.25" hidden="1" customHeight="1" outlineLevel="2" x14ac:dyDescent="0.25">
      <c r="B6265" s="704" t="s">
        <v>698</v>
      </c>
      <c r="C6265" s="704" t="s">
        <v>911</v>
      </c>
      <c r="D6265" s="704" t="s">
        <v>562</v>
      </c>
      <c r="E6265" s="704" t="s">
        <v>861</v>
      </c>
      <c r="F6265" s="708"/>
      <c r="G6265" s="705">
        <v>729.76053953719838</v>
      </c>
    </row>
    <row r="6266" spans="2:7" ht="11.25" hidden="1" customHeight="1" outlineLevel="2" x14ac:dyDescent="0.25">
      <c r="B6266" s="704" t="s">
        <v>699</v>
      </c>
      <c r="C6266" s="704" t="s">
        <v>911</v>
      </c>
      <c r="D6266" s="704" t="s">
        <v>562</v>
      </c>
      <c r="E6266" s="704" t="s">
        <v>861</v>
      </c>
      <c r="F6266" s="708"/>
      <c r="G6266" s="705">
        <v>5660.0941161375122</v>
      </c>
    </row>
    <row r="6267" spans="2:7" ht="11.25" hidden="1" customHeight="1" outlineLevel="2" x14ac:dyDescent="0.25">
      <c r="B6267" s="704" t="s">
        <v>673</v>
      </c>
      <c r="C6267" s="704" t="s">
        <v>912</v>
      </c>
      <c r="D6267" s="704" t="s">
        <v>562</v>
      </c>
      <c r="E6267" s="704" t="s">
        <v>861</v>
      </c>
      <c r="F6267" s="708"/>
      <c r="G6267" s="705">
        <v>136.48354666299397</v>
      </c>
    </row>
    <row r="6268" spans="2:7" ht="11.25" hidden="1" customHeight="1" outlineLevel="2" x14ac:dyDescent="0.25">
      <c r="B6268" s="704" t="s">
        <v>677</v>
      </c>
      <c r="C6268" s="704" t="s">
        <v>912</v>
      </c>
      <c r="D6268" s="704" t="s">
        <v>562</v>
      </c>
      <c r="E6268" s="704" t="s">
        <v>861</v>
      </c>
      <c r="F6268" s="705">
        <v>4.0264582391522627E-2</v>
      </c>
      <c r="G6268" s="705">
        <v>1383.7336298814432</v>
      </c>
    </row>
    <row r="6269" spans="2:7" ht="11.25" hidden="1" customHeight="1" outlineLevel="2" x14ac:dyDescent="0.25">
      <c r="B6269" s="704" t="s">
        <v>678</v>
      </c>
      <c r="C6269" s="704" t="s">
        <v>912</v>
      </c>
      <c r="D6269" s="704" t="s">
        <v>562</v>
      </c>
      <c r="E6269" s="704" t="s">
        <v>861</v>
      </c>
      <c r="F6269" s="708"/>
      <c r="G6269" s="705">
        <v>2116.5447755703744</v>
      </c>
    </row>
    <row r="6270" spans="2:7" ht="11.25" hidden="1" customHeight="1" outlineLevel="2" x14ac:dyDescent="0.25">
      <c r="B6270" s="704" t="s">
        <v>679</v>
      </c>
      <c r="C6270" s="704" t="s">
        <v>912</v>
      </c>
      <c r="D6270" s="704" t="s">
        <v>562</v>
      </c>
      <c r="E6270" s="704" t="s">
        <v>861</v>
      </c>
      <c r="F6270" s="708"/>
      <c r="G6270" s="705">
        <v>77.690621510703807</v>
      </c>
    </row>
    <row r="6271" spans="2:7" ht="11.25" hidden="1" customHeight="1" outlineLevel="2" x14ac:dyDescent="0.25">
      <c r="B6271" s="704" t="s">
        <v>680</v>
      </c>
      <c r="C6271" s="704" t="s">
        <v>912</v>
      </c>
      <c r="D6271" s="704" t="s">
        <v>562</v>
      </c>
      <c r="E6271" s="704" t="s">
        <v>861</v>
      </c>
      <c r="F6271" s="708"/>
      <c r="G6271" s="705">
        <v>54.593418688270759</v>
      </c>
    </row>
    <row r="6272" spans="2:7" ht="11.25" hidden="1" customHeight="1" outlineLevel="2" x14ac:dyDescent="0.25">
      <c r="B6272" s="704" t="s">
        <v>681</v>
      </c>
      <c r="C6272" s="704" t="s">
        <v>912</v>
      </c>
      <c r="D6272" s="704" t="s">
        <v>562</v>
      </c>
      <c r="E6272" s="704" t="s">
        <v>861</v>
      </c>
      <c r="F6272" s="708"/>
      <c r="G6272" s="705">
        <v>348.55792747647604</v>
      </c>
    </row>
    <row r="6273" spans="2:7" ht="11.25" hidden="1" customHeight="1" outlineLevel="2" x14ac:dyDescent="0.25">
      <c r="B6273" s="704" t="s">
        <v>682</v>
      </c>
      <c r="C6273" s="704" t="s">
        <v>912</v>
      </c>
      <c r="D6273" s="704" t="s">
        <v>562</v>
      </c>
      <c r="E6273" s="704" t="s">
        <v>861</v>
      </c>
      <c r="F6273" s="708"/>
      <c r="G6273" s="705">
        <v>134.38378850828261</v>
      </c>
    </row>
    <row r="6274" spans="2:7" ht="11.25" hidden="1" customHeight="1" outlineLevel="2" x14ac:dyDescent="0.25">
      <c r="B6274" s="704" t="s">
        <v>683</v>
      </c>
      <c r="C6274" s="704" t="s">
        <v>912</v>
      </c>
      <c r="D6274" s="704" t="s">
        <v>562</v>
      </c>
      <c r="E6274" s="704" t="s">
        <v>861</v>
      </c>
      <c r="F6274" s="708"/>
      <c r="G6274" s="705">
        <v>159.58069513023406</v>
      </c>
    </row>
    <row r="6275" spans="2:7" ht="11.25" hidden="1" customHeight="1" outlineLevel="2" x14ac:dyDescent="0.25">
      <c r="B6275" s="704" t="s">
        <v>684</v>
      </c>
      <c r="C6275" s="704" t="s">
        <v>912</v>
      </c>
      <c r="D6275" s="704" t="s">
        <v>562</v>
      </c>
      <c r="E6275" s="704" t="s">
        <v>861</v>
      </c>
      <c r="F6275" s="708"/>
      <c r="G6275" s="705">
        <v>98.68811954218009</v>
      </c>
    </row>
    <row r="6276" spans="2:7" ht="11.25" hidden="1" customHeight="1" outlineLevel="2" x14ac:dyDescent="0.25">
      <c r="B6276" s="704" t="s">
        <v>685</v>
      </c>
      <c r="C6276" s="704" t="s">
        <v>912</v>
      </c>
      <c r="D6276" s="704" t="s">
        <v>562</v>
      </c>
      <c r="E6276" s="704" t="s">
        <v>861</v>
      </c>
      <c r="F6276" s="708"/>
      <c r="G6276" s="705">
        <v>491.3408042023928</v>
      </c>
    </row>
    <row r="6277" spans="2:7" ht="11.25" hidden="1" customHeight="1" outlineLevel="2" x14ac:dyDescent="0.25">
      <c r="B6277" s="704" t="s">
        <v>686</v>
      </c>
      <c r="C6277" s="704" t="s">
        <v>912</v>
      </c>
      <c r="D6277" s="704" t="s">
        <v>562</v>
      </c>
      <c r="E6277" s="704" t="s">
        <v>861</v>
      </c>
      <c r="F6277" s="708"/>
      <c r="G6277" s="705">
        <v>73.491148968531419</v>
      </c>
    </row>
    <row r="6278" spans="2:7" ht="11.25" hidden="1" customHeight="1" outlineLevel="2" x14ac:dyDescent="0.25">
      <c r="B6278" s="704" t="s">
        <v>687</v>
      </c>
      <c r="C6278" s="704" t="s">
        <v>912</v>
      </c>
      <c r="D6278" s="704" t="s">
        <v>562</v>
      </c>
      <c r="E6278" s="704" t="s">
        <v>861</v>
      </c>
      <c r="F6278" s="708"/>
      <c r="G6278" s="705">
        <v>472.44289235975748</v>
      </c>
    </row>
    <row r="6279" spans="2:7" ht="11.25" hidden="1" customHeight="1" outlineLevel="2" x14ac:dyDescent="0.25">
      <c r="B6279" s="704" t="s">
        <v>688</v>
      </c>
      <c r="C6279" s="704" t="s">
        <v>912</v>
      </c>
      <c r="D6279" s="704" t="s">
        <v>562</v>
      </c>
      <c r="E6279" s="704" t="s">
        <v>861</v>
      </c>
      <c r="F6279" s="708"/>
      <c r="G6279" s="705">
        <v>1255.6486070370242</v>
      </c>
    </row>
    <row r="6280" spans="2:7" ht="11.25" hidden="1" customHeight="1" outlineLevel="2" x14ac:dyDescent="0.25">
      <c r="B6280" s="704" t="s">
        <v>689</v>
      </c>
      <c r="C6280" s="704" t="s">
        <v>912</v>
      </c>
      <c r="D6280" s="704" t="s">
        <v>562</v>
      </c>
      <c r="E6280" s="704" t="s">
        <v>861</v>
      </c>
      <c r="F6280" s="708"/>
      <c r="G6280" s="705">
        <v>77.738245769101965</v>
      </c>
    </row>
    <row r="6281" spans="2:7" ht="11.25" hidden="1" customHeight="1" outlineLevel="2" x14ac:dyDescent="0.25">
      <c r="B6281" s="704" t="s">
        <v>690</v>
      </c>
      <c r="C6281" s="704" t="s">
        <v>912</v>
      </c>
      <c r="D6281" s="704" t="s">
        <v>562</v>
      </c>
      <c r="E6281" s="704" t="s">
        <v>861</v>
      </c>
      <c r="F6281" s="708"/>
      <c r="G6281" s="705">
        <v>1849.8767335004391</v>
      </c>
    </row>
    <row r="6282" spans="2:7" ht="11.25" hidden="1" customHeight="1" outlineLevel="2" x14ac:dyDescent="0.25">
      <c r="B6282" s="704" t="s">
        <v>691</v>
      </c>
      <c r="C6282" s="704" t="s">
        <v>912</v>
      </c>
      <c r="D6282" s="704" t="s">
        <v>562</v>
      </c>
      <c r="E6282" s="704" t="s">
        <v>861</v>
      </c>
      <c r="F6282" s="708"/>
      <c r="G6282" s="705">
        <v>1413.1296793462102</v>
      </c>
    </row>
    <row r="6283" spans="2:7" ht="11.25" hidden="1" customHeight="1" outlineLevel="2" x14ac:dyDescent="0.25">
      <c r="B6283" s="704" t="s">
        <v>692</v>
      </c>
      <c r="C6283" s="704" t="s">
        <v>912</v>
      </c>
      <c r="D6283" s="704" t="s">
        <v>562</v>
      </c>
      <c r="E6283" s="704" t="s">
        <v>861</v>
      </c>
      <c r="F6283" s="708"/>
      <c r="G6283" s="705">
        <v>165.87999447565525</v>
      </c>
    </row>
    <row r="6284" spans="2:7" ht="11.25" hidden="1" customHeight="1" outlineLevel="2" x14ac:dyDescent="0.25">
      <c r="B6284" s="704" t="s">
        <v>693</v>
      </c>
      <c r="C6284" s="704" t="s">
        <v>912</v>
      </c>
      <c r="D6284" s="704" t="s">
        <v>562</v>
      </c>
      <c r="E6284" s="704" t="s">
        <v>861</v>
      </c>
      <c r="F6284" s="709"/>
      <c r="G6284" s="705">
        <v>75.590882048864742</v>
      </c>
    </row>
    <row r="6285" spans="2:7" ht="11.25" hidden="1" customHeight="1" outlineLevel="2" x14ac:dyDescent="0.25">
      <c r="B6285" s="704" t="s">
        <v>694</v>
      </c>
      <c r="C6285" s="704" t="s">
        <v>912</v>
      </c>
      <c r="D6285" s="704" t="s">
        <v>562</v>
      </c>
      <c r="E6285" s="704" t="s">
        <v>861</v>
      </c>
      <c r="F6285" s="709"/>
      <c r="G6285" s="705">
        <v>31.496196819563494</v>
      </c>
    </row>
    <row r="6286" spans="2:7" ht="11.25" hidden="1" customHeight="1" outlineLevel="2" x14ac:dyDescent="0.25">
      <c r="B6286" s="704" t="s">
        <v>695</v>
      </c>
      <c r="C6286" s="704" t="s">
        <v>912</v>
      </c>
      <c r="D6286" s="704" t="s">
        <v>562</v>
      </c>
      <c r="E6286" s="704" t="s">
        <v>861</v>
      </c>
      <c r="F6286" s="709"/>
      <c r="G6286" s="705">
        <v>140.68301668912616</v>
      </c>
    </row>
    <row r="6287" spans="2:7" ht="11.25" hidden="1" customHeight="1" outlineLevel="2" x14ac:dyDescent="0.25">
      <c r="B6287" s="704" t="s">
        <v>696</v>
      </c>
      <c r="C6287" s="704" t="s">
        <v>912</v>
      </c>
      <c r="D6287" s="704" t="s">
        <v>562</v>
      </c>
      <c r="E6287" s="704" t="s">
        <v>861</v>
      </c>
      <c r="F6287" s="709"/>
      <c r="G6287" s="705">
        <v>317.06175137997491</v>
      </c>
    </row>
    <row r="6288" spans="2:7" ht="11.25" hidden="1" customHeight="1" outlineLevel="2" x14ac:dyDescent="0.25">
      <c r="B6288" s="704" t="s">
        <v>697</v>
      </c>
      <c r="C6288" s="704" t="s">
        <v>912</v>
      </c>
      <c r="D6288" s="704" t="s">
        <v>562</v>
      </c>
      <c r="E6288" s="704" t="s">
        <v>861</v>
      </c>
      <c r="F6288" s="709"/>
      <c r="G6288" s="705">
        <v>275.06681161823451</v>
      </c>
    </row>
    <row r="6289" spans="2:7" ht="11.25" hidden="1" customHeight="1" outlineLevel="2" x14ac:dyDescent="0.25">
      <c r="B6289" s="704" t="s">
        <v>698</v>
      </c>
      <c r="C6289" s="704" t="s">
        <v>912</v>
      </c>
      <c r="D6289" s="704" t="s">
        <v>562</v>
      </c>
      <c r="E6289" s="704" t="s">
        <v>861</v>
      </c>
      <c r="F6289" s="709"/>
      <c r="G6289" s="705">
        <v>172.17924993111362</v>
      </c>
    </row>
    <row r="6290" spans="2:7" ht="11.25" hidden="1" customHeight="1" outlineLevel="2" x14ac:dyDescent="0.25">
      <c r="B6290" s="704" t="s">
        <v>699</v>
      </c>
      <c r="C6290" s="704" t="s">
        <v>912</v>
      </c>
      <c r="D6290" s="704" t="s">
        <v>562</v>
      </c>
      <c r="E6290" s="704" t="s">
        <v>861</v>
      </c>
      <c r="F6290" s="709"/>
      <c r="G6290" s="705">
        <v>1335.4392876193074</v>
      </c>
    </row>
    <row r="6291" spans="2:7" ht="11.25" hidden="1" customHeight="1" outlineLevel="2" x14ac:dyDescent="0.25">
      <c r="B6291" s="704" t="s">
        <v>673</v>
      </c>
      <c r="C6291" s="704" t="s">
        <v>913</v>
      </c>
      <c r="D6291" s="704" t="s">
        <v>562</v>
      </c>
      <c r="E6291" s="704" t="s">
        <v>861</v>
      </c>
      <c r="F6291" s="708"/>
      <c r="G6291" s="705">
        <v>378.68888805363827</v>
      </c>
    </row>
    <row r="6292" spans="2:7" ht="11.25" hidden="1" customHeight="1" outlineLevel="2" x14ac:dyDescent="0.25">
      <c r="B6292" s="704" t="s">
        <v>677</v>
      </c>
      <c r="C6292" s="704" t="s">
        <v>913</v>
      </c>
      <c r="D6292" s="704" t="s">
        <v>562</v>
      </c>
      <c r="E6292" s="704" t="s">
        <v>861</v>
      </c>
      <c r="F6292" s="705">
        <v>0.12299801942185914</v>
      </c>
      <c r="G6292" s="705">
        <v>3839.3247121136696</v>
      </c>
    </row>
    <row r="6293" spans="2:7" ht="11.25" hidden="1" customHeight="1" outlineLevel="2" x14ac:dyDescent="0.25">
      <c r="B6293" s="704" t="s">
        <v>678</v>
      </c>
      <c r="C6293" s="704" t="s">
        <v>913</v>
      </c>
      <c r="D6293" s="704" t="s">
        <v>562</v>
      </c>
      <c r="E6293" s="704" t="s">
        <v>861</v>
      </c>
      <c r="F6293" s="708"/>
      <c r="G6293" s="705">
        <v>5872.5924607387506</v>
      </c>
    </row>
    <row r="6294" spans="2:7" ht="11.25" hidden="1" customHeight="1" outlineLevel="2" x14ac:dyDescent="0.25">
      <c r="B6294" s="704" t="s">
        <v>679</v>
      </c>
      <c r="C6294" s="704" t="s">
        <v>913</v>
      </c>
      <c r="D6294" s="704" t="s">
        <v>562</v>
      </c>
      <c r="E6294" s="704" t="s">
        <v>861</v>
      </c>
      <c r="F6294" s="708"/>
      <c r="G6294" s="705">
        <v>215.56146089660345</v>
      </c>
    </row>
    <row r="6295" spans="2:7" ht="11.25" hidden="1" customHeight="1" outlineLevel="2" x14ac:dyDescent="0.25">
      <c r="B6295" s="704" t="s">
        <v>680</v>
      </c>
      <c r="C6295" s="704" t="s">
        <v>913</v>
      </c>
      <c r="D6295" s="704" t="s">
        <v>562</v>
      </c>
      <c r="E6295" s="704" t="s">
        <v>861</v>
      </c>
      <c r="F6295" s="708"/>
      <c r="G6295" s="705">
        <v>151.47563042406236</v>
      </c>
    </row>
    <row r="6296" spans="2:7" ht="11.25" hidden="1" customHeight="1" outlineLevel="2" x14ac:dyDescent="0.25">
      <c r="B6296" s="704" t="s">
        <v>681</v>
      </c>
      <c r="C6296" s="704" t="s">
        <v>913</v>
      </c>
      <c r="D6296" s="704" t="s">
        <v>562</v>
      </c>
      <c r="E6296" s="704" t="s">
        <v>861</v>
      </c>
      <c r="F6296" s="708"/>
      <c r="G6296" s="705">
        <v>967.11340291623799</v>
      </c>
    </row>
    <row r="6297" spans="2:7" ht="11.25" hidden="1" customHeight="1" outlineLevel="2" x14ac:dyDescent="0.25">
      <c r="B6297" s="704" t="s">
        <v>682</v>
      </c>
      <c r="C6297" s="704" t="s">
        <v>913</v>
      </c>
      <c r="D6297" s="704" t="s">
        <v>562</v>
      </c>
      <c r="E6297" s="704" t="s">
        <v>861</v>
      </c>
      <c r="F6297" s="708"/>
      <c r="G6297" s="705">
        <v>372.86296930752854</v>
      </c>
    </row>
    <row r="6298" spans="2:7" ht="11.25" hidden="1" customHeight="1" outlineLevel="2" x14ac:dyDescent="0.25">
      <c r="B6298" s="704" t="s">
        <v>683</v>
      </c>
      <c r="C6298" s="704" t="s">
        <v>913</v>
      </c>
      <c r="D6298" s="704" t="s">
        <v>562</v>
      </c>
      <c r="E6298" s="704" t="s">
        <v>861</v>
      </c>
      <c r="F6298" s="708"/>
      <c r="G6298" s="705">
        <v>442.77495823612981</v>
      </c>
    </row>
    <row r="6299" spans="2:7" ht="11.25" hidden="1" customHeight="1" outlineLevel="2" x14ac:dyDescent="0.25">
      <c r="B6299" s="704" t="s">
        <v>684</v>
      </c>
      <c r="C6299" s="704" t="s">
        <v>913</v>
      </c>
      <c r="D6299" s="704" t="s">
        <v>562</v>
      </c>
      <c r="E6299" s="704" t="s">
        <v>861</v>
      </c>
      <c r="F6299" s="708"/>
      <c r="G6299" s="705">
        <v>273.82127446328212</v>
      </c>
    </row>
    <row r="6300" spans="2:7" ht="11.25" hidden="1" customHeight="1" outlineLevel="2" x14ac:dyDescent="0.25">
      <c r="B6300" s="704" t="s">
        <v>685</v>
      </c>
      <c r="C6300" s="704" t="s">
        <v>913</v>
      </c>
      <c r="D6300" s="704" t="s">
        <v>562</v>
      </c>
      <c r="E6300" s="704" t="s">
        <v>861</v>
      </c>
      <c r="F6300" s="708"/>
      <c r="G6300" s="705">
        <v>1363.280257736601</v>
      </c>
    </row>
    <row r="6301" spans="2:7" ht="11.25" hidden="1" customHeight="1" outlineLevel="2" x14ac:dyDescent="0.25">
      <c r="B6301" s="704" t="s">
        <v>686</v>
      </c>
      <c r="C6301" s="704" t="s">
        <v>913</v>
      </c>
      <c r="D6301" s="704" t="s">
        <v>562</v>
      </c>
      <c r="E6301" s="704" t="s">
        <v>861</v>
      </c>
      <c r="F6301" s="708"/>
      <c r="G6301" s="705">
        <v>203.90948627354223</v>
      </c>
    </row>
    <row r="6302" spans="2:7" ht="11.25" hidden="1" customHeight="1" outlineLevel="2" x14ac:dyDescent="0.25">
      <c r="B6302" s="704" t="s">
        <v>687</v>
      </c>
      <c r="C6302" s="704" t="s">
        <v>913</v>
      </c>
      <c r="D6302" s="704" t="s">
        <v>562</v>
      </c>
      <c r="E6302" s="704" t="s">
        <v>861</v>
      </c>
      <c r="F6302" s="708"/>
      <c r="G6302" s="705">
        <v>1310.846653498279</v>
      </c>
    </row>
    <row r="6303" spans="2:7" ht="11.25" hidden="1" customHeight="1" outlineLevel="2" x14ac:dyDescent="0.25">
      <c r="B6303" s="704" t="s">
        <v>688</v>
      </c>
      <c r="C6303" s="704" t="s">
        <v>913</v>
      </c>
      <c r="D6303" s="704" t="s">
        <v>562</v>
      </c>
      <c r="E6303" s="704" t="s">
        <v>861</v>
      </c>
      <c r="F6303" s="708"/>
      <c r="G6303" s="705">
        <v>3483.9394782910499</v>
      </c>
    </row>
    <row r="6304" spans="2:7" ht="11.25" hidden="1" customHeight="1" outlineLevel="2" x14ac:dyDescent="0.25">
      <c r="B6304" s="704" t="s">
        <v>689</v>
      </c>
      <c r="C6304" s="704" t="s">
        <v>913</v>
      </c>
      <c r="D6304" s="704" t="s">
        <v>562</v>
      </c>
      <c r="E6304" s="704" t="s">
        <v>861</v>
      </c>
      <c r="F6304" s="708"/>
      <c r="G6304" s="705">
        <v>215.69354665665585</v>
      </c>
    </row>
    <row r="6305" spans="2:7" ht="11.25" hidden="1" customHeight="1" outlineLevel="2" x14ac:dyDescent="0.25">
      <c r="B6305" s="704" t="s">
        <v>690</v>
      </c>
      <c r="C6305" s="704" t="s">
        <v>913</v>
      </c>
      <c r="D6305" s="704" t="s">
        <v>562</v>
      </c>
      <c r="E6305" s="704" t="s">
        <v>861</v>
      </c>
      <c r="F6305" s="708"/>
      <c r="G6305" s="705">
        <v>5132.6925078705981</v>
      </c>
    </row>
    <row r="6306" spans="2:7" ht="11.25" hidden="1" customHeight="1" outlineLevel="2" x14ac:dyDescent="0.25">
      <c r="B6306" s="704" t="s">
        <v>691</v>
      </c>
      <c r="C6306" s="704" t="s">
        <v>913</v>
      </c>
      <c r="D6306" s="704" t="s">
        <v>562</v>
      </c>
      <c r="E6306" s="704" t="s">
        <v>861</v>
      </c>
      <c r="F6306" s="708"/>
      <c r="G6306" s="705">
        <v>3920.8877081330338</v>
      </c>
    </row>
    <row r="6307" spans="2:7" ht="11.25" hidden="1" customHeight="1" outlineLevel="2" x14ac:dyDescent="0.25">
      <c r="B6307" s="704" t="s">
        <v>692</v>
      </c>
      <c r="C6307" s="704" t="s">
        <v>913</v>
      </c>
      <c r="D6307" s="704" t="s">
        <v>562</v>
      </c>
      <c r="E6307" s="704" t="s">
        <v>861</v>
      </c>
      <c r="F6307" s="708"/>
      <c r="G6307" s="705">
        <v>460.25289164395497</v>
      </c>
    </row>
    <row r="6308" spans="2:7" ht="11.25" hidden="1" customHeight="1" outlineLevel="2" x14ac:dyDescent="0.25">
      <c r="B6308" s="704" t="s">
        <v>693</v>
      </c>
      <c r="C6308" s="704" t="s">
        <v>913</v>
      </c>
      <c r="D6308" s="704" t="s">
        <v>562</v>
      </c>
      <c r="E6308" s="704" t="s">
        <v>861</v>
      </c>
      <c r="F6308" s="708"/>
      <c r="G6308" s="705">
        <v>209.73545299563699</v>
      </c>
    </row>
    <row r="6309" spans="2:7" ht="11.25" hidden="1" customHeight="1" outlineLevel="2" x14ac:dyDescent="0.25">
      <c r="B6309" s="704" t="s">
        <v>694</v>
      </c>
      <c r="C6309" s="704" t="s">
        <v>913</v>
      </c>
      <c r="D6309" s="704" t="s">
        <v>562</v>
      </c>
      <c r="E6309" s="704" t="s">
        <v>861</v>
      </c>
      <c r="F6309" s="708"/>
      <c r="G6309" s="705">
        <v>87.38973520673801</v>
      </c>
    </row>
    <row r="6310" spans="2:7" ht="11.25" hidden="1" customHeight="1" outlineLevel="2" x14ac:dyDescent="0.25">
      <c r="B6310" s="704" t="s">
        <v>695</v>
      </c>
      <c r="C6310" s="704" t="s">
        <v>913</v>
      </c>
      <c r="D6310" s="704" t="s">
        <v>562</v>
      </c>
      <c r="E6310" s="704" t="s">
        <v>861</v>
      </c>
      <c r="F6310" s="708"/>
      <c r="G6310" s="705">
        <v>390.3409745847236</v>
      </c>
    </row>
    <row r="6311" spans="2:7" ht="11.25" hidden="1" customHeight="1" outlineLevel="2" x14ac:dyDescent="0.25">
      <c r="B6311" s="704" t="s">
        <v>696</v>
      </c>
      <c r="C6311" s="704" t="s">
        <v>913</v>
      </c>
      <c r="D6311" s="704" t="s">
        <v>562</v>
      </c>
      <c r="E6311" s="704" t="s">
        <v>861</v>
      </c>
      <c r="F6311" s="708"/>
      <c r="G6311" s="705">
        <v>879.72374165275039</v>
      </c>
    </row>
    <row r="6312" spans="2:7" ht="11.25" hidden="1" customHeight="1" outlineLevel="2" x14ac:dyDescent="0.25">
      <c r="B6312" s="704" t="s">
        <v>697</v>
      </c>
      <c r="C6312" s="704" t="s">
        <v>913</v>
      </c>
      <c r="D6312" s="704" t="s">
        <v>562</v>
      </c>
      <c r="E6312" s="704" t="s">
        <v>861</v>
      </c>
      <c r="F6312" s="708"/>
      <c r="G6312" s="705">
        <v>763.20409956412709</v>
      </c>
    </row>
    <row r="6313" spans="2:7" ht="11.25" hidden="1" customHeight="1" outlineLevel="2" x14ac:dyDescent="0.25">
      <c r="B6313" s="704" t="s">
        <v>698</v>
      </c>
      <c r="C6313" s="704" t="s">
        <v>913</v>
      </c>
      <c r="D6313" s="704" t="s">
        <v>562</v>
      </c>
      <c r="E6313" s="704" t="s">
        <v>861</v>
      </c>
      <c r="F6313" s="708"/>
      <c r="G6313" s="705">
        <v>477.73093688658491</v>
      </c>
    </row>
    <row r="6314" spans="2:7" ht="11.25" hidden="1" customHeight="1" outlineLevel="2" x14ac:dyDescent="0.25">
      <c r="B6314" s="704" t="s">
        <v>699</v>
      </c>
      <c r="C6314" s="704" t="s">
        <v>913</v>
      </c>
      <c r="D6314" s="704" t="s">
        <v>562</v>
      </c>
      <c r="E6314" s="704" t="s">
        <v>861</v>
      </c>
      <c r="F6314" s="708"/>
      <c r="G6314" s="705">
        <v>3705.326617768555</v>
      </c>
    </row>
    <row r="6315" spans="2:7" ht="11.25" hidden="1" customHeight="1" outlineLevel="2" x14ac:dyDescent="0.25">
      <c r="B6315" s="704" t="s">
        <v>673</v>
      </c>
      <c r="C6315" s="704" t="s">
        <v>914</v>
      </c>
      <c r="D6315" s="704" t="s">
        <v>562</v>
      </c>
      <c r="E6315" s="704" t="s">
        <v>861</v>
      </c>
      <c r="F6315" s="708"/>
      <c r="G6315" s="705">
        <v>192.28596424197795</v>
      </c>
    </row>
    <row r="6316" spans="2:7" ht="11.25" hidden="1" customHeight="1" outlineLevel="2" x14ac:dyDescent="0.25">
      <c r="B6316" s="704" t="s">
        <v>677</v>
      </c>
      <c r="C6316" s="704" t="s">
        <v>914</v>
      </c>
      <c r="D6316" s="704" t="s">
        <v>562</v>
      </c>
      <c r="E6316" s="704" t="s">
        <v>861</v>
      </c>
      <c r="F6316" s="705">
        <v>8.7448058575009827E-2</v>
      </c>
      <c r="G6316" s="705">
        <v>1949.4837018132544</v>
      </c>
    </row>
    <row r="6317" spans="2:7" ht="11.25" hidden="1" customHeight="1" outlineLevel="2" x14ac:dyDescent="0.25">
      <c r="B6317" s="704" t="s">
        <v>678</v>
      </c>
      <c r="C6317" s="704" t="s">
        <v>914</v>
      </c>
      <c r="D6317" s="704" t="s">
        <v>562</v>
      </c>
      <c r="E6317" s="704" t="s">
        <v>861</v>
      </c>
      <c r="F6317" s="708"/>
      <c r="G6317" s="705">
        <v>2981.9112184965397</v>
      </c>
    </row>
    <row r="6318" spans="2:7" ht="11.25" hidden="1" customHeight="1" outlineLevel="2" x14ac:dyDescent="0.25">
      <c r="B6318" s="704" t="s">
        <v>679</v>
      </c>
      <c r="C6318" s="704" t="s">
        <v>914</v>
      </c>
      <c r="D6318" s="704" t="s">
        <v>562</v>
      </c>
      <c r="E6318" s="704" t="s">
        <v>861</v>
      </c>
      <c r="F6318" s="708"/>
      <c r="G6318" s="705">
        <v>109.45511104844792</v>
      </c>
    </row>
    <row r="6319" spans="2:7" ht="11.25" hidden="1" customHeight="1" outlineLevel="2" x14ac:dyDescent="0.25">
      <c r="B6319" s="704" t="s">
        <v>680</v>
      </c>
      <c r="C6319" s="704" t="s">
        <v>914</v>
      </c>
      <c r="D6319" s="704" t="s">
        <v>562</v>
      </c>
      <c r="E6319" s="704" t="s">
        <v>861</v>
      </c>
      <c r="F6319" s="708"/>
      <c r="G6319" s="705">
        <v>76.914414292915538</v>
      </c>
    </row>
    <row r="6320" spans="2:7" ht="11.25" hidden="1" customHeight="1" outlineLevel="2" x14ac:dyDescent="0.25">
      <c r="B6320" s="704" t="s">
        <v>681</v>
      </c>
      <c r="C6320" s="704" t="s">
        <v>914</v>
      </c>
      <c r="D6320" s="704" t="s">
        <v>562</v>
      </c>
      <c r="E6320" s="704" t="s">
        <v>861</v>
      </c>
      <c r="F6320" s="708"/>
      <c r="G6320" s="705">
        <v>491.06871590513663</v>
      </c>
    </row>
    <row r="6321" spans="2:7" ht="11.25" hidden="1" customHeight="1" outlineLevel="2" x14ac:dyDescent="0.25">
      <c r="B6321" s="704" t="s">
        <v>682</v>
      </c>
      <c r="C6321" s="704" t="s">
        <v>914</v>
      </c>
      <c r="D6321" s="704" t="s">
        <v>562</v>
      </c>
      <c r="E6321" s="704" t="s">
        <v>861</v>
      </c>
      <c r="F6321" s="708"/>
      <c r="G6321" s="705">
        <v>189.327740445486</v>
      </c>
    </row>
    <row r="6322" spans="2:7" ht="11.25" hidden="1" customHeight="1" outlineLevel="2" x14ac:dyDescent="0.25">
      <c r="B6322" s="704" t="s">
        <v>683</v>
      </c>
      <c r="C6322" s="704" t="s">
        <v>914</v>
      </c>
      <c r="D6322" s="704" t="s">
        <v>562</v>
      </c>
      <c r="E6322" s="704" t="s">
        <v>861</v>
      </c>
      <c r="F6322" s="708"/>
      <c r="G6322" s="705">
        <v>224.82668286322004</v>
      </c>
    </row>
    <row r="6323" spans="2:7" ht="11.25" hidden="1" customHeight="1" outlineLevel="2" x14ac:dyDescent="0.25">
      <c r="B6323" s="704" t="s">
        <v>684</v>
      </c>
      <c r="C6323" s="704" t="s">
        <v>914</v>
      </c>
      <c r="D6323" s="704" t="s">
        <v>562</v>
      </c>
      <c r="E6323" s="704" t="s">
        <v>861</v>
      </c>
      <c r="F6323" s="709"/>
      <c r="G6323" s="705">
        <v>139.03752008417314</v>
      </c>
    </row>
    <row r="6324" spans="2:7" ht="11.25" hidden="1" customHeight="1" outlineLevel="2" x14ac:dyDescent="0.25">
      <c r="B6324" s="704" t="s">
        <v>685</v>
      </c>
      <c r="C6324" s="704" t="s">
        <v>914</v>
      </c>
      <c r="D6324" s="704" t="s">
        <v>562</v>
      </c>
      <c r="E6324" s="704" t="s">
        <v>861</v>
      </c>
      <c r="F6324" s="709"/>
      <c r="G6324" s="705">
        <v>692.22962385077051</v>
      </c>
    </row>
    <row r="6325" spans="2:7" ht="11.25" hidden="1" customHeight="1" outlineLevel="2" x14ac:dyDescent="0.25">
      <c r="B6325" s="704" t="s">
        <v>686</v>
      </c>
      <c r="C6325" s="704" t="s">
        <v>914</v>
      </c>
      <c r="D6325" s="704" t="s">
        <v>562</v>
      </c>
      <c r="E6325" s="704" t="s">
        <v>861</v>
      </c>
      <c r="F6325" s="709"/>
      <c r="G6325" s="705">
        <v>103.53859250606941</v>
      </c>
    </row>
    <row r="6326" spans="2:7" ht="11.25" hidden="1" customHeight="1" outlineLevel="2" x14ac:dyDescent="0.25">
      <c r="B6326" s="704" t="s">
        <v>687</v>
      </c>
      <c r="C6326" s="704" t="s">
        <v>914</v>
      </c>
      <c r="D6326" s="704" t="s">
        <v>562</v>
      </c>
      <c r="E6326" s="704" t="s">
        <v>861</v>
      </c>
      <c r="F6326" s="709"/>
      <c r="G6326" s="705">
        <v>665.60550651228209</v>
      </c>
    </row>
    <row r="6327" spans="2:7" ht="11.25" hidden="1" customHeight="1" outlineLevel="2" x14ac:dyDescent="0.25">
      <c r="B6327" s="704" t="s">
        <v>688</v>
      </c>
      <c r="C6327" s="704" t="s">
        <v>914</v>
      </c>
      <c r="D6327" s="704" t="s">
        <v>562</v>
      </c>
      <c r="E6327" s="704" t="s">
        <v>861</v>
      </c>
      <c r="F6327" s="709"/>
      <c r="G6327" s="705">
        <v>1769.0311974163974</v>
      </c>
    </row>
    <row r="6328" spans="2:7" ht="11.25" hidden="1" customHeight="1" outlineLevel="2" x14ac:dyDescent="0.25">
      <c r="B6328" s="704" t="s">
        <v>689</v>
      </c>
      <c r="C6328" s="704" t="s">
        <v>914</v>
      </c>
      <c r="D6328" s="704" t="s">
        <v>562</v>
      </c>
      <c r="E6328" s="704" t="s">
        <v>861</v>
      </c>
      <c r="F6328" s="709"/>
      <c r="G6328" s="705">
        <v>109.52217700691291</v>
      </c>
    </row>
    <row r="6329" spans="2:7" ht="11.25" hidden="1" customHeight="1" outlineLevel="2" x14ac:dyDescent="0.25">
      <c r="B6329" s="704" t="s">
        <v>690</v>
      </c>
      <c r="C6329" s="704" t="s">
        <v>914</v>
      </c>
      <c r="D6329" s="704" t="s">
        <v>562</v>
      </c>
      <c r="E6329" s="704" t="s">
        <v>861</v>
      </c>
      <c r="F6329" s="709"/>
      <c r="G6329" s="705">
        <v>2606.2144858817987</v>
      </c>
    </row>
    <row r="6330" spans="2:7" ht="11.25" hidden="1" customHeight="1" outlineLevel="2" x14ac:dyDescent="0.25">
      <c r="B6330" s="704" t="s">
        <v>691</v>
      </c>
      <c r="C6330" s="704" t="s">
        <v>914</v>
      </c>
      <c r="D6330" s="704" t="s">
        <v>562</v>
      </c>
      <c r="E6330" s="704" t="s">
        <v>861</v>
      </c>
      <c r="F6330" s="708"/>
      <c r="G6330" s="705">
        <v>1990.8990980372341</v>
      </c>
    </row>
    <row r="6331" spans="2:7" ht="11.25" hidden="1" customHeight="1" outlineLevel="2" x14ac:dyDescent="0.25">
      <c r="B6331" s="704" t="s">
        <v>692</v>
      </c>
      <c r="C6331" s="704" t="s">
        <v>914</v>
      </c>
      <c r="D6331" s="704" t="s">
        <v>562</v>
      </c>
      <c r="E6331" s="704" t="s">
        <v>861</v>
      </c>
      <c r="F6331" s="708"/>
      <c r="G6331" s="705">
        <v>233.7013781967953</v>
      </c>
    </row>
    <row r="6332" spans="2:7" ht="11.25" hidden="1" customHeight="1" outlineLevel="2" x14ac:dyDescent="0.25">
      <c r="B6332" s="704" t="s">
        <v>693</v>
      </c>
      <c r="C6332" s="704" t="s">
        <v>914</v>
      </c>
      <c r="D6332" s="704" t="s">
        <v>562</v>
      </c>
      <c r="E6332" s="704" t="s">
        <v>861</v>
      </c>
      <c r="F6332" s="708"/>
      <c r="G6332" s="705">
        <v>106.49685390972913</v>
      </c>
    </row>
    <row r="6333" spans="2:7" ht="11.25" hidden="1" customHeight="1" outlineLevel="2" x14ac:dyDescent="0.25">
      <c r="B6333" s="704" t="s">
        <v>694</v>
      </c>
      <c r="C6333" s="704" t="s">
        <v>914</v>
      </c>
      <c r="D6333" s="704" t="s">
        <v>562</v>
      </c>
      <c r="E6333" s="704" t="s">
        <v>861</v>
      </c>
      <c r="F6333" s="709"/>
      <c r="G6333" s="705">
        <v>44.373688935511097</v>
      </c>
    </row>
    <row r="6334" spans="2:7" ht="11.25" hidden="1" customHeight="1" outlineLevel="2" x14ac:dyDescent="0.25">
      <c r="B6334" s="704" t="s">
        <v>695</v>
      </c>
      <c r="C6334" s="704" t="s">
        <v>914</v>
      </c>
      <c r="D6334" s="704" t="s">
        <v>562</v>
      </c>
      <c r="E6334" s="704" t="s">
        <v>861</v>
      </c>
      <c r="F6334" s="708"/>
      <c r="G6334" s="705">
        <v>198.20246063453419</v>
      </c>
    </row>
    <row r="6335" spans="2:7" ht="11.25" hidden="1" customHeight="1" outlineLevel="2" x14ac:dyDescent="0.25">
      <c r="B6335" s="704" t="s">
        <v>696</v>
      </c>
      <c r="C6335" s="704" t="s">
        <v>914</v>
      </c>
      <c r="D6335" s="704" t="s">
        <v>562</v>
      </c>
      <c r="E6335" s="704" t="s">
        <v>861</v>
      </c>
      <c r="F6335" s="708"/>
      <c r="G6335" s="705">
        <v>446.69508995442351</v>
      </c>
    </row>
    <row r="6336" spans="2:7" ht="11.25" hidden="1" customHeight="1" outlineLevel="2" x14ac:dyDescent="0.25">
      <c r="B6336" s="704" t="s">
        <v>697</v>
      </c>
      <c r="C6336" s="704" t="s">
        <v>914</v>
      </c>
      <c r="D6336" s="704" t="s">
        <v>562</v>
      </c>
      <c r="E6336" s="704" t="s">
        <v>861</v>
      </c>
      <c r="F6336" s="709"/>
      <c r="G6336" s="705">
        <v>387.53015098087985</v>
      </c>
    </row>
    <row r="6337" spans="2:7" ht="11.25" hidden="1" customHeight="1" outlineLevel="2" x14ac:dyDescent="0.25">
      <c r="B6337" s="704" t="s">
        <v>698</v>
      </c>
      <c r="C6337" s="704" t="s">
        <v>914</v>
      </c>
      <c r="D6337" s="704" t="s">
        <v>562</v>
      </c>
      <c r="E6337" s="704" t="s">
        <v>861</v>
      </c>
      <c r="F6337" s="708"/>
      <c r="G6337" s="705">
        <v>242.5761156934758</v>
      </c>
    </row>
    <row r="6338" spans="2:7" ht="11.25" hidden="1" customHeight="1" outlineLevel="2" x14ac:dyDescent="0.25">
      <c r="B6338" s="704" t="s">
        <v>699</v>
      </c>
      <c r="C6338" s="704" t="s">
        <v>914</v>
      </c>
      <c r="D6338" s="704" t="s">
        <v>562</v>
      </c>
      <c r="E6338" s="704" t="s">
        <v>861</v>
      </c>
      <c r="F6338" s="708"/>
      <c r="G6338" s="705">
        <v>1881.4439426397366</v>
      </c>
    </row>
    <row r="6339" spans="2:7" ht="11.25" hidden="1" customHeight="1" outlineLevel="2" x14ac:dyDescent="0.25">
      <c r="B6339" s="704" t="s">
        <v>673</v>
      </c>
      <c r="C6339" s="704" t="s">
        <v>915</v>
      </c>
      <c r="D6339" s="704" t="s">
        <v>562</v>
      </c>
      <c r="E6339" s="704" t="s">
        <v>861</v>
      </c>
      <c r="F6339" s="708"/>
      <c r="G6339" s="705">
        <v>18.472194354192006</v>
      </c>
    </row>
    <row r="6340" spans="2:7" ht="11.25" hidden="1" customHeight="1" outlineLevel="2" x14ac:dyDescent="0.25">
      <c r="B6340" s="704" t="s">
        <v>677</v>
      </c>
      <c r="C6340" s="704" t="s">
        <v>915</v>
      </c>
      <c r="D6340" s="704" t="s">
        <v>562</v>
      </c>
      <c r="E6340" s="704" t="s">
        <v>861</v>
      </c>
      <c r="F6340" s="706">
        <v>5.1802243113613297E-3</v>
      </c>
      <c r="G6340" s="705">
        <v>187.27960591098969</v>
      </c>
    </row>
    <row r="6341" spans="2:7" ht="11.25" hidden="1" customHeight="1" outlineLevel="2" x14ac:dyDescent="0.25">
      <c r="B6341" s="704" t="s">
        <v>678</v>
      </c>
      <c r="C6341" s="704" t="s">
        <v>915</v>
      </c>
      <c r="D6341" s="704" t="s">
        <v>562</v>
      </c>
      <c r="E6341" s="704" t="s">
        <v>861</v>
      </c>
      <c r="F6341" s="709"/>
      <c r="G6341" s="705">
        <v>286.46107521720245</v>
      </c>
    </row>
    <row r="6342" spans="2:7" ht="11.25" hidden="1" customHeight="1" outlineLevel="2" x14ac:dyDescent="0.25">
      <c r="B6342" s="704" t="s">
        <v>679</v>
      </c>
      <c r="C6342" s="704" t="s">
        <v>915</v>
      </c>
      <c r="D6342" s="704" t="s">
        <v>562</v>
      </c>
      <c r="E6342" s="704" t="s">
        <v>861</v>
      </c>
      <c r="F6342" s="709"/>
      <c r="G6342" s="705">
        <v>10.514939883582437</v>
      </c>
    </row>
    <row r="6343" spans="2:7" ht="11.25" hidden="1" customHeight="1" outlineLevel="2" x14ac:dyDescent="0.25">
      <c r="B6343" s="704" t="s">
        <v>680</v>
      </c>
      <c r="C6343" s="704" t="s">
        <v>915</v>
      </c>
      <c r="D6343" s="704" t="s">
        <v>562</v>
      </c>
      <c r="E6343" s="704" t="s">
        <v>861</v>
      </c>
      <c r="F6343" s="708"/>
      <c r="G6343" s="705">
        <v>7.3888769617925014</v>
      </c>
    </row>
    <row r="6344" spans="2:7" ht="11.25" hidden="1" customHeight="1" outlineLevel="2" x14ac:dyDescent="0.25">
      <c r="B6344" s="704" t="s">
        <v>681</v>
      </c>
      <c r="C6344" s="704" t="s">
        <v>915</v>
      </c>
      <c r="D6344" s="704" t="s">
        <v>562</v>
      </c>
      <c r="E6344" s="704" t="s">
        <v>861</v>
      </c>
      <c r="F6344" s="708"/>
      <c r="G6344" s="705">
        <v>47.175137575942578</v>
      </c>
    </row>
    <row r="6345" spans="2:7" ht="11.25" hidden="1" customHeight="1" outlineLevel="2" x14ac:dyDescent="0.25">
      <c r="B6345" s="704" t="s">
        <v>682</v>
      </c>
      <c r="C6345" s="704" t="s">
        <v>915</v>
      </c>
      <c r="D6345" s="704" t="s">
        <v>562</v>
      </c>
      <c r="E6345" s="704" t="s">
        <v>861</v>
      </c>
      <c r="F6345" s="708"/>
      <c r="G6345" s="705">
        <v>18.188003028591279</v>
      </c>
    </row>
    <row r="6346" spans="2:7" ht="11.25" hidden="1" customHeight="1" outlineLevel="2" x14ac:dyDescent="0.25">
      <c r="B6346" s="704" t="s">
        <v>683</v>
      </c>
      <c r="C6346" s="704" t="s">
        <v>915</v>
      </c>
      <c r="D6346" s="704" t="s">
        <v>562</v>
      </c>
      <c r="E6346" s="704" t="s">
        <v>861</v>
      </c>
      <c r="F6346" s="708"/>
      <c r="G6346" s="705">
        <v>21.598254760556177</v>
      </c>
    </row>
    <row r="6347" spans="2:7" ht="11.25" hidden="1" customHeight="1" outlineLevel="2" x14ac:dyDescent="0.25">
      <c r="B6347" s="704" t="s">
        <v>684</v>
      </c>
      <c r="C6347" s="704" t="s">
        <v>915</v>
      </c>
      <c r="D6347" s="704" t="s">
        <v>562</v>
      </c>
      <c r="E6347" s="704" t="s">
        <v>861</v>
      </c>
      <c r="F6347" s="708"/>
      <c r="G6347" s="705">
        <v>13.356816101550981</v>
      </c>
    </row>
    <row r="6348" spans="2:7" ht="11.25" hidden="1" customHeight="1" outlineLevel="2" x14ac:dyDescent="0.25">
      <c r="B6348" s="704" t="s">
        <v>685</v>
      </c>
      <c r="C6348" s="704" t="s">
        <v>915</v>
      </c>
      <c r="D6348" s="704" t="s">
        <v>562</v>
      </c>
      <c r="E6348" s="704" t="s">
        <v>861</v>
      </c>
      <c r="F6348" s="708"/>
      <c r="G6348" s="705">
        <v>66.499899586583794</v>
      </c>
    </row>
    <row r="6349" spans="2:7" ht="11.25" hidden="1" customHeight="1" outlineLevel="2" x14ac:dyDescent="0.25">
      <c r="B6349" s="704" t="s">
        <v>686</v>
      </c>
      <c r="C6349" s="704" t="s">
        <v>915</v>
      </c>
      <c r="D6349" s="704" t="s">
        <v>562</v>
      </c>
      <c r="E6349" s="704" t="s">
        <v>861</v>
      </c>
      <c r="F6349" s="708"/>
      <c r="G6349" s="705">
        <v>9.9465641343640279</v>
      </c>
    </row>
    <row r="6350" spans="2:7" ht="11.25" hidden="1" customHeight="1" outlineLevel="2" x14ac:dyDescent="0.25">
      <c r="B6350" s="704" t="s">
        <v>687</v>
      </c>
      <c r="C6350" s="704" t="s">
        <v>915</v>
      </c>
      <c r="D6350" s="704" t="s">
        <v>562</v>
      </c>
      <c r="E6350" s="704" t="s">
        <v>861</v>
      </c>
      <c r="F6350" s="708"/>
      <c r="G6350" s="705">
        <v>63.942195893677592</v>
      </c>
    </row>
    <row r="6351" spans="2:7" ht="11.25" hidden="1" customHeight="1" outlineLevel="2" x14ac:dyDescent="0.25">
      <c r="B6351" s="704" t="s">
        <v>688</v>
      </c>
      <c r="C6351" s="704" t="s">
        <v>915</v>
      </c>
      <c r="D6351" s="704" t="s">
        <v>562</v>
      </c>
      <c r="E6351" s="704" t="s">
        <v>861</v>
      </c>
      <c r="F6351" s="708"/>
      <c r="G6351" s="705">
        <v>169.94413547383414</v>
      </c>
    </row>
    <row r="6352" spans="2:7" ht="11.25" hidden="1" customHeight="1" outlineLevel="2" x14ac:dyDescent="0.25">
      <c r="B6352" s="704" t="s">
        <v>689</v>
      </c>
      <c r="C6352" s="704" t="s">
        <v>915</v>
      </c>
      <c r="D6352" s="704" t="s">
        <v>562</v>
      </c>
      <c r="E6352" s="704" t="s">
        <v>861</v>
      </c>
      <c r="F6352" s="708"/>
      <c r="G6352" s="705">
        <v>10.521383532948866</v>
      </c>
    </row>
    <row r="6353" spans="2:7" ht="11.25" hidden="1" customHeight="1" outlineLevel="2" x14ac:dyDescent="0.25">
      <c r="B6353" s="704" t="s">
        <v>690</v>
      </c>
      <c r="C6353" s="704" t="s">
        <v>915</v>
      </c>
      <c r="D6353" s="704" t="s">
        <v>562</v>
      </c>
      <c r="E6353" s="704" t="s">
        <v>861</v>
      </c>
      <c r="F6353" s="708"/>
      <c r="G6353" s="705">
        <v>250.36920222292625</v>
      </c>
    </row>
    <row r="6354" spans="2:7" ht="11.25" hidden="1" customHeight="1" outlineLevel="2" x14ac:dyDescent="0.25">
      <c r="B6354" s="704" t="s">
        <v>691</v>
      </c>
      <c r="C6354" s="704" t="s">
        <v>915</v>
      </c>
      <c r="D6354" s="704" t="s">
        <v>562</v>
      </c>
      <c r="E6354" s="704" t="s">
        <v>861</v>
      </c>
      <c r="F6354" s="709"/>
      <c r="G6354" s="705">
        <v>191.25824905285347</v>
      </c>
    </row>
    <row r="6355" spans="2:7" ht="11.25" hidden="1" customHeight="1" outlineLevel="2" x14ac:dyDescent="0.25">
      <c r="B6355" s="704" t="s">
        <v>692</v>
      </c>
      <c r="C6355" s="704" t="s">
        <v>915</v>
      </c>
      <c r="D6355" s="704" t="s">
        <v>562</v>
      </c>
      <c r="E6355" s="704" t="s">
        <v>861</v>
      </c>
      <c r="F6355" s="709"/>
      <c r="G6355" s="705">
        <v>22.450821852183669</v>
      </c>
    </row>
    <row r="6356" spans="2:7" ht="11.25" hidden="1" customHeight="1" outlineLevel="2" x14ac:dyDescent="0.25">
      <c r="B6356" s="704" t="s">
        <v>693</v>
      </c>
      <c r="C6356" s="704" t="s">
        <v>915</v>
      </c>
      <c r="D6356" s="704" t="s">
        <v>562</v>
      </c>
      <c r="E6356" s="704" t="s">
        <v>861</v>
      </c>
      <c r="F6356" s="708"/>
      <c r="G6356" s="705">
        <v>10.230750147334179</v>
      </c>
    </row>
    <row r="6357" spans="2:7" ht="11.25" hidden="1" customHeight="1" outlineLevel="2" x14ac:dyDescent="0.25">
      <c r="B6357" s="704" t="s">
        <v>694</v>
      </c>
      <c r="C6357" s="704" t="s">
        <v>915</v>
      </c>
      <c r="D6357" s="704" t="s">
        <v>562</v>
      </c>
      <c r="E6357" s="704" t="s">
        <v>861</v>
      </c>
      <c r="F6357" s="708"/>
      <c r="G6357" s="705">
        <v>4.2628130006015459</v>
      </c>
    </row>
    <row r="6358" spans="2:7" ht="11.25" hidden="1" customHeight="1" outlineLevel="2" x14ac:dyDescent="0.25">
      <c r="B6358" s="704" t="s">
        <v>695</v>
      </c>
      <c r="C6358" s="704" t="s">
        <v>915</v>
      </c>
      <c r="D6358" s="704" t="s">
        <v>562</v>
      </c>
      <c r="E6358" s="704" t="s">
        <v>861</v>
      </c>
      <c r="F6358" s="708"/>
      <c r="G6358" s="705">
        <v>19.040566633437617</v>
      </c>
    </row>
    <row r="6359" spans="2:7" ht="11.25" hidden="1" customHeight="1" outlineLevel="2" x14ac:dyDescent="0.25">
      <c r="B6359" s="704" t="s">
        <v>696</v>
      </c>
      <c r="C6359" s="704" t="s">
        <v>915</v>
      </c>
      <c r="D6359" s="704" t="s">
        <v>562</v>
      </c>
      <c r="E6359" s="704" t="s">
        <v>861</v>
      </c>
      <c r="F6359" s="708"/>
      <c r="G6359" s="705">
        <v>42.9123294389683</v>
      </c>
    </row>
    <row r="6360" spans="2:7" ht="11.25" hidden="1" customHeight="1" outlineLevel="2" x14ac:dyDescent="0.25">
      <c r="B6360" s="704" t="s">
        <v>697</v>
      </c>
      <c r="C6360" s="704" t="s">
        <v>915</v>
      </c>
      <c r="D6360" s="704" t="s">
        <v>562</v>
      </c>
      <c r="E6360" s="704" t="s">
        <v>861</v>
      </c>
      <c r="F6360" s="708"/>
      <c r="G6360" s="705">
        <v>37.228571553874872</v>
      </c>
    </row>
    <row r="6361" spans="2:7" ht="11.25" hidden="1" customHeight="1" outlineLevel="2" x14ac:dyDescent="0.25">
      <c r="B6361" s="704" t="s">
        <v>698</v>
      </c>
      <c r="C6361" s="704" t="s">
        <v>915</v>
      </c>
      <c r="D6361" s="704" t="s">
        <v>562</v>
      </c>
      <c r="E6361" s="704" t="s">
        <v>861</v>
      </c>
      <c r="F6361" s="708"/>
      <c r="G6361" s="705">
        <v>23.303376170697863</v>
      </c>
    </row>
    <row r="6362" spans="2:7" ht="11.25" hidden="1" customHeight="1" outlineLevel="2" x14ac:dyDescent="0.25">
      <c r="B6362" s="704" t="s">
        <v>699</v>
      </c>
      <c r="C6362" s="704" t="s">
        <v>915</v>
      </c>
      <c r="D6362" s="704" t="s">
        <v>562</v>
      </c>
      <c r="E6362" s="704" t="s">
        <v>861</v>
      </c>
      <c r="F6362" s="708"/>
      <c r="G6362" s="705">
        <v>180.74329653592577</v>
      </c>
    </row>
    <row r="6363" spans="2:7" ht="11.25" hidden="1" customHeight="1" outlineLevel="2" x14ac:dyDescent="0.25">
      <c r="B6363" s="704" t="s">
        <v>673</v>
      </c>
      <c r="C6363" s="704" t="s">
        <v>916</v>
      </c>
      <c r="D6363" s="704" t="s">
        <v>562</v>
      </c>
      <c r="E6363" s="704" t="s">
        <v>861</v>
      </c>
      <c r="F6363" s="708"/>
      <c r="G6363" s="705">
        <v>16.389019422585918</v>
      </c>
    </row>
    <row r="6364" spans="2:7" ht="11.25" hidden="1" customHeight="1" outlineLevel="2" x14ac:dyDescent="0.25">
      <c r="B6364" s="704" t="s">
        <v>677</v>
      </c>
      <c r="C6364" s="704" t="s">
        <v>916</v>
      </c>
      <c r="D6364" s="704" t="s">
        <v>562</v>
      </c>
      <c r="E6364" s="704" t="s">
        <v>861</v>
      </c>
      <c r="F6364" s="705">
        <v>5.7979484059478784E-3</v>
      </c>
      <c r="G6364" s="705">
        <v>166.15941357230355</v>
      </c>
    </row>
    <row r="6365" spans="2:7" ht="11.25" hidden="1" customHeight="1" outlineLevel="2" x14ac:dyDescent="0.25">
      <c r="B6365" s="704" t="s">
        <v>678</v>
      </c>
      <c r="C6365" s="704" t="s">
        <v>916</v>
      </c>
      <c r="D6365" s="704" t="s">
        <v>562</v>
      </c>
      <c r="E6365" s="704" t="s">
        <v>861</v>
      </c>
      <c r="F6365" s="708"/>
      <c r="G6365" s="705">
        <v>254.15581983890581</v>
      </c>
    </row>
    <row r="6366" spans="2:7" ht="11.25" hidden="1" customHeight="1" outlineLevel="2" x14ac:dyDescent="0.25">
      <c r="B6366" s="704" t="s">
        <v>679</v>
      </c>
      <c r="C6366" s="704" t="s">
        <v>916</v>
      </c>
      <c r="D6366" s="704" t="s">
        <v>562</v>
      </c>
      <c r="E6366" s="704" t="s">
        <v>861</v>
      </c>
      <c r="F6366" s="708"/>
      <c r="G6366" s="705">
        <v>9.329135801951951</v>
      </c>
    </row>
    <row r="6367" spans="2:7" ht="11.25" hidden="1" customHeight="1" outlineLevel="2" x14ac:dyDescent="0.25">
      <c r="B6367" s="704" t="s">
        <v>680</v>
      </c>
      <c r="C6367" s="704" t="s">
        <v>916</v>
      </c>
      <c r="D6367" s="704" t="s">
        <v>562</v>
      </c>
      <c r="E6367" s="704" t="s">
        <v>861</v>
      </c>
      <c r="F6367" s="708"/>
      <c r="G6367" s="705">
        <v>6.5556071528947273</v>
      </c>
    </row>
    <row r="6368" spans="2:7" ht="11.25" hidden="1" customHeight="1" outlineLevel="2" x14ac:dyDescent="0.25">
      <c r="B6368" s="704" t="s">
        <v>681</v>
      </c>
      <c r="C6368" s="704" t="s">
        <v>916</v>
      </c>
      <c r="D6368" s="704" t="s">
        <v>562</v>
      </c>
      <c r="E6368" s="704" t="s">
        <v>861</v>
      </c>
      <c r="F6368" s="708"/>
      <c r="G6368" s="705">
        <v>41.855032600512956</v>
      </c>
    </row>
    <row r="6369" spans="2:7" ht="11.25" hidden="1" customHeight="1" outlineLevel="2" x14ac:dyDescent="0.25">
      <c r="B6369" s="704" t="s">
        <v>682</v>
      </c>
      <c r="C6369" s="704" t="s">
        <v>916</v>
      </c>
      <c r="D6369" s="704" t="s">
        <v>562</v>
      </c>
      <c r="E6369" s="704" t="s">
        <v>861</v>
      </c>
      <c r="F6369" s="708"/>
      <c r="G6369" s="705">
        <v>16.136882733126861</v>
      </c>
    </row>
    <row r="6370" spans="2:7" ht="11.25" hidden="1" customHeight="1" outlineLevel="2" x14ac:dyDescent="0.25">
      <c r="B6370" s="704" t="s">
        <v>683</v>
      </c>
      <c r="C6370" s="704" t="s">
        <v>916</v>
      </c>
      <c r="D6370" s="704" t="s">
        <v>562</v>
      </c>
      <c r="E6370" s="704" t="s">
        <v>861</v>
      </c>
      <c r="F6370" s="708"/>
      <c r="G6370" s="705">
        <v>19.16254408592577</v>
      </c>
    </row>
    <row r="6371" spans="2:7" ht="11.25" hidden="1" customHeight="1" outlineLevel="2" x14ac:dyDescent="0.25">
      <c r="B6371" s="704" t="s">
        <v>684</v>
      </c>
      <c r="C6371" s="704" t="s">
        <v>916</v>
      </c>
      <c r="D6371" s="704" t="s">
        <v>562</v>
      </c>
      <c r="E6371" s="704" t="s">
        <v>861</v>
      </c>
      <c r="F6371" s="709"/>
      <c r="G6371" s="705">
        <v>11.850521449572073</v>
      </c>
    </row>
    <row r="6372" spans="2:7" ht="11.25" hidden="1" customHeight="1" outlineLevel="2" x14ac:dyDescent="0.25">
      <c r="B6372" s="704" t="s">
        <v>685</v>
      </c>
      <c r="C6372" s="704" t="s">
        <v>916</v>
      </c>
      <c r="D6372" s="704" t="s">
        <v>562</v>
      </c>
      <c r="E6372" s="704" t="s">
        <v>861</v>
      </c>
      <c r="F6372" s="709"/>
      <c r="G6372" s="705">
        <v>59.000459302741575</v>
      </c>
    </row>
    <row r="6373" spans="2:7" ht="11.25" hidden="1" customHeight="1" outlineLevel="2" x14ac:dyDescent="0.25">
      <c r="B6373" s="704" t="s">
        <v>686</v>
      </c>
      <c r="C6373" s="704" t="s">
        <v>916</v>
      </c>
      <c r="D6373" s="704" t="s">
        <v>562</v>
      </c>
      <c r="E6373" s="704" t="s">
        <v>861</v>
      </c>
      <c r="F6373" s="709"/>
      <c r="G6373" s="705">
        <v>8.8248573131628305</v>
      </c>
    </row>
    <row r="6374" spans="2:7" ht="11.25" hidden="1" customHeight="1" outlineLevel="2" x14ac:dyDescent="0.25">
      <c r="B6374" s="704" t="s">
        <v>687</v>
      </c>
      <c r="C6374" s="704" t="s">
        <v>916</v>
      </c>
      <c r="D6374" s="704" t="s">
        <v>562</v>
      </c>
      <c r="E6374" s="704" t="s">
        <v>861</v>
      </c>
      <c r="F6374" s="709"/>
      <c r="G6374" s="705">
        <v>56.731206658947208</v>
      </c>
    </row>
    <row r="6375" spans="2:7" ht="11.25" hidden="1" customHeight="1" outlineLevel="2" x14ac:dyDescent="0.25">
      <c r="B6375" s="704" t="s">
        <v>688</v>
      </c>
      <c r="C6375" s="704" t="s">
        <v>916</v>
      </c>
      <c r="D6375" s="704" t="s">
        <v>562</v>
      </c>
      <c r="E6375" s="704" t="s">
        <v>861</v>
      </c>
      <c r="F6375" s="709"/>
      <c r="G6375" s="705">
        <v>150.77900616723082</v>
      </c>
    </row>
    <row r="6376" spans="2:7" ht="11.25" hidden="1" customHeight="1" outlineLevel="2" x14ac:dyDescent="0.25">
      <c r="B6376" s="704" t="s">
        <v>689</v>
      </c>
      <c r="C6376" s="704" t="s">
        <v>916</v>
      </c>
      <c r="D6376" s="704" t="s">
        <v>562</v>
      </c>
      <c r="E6376" s="704" t="s">
        <v>861</v>
      </c>
      <c r="F6376" s="709"/>
      <c r="G6376" s="705">
        <v>9.3348530011260564</v>
      </c>
    </row>
    <row r="6377" spans="2:7" ht="11.25" hidden="1" customHeight="1" outlineLevel="2" x14ac:dyDescent="0.25">
      <c r="B6377" s="704" t="s">
        <v>690</v>
      </c>
      <c r="C6377" s="704" t="s">
        <v>916</v>
      </c>
      <c r="D6377" s="704" t="s">
        <v>562</v>
      </c>
      <c r="E6377" s="704" t="s">
        <v>861</v>
      </c>
      <c r="F6377" s="709"/>
      <c r="G6377" s="705">
        <v>222.13421905272094</v>
      </c>
    </row>
    <row r="6378" spans="2:7" ht="11.25" hidden="1" customHeight="1" outlineLevel="2" x14ac:dyDescent="0.25">
      <c r="B6378" s="704" t="s">
        <v>691</v>
      </c>
      <c r="C6378" s="704" t="s">
        <v>916</v>
      </c>
      <c r="D6378" s="704" t="s">
        <v>562</v>
      </c>
      <c r="E6378" s="704" t="s">
        <v>861</v>
      </c>
      <c r="F6378" s="709"/>
      <c r="G6378" s="705">
        <v>169.68934005574718</v>
      </c>
    </row>
    <row r="6379" spans="2:7" ht="11.25" hidden="1" customHeight="1" outlineLevel="2" x14ac:dyDescent="0.25">
      <c r="B6379" s="704" t="s">
        <v>692</v>
      </c>
      <c r="C6379" s="704" t="s">
        <v>916</v>
      </c>
      <c r="D6379" s="704" t="s">
        <v>562</v>
      </c>
      <c r="E6379" s="704" t="s">
        <v>861</v>
      </c>
      <c r="F6379" s="709"/>
      <c r="G6379" s="705">
        <v>19.918962585036532</v>
      </c>
    </row>
    <row r="6380" spans="2:7" ht="11.25" hidden="1" customHeight="1" outlineLevel="2" x14ac:dyDescent="0.25">
      <c r="B6380" s="704" t="s">
        <v>693</v>
      </c>
      <c r="C6380" s="704" t="s">
        <v>916</v>
      </c>
      <c r="D6380" s="704" t="s">
        <v>562</v>
      </c>
      <c r="E6380" s="704" t="s">
        <v>861</v>
      </c>
      <c r="F6380" s="709"/>
      <c r="G6380" s="705">
        <v>9.0769967728903111</v>
      </c>
    </row>
    <row r="6381" spans="2:7" ht="11.25" hidden="1" customHeight="1" outlineLevel="2" x14ac:dyDescent="0.25">
      <c r="B6381" s="704" t="s">
        <v>694</v>
      </c>
      <c r="C6381" s="704" t="s">
        <v>916</v>
      </c>
      <c r="D6381" s="704" t="s">
        <v>562</v>
      </c>
      <c r="E6381" s="704" t="s">
        <v>861</v>
      </c>
      <c r="F6381" s="708"/>
      <c r="G6381" s="705">
        <v>3.7820802762731436</v>
      </c>
    </row>
    <row r="6382" spans="2:7" ht="11.25" hidden="1" customHeight="1" outlineLevel="2" x14ac:dyDescent="0.25">
      <c r="B6382" s="704" t="s">
        <v>695</v>
      </c>
      <c r="C6382" s="704" t="s">
        <v>916</v>
      </c>
      <c r="D6382" s="704" t="s">
        <v>562</v>
      </c>
      <c r="E6382" s="704" t="s">
        <v>861</v>
      </c>
      <c r="F6382" s="708"/>
      <c r="G6382" s="705">
        <v>16.893296173503671</v>
      </c>
    </row>
    <row r="6383" spans="2:7" ht="11.25" hidden="1" customHeight="1" outlineLevel="2" x14ac:dyDescent="0.25">
      <c r="B6383" s="704" t="s">
        <v>696</v>
      </c>
      <c r="C6383" s="704" t="s">
        <v>916</v>
      </c>
      <c r="D6383" s="704" t="s">
        <v>562</v>
      </c>
      <c r="E6383" s="704" t="s">
        <v>861</v>
      </c>
      <c r="F6383" s="709"/>
      <c r="G6383" s="705">
        <v>38.072962253561748</v>
      </c>
    </row>
    <row r="6384" spans="2:7" ht="11.25" hidden="1" customHeight="1" outlineLevel="2" x14ac:dyDescent="0.25">
      <c r="B6384" s="704" t="s">
        <v>697</v>
      </c>
      <c r="C6384" s="704" t="s">
        <v>916</v>
      </c>
      <c r="D6384" s="704" t="s">
        <v>562</v>
      </c>
      <c r="E6384" s="704" t="s">
        <v>861</v>
      </c>
      <c r="F6384" s="708"/>
      <c r="G6384" s="705">
        <v>33.030173560982064</v>
      </c>
    </row>
    <row r="6385" spans="2:7" ht="11.25" hidden="1" customHeight="1" outlineLevel="2" x14ac:dyDescent="0.25">
      <c r="B6385" s="704" t="s">
        <v>698</v>
      </c>
      <c r="C6385" s="704" t="s">
        <v>916</v>
      </c>
      <c r="D6385" s="704" t="s">
        <v>562</v>
      </c>
      <c r="E6385" s="704" t="s">
        <v>861</v>
      </c>
      <c r="F6385" s="708"/>
      <c r="G6385" s="705">
        <v>20.675376971111305</v>
      </c>
    </row>
    <row r="6386" spans="2:7" ht="11.25" hidden="1" customHeight="1" outlineLevel="2" x14ac:dyDescent="0.25">
      <c r="B6386" s="704" t="s">
        <v>699</v>
      </c>
      <c r="C6386" s="704" t="s">
        <v>916</v>
      </c>
      <c r="D6386" s="704" t="s">
        <v>562</v>
      </c>
      <c r="E6386" s="704" t="s">
        <v>861</v>
      </c>
      <c r="F6386" s="708"/>
      <c r="G6386" s="705">
        <v>160.36022166420429</v>
      </c>
    </row>
    <row r="6387" spans="2:7" ht="11.25" hidden="1" customHeight="1" outlineLevel="1" x14ac:dyDescent="0.25">
      <c r="B6387" s="704"/>
      <c r="C6387" s="704"/>
      <c r="D6387" s="707" t="s">
        <v>929</v>
      </c>
      <c r="E6387" s="704"/>
      <c r="F6387" s="708">
        <f t="shared" ref="F6387:G6387" si="16">SUBTOTAL(9,F5763:F6386)</f>
        <v>229.53561288648498</v>
      </c>
      <c r="G6387" s="705">
        <f t="shared" si="16"/>
        <v>298379.76240244025</v>
      </c>
    </row>
    <row r="6388" spans="2:7" ht="11.25" hidden="1" customHeight="1" outlineLevel="2" x14ac:dyDescent="0.25">
      <c r="B6388" s="704" t="s">
        <v>673</v>
      </c>
      <c r="C6388" s="704" t="s">
        <v>719</v>
      </c>
      <c r="D6388" s="704" t="s">
        <v>675</v>
      </c>
      <c r="E6388" s="704" t="s">
        <v>448</v>
      </c>
      <c r="F6388" s="705">
        <v>6.6142066426953796E-3</v>
      </c>
      <c r="G6388" s="705">
        <v>4.0781214534397945</v>
      </c>
    </row>
    <row r="6389" spans="2:7" ht="11.25" hidden="1" customHeight="1" outlineLevel="2" x14ac:dyDescent="0.25">
      <c r="B6389" s="704" t="s">
        <v>677</v>
      </c>
      <c r="C6389" s="704" t="s">
        <v>719</v>
      </c>
      <c r="D6389" s="704" t="s">
        <v>675</v>
      </c>
      <c r="E6389" s="704" t="s">
        <v>448</v>
      </c>
      <c r="F6389" s="705">
        <v>0.10993362970885104</v>
      </c>
      <c r="G6389" s="705">
        <v>67.675765490648899</v>
      </c>
    </row>
    <row r="6390" spans="2:7" ht="11.25" hidden="1" customHeight="1" outlineLevel="2" x14ac:dyDescent="0.25">
      <c r="B6390" s="704" t="s">
        <v>678</v>
      </c>
      <c r="C6390" s="704" t="s">
        <v>719</v>
      </c>
      <c r="D6390" s="704" t="s">
        <v>675</v>
      </c>
      <c r="E6390" s="704" t="s">
        <v>448</v>
      </c>
      <c r="F6390" s="705">
        <v>0.25423180037772825</v>
      </c>
      <c r="G6390" s="705">
        <v>156.75842373389</v>
      </c>
    </row>
    <row r="6391" spans="2:7" ht="11.25" hidden="1" customHeight="1" outlineLevel="2" x14ac:dyDescent="0.25">
      <c r="B6391" s="704" t="s">
        <v>679</v>
      </c>
      <c r="C6391" s="704" t="s">
        <v>719</v>
      </c>
      <c r="D6391" s="704" t="s">
        <v>675</v>
      </c>
      <c r="E6391" s="704" t="s">
        <v>448</v>
      </c>
      <c r="F6391" s="705">
        <v>2.0631445284043697E-2</v>
      </c>
      <c r="G6391" s="705">
        <v>12.721273690325667</v>
      </c>
    </row>
    <row r="6392" spans="2:7" ht="11.25" hidden="1" customHeight="1" outlineLevel="2" x14ac:dyDescent="0.25">
      <c r="B6392" s="704" t="s">
        <v>680</v>
      </c>
      <c r="C6392" s="704" t="s">
        <v>719</v>
      </c>
      <c r="D6392" s="704" t="s">
        <v>675</v>
      </c>
      <c r="E6392" s="704" t="s">
        <v>448</v>
      </c>
      <c r="F6392" s="705">
        <v>3.8241466601556108E-3</v>
      </c>
      <c r="G6392" s="705">
        <v>2.35785193736552</v>
      </c>
    </row>
    <row r="6393" spans="2:7" ht="11.25" hidden="1" customHeight="1" outlineLevel="2" x14ac:dyDescent="0.25">
      <c r="B6393" s="704" t="s">
        <v>681</v>
      </c>
      <c r="C6393" s="704" t="s">
        <v>719</v>
      </c>
      <c r="D6393" s="704" t="s">
        <v>675</v>
      </c>
      <c r="E6393" s="704" t="s">
        <v>448</v>
      </c>
      <c r="F6393" s="705">
        <v>3.2254060077489016E-2</v>
      </c>
      <c r="G6393" s="705">
        <v>19.887731334232267</v>
      </c>
    </row>
    <row r="6394" spans="2:7" ht="11.25" hidden="1" customHeight="1" outlineLevel="2" x14ac:dyDescent="0.25">
      <c r="B6394" s="704" t="s">
        <v>682</v>
      </c>
      <c r="C6394" s="704" t="s">
        <v>719</v>
      </c>
      <c r="D6394" s="704" t="s">
        <v>675</v>
      </c>
      <c r="E6394" s="704" t="s">
        <v>448</v>
      </c>
      <c r="F6394" s="705">
        <v>2.831409721607598E-2</v>
      </c>
      <c r="G6394" s="705">
        <v>17.458386212742795</v>
      </c>
    </row>
    <row r="6395" spans="2:7" ht="11.25" hidden="1" customHeight="1" outlineLevel="2" x14ac:dyDescent="0.25">
      <c r="B6395" s="704" t="s">
        <v>683</v>
      </c>
      <c r="C6395" s="704" t="s">
        <v>719</v>
      </c>
      <c r="D6395" s="704" t="s">
        <v>675</v>
      </c>
      <c r="E6395" s="704" t="s">
        <v>448</v>
      </c>
      <c r="F6395" s="705">
        <v>4.7023004921730199E-2</v>
      </c>
      <c r="G6395" s="705">
        <v>28.994252933285665</v>
      </c>
    </row>
    <row r="6396" spans="2:7" ht="11.25" hidden="1" customHeight="1" outlineLevel="2" x14ac:dyDescent="0.25">
      <c r="B6396" s="704" t="s">
        <v>684</v>
      </c>
      <c r="C6396" s="704" t="s">
        <v>719</v>
      </c>
      <c r="D6396" s="704" t="s">
        <v>675</v>
      </c>
      <c r="E6396" s="704" t="s">
        <v>448</v>
      </c>
      <c r="F6396" s="705">
        <v>6.1381652320116314E-3</v>
      </c>
      <c r="G6396" s="705">
        <v>3.7846042591765872</v>
      </c>
    </row>
    <row r="6397" spans="2:7" ht="11.25" hidden="1" customHeight="1" outlineLevel="2" x14ac:dyDescent="0.25">
      <c r="B6397" s="704" t="s">
        <v>685</v>
      </c>
      <c r="C6397" s="704" t="s">
        <v>719</v>
      </c>
      <c r="D6397" s="704" t="s">
        <v>675</v>
      </c>
      <c r="E6397" s="704" t="s">
        <v>448</v>
      </c>
      <c r="F6397" s="705">
        <v>5.6432016791064001E-2</v>
      </c>
      <c r="G6397" s="705">
        <v>34.79579389867969</v>
      </c>
    </row>
    <row r="6398" spans="2:7" ht="11.25" hidden="1" customHeight="1" outlineLevel="2" x14ac:dyDescent="0.25">
      <c r="B6398" s="704" t="s">
        <v>686</v>
      </c>
      <c r="C6398" s="704" t="s">
        <v>719</v>
      </c>
      <c r="D6398" s="704" t="s">
        <v>675</v>
      </c>
      <c r="E6398" s="704" t="s">
        <v>448</v>
      </c>
      <c r="F6398" s="705">
        <v>1.32682386388562E-2</v>
      </c>
      <c r="G6398" s="705">
        <v>8.1807958750023744</v>
      </c>
    </row>
    <row r="6399" spans="2:7" ht="11.25" hidden="1" customHeight="1" outlineLevel="2" x14ac:dyDescent="0.25">
      <c r="B6399" s="704" t="s">
        <v>687</v>
      </c>
      <c r="C6399" s="704" t="s">
        <v>719</v>
      </c>
      <c r="D6399" s="704" t="s">
        <v>675</v>
      </c>
      <c r="E6399" s="704" t="s">
        <v>448</v>
      </c>
      <c r="F6399" s="705">
        <v>6.7961842942288839E-2</v>
      </c>
      <c r="G6399" s="705">
        <v>41.904982176211163</v>
      </c>
    </row>
    <row r="6400" spans="2:7" ht="11.25" hidden="1" customHeight="1" outlineLevel="2" x14ac:dyDescent="0.25">
      <c r="B6400" s="704" t="s">
        <v>688</v>
      </c>
      <c r="C6400" s="704" t="s">
        <v>719</v>
      </c>
      <c r="D6400" s="704" t="s">
        <v>675</v>
      </c>
      <c r="E6400" s="704" t="s">
        <v>448</v>
      </c>
      <c r="F6400" s="705">
        <v>4.9618769245660173E-2</v>
      </c>
      <c r="G6400" s="705">
        <v>30.59442219638921</v>
      </c>
    </row>
    <row r="6401" spans="2:7" ht="11.25" hidden="1" customHeight="1" outlineLevel="2" x14ac:dyDescent="0.25">
      <c r="B6401" s="704" t="s">
        <v>689</v>
      </c>
      <c r="C6401" s="704" t="s">
        <v>719</v>
      </c>
      <c r="D6401" s="704" t="s">
        <v>675</v>
      </c>
      <c r="E6401" s="704" t="s">
        <v>448</v>
      </c>
      <c r="F6401" s="705">
        <v>7.2120705077942469E-3</v>
      </c>
      <c r="G6401" s="705">
        <v>4.4471078879485164</v>
      </c>
    </row>
    <row r="6402" spans="2:7" ht="11.25" hidden="1" customHeight="1" outlineLevel="2" x14ac:dyDescent="0.25">
      <c r="B6402" s="704" t="s">
        <v>690</v>
      </c>
      <c r="C6402" s="704" t="s">
        <v>719</v>
      </c>
      <c r="D6402" s="704" t="s">
        <v>675</v>
      </c>
      <c r="E6402" s="704" t="s">
        <v>448</v>
      </c>
      <c r="F6402" s="705">
        <v>0.15879187237622408</v>
      </c>
      <c r="G6402" s="705">
        <v>97.91055057553001</v>
      </c>
    </row>
    <row r="6403" spans="2:7" ht="11.25" hidden="1" customHeight="1" outlineLevel="2" x14ac:dyDescent="0.25">
      <c r="B6403" s="704" t="s">
        <v>691</v>
      </c>
      <c r="C6403" s="704" t="s">
        <v>719</v>
      </c>
      <c r="D6403" s="704" t="s">
        <v>675</v>
      </c>
      <c r="E6403" s="704" t="s">
        <v>448</v>
      </c>
      <c r="F6403" s="705">
        <v>0.18134529092924773</v>
      </c>
      <c r="G6403" s="705">
        <v>111.81691434088999</v>
      </c>
    </row>
    <row r="6404" spans="2:7" ht="11.25" hidden="1" customHeight="1" outlineLevel="2" x14ac:dyDescent="0.25">
      <c r="B6404" s="704" t="s">
        <v>692</v>
      </c>
      <c r="C6404" s="704" t="s">
        <v>719</v>
      </c>
      <c r="D6404" s="704" t="s">
        <v>675</v>
      </c>
      <c r="E6404" s="704" t="s">
        <v>448</v>
      </c>
      <c r="F6404" s="705">
        <v>1.0604619274059066E-2</v>
      </c>
      <c r="G6404" s="705">
        <v>6.5387739529594233</v>
      </c>
    </row>
    <row r="6405" spans="2:7" ht="11.25" hidden="1" customHeight="1" outlineLevel="2" x14ac:dyDescent="0.25">
      <c r="B6405" s="704" t="s">
        <v>693</v>
      </c>
      <c r="C6405" s="704" t="s">
        <v>719</v>
      </c>
      <c r="D6405" s="704" t="s">
        <v>675</v>
      </c>
      <c r="E6405" s="704" t="s">
        <v>448</v>
      </c>
      <c r="F6405" s="706">
        <v>2.6472402191234014E-2</v>
      </c>
      <c r="G6405" s="705">
        <v>16.322078259626778</v>
      </c>
    </row>
    <row r="6406" spans="2:7" ht="11.25" hidden="1" customHeight="1" outlineLevel="2" x14ac:dyDescent="0.25">
      <c r="B6406" s="704" t="s">
        <v>694</v>
      </c>
      <c r="C6406" s="704" t="s">
        <v>719</v>
      </c>
      <c r="D6406" s="704" t="s">
        <v>675</v>
      </c>
      <c r="E6406" s="704" t="s">
        <v>448</v>
      </c>
      <c r="F6406" s="706">
        <v>2.9678647239818096E-3</v>
      </c>
      <c r="G6406" s="705">
        <v>1.8298959194922924</v>
      </c>
    </row>
    <row r="6407" spans="2:7" ht="11.25" hidden="1" customHeight="1" outlineLevel="2" x14ac:dyDescent="0.25">
      <c r="B6407" s="704" t="s">
        <v>695</v>
      </c>
      <c r="C6407" s="704" t="s">
        <v>719</v>
      </c>
      <c r="D6407" s="704" t="s">
        <v>675</v>
      </c>
      <c r="E6407" s="704" t="s">
        <v>448</v>
      </c>
      <c r="F6407" s="706">
        <v>1.407748781196686E-2</v>
      </c>
      <c r="G6407" s="705">
        <v>8.6797465434181333</v>
      </c>
    </row>
    <row r="6408" spans="2:7" ht="11.25" hidden="1" customHeight="1" outlineLevel="2" x14ac:dyDescent="0.25">
      <c r="B6408" s="704" t="s">
        <v>696</v>
      </c>
      <c r="C6408" s="704" t="s">
        <v>719</v>
      </c>
      <c r="D6408" s="704" t="s">
        <v>675</v>
      </c>
      <c r="E6408" s="704" t="s">
        <v>448</v>
      </c>
      <c r="F6408" s="706">
        <v>3.517318137833534E-2</v>
      </c>
      <c r="G6408" s="705">
        <v>21.686718417543439</v>
      </c>
    </row>
    <row r="6409" spans="2:7" ht="11.25" hidden="1" customHeight="1" outlineLevel="2" x14ac:dyDescent="0.25">
      <c r="B6409" s="704" t="s">
        <v>697</v>
      </c>
      <c r="C6409" s="704" t="s">
        <v>719</v>
      </c>
      <c r="D6409" s="704" t="s">
        <v>675</v>
      </c>
      <c r="E6409" s="704" t="s">
        <v>448</v>
      </c>
      <c r="F6409" s="706">
        <v>1.9244278157094008E-2</v>
      </c>
      <c r="G6409" s="705">
        <v>11.865440688714433</v>
      </c>
    </row>
    <row r="6410" spans="2:7" ht="11.25" hidden="1" customHeight="1" outlineLevel="2" x14ac:dyDescent="0.25">
      <c r="B6410" s="704" t="s">
        <v>698</v>
      </c>
      <c r="C6410" s="704" t="s">
        <v>719</v>
      </c>
      <c r="D6410" s="704" t="s">
        <v>675</v>
      </c>
      <c r="E6410" s="704" t="s">
        <v>448</v>
      </c>
      <c r="F6410" s="706">
        <v>2.1131908312469021E-2</v>
      </c>
      <c r="G6410" s="705">
        <v>13.029291131872442</v>
      </c>
    </row>
    <row r="6411" spans="2:7" ht="11.25" hidden="1" customHeight="1" outlineLevel="2" x14ac:dyDescent="0.25">
      <c r="B6411" s="704" t="s">
        <v>699</v>
      </c>
      <c r="C6411" s="704" t="s">
        <v>719</v>
      </c>
      <c r="D6411" s="704" t="s">
        <v>675</v>
      </c>
      <c r="E6411" s="704" t="s">
        <v>448</v>
      </c>
      <c r="F6411" s="705">
        <v>3.5412565478112333E-32</v>
      </c>
      <c r="G6411" s="705">
        <v>2.1835275101326463E-29</v>
      </c>
    </row>
    <row r="6412" spans="2:7" ht="11.25" hidden="1" customHeight="1" outlineLevel="2" x14ac:dyDescent="0.25">
      <c r="B6412" s="704" t="s">
        <v>673</v>
      </c>
      <c r="C6412" s="704" t="s">
        <v>720</v>
      </c>
      <c r="D6412" s="704" t="s">
        <v>675</v>
      </c>
      <c r="E6412" s="704" t="s">
        <v>448</v>
      </c>
      <c r="F6412" s="705">
        <v>5.4662198972995637E-4</v>
      </c>
      <c r="G6412" s="705">
        <v>0.26449728365327957</v>
      </c>
    </row>
    <row r="6413" spans="2:7" ht="11.25" hidden="1" customHeight="1" outlineLevel="2" x14ac:dyDescent="0.25">
      <c r="B6413" s="704" t="s">
        <v>677</v>
      </c>
      <c r="C6413" s="704" t="s">
        <v>720</v>
      </c>
      <c r="D6413" s="704" t="s">
        <v>675</v>
      </c>
      <c r="E6413" s="704" t="s">
        <v>448</v>
      </c>
      <c r="F6413" s="705">
        <v>9.0853139453660504E-3</v>
      </c>
      <c r="G6413" s="705">
        <v>4.3892895127946501</v>
      </c>
    </row>
    <row r="6414" spans="2:7" ht="11.25" hidden="1" customHeight="1" outlineLevel="2" x14ac:dyDescent="0.25">
      <c r="B6414" s="704" t="s">
        <v>678</v>
      </c>
      <c r="C6414" s="704" t="s">
        <v>720</v>
      </c>
      <c r="D6414" s="704" t="s">
        <v>675</v>
      </c>
      <c r="E6414" s="704" t="s">
        <v>448</v>
      </c>
      <c r="F6414" s="705">
        <v>2.101064081655047E-2</v>
      </c>
      <c r="G6414" s="705">
        <v>10.166973271129594</v>
      </c>
    </row>
    <row r="6415" spans="2:7" ht="11.25" hidden="1" customHeight="1" outlineLevel="2" x14ac:dyDescent="0.25">
      <c r="B6415" s="704" t="s">
        <v>679</v>
      </c>
      <c r="C6415" s="704" t="s">
        <v>720</v>
      </c>
      <c r="D6415" s="704" t="s">
        <v>675</v>
      </c>
      <c r="E6415" s="704" t="s">
        <v>448</v>
      </c>
      <c r="F6415" s="705">
        <v>1.7050567190388078E-3</v>
      </c>
      <c r="G6415" s="705">
        <v>0.82507144090894846</v>
      </c>
    </row>
    <row r="6416" spans="2:7" ht="11.25" hidden="1" customHeight="1" outlineLevel="2" x14ac:dyDescent="0.25">
      <c r="B6416" s="704" t="s">
        <v>680</v>
      </c>
      <c r="C6416" s="704" t="s">
        <v>720</v>
      </c>
      <c r="D6416" s="704" t="s">
        <v>675</v>
      </c>
      <c r="E6416" s="704" t="s">
        <v>448</v>
      </c>
      <c r="F6416" s="705">
        <v>3.1604112825400006E-4</v>
      </c>
      <c r="G6416" s="705">
        <v>0.15292472094797713</v>
      </c>
    </row>
    <row r="6417" spans="2:7" ht="11.25" hidden="1" customHeight="1" outlineLevel="2" x14ac:dyDescent="0.25">
      <c r="B6417" s="704" t="s">
        <v>681</v>
      </c>
      <c r="C6417" s="704" t="s">
        <v>720</v>
      </c>
      <c r="D6417" s="704" t="s">
        <v>675</v>
      </c>
      <c r="E6417" s="704" t="s">
        <v>448</v>
      </c>
      <c r="F6417" s="705">
        <v>2.6655918382907213E-3</v>
      </c>
      <c r="G6417" s="705">
        <v>1.2898718591712275</v>
      </c>
    </row>
    <row r="6418" spans="2:7" ht="11.25" hidden="1" customHeight="1" outlineLevel="2" x14ac:dyDescent="0.25">
      <c r="B6418" s="704" t="s">
        <v>682</v>
      </c>
      <c r="C6418" s="704" t="s">
        <v>720</v>
      </c>
      <c r="D6418" s="704" t="s">
        <v>675</v>
      </c>
      <c r="E6418" s="704" t="s">
        <v>448</v>
      </c>
      <c r="F6418" s="705">
        <v>2.3399820483735166E-3</v>
      </c>
      <c r="G6418" s="705">
        <v>1.1323096956475525</v>
      </c>
    </row>
    <row r="6419" spans="2:7" ht="11.25" hidden="1" customHeight="1" outlineLevel="2" x14ac:dyDescent="0.25">
      <c r="B6419" s="704" t="s">
        <v>683</v>
      </c>
      <c r="C6419" s="704" t="s">
        <v>720</v>
      </c>
      <c r="D6419" s="704" t="s">
        <v>675</v>
      </c>
      <c r="E6419" s="704" t="s">
        <v>448</v>
      </c>
      <c r="F6419" s="705">
        <v>3.8861550060538558E-3</v>
      </c>
      <c r="G6419" s="705">
        <v>1.8804986909237289</v>
      </c>
    </row>
    <row r="6420" spans="2:7" ht="11.25" hidden="1" customHeight="1" outlineLevel="2" x14ac:dyDescent="0.25">
      <c r="B6420" s="704" t="s">
        <v>684</v>
      </c>
      <c r="C6420" s="704" t="s">
        <v>720</v>
      </c>
      <c r="D6420" s="704" t="s">
        <v>675</v>
      </c>
      <c r="E6420" s="704" t="s">
        <v>448</v>
      </c>
      <c r="F6420" s="705">
        <v>5.0728000224050187E-4</v>
      </c>
      <c r="G6420" s="705">
        <v>0.24546074132132004</v>
      </c>
    </row>
    <row r="6421" spans="2:7" ht="11.25" hidden="1" customHeight="1" outlineLevel="2" x14ac:dyDescent="0.25">
      <c r="B6421" s="704" t="s">
        <v>685</v>
      </c>
      <c r="C6421" s="704" t="s">
        <v>720</v>
      </c>
      <c r="D6421" s="704" t="s">
        <v>675</v>
      </c>
      <c r="E6421" s="704" t="s">
        <v>448</v>
      </c>
      <c r="F6421" s="705">
        <v>4.6637487505090044E-3</v>
      </c>
      <c r="G6421" s="705">
        <v>2.2567726403499706</v>
      </c>
    </row>
    <row r="6422" spans="2:7" ht="11.25" hidden="1" customHeight="1" outlineLevel="2" x14ac:dyDescent="0.25">
      <c r="B6422" s="704" t="s">
        <v>686</v>
      </c>
      <c r="C6422" s="704" t="s">
        <v>720</v>
      </c>
      <c r="D6422" s="704" t="s">
        <v>675</v>
      </c>
      <c r="E6422" s="704" t="s">
        <v>448</v>
      </c>
      <c r="F6422" s="705">
        <v>1.0965351104998881E-3</v>
      </c>
      <c r="G6422" s="705">
        <v>0.5305870703047566</v>
      </c>
    </row>
    <row r="6423" spans="2:7" ht="11.25" hidden="1" customHeight="1" outlineLevel="2" x14ac:dyDescent="0.25">
      <c r="B6423" s="704" t="s">
        <v>687</v>
      </c>
      <c r="C6423" s="704" t="s">
        <v>720</v>
      </c>
      <c r="D6423" s="704" t="s">
        <v>675</v>
      </c>
      <c r="E6423" s="704" t="s">
        <v>448</v>
      </c>
      <c r="F6423" s="705">
        <v>5.6166115686636583E-3</v>
      </c>
      <c r="G6423" s="705">
        <v>2.7178603956773437</v>
      </c>
    </row>
    <row r="6424" spans="2:7" ht="11.25" hidden="1" customHeight="1" outlineLevel="2" x14ac:dyDescent="0.25">
      <c r="B6424" s="704" t="s">
        <v>688</v>
      </c>
      <c r="C6424" s="704" t="s">
        <v>720</v>
      </c>
      <c r="D6424" s="704" t="s">
        <v>675</v>
      </c>
      <c r="E6424" s="704" t="s">
        <v>448</v>
      </c>
      <c r="F6424" s="705">
        <v>4.100675207601834E-3</v>
      </c>
      <c r="G6424" s="705">
        <v>1.950838716154796</v>
      </c>
    </row>
    <row r="6425" spans="2:7" ht="11.25" hidden="1" customHeight="1" outlineLevel="2" x14ac:dyDescent="0.25">
      <c r="B6425" s="704" t="s">
        <v>689</v>
      </c>
      <c r="C6425" s="704" t="s">
        <v>720</v>
      </c>
      <c r="D6425" s="704" t="s">
        <v>675</v>
      </c>
      <c r="E6425" s="704" t="s">
        <v>448</v>
      </c>
      <c r="F6425" s="705">
        <v>5.960318728065638E-4</v>
      </c>
      <c r="G6425" s="705">
        <v>0.28842900913736824</v>
      </c>
    </row>
    <row r="6426" spans="2:7" ht="11.25" hidden="1" customHeight="1" outlineLevel="2" x14ac:dyDescent="0.25">
      <c r="B6426" s="704" t="s">
        <v>690</v>
      </c>
      <c r="C6426" s="704" t="s">
        <v>720</v>
      </c>
      <c r="D6426" s="704" t="s">
        <v>675</v>
      </c>
      <c r="E6426" s="704" t="s">
        <v>448</v>
      </c>
      <c r="F6426" s="705">
        <v>1.3123134057555816E-2</v>
      </c>
      <c r="G6426" s="705">
        <v>6.3502453908605618</v>
      </c>
    </row>
    <row r="6427" spans="2:7" ht="11.25" hidden="1" customHeight="1" outlineLevel="2" x14ac:dyDescent="0.25">
      <c r="B6427" s="704" t="s">
        <v>691</v>
      </c>
      <c r="C6427" s="704" t="s">
        <v>720</v>
      </c>
      <c r="D6427" s="704" t="s">
        <v>675</v>
      </c>
      <c r="E6427" s="704" t="s">
        <v>448</v>
      </c>
      <c r="F6427" s="705">
        <v>1.4987029963989262E-2</v>
      </c>
      <c r="G6427" s="705">
        <v>7.2521749093737817</v>
      </c>
    </row>
    <row r="6428" spans="2:7" ht="11.25" hidden="1" customHeight="1" outlineLevel="2" x14ac:dyDescent="0.25">
      <c r="B6428" s="704" t="s">
        <v>692</v>
      </c>
      <c r="C6428" s="704" t="s">
        <v>720</v>
      </c>
      <c r="D6428" s="704" t="s">
        <v>675</v>
      </c>
      <c r="E6428" s="704" t="s">
        <v>448</v>
      </c>
      <c r="F6428" s="705">
        <v>8.7640416714515081E-4</v>
      </c>
      <c r="G6428" s="705">
        <v>0.42408910148486262</v>
      </c>
    </row>
    <row r="6429" spans="2:7" ht="11.25" hidden="1" customHeight="1" outlineLevel="2" x14ac:dyDescent="0.25">
      <c r="B6429" s="704" t="s">
        <v>693</v>
      </c>
      <c r="C6429" s="704" t="s">
        <v>720</v>
      </c>
      <c r="D6429" s="704" t="s">
        <v>675</v>
      </c>
      <c r="E6429" s="704" t="s">
        <v>448</v>
      </c>
      <c r="F6429" s="705">
        <v>2.1877739589571546E-3</v>
      </c>
      <c r="G6429" s="705">
        <v>1.0586112153629859</v>
      </c>
    </row>
    <row r="6430" spans="2:7" ht="11.25" hidden="1" customHeight="1" outlineLevel="2" x14ac:dyDescent="0.25">
      <c r="B6430" s="704" t="s">
        <v>694</v>
      </c>
      <c r="C6430" s="704" t="s">
        <v>720</v>
      </c>
      <c r="D6430" s="704" t="s">
        <v>675</v>
      </c>
      <c r="E6430" s="704" t="s">
        <v>448</v>
      </c>
      <c r="F6430" s="705">
        <v>2.4527519442586764E-4</v>
      </c>
      <c r="G6430" s="705">
        <v>0.11868275617538034</v>
      </c>
    </row>
    <row r="6431" spans="2:7" ht="11.25" hidden="1" customHeight="1" outlineLevel="2" x14ac:dyDescent="0.25">
      <c r="B6431" s="704" t="s">
        <v>695</v>
      </c>
      <c r="C6431" s="704" t="s">
        <v>720</v>
      </c>
      <c r="D6431" s="704" t="s">
        <v>675</v>
      </c>
      <c r="E6431" s="704" t="s">
        <v>448</v>
      </c>
      <c r="F6431" s="705">
        <v>1.163414060314573E-3</v>
      </c>
      <c r="G6431" s="705">
        <v>0.56294819605911628</v>
      </c>
    </row>
    <row r="6432" spans="2:7" ht="11.25" hidden="1" customHeight="1" outlineLevel="2" x14ac:dyDescent="0.25">
      <c r="B6432" s="704" t="s">
        <v>696</v>
      </c>
      <c r="C6432" s="704" t="s">
        <v>720</v>
      </c>
      <c r="D6432" s="704" t="s">
        <v>675</v>
      </c>
      <c r="E6432" s="704" t="s">
        <v>448</v>
      </c>
      <c r="F6432" s="705">
        <v>2.9068378987493751E-3</v>
      </c>
      <c r="G6432" s="705">
        <v>1.4065487171092856</v>
      </c>
    </row>
    <row r="6433" spans="2:7" ht="11.25" hidden="1" customHeight="1" outlineLevel="2" x14ac:dyDescent="0.25">
      <c r="B6433" s="704" t="s">
        <v>697</v>
      </c>
      <c r="C6433" s="704" t="s">
        <v>720</v>
      </c>
      <c r="D6433" s="704" t="s">
        <v>675</v>
      </c>
      <c r="E6433" s="704" t="s">
        <v>448</v>
      </c>
      <c r="F6433" s="705">
        <v>1.5904162180314235E-3</v>
      </c>
      <c r="G6433" s="705">
        <v>0.76956439274527377</v>
      </c>
    </row>
    <row r="6434" spans="2:7" ht="11.25" hidden="1" customHeight="1" outlineLevel="2" x14ac:dyDescent="0.25">
      <c r="B6434" s="704" t="s">
        <v>698</v>
      </c>
      <c r="C6434" s="704" t="s">
        <v>720</v>
      </c>
      <c r="D6434" s="704" t="s">
        <v>675</v>
      </c>
      <c r="E6434" s="704" t="s">
        <v>448</v>
      </c>
      <c r="F6434" s="705">
        <v>1.7464174400634005E-3</v>
      </c>
      <c r="G6434" s="705">
        <v>0.84504895157953897</v>
      </c>
    </row>
    <row r="6435" spans="2:7" ht="11.25" hidden="1" customHeight="1" outlineLevel="2" x14ac:dyDescent="0.25">
      <c r="B6435" s="704" t="s">
        <v>699</v>
      </c>
      <c r="C6435" s="704" t="s">
        <v>720</v>
      </c>
      <c r="D6435" s="704" t="s">
        <v>675</v>
      </c>
      <c r="E6435" s="704" t="s">
        <v>448</v>
      </c>
      <c r="F6435" s="705">
        <v>2.8902979356398801E-36</v>
      </c>
      <c r="G6435" s="705">
        <v>1.3986064880122206E-33</v>
      </c>
    </row>
    <row r="6436" spans="2:7" ht="11.25" hidden="1" customHeight="1" outlineLevel="2" x14ac:dyDescent="0.25">
      <c r="B6436" s="704" t="s">
        <v>673</v>
      </c>
      <c r="C6436" s="704" t="s">
        <v>721</v>
      </c>
      <c r="D6436" s="704" t="s">
        <v>675</v>
      </c>
      <c r="E6436" s="704" t="s">
        <v>448</v>
      </c>
      <c r="F6436" s="705">
        <v>6.6197567832325984E-4</v>
      </c>
      <c r="G6436" s="705">
        <v>0.31619112362015922</v>
      </c>
    </row>
    <row r="6437" spans="2:7" ht="11.25" hidden="1" customHeight="1" outlineLevel="2" x14ac:dyDescent="0.25">
      <c r="B6437" s="704" t="s">
        <v>677</v>
      </c>
      <c r="C6437" s="704" t="s">
        <v>721</v>
      </c>
      <c r="D6437" s="704" t="s">
        <v>675</v>
      </c>
      <c r="E6437" s="704" t="s">
        <v>448</v>
      </c>
      <c r="F6437" s="705">
        <v>1.1002583213390581E-2</v>
      </c>
      <c r="G6437" s="705">
        <v>5.247141629432253</v>
      </c>
    </row>
    <row r="6438" spans="2:7" ht="11.25" hidden="1" customHeight="1" outlineLevel="2" x14ac:dyDescent="0.25">
      <c r="B6438" s="704" t="s">
        <v>678</v>
      </c>
      <c r="C6438" s="704" t="s">
        <v>721</v>
      </c>
      <c r="D6438" s="704" t="s">
        <v>675</v>
      </c>
      <c r="E6438" s="704" t="s">
        <v>448</v>
      </c>
      <c r="F6438" s="705">
        <v>2.5444486903657672E-2</v>
      </c>
      <c r="G6438" s="705">
        <v>12.154028362756007</v>
      </c>
    </row>
    <row r="6439" spans="2:7" ht="11.25" hidden="1" customHeight="1" outlineLevel="2" x14ac:dyDescent="0.25">
      <c r="B6439" s="704" t="s">
        <v>679</v>
      </c>
      <c r="C6439" s="704" t="s">
        <v>721</v>
      </c>
      <c r="D6439" s="704" t="s">
        <v>675</v>
      </c>
      <c r="E6439" s="704" t="s">
        <v>448</v>
      </c>
      <c r="F6439" s="705">
        <v>2.0648751630465232E-3</v>
      </c>
      <c r="G6439" s="705">
        <v>0.98632557143672683</v>
      </c>
    </row>
    <row r="6440" spans="2:7" ht="11.25" hidden="1" customHeight="1" outlineLevel="2" x14ac:dyDescent="0.25">
      <c r="B6440" s="704" t="s">
        <v>680</v>
      </c>
      <c r="C6440" s="704" t="s">
        <v>721</v>
      </c>
      <c r="D6440" s="704" t="s">
        <v>675</v>
      </c>
      <c r="E6440" s="704" t="s">
        <v>448</v>
      </c>
      <c r="F6440" s="705">
        <v>3.8273525970081477E-4</v>
      </c>
      <c r="G6440" s="705">
        <v>0.18281261623010847</v>
      </c>
    </row>
    <row r="6441" spans="2:7" ht="11.25" hidden="1" customHeight="1" outlineLevel="2" x14ac:dyDescent="0.25">
      <c r="B6441" s="704" t="s">
        <v>681</v>
      </c>
      <c r="C6441" s="704" t="s">
        <v>721</v>
      </c>
      <c r="D6441" s="704" t="s">
        <v>675</v>
      </c>
      <c r="E6441" s="704" t="s">
        <v>448</v>
      </c>
      <c r="F6441" s="705">
        <v>3.2281092787773548E-3</v>
      </c>
      <c r="G6441" s="705">
        <v>1.541965957314734</v>
      </c>
    </row>
    <row r="6442" spans="2:7" ht="11.25" hidden="1" customHeight="1" outlineLevel="2" x14ac:dyDescent="0.25">
      <c r="B6442" s="704" t="s">
        <v>682</v>
      </c>
      <c r="C6442" s="704" t="s">
        <v>721</v>
      </c>
      <c r="D6442" s="704" t="s">
        <v>675</v>
      </c>
      <c r="E6442" s="704" t="s">
        <v>448</v>
      </c>
      <c r="F6442" s="705">
        <v>2.8337853370237467E-3</v>
      </c>
      <c r="G6442" s="705">
        <v>1.3536104730910752</v>
      </c>
    </row>
    <row r="6443" spans="2:7" ht="11.25" hidden="1" customHeight="1" outlineLevel="2" x14ac:dyDescent="0.25">
      <c r="B6443" s="704" t="s">
        <v>683</v>
      </c>
      <c r="C6443" s="704" t="s">
        <v>721</v>
      </c>
      <c r="D6443" s="704" t="s">
        <v>675</v>
      </c>
      <c r="E6443" s="704" t="s">
        <v>448</v>
      </c>
      <c r="F6443" s="705">
        <v>4.7062498248481438E-3</v>
      </c>
      <c r="G6443" s="705">
        <v>2.2480263058801304</v>
      </c>
    </row>
    <row r="6444" spans="2:7" ht="11.25" hidden="1" customHeight="1" outlineLevel="2" x14ac:dyDescent="0.25">
      <c r="B6444" s="704" t="s">
        <v>684</v>
      </c>
      <c r="C6444" s="704" t="s">
        <v>721</v>
      </c>
      <c r="D6444" s="704" t="s">
        <v>675</v>
      </c>
      <c r="E6444" s="704" t="s">
        <v>448</v>
      </c>
      <c r="F6444" s="705">
        <v>6.143311872427806E-4</v>
      </c>
      <c r="G6444" s="705">
        <v>0.29343393742941043</v>
      </c>
    </row>
    <row r="6445" spans="2:7" ht="11.25" hidden="1" customHeight="1" outlineLevel="2" x14ac:dyDescent="0.25">
      <c r="B6445" s="704" t="s">
        <v>685</v>
      </c>
      <c r="C6445" s="704" t="s">
        <v>721</v>
      </c>
      <c r="D6445" s="704" t="s">
        <v>675</v>
      </c>
      <c r="E6445" s="704" t="s">
        <v>448</v>
      </c>
      <c r="F6445" s="705">
        <v>5.6479332725819118E-3</v>
      </c>
      <c r="G6445" s="705">
        <v>2.6978405243683277</v>
      </c>
    </row>
    <row r="6446" spans="2:7" ht="11.25" hidden="1" customHeight="1" outlineLevel="2" x14ac:dyDescent="0.25">
      <c r="B6446" s="704" t="s">
        <v>686</v>
      </c>
      <c r="C6446" s="704" t="s">
        <v>721</v>
      </c>
      <c r="D6446" s="704" t="s">
        <v>675</v>
      </c>
      <c r="E6446" s="704" t="s">
        <v>448</v>
      </c>
      <c r="F6446" s="705">
        <v>1.3279353571128522E-3</v>
      </c>
      <c r="G6446" s="705">
        <v>0.63428543019629435</v>
      </c>
    </row>
    <row r="6447" spans="2:7" ht="11.25" hidden="1" customHeight="1" outlineLevel="2" x14ac:dyDescent="0.25">
      <c r="B6447" s="704" t="s">
        <v>687</v>
      </c>
      <c r="C6447" s="704" t="s">
        <v>721</v>
      </c>
      <c r="D6447" s="704" t="s">
        <v>675</v>
      </c>
      <c r="E6447" s="704" t="s">
        <v>448</v>
      </c>
      <c r="F6447" s="705">
        <v>6.8018803120296276E-3</v>
      </c>
      <c r="G6447" s="705">
        <v>3.2490445916957351</v>
      </c>
    </row>
    <row r="6448" spans="2:7" ht="11.25" hidden="1" customHeight="1" outlineLevel="2" x14ac:dyDescent="0.25">
      <c r="B6448" s="704" t="s">
        <v>688</v>
      </c>
      <c r="C6448" s="704" t="s">
        <v>721</v>
      </c>
      <c r="D6448" s="704" t="s">
        <v>675</v>
      </c>
      <c r="E6448" s="704" t="s">
        <v>448</v>
      </c>
      <c r="F6448" s="705">
        <v>4.8822887855141878E-3</v>
      </c>
      <c r="G6448" s="705">
        <v>2.3321135738375212</v>
      </c>
    </row>
    <row r="6449" spans="2:7" ht="11.25" hidden="1" customHeight="1" outlineLevel="2" x14ac:dyDescent="0.25">
      <c r="B6449" s="704" t="s">
        <v>689</v>
      </c>
      <c r="C6449" s="704" t="s">
        <v>721</v>
      </c>
      <c r="D6449" s="704" t="s">
        <v>675</v>
      </c>
      <c r="E6449" s="704" t="s">
        <v>448</v>
      </c>
      <c r="F6449" s="705">
        <v>7.2181178896538699E-4</v>
      </c>
      <c r="G6449" s="705">
        <v>0.34480002932806286</v>
      </c>
    </row>
    <row r="6450" spans="2:7" ht="11.25" hidden="1" customHeight="1" outlineLevel="2" x14ac:dyDescent="0.25">
      <c r="B6450" s="704" t="s">
        <v>690</v>
      </c>
      <c r="C6450" s="704" t="s">
        <v>721</v>
      </c>
      <c r="D6450" s="704" t="s">
        <v>675</v>
      </c>
      <c r="E6450" s="704" t="s">
        <v>448</v>
      </c>
      <c r="F6450" s="705">
        <v>1.5892489644145653E-2</v>
      </c>
      <c r="G6450" s="705">
        <v>7.5913514638175048</v>
      </c>
    </row>
    <row r="6451" spans="2:7" ht="11.25" hidden="1" customHeight="1" outlineLevel="2" x14ac:dyDescent="0.25">
      <c r="B6451" s="704" t="s">
        <v>691</v>
      </c>
      <c r="C6451" s="704" t="s">
        <v>721</v>
      </c>
      <c r="D6451" s="704" t="s">
        <v>675</v>
      </c>
      <c r="E6451" s="704" t="s">
        <v>448</v>
      </c>
      <c r="F6451" s="706">
        <v>1.8149742295306144E-2</v>
      </c>
      <c r="G6451" s="705">
        <v>8.6695588916122048</v>
      </c>
    </row>
    <row r="6452" spans="2:7" ht="11.25" hidden="1" customHeight="1" outlineLevel="2" x14ac:dyDescent="0.25">
      <c r="B6452" s="704" t="s">
        <v>692</v>
      </c>
      <c r="C6452" s="704" t="s">
        <v>721</v>
      </c>
      <c r="D6452" s="704" t="s">
        <v>675</v>
      </c>
      <c r="E6452" s="704" t="s">
        <v>448</v>
      </c>
      <c r="F6452" s="706">
        <v>1.0613511505053344E-3</v>
      </c>
      <c r="G6452" s="705">
        <v>0.50697402839239536</v>
      </c>
    </row>
    <row r="6453" spans="2:7" ht="11.25" hidden="1" customHeight="1" outlineLevel="2" x14ac:dyDescent="0.25">
      <c r="B6453" s="704" t="s">
        <v>693</v>
      </c>
      <c r="C6453" s="704" t="s">
        <v>721</v>
      </c>
      <c r="D6453" s="704" t="s">
        <v>675</v>
      </c>
      <c r="E6453" s="704" t="s">
        <v>448</v>
      </c>
      <c r="F6453" s="706">
        <v>2.6494584373682752E-3</v>
      </c>
      <c r="G6453" s="705">
        <v>1.2655084996041481</v>
      </c>
    </row>
    <row r="6454" spans="2:7" ht="11.25" hidden="1" customHeight="1" outlineLevel="2" x14ac:dyDescent="0.25">
      <c r="B6454" s="704" t="s">
        <v>694</v>
      </c>
      <c r="C6454" s="704" t="s">
        <v>721</v>
      </c>
      <c r="D6454" s="704" t="s">
        <v>675</v>
      </c>
      <c r="E6454" s="704" t="s">
        <v>448</v>
      </c>
      <c r="F6454" s="706">
        <v>2.9703540670810504E-4</v>
      </c>
      <c r="G6454" s="705">
        <v>0.14187828630458424</v>
      </c>
    </row>
    <row r="6455" spans="2:7" ht="11.25" hidden="1" customHeight="1" outlineLevel="2" x14ac:dyDescent="0.25">
      <c r="B6455" s="704" t="s">
        <v>695</v>
      </c>
      <c r="C6455" s="704" t="s">
        <v>721</v>
      </c>
      <c r="D6455" s="704" t="s">
        <v>675</v>
      </c>
      <c r="E6455" s="704" t="s">
        <v>448</v>
      </c>
      <c r="F6455" s="706">
        <v>1.4089290509412425E-3</v>
      </c>
      <c r="G6455" s="705">
        <v>0.67297192237005377</v>
      </c>
    </row>
    <row r="6456" spans="2:7" ht="11.25" hidden="1" customHeight="1" outlineLevel="2" x14ac:dyDescent="0.25">
      <c r="B6456" s="704" t="s">
        <v>696</v>
      </c>
      <c r="C6456" s="704" t="s">
        <v>721</v>
      </c>
      <c r="D6456" s="704" t="s">
        <v>675</v>
      </c>
      <c r="E6456" s="704" t="s">
        <v>448</v>
      </c>
      <c r="F6456" s="706">
        <v>3.5202661179795044E-3</v>
      </c>
      <c r="G6456" s="705">
        <v>1.6814466360981202</v>
      </c>
    </row>
    <row r="6457" spans="2:7" ht="11.25" hidden="1" customHeight="1" outlineLevel="2" x14ac:dyDescent="0.25">
      <c r="B6457" s="704" t="s">
        <v>697</v>
      </c>
      <c r="C6457" s="704" t="s">
        <v>721</v>
      </c>
      <c r="D6457" s="704" t="s">
        <v>675</v>
      </c>
      <c r="E6457" s="704" t="s">
        <v>448</v>
      </c>
      <c r="F6457" s="706">
        <v>1.9260422297550503E-3</v>
      </c>
      <c r="G6457" s="705">
        <v>0.91996928261994704</v>
      </c>
    </row>
    <row r="6458" spans="2:7" ht="11.25" hidden="1" customHeight="1" outlineLevel="2" x14ac:dyDescent="0.25">
      <c r="B6458" s="704" t="s">
        <v>698</v>
      </c>
      <c r="C6458" s="704" t="s">
        <v>721</v>
      </c>
      <c r="D6458" s="704" t="s">
        <v>675</v>
      </c>
      <c r="E6458" s="704" t="s">
        <v>448</v>
      </c>
      <c r="F6458" s="706">
        <v>2.1149624201932541E-3</v>
      </c>
      <c r="G6458" s="705">
        <v>1.0102068298667202</v>
      </c>
    </row>
    <row r="6459" spans="2:7" ht="11.25" hidden="1" customHeight="1" outlineLevel="2" x14ac:dyDescent="0.25">
      <c r="B6459" s="704" t="s">
        <v>699</v>
      </c>
      <c r="C6459" s="704" t="s">
        <v>721</v>
      </c>
      <c r="D6459" s="704" t="s">
        <v>675</v>
      </c>
      <c r="E6459" s="704" t="s">
        <v>448</v>
      </c>
      <c r="F6459" s="706">
        <v>1.3519278733937264E-38</v>
      </c>
      <c r="G6459" s="705">
        <v>6.4577358924786549E-36</v>
      </c>
    </row>
    <row r="6460" spans="2:7" ht="11.25" hidden="1" customHeight="1" outlineLevel="2" x14ac:dyDescent="0.25">
      <c r="B6460" s="704" t="s">
        <v>673</v>
      </c>
      <c r="C6460" s="704" t="s">
        <v>722</v>
      </c>
      <c r="D6460" s="704" t="s">
        <v>675</v>
      </c>
      <c r="E6460" s="704" t="s">
        <v>448</v>
      </c>
      <c r="F6460" s="706">
        <v>5.2823638013481499E-6</v>
      </c>
      <c r="G6460" s="705">
        <v>2.3678055738047899E-3</v>
      </c>
    </row>
    <row r="6461" spans="2:7" ht="11.25" hidden="1" customHeight="1" outlineLevel="2" x14ac:dyDescent="0.25">
      <c r="B6461" s="704" t="s">
        <v>677</v>
      </c>
      <c r="C6461" s="704" t="s">
        <v>722</v>
      </c>
      <c r="D6461" s="704" t="s">
        <v>675</v>
      </c>
      <c r="E6461" s="704" t="s">
        <v>448</v>
      </c>
      <c r="F6461" s="706">
        <v>8.7797244029837665E-5</v>
      </c>
      <c r="G6461" s="705">
        <v>3.9293332053138043E-2</v>
      </c>
    </row>
    <row r="6462" spans="2:7" ht="11.25" hidden="1" customHeight="1" outlineLevel="2" x14ac:dyDescent="0.25">
      <c r="B6462" s="704" t="s">
        <v>678</v>
      </c>
      <c r="C6462" s="704" t="s">
        <v>722</v>
      </c>
      <c r="D6462" s="704" t="s">
        <v>675</v>
      </c>
      <c r="E6462" s="704" t="s">
        <v>448</v>
      </c>
      <c r="F6462" s="706">
        <v>2.0303928770964839E-4</v>
      </c>
      <c r="G6462" s="705">
        <v>9.1015814963650923E-2</v>
      </c>
    </row>
    <row r="6463" spans="2:7" ht="11.25" hidden="1" customHeight="1" outlineLevel="2" x14ac:dyDescent="0.25">
      <c r="B6463" s="704" t="s">
        <v>679</v>
      </c>
      <c r="C6463" s="704" t="s">
        <v>722</v>
      </c>
      <c r="D6463" s="704" t="s">
        <v>675</v>
      </c>
      <c r="E6463" s="704" t="s">
        <v>448</v>
      </c>
      <c r="F6463" s="706">
        <v>1.6477079170293763E-5</v>
      </c>
      <c r="G6463" s="705">
        <v>7.386129578566482E-3</v>
      </c>
    </row>
    <row r="6464" spans="2:7" ht="11.25" hidden="1" customHeight="1" outlineLevel="2" x14ac:dyDescent="0.25">
      <c r="B6464" s="704" t="s">
        <v>680</v>
      </c>
      <c r="C6464" s="704" t="s">
        <v>722</v>
      </c>
      <c r="D6464" s="704" t="s">
        <v>675</v>
      </c>
      <c r="E6464" s="704" t="s">
        <v>448</v>
      </c>
      <c r="F6464" s="706">
        <v>3.0541113355160695E-6</v>
      </c>
      <c r="G6464" s="705">
        <v>1.3689968930802891E-3</v>
      </c>
    </row>
    <row r="6465" spans="2:7" ht="11.25" hidden="1" customHeight="1" outlineLevel="2" x14ac:dyDescent="0.25">
      <c r="B6465" s="704" t="s">
        <v>681</v>
      </c>
      <c r="C6465" s="704" t="s">
        <v>722</v>
      </c>
      <c r="D6465" s="704" t="s">
        <v>675</v>
      </c>
      <c r="E6465" s="704" t="s">
        <v>448</v>
      </c>
      <c r="F6465" s="706">
        <v>2.5759343432986885E-5</v>
      </c>
      <c r="G6465" s="705">
        <v>1.1547057780689584E-2</v>
      </c>
    </row>
    <row r="6466" spans="2:7" ht="11.25" hidden="1" customHeight="1" outlineLevel="2" x14ac:dyDescent="0.25">
      <c r="B6466" s="704" t="s">
        <v>682</v>
      </c>
      <c r="C6466" s="704" t="s">
        <v>722</v>
      </c>
      <c r="D6466" s="704" t="s">
        <v>675</v>
      </c>
      <c r="E6466" s="704" t="s">
        <v>448</v>
      </c>
      <c r="F6466" s="706">
        <v>2.2612755307283487E-5</v>
      </c>
      <c r="G6466" s="705">
        <v>1.0136550015673464E-2</v>
      </c>
    </row>
    <row r="6467" spans="2:7" ht="11.25" hidden="1" customHeight="1" outlineLevel="2" x14ac:dyDescent="0.25">
      <c r="B6467" s="704" t="s">
        <v>683</v>
      </c>
      <c r="C6467" s="704" t="s">
        <v>722</v>
      </c>
      <c r="D6467" s="704" t="s">
        <v>675</v>
      </c>
      <c r="E6467" s="704" t="s">
        <v>448</v>
      </c>
      <c r="F6467" s="706">
        <v>3.7554461960430758E-5</v>
      </c>
      <c r="G6467" s="705">
        <v>1.6834409662155065E-2</v>
      </c>
    </row>
    <row r="6468" spans="2:7" ht="11.25" hidden="1" customHeight="1" outlineLevel="2" x14ac:dyDescent="0.25">
      <c r="B6468" s="704" t="s">
        <v>684</v>
      </c>
      <c r="C6468" s="704" t="s">
        <v>722</v>
      </c>
      <c r="D6468" s="704" t="s">
        <v>675</v>
      </c>
      <c r="E6468" s="704" t="s">
        <v>448</v>
      </c>
      <c r="F6468" s="706">
        <v>4.9021773039386317E-6</v>
      </c>
      <c r="G6468" s="705">
        <v>2.1973888000769012E-3</v>
      </c>
    </row>
    <row r="6469" spans="2:7" ht="11.25" hidden="1" customHeight="1" outlineLevel="2" x14ac:dyDescent="0.25">
      <c r="B6469" s="704" t="s">
        <v>685</v>
      </c>
      <c r="C6469" s="704" t="s">
        <v>722</v>
      </c>
      <c r="D6469" s="704" t="s">
        <v>675</v>
      </c>
      <c r="E6469" s="704" t="s">
        <v>448</v>
      </c>
      <c r="F6469" s="706">
        <v>4.5068812018824153E-5</v>
      </c>
      <c r="G6469" s="705">
        <v>2.0202845517011805E-2</v>
      </c>
    </row>
    <row r="6470" spans="2:7" ht="11.25" hidden="1" customHeight="1" outlineLevel="2" x14ac:dyDescent="0.25">
      <c r="B6470" s="704" t="s">
        <v>686</v>
      </c>
      <c r="C6470" s="704" t="s">
        <v>722</v>
      </c>
      <c r="D6470" s="704" t="s">
        <v>675</v>
      </c>
      <c r="E6470" s="704" t="s">
        <v>448</v>
      </c>
      <c r="F6470" s="706">
        <v>1.0596524500070237E-5</v>
      </c>
      <c r="G6470" s="705">
        <v>4.7498633042904817E-3</v>
      </c>
    </row>
    <row r="6471" spans="2:7" ht="11.25" hidden="1" customHeight="1" outlineLevel="2" x14ac:dyDescent="0.25">
      <c r="B6471" s="704" t="s">
        <v>687</v>
      </c>
      <c r="C6471" s="704" t="s">
        <v>722</v>
      </c>
      <c r="D6471" s="704" t="s">
        <v>675</v>
      </c>
      <c r="E6471" s="704" t="s">
        <v>448</v>
      </c>
      <c r="F6471" s="706">
        <v>5.4276949246530487E-5</v>
      </c>
      <c r="G6471" s="705">
        <v>2.4330548023878712E-2</v>
      </c>
    </row>
    <row r="6472" spans="2:7" ht="11.25" hidden="1" customHeight="1" outlineLevel="2" x14ac:dyDescent="0.25">
      <c r="B6472" s="704" t="s">
        <v>688</v>
      </c>
      <c r="C6472" s="704" t="s">
        <v>722</v>
      </c>
      <c r="D6472" s="704" t="s">
        <v>675</v>
      </c>
      <c r="E6472" s="704" t="s">
        <v>448</v>
      </c>
      <c r="F6472" s="706">
        <v>3.8959156024615297E-5</v>
      </c>
      <c r="G6472" s="705">
        <v>1.7464107267778705E-2</v>
      </c>
    </row>
    <row r="6473" spans="2:7" ht="11.25" hidden="1" customHeight="1" outlineLevel="2" x14ac:dyDescent="0.25">
      <c r="B6473" s="704" t="s">
        <v>689</v>
      </c>
      <c r="C6473" s="704" t="s">
        <v>722</v>
      </c>
      <c r="D6473" s="704" t="s">
        <v>675</v>
      </c>
      <c r="E6473" s="704" t="s">
        <v>448</v>
      </c>
      <c r="F6473" s="706">
        <v>5.7598393832130302E-6</v>
      </c>
      <c r="G6473" s="705">
        <v>2.5820429252102809E-3</v>
      </c>
    </row>
    <row r="6474" spans="2:7" ht="11.25" hidden="1" customHeight="1" outlineLevel="2" x14ac:dyDescent="0.25">
      <c r="B6474" s="704" t="s">
        <v>690</v>
      </c>
      <c r="C6474" s="704" t="s">
        <v>722</v>
      </c>
      <c r="D6474" s="704" t="s">
        <v>675</v>
      </c>
      <c r="E6474" s="704" t="s">
        <v>448</v>
      </c>
      <c r="F6474" s="706">
        <v>1.2681738039832451E-4</v>
      </c>
      <c r="G6474" s="705">
        <v>5.6847973062101542E-2</v>
      </c>
    </row>
    <row r="6475" spans="2:7" ht="11.25" hidden="1" customHeight="1" outlineLevel="2" x14ac:dyDescent="0.25">
      <c r="B6475" s="704" t="s">
        <v>691</v>
      </c>
      <c r="C6475" s="704" t="s">
        <v>722</v>
      </c>
      <c r="D6475" s="704" t="s">
        <v>675</v>
      </c>
      <c r="E6475" s="704" t="s">
        <v>448</v>
      </c>
      <c r="F6475" s="706">
        <v>1.4482940935460384E-4</v>
      </c>
      <c r="G6475" s="705">
        <v>6.4922215028536318E-2</v>
      </c>
    </row>
    <row r="6476" spans="2:7" ht="11.25" hidden="1" customHeight="1" outlineLevel="2" x14ac:dyDescent="0.25">
      <c r="B6476" s="704" t="s">
        <v>692</v>
      </c>
      <c r="C6476" s="704" t="s">
        <v>722</v>
      </c>
      <c r="D6476" s="704" t="s">
        <v>675</v>
      </c>
      <c r="E6476" s="704" t="s">
        <v>448</v>
      </c>
      <c r="F6476" s="705">
        <v>8.4692604743269945E-6</v>
      </c>
      <c r="G6476" s="705">
        <v>3.7964862597865139E-3</v>
      </c>
    </row>
    <row r="6477" spans="2:7" ht="11.25" hidden="1" customHeight="1" outlineLevel="2" x14ac:dyDescent="0.25">
      <c r="B6477" s="704" t="s">
        <v>693</v>
      </c>
      <c r="C6477" s="704" t="s">
        <v>722</v>
      </c>
      <c r="D6477" s="704" t="s">
        <v>675</v>
      </c>
      <c r="E6477" s="704" t="s">
        <v>448</v>
      </c>
      <c r="F6477" s="705">
        <v>2.1141876574597999E-5</v>
      </c>
      <c r="G6477" s="705">
        <v>9.476786163041543E-3</v>
      </c>
    </row>
    <row r="6478" spans="2:7" ht="11.25" hidden="1" customHeight="1" outlineLevel="2" x14ac:dyDescent="0.25">
      <c r="B6478" s="704" t="s">
        <v>694</v>
      </c>
      <c r="C6478" s="704" t="s">
        <v>722</v>
      </c>
      <c r="D6478" s="704" t="s">
        <v>675</v>
      </c>
      <c r="E6478" s="704" t="s">
        <v>448</v>
      </c>
      <c r="F6478" s="705">
        <v>2.3702511156833826E-6</v>
      </c>
      <c r="G6478" s="705">
        <v>1.0624594333494101E-3</v>
      </c>
    </row>
    <row r="6479" spans="2:7" ht="11.25" hidden="1" customHeight="1" outlineLevel="2" x14ac:dyDescent="0.25">
      <c r="B6479" s="704" t="s">
        <v>695</v>
      </c>
      <c r="C6479" s="704" t="s">
        <v>722</v>
      </c>
      <c r="D6479" s="704" t="s">
        <v>675</v>
      </c>
      <c r="E6479" s="704" t="s">
        <v>448</v>
      </c>
      <c r="F6479" s="705">
        <v>1.124281993332198E-5</v>
      </c>
      <c r="G6479" s="705">
        <v>5.039561500320474E-3</v>
      </c>
    </row>
    <row r="6480" spans="2:7" ht="11.25" hidden="1" customHeight="1" outlineLevel="2" x14ac:dyDescent="0.25">
      <c r="B6480" s="704" t="s">
        <v>696</v>
      </c>
      <c r="C6480" s="704" t="s">
        <v>722</v>
      </c>
      <c r="D6480" s="704" t="s">
        <v>675</v>
      </c>
      <c r="E6480" s="704" t="s">
        <v>448</v>
      </c>
      <c r="F6480" s="705">
        <v>2.8090659541956758E-5</v>
      </c>
      <c r="G6480" s="705">
        <v>1.2591560683655075E-2</v>
      </c>
    </row>
    <row r="6481" spans="2:7" ht="11.25" hidden="1" customHeight="1" outlineLevel="2" x14ac:dyDescent="0.25">
      <c r="B6481" s="704" t="s">
        <v>697</v>
      </c>
      <c r="C6481" s="704" t="s">
        <v>722</v>
      </c>
      <c r="D6481" s="704" t="s">
        <v>675</v>
      </c>
      <c r="E6481" s="704" t="s">
        <v>448</v>
      </c>
      <c r="F6481" s="705">
        <v>1.536921992822546E-5</v>
      </c>
      <c r="G6481" s="705">
        <v>6.8892145663255596E-3</v>
      </c>
    </row>
    <row r="6482" spans="2:7" ht="11.25" hidden="1" customHeight="1" outlineLevel="2" x14ac:dyDescent="0.25">
      <c r="B6482" s="704" t="s">
        <v>698</v>
      </c>
      <c r="C6482" s="704" t="s">
        <v>722</v>
      </c>
      <c r="D6482" s="704" t="s">
        <v>675</v>
      </c>
      <c r="E6482" s="704" t="s">
        <v>448</v>
      </c>
      <c r="F6482" s="705">
        <v>1.6876749520896543E-5</v>
      </c>
      <c r="G6482" s="705">
        <v>7.5649618578151161E-3</v>
      </c>
    </row>
    <row r="6483" spans="2:7" ht="11.25" hidden="1" customHeight="1" outlineLevel="2" x14ac:dyDescent="0.25">
      <c r="B6483" s="704" t="s">
        <v>699</v>
      </c>
      <c r="C6483" s="704" t="s">
        <v>722</v>
      </c>
      <c r="D6483" s="704" t="s">
        <v>675</v>
      </c>
      <c r="E6483" s="704" t="s">
        <v>448</v>
      </c>
      <c r="F6483" s="705">
        <v>1.807527104592972E-36</v>
      </c>
      <c r="G6483" s="705">
        <v>8.1025401359672294E-34</v>
      </c>
    </row>
    <row r="6484" spans="2:7" ht="11.25" hidden="1" customHeight="1" outlineLevel="2" x14ac:dyDescent="0.25">
      <c r="B6484" s="704" t="s">
        <v>673</v>
      </c>
      <c r="C6484" s="704" t="s">
        <v>723</v>
      </c>
      <c r="D6484" s="704" t="s">
        <v>675</v>
      </c>
      <c r="E6484" s="704" t="s">
        <v>448</v>
      </c>
      <c r="F6484" s="705">
        <v>1.8843622714206962E-2</v>
      </c>
      <c r="G6484" s="705">
        <v>10.538505200237928</v>
      </c>
    </row>
    <row r="6485" spans="2:7" ht="11.25" hidden="1" customHeight="1" outlineLevel="2" x14ac:dyDescent="0.25">
      <c r="B6485" s="704" t="s">
        <v>677</v>
      </c>
      <c r="C6485" s="704" t="s">
        <v>723</v>
      </c>
      <c r="D6485" s="704" t="s">
        <v>675</v>
      </c>
      <c r="E6485" s="704" t="s">
        <v>448</v>
      </c>
      <c r="F6485" s="705">
        <v>0.31319683181140168</v>
      </c>
      <c r="G6485" s="705">
        <v>174.88467945201646</v>
      </c>
    </row>
    <row r="6486" spans="2:7" ht="11.25" hidden="1" customHeight="1" outlineLevel="2" x14ac:dyDescent="0.25">
      <c r="B6486" s="704" t="s">
        <v>678</v>
      </c>
      <c r="C6486" s="704" t="s">
        <v>723</v>
      </c>
      <c r="D6486" s="704" t="s">
        <v>675</v>
      </c>
      <c r="E6486" s="704" t="s">
        <v>448</v>
      </c>
      <c r="F6486" s="705">
        <v>0.72429711775782701</v>
      </c>
      <c r="G6486" s="705">
        <v>405.08812607583735</v>
      </c>
    </row>
    <row r="6487" spans="2:7" ht="11.25" hidden="1" customHeight="1" outlineLevel="2" x14ac:dyDescent="0.25">
      <c r="B6487" s="704" t="s">
        <v>679</v>
      </c>
      <c r="C6487" s="704" t="s">
        <v>723</v>
      </c>
      <c r="D6487" s="704" t="s">
        <v>675</v>
      </c>
      <c r="E6487" s="704" t="s">
        <v>448</v>
      </c>
      <c r="F6487" s="705">
        <v>5.8778191649508336E-2</v>
      </c>
      <c r="G6487" s="705">
        <v>32.873764281443755</v>
      </c>
    </row>
    <row r="6488" spans="2:7" ht="11.25" hidden="1" customHeight="1" outlineLevel="2" x14ac:dyDescent="0.25">
      <c r="B6488" s="704" t="s">
        <v>680</v>
      </c>
      <c r="C6488" s="704" t="s">
        <v>723</v>
      </c>
      <c r="D6488" s="704" t="s">
        <v>675</v>
      </c>
      <c r="E6488" s="704" t="s">
        <v>448</v>
      </c>
      <c r="F6488" s="705">
        <v>1.0894842185035626E-2</v>
      </c>
      <c r="G6488" s="705">
        <v>6.0930579480231835</v>
      </c>
    </row>
    <row r="6489" spans="2:7" ht="11.25" hidden="1" customHeight="1" outlineLevel="2" x14ac:dyDescent="0.25">
      <c r="B6489" s="704" t="s">
        <v>681</v>
      </c>
      <c r="C6489" s="704" t="s">
        <v>723</v>
      </c>
      <c r="D6489" s="704" t="s">
        <v>675</v>
      </c>
      <c r="E6489" s="704" t="s">
        <v>448</v>
      </c>
      <c r="F6489" s="705">
        <v>9.1890597761710449E-2</v>
      </c>
      <c r="G6489" s="705">
        <v>51.393004923586346</v>
      </c>
    </row>
    <row r="6490" spans="2:7" ht="11.25" hidden="1" customHeight="1" outlineLevel="2" x14ac:dyDescent="0.25">
      <c r="B6490" s="704" t="s">
        <v>682</v>
      </c>
      <c r="C6490" s="704" t="s">
        <v>723</v>
      </c>
      <c r="D6490" s="704" t="s">
        <v>675</v>
      </c>
      <c r="E6490" s="704" t="s">
        <v>448</v>
      </c>
      <c r="F6490" s="705">
        <v>8.066580320296686E-2</v>
      </c>
      <c r="G6490" s="705">
        <v>45.115137225894983</v>
      </c>
    </row>
    <row r="6491" spans="2:7" ht="11.25" hidden="1" customHeight="1" outlineLevel="2" x14ac:dyDescent="0.25">
      <c r="B6491" s="704" t="s">
        <v>683</v>
      </c>
      <c r="C6491" s="704" t="s">
        <v>723</v>
      </c>
      <c r="D6491" s="704" t="s">
        <v>675</v>
      </c>
      <c r="E6491" s="704" t="s">
        <v>448</v>
      </c>
      <c r="F6491" s="705">
        <v>0.13396697354560769</v>
      </c>
      <c r="G6491" s="705">
        <v>74.925622808191093</v>
      </c>
    </row>
    <row r="6492" spans="2:7" ht="11.25" hidden="1" customHeight="1" outlineLevel="2" x14ac:dyDescent="0.25">
      <c r="B6492" s="704" t="s">
        <v>684</v>
      </c>
      <c r="C6492" s="704" t="s">
        <v>723</v>
      </c>
      <c r="D6492" s="704" t="s">
        <v>675</v>
      </c>
      <c r="E6492" s="704" t="s">
        <v>448</v>
      </c>
      <c r="F6492" s="705">
        <v>1.74874059340288E-2</v>
      </c>
      <c r="G6492" s="705">
        <v>9.7800182991624212</v>
      </c>
    </row>
    <row r="6493" spans="2:7" ht="11.25" hidden="1" customHeight="1" outlineLevel="2" x14ac:dyDescent="0.25">
      <c r="B6493" s="704" t="s">
        <v>685</v>
      </c>
      <c r="C6493" s="704" t="s">
        <v>723</v>
      </c>
      <c r="D6493" s="704" t="s">
        <v>675</v>
      </c>
      <c r="E6493" s="704" t="s">
        <v>448</v>
      </c>
      <c r="F6493" s="705">
        <v>0.16077267047925806</v>
      </c>
      <c r="G6493" s="705">
        <v>89.917736403567531</v>
      </c>
    </row>
    <row r="6494" spans="2:7" ht="11.25" hidden="1" customHeight="1" outlineLevel="2" x14ac:dyDescent="0.25">
      <c r="B6494" s="704" t="s">
        <v>686</v>
      </c>
      <c r="C6494" s="704" t="s">
        <v>723</v>
      </c>
      <c r="D6494" s="704" t="s">
        <v>675</v>
      </c>
      <c r="E6494" s="704" t="s">
        <v>448</v>
      </c>
      <c r="F6494" s="705">
        <v>3.7800699208375324E-2</v>
      </c>
      <c r="G6494" s="705">
        <v>21.140434039674268</v>
      </c>
    </row>
    <row r="6495" spans="2:7" ht="11.25" hidden="1" customHeight="1" outlineLevel="2" x14ac:dyDescent="0.25">
      <c r="B6495" s="704" t="s">
        <v>687</v>
      </c>
      <c r="C6495" s="704" t="s">
        <v>723</v>
      </c>
      <c r="D6495" s="704" t="s">
        <v>675</v>
      </c>
      <c r="E6495" s="704" t="s">
        <v>448</v>
      </c>
      <c r="F6495" s="705">
        <v>0.19362058970817891</v>
      </c>
      <c r="G6495" s="705">
        <v>108.2890947054308</v>
      </c>
    </row>
    <row r="6496" spans="2:7" ht="11.25" hidden="1" customHeight="1" outlineLevel="2" x14ac:dyDescent="0.25">
      <c r="B6496" s="704" t="s">
        <v>688</v>
      </c>
      <c r="C6496" s="704" t="s">
        <v>723</v>
      </c>
      <c r="D6496" s="704" t="s">
        <v>675</v>
      </c>
      <c r="E6496" s="704" t="s">
        <v>448</v>
      </c>
      <c r="F6496" s="706">
        <v>0.13897785165893886</v>
      </c>
      <c r="G6496" s="705">
        <v>76.395791630971502</v>
      </c>
    </row>
    <row r="6497" spans="2:7" ht="11.25" hidden="1" customHeight="1" outlineLevel="2" x14ac:dyDescent="0.25">
      <c r="B6497" s="704" t="s">
        <v>689</v>
      </c>
      <c r="C6497" s="704" t="s">
        <v>723</v>
      </c>
      <c r="D6497" s="704" t="s">
        <v>675</v>
      </c>
      <c r="E6497" s="704" t="s">
        <v>448</v>
      </c>
      <c r="F6497" s="706">
        <v>2.054692727127962E-2</v>
      </c>
      <c r="G6497" s="705">
        <v>11.492014963649687</v>
      </c>
    </row>
    <row r="6498" spans="2:7" ht="11.25" hidden="1" customHeight="1" outlineLevel="2" x14ac:dyDescent="0.25">
      <c r="B6498" s="704" t="s">
        <v>690</v>
      </c>
      <c r="C6498" s="704" t="s">
        <v>723</v>
      </c>
      <c r="D6498" s="704" t="s">
        <v>675</v>
      </c>
      <c r="E6498" s="704" t="s">
        <v>448</v>
      </c>
      <c r="F6498" s="706">
        <v>0.45239204881241518</v>
      </c>
      <c r="G6498" s="705">
        <v>253.01595849859208</v>
      </c>
    </row>
    <row r="6499" spans="2:7" ht="11.25" hidden="1" customHeight="1" outlineLevel="2" x14ac:dyDescent="0.25">
      <c r="B6499" s="704" t="s">
        <v>691</v>
      </c>
      <c r="C6499" s="704" t="s">
        <v>723</v>
      </c>
      <c r="D6499" s="704" t="s">
        <v>675</v>
      </c>
      <c r="E6499" s="704" t="s">
        <v>448</v>
      </c>
      <c r="F6499" s="706">
        <v>0.51664672378625776</v>
      </c>
      <c r="G6499" s="705">
        <v>288.9521880981851</v>
      </c>
    </row>
    <row r="6500" spans="2:7" ht="11.25" hidden="1" customHeight="1" outlineLevel="2" x14ac:dyDescent="0.25">
      <c r="B6500" s="704" t="s">
        <v>692</v>
      </c>
      <c r="C6500" s="704" t="s">
        <v>723</v>
      </c>
      <c r="D6500" s="704" t="s">
        <v>675</v>
      </c>
      <c r="E6500" s="704" t="s">
        <v>448</v>
      </c>
      <c r="F6500" s="706">
        <v>3.0212162275097796E-2</v>
      </c>
      <c r="G6500" s="705">
        <v>16.89719814415351</v>
      </c>
    </row>
    <row r="6501" spans="2:7" ht="11.25" hidden="1" customHeight="1" outlineLevel="2" x14ac:dyDescent="0.25">
      <c r="B6501" s="704" t="s">
        <v>693</v>
      </c>
      <c r="C6501" s="704" t="s">
        <v>723</v>
      </c>
      <c r="D6501" s="704" t="s">
        <v>675</v>
      </c>
      <c r="E6501" s="704" t="s">
        <v>448</v>
      </c>
      <c r="F6501" s="706">
        <v>7.5418824574261911E-2</v>
      </c>
      <c r="G6501" s="705">
        <v>42.178739371371776</v>
      </c>
    </row>
    <row r="6502" spans="2:7" ht="11.25" hidden="1" customHeight="1" outlineLevel="2" x14ac:dyDescent="0.25">
      <c r="B6502" s="704" t="s">
        <v>694</v>
      </c>
      <c r="C6502" s="704" t="s">
        <v>723</v>
      </c>
      <c r="D6502" s="704" t="s">
        <v>675</v>
      </c>
      <c r="E6502" s="704" t="s">
        <v>448</v>
      </c>
      <c r="F6502" s="706">
        <v>8.4553384330125908E-3</v>
      </c>
      <c r="G6502" s="705">
        <v>4.7287341152621121</v>
      </c>
    </row>
    <row r="6503" spans="2:7" ht="11.25" hidden="1" customHeight="1" outlineLevel="2" x14ac:dyDescent="0.25">
      <c r="B6503" s="704" t="s">
        <v>695</v>
      </c>
      <c r="C6503" s="704" t="s">
        <v>723</v>
      </c>
      <c r="D6503" s="704" t="s">
        <v>675</v>
      </c>
      <c r="E6503" s="704" t="s">
        <v>448</v>
      </c>
      <c r="F6503" s="705">
        <v>4.0106211622939827E-2</v>
      </c>
      <c r="G6503" s="705">
        <v>22.429817391236504</v>
      </c>
    </row>
    <row r="6504" spans="2:7" ht="11.25" hidden="1" customHeight="1" outlineLevel="2" x14ac:dyDescent="0.25">
      <c r="B6504" s="704" t="s">
        <v>696</v>
      </c>
      <c r="C6504" s="704" t="s">
        <v>723</v>
      </c>
      <c r="D6504" s="704" t="s">
        <v>675</v>
      </c>
      <c r="E6504" s="704" t="s">
        <v>448</v>
      </c>
      <c r="F6504" s="705">
        <v>0.10020706409306775</v>
      </c>
      <c r="G6504" s="705">
        <v>56.041895741493562</v>
      </c>
    </row>
    <row r="6505" spans="2:7" ht="11.25" hidden="1" customHeight="1" outlineLevel="2" x14ac:dyDescent="0.25">
      <c r="B6505" s="704" t="s">
        <v>697</v>
      </c>
      <c r="C6505" s="704" t="s">
        <v>723</v>
      </c>
      <c r="D6505" s="704" t="s">
        <v>675</v>
      </c>
      <c r="E6505" s="704" t="s">
        <v>448</v>
      </c>
      <c r="F6505" s="705">
        <v>5.4826217168742225E-2</v>
      </c>
      <c r="G6505" s="705">
        <v>30.662143801298612</v>
      </c>
    </row>
    <row r="6506" spans="2:7" ht="11.25" hidden="1" customHeight="1" outlineLevel="2" x14ac:dyDescent="0.25">
      <c r="B6506" s="704" t="s">
        <v>698</v>
      </c>
      <c r="C6506" s="704" t="s">
        <v>723</v>
      </c>
      <c r="D6506" s="704" t="s">
        <v>675</v>
      </c>
      <c r="E6506" s="704" t="s">
        <v>448</v>
      </c>
      <c r="F6506" s="705">
        <v>6.0203965290455554E-2</v>
      </c>
      <c r="G6506" s="705">
        <v>33.669715061985542</v>
      </c>
    </row>
    <row r="6507" spans="2:7" ht="11.25" hidden="1" customHeight="1" outlineLevel="2" x14ac:dyDescent="0.25">
      <c r="B6507" s="704" t="s">
        <v>699</v>
      </c>
      <c r="C6507" s="704" t="s">
        <v>723</v>
      </c>
      <c r="D6507" s="704" t="s">
        <v>675</v>
      </c>
      <c r="E6507" s="704" t="s">
        <v>448</v>
      </c>
      <c r="F6507" s="705">
        <v>3.5833641940293277E-34</v>
      </c>
      <c r="G6507" s="705">
        <v>2.0536241178263922E-31</v>
      </c>
    </row>
    <row r="6508" spans="2:7" ht="11.25" hidden="1" customHeight="1" outlineLevel="2" x14ac:dyDescent="0.25">
      <c r="B6508" s="704" t="s">
        <v>673</v>
      </c>
      <c r="C6508" s="704" t="s">
        <v>724</v>
      </c>
      <c r="D6508" s="704" t="s">
        <v>675</v>
      </c>
      <c r="E6508" s="704" t="s">
        <v>448</v>
      </c>
      <c r="F6508" s="705">
        <v>1.3754850342295732E-4</v>
      </c>
      <c r="G6508" s="705">
        <v>6.1655689731861071E-2</v>
      </c>
    </row>
    <row r="6509" spans="2:7" ht="11.25" hidden="1" customHeight="1" outlineLevel="2" x14ac:dyDescent="0.25">
      <c r="B6509" s="704" t="s">
        <v>677</v>
      </c>
      <c r="C6509" s="704" t="s">
        <v>724</v>
      </c>
      <c r="D6509" s="704" t="s">
        <v>675</v>
      </c>
      <c r="E6509" s="704" t="s">
        <v>448</v>
      </c>
      <c r="F6509" s="705">
        <v>2.2861693825184217E-3</v>
      </c>
      <c r="G6509" s="705">
        <v>1.0231666970461255</v>
      </c>
    </row>
    <row r="6510" spans="2:7" ht="11.25" hidden="1" customHeight="1" outlineLevel="2" x14ac:dyDescent="0.25">
      <c r="B6510" s="704" t="s">
        <v>678</v>
      </c>
      <c r="C6510" s="704" t="s">
        <v>724</v>
      </c>
      <c r="D6510" s="704" t="s">
        <v>675</v>
      </c>
      <c r="E6510" s="704" t="s">
        <v>448</v>
      </c>
      <c r="F6510" s="705">
        <v>5.2869790966788279E-3</v>
      </c>
      <c r="G6510" s="705">
        <v>2.3699778691193072</v>
      </c>
    </row>
    <row r="6511" spans="2:7" ht="11.25" hidden="1" customHeight="1" outlineLevel="2" x14ac:dyDescent="0.25">
      <c r="B6511" s="704" t="s">
        <v>679</v>
      </c>
      <c r="C6511" s="704" t="s">
        <v>724</v>
      </c>
      <c r="D6511" s="704" t="s">
        <v>675</v>
      </c>
      <c r="E6511" s="704" t="s">
        <v>448</v>
      </c>
      <c r="F6511" s="705">
        <v>4.290497002058444E-4</v>
      </c>
      <c r="G6511" s="705">
        <v>0.19232866243240013</v>
      </c>
    </row>
    <row r="6512" spans="2:7" ht="11.25" hidden="1" customHeight="1" outlineLevel="2" x14ac:dyDescent="0.25">
      <c r="B6512" s="704" t="s">
        <v>680</v>
      </c>
      <c r="C6512" s="704" t="s">
        <v>724</v>
      </c>
      <c r="D6512" s="704" t="s">
        <v>675</v>
      </c>
      <c r="E6512" s="704" t="s">
        <v>448</v>
      </c>
      <c r="F6512" s="705">
        <v>7.9526566101178789E-5</v>
      </c>
      <c r="G6512" s="705">
        <v>3.5647572769999331E-2</v>
      </c>
    </row>
    <row r="6513" spans="2:7" ht="11.25" hidden="1" customHeight="1" outlineLevel="2" x14ac:dyDescent="0.25">
      <c r="B6513" s="704" t="s">
        <v>681</v>
      </c>
      <c r="C6513" s="704" t="s">
        <v>724</v>
      </c>
      <c r="D6513" s="704" t="s">
        <v>675</v>
      </c>
      <c r="E6513" s="704" t="s">
        <v>448</v>
      </c>
      <c r="F6513" s="705">
        <v>6.7075190948721083E-4</v>
      </c>
      <c r="G6513" s="705">
        <v>0.30067610514757537</v>
      </c>
    </row>
    <row r="6514" spans="2:7" ht="11.25" hidden="1" customHeight="1" outlineLevel="2" x14ac:dyDescent="0.25">
      <c r="B6514" s="704" t="s">
        <v>682</v>
      </c>
      <c r="C6514" s="704" t="s">
        <v>724</v>
      </c>
      <c r="D6514" s="704" t="s">
        <v>675</v>
      </c>
      <c r="E6514" s="704" t="s">
        <v>448</v>
      </c>
      <c r="F6514" s="705">
        <v>5.8881742340065758E-4</v>
      </c>
      <c r="G6514" s="705">
        <v>0.26394743551868527</v>
      </c>
    </row>
    <row r="6515" spans="2:7" ht="11.25" hidden="1" customHeight="1" outlineLevel="2" x14ac:dyDescent="0.25">
      <c r="B6515" s="704" t="s">
        <v>683</v>
      </c>
      <c r="C6515" s="704" t="s">
        <v>724</v>
      </c>
      <c r="D6515" s="704" t="s">
        <v>675</v>
      </c>
      <c r="E6515" s="704" t="s">
        <v>448</v>
      </c>
      <c r="F6515" s="705">
        <v>9.7788770933805226E-4</v>
      </c>
      <c r="G6515" s="705">
        <v>0.43835476858019207</v>
      </c>
    </row>
    <row r="6516" spans="2:7" ht="11.25" hidden="1" customHeight="1" outlineLevel="2" x14ac:dyDescent="0.25">
      <c r="B6516" s="704" t="s">
        <v>684</v>
      </c>
      <c r="C6516" s="704" t="s">
        <v>724</v>
      </c>
      <c r="D6516" s="704" t="s">
        <v>675</v>
      </c>
      <c r="E6516" s="704" t="s">
        <v>448</v>
      </c>
      <c r="F6516" s="705">
        <v>1.2764873835052315E-4</v>
      </c>
      <c r="G6516" s="705">
        <v>5.7218228240652383E-2</v>
      </c>
    </row>
    <row r="6517" spans="2:7" ht="11.25" hidden="1" customHeight="1" outlineLevel="2" x14ac:dyDescent="0.25">
      <c r="B6517" s="704" t="s">
        <v>685</v>
      </c>
      <c r="C6517" s="704" t="s">
        <v>724</v>
      </c>
      <c r="D6517" s="704" t="s">
        <v>675</v>
      </c>
      <c r="E6517" s="704" t="s">
        <v>448</v>
      </c>
      <c r="F6517" s="705">
        <v>1.1735549565864952E-3</v>
      </c>
      <c r="G6517" s="705">
        <v>0.52606513456475912</v>
      </c>
    </row>
    <row r="6518" spans="2:7" ht="11.25" hidden="1" customHeight="1" outlineLevel="2" x14ac:dyDescent="0.25">
      <c r="B6518" s="704" t="s">
        <v>686</v>
      </c>
      <c r="C6518" s="704" t="s">
        <v>724</v>
      </c>
      <c r="D6518" s="704" t="s">
        <v>675</v>
      </c>
      <c r="E6518" s="704" t="s">
        <v>448</v>
      </c>
      <c r="F6518" s="705">
        <v>2.75924848458388E-4</v>
      </c>
      <c r="G6518" s="705">
        <v>0.12368264548977599</v>
      </c>
    </row>
    <row r="6519" spans="2:7" ht="11.25" hidden="1" customHeight="1" outlineLevel="2" x14ac:dyDescent="0.25">
      <c r="B6519" s="704" t="s">
        <v>687</v>
      </c>
      <c r="C6519" s="704" t="s">
        <v>724</v>
      </c>
      <c r="D6519" s="704" t="s">
        <v>675</v>
      </c>
      <c r="E6519" s="704" t="s">
        <v>448</v>
      </c>
      <c r="F6519" s="705">
        <v>1.4133277522784698E-3</v>
      </c>
      <c r="G6519" s="705">
        <v>0.63354736748174578</v>
      </c>
    </row>
    <row r="6520" spans="2:7" ht="11.25" hidden="1" customHeight="1" outlineLevel="2" x14ac:dyDescent="0.25">
      <c r="B6520" s="704" t="s">
        <v>688</v>
      </c>
      <c r="C6520" s="704" t="s">
        <v>724</v>
      </c>
      <c r="D6520" s="704" t="s">
        <v>675</v>
      </c>
      <c r="E6520" s="704" t="s">
        <v>448</v>
      </c>
      <c r="F6520" s="705">
        <v>9.970630249448722E-4</v>
      </c>
      <c r="G6520" s="705">
        <v>0.44695539398671513</v>
      </c>
    </row>
    <row r="6521" spans="2:7" ht="11.25" hidden="1" customHeight="1" outlineLevel="2" x14ac:dyDescent="0.25">
      <c r="B6521" s="704" t="s">
        <v>689</v>
      </c>
      <c r="C6521" s="704" t="s">
        <v>724</v>
      </c>
      <c r="D6521" s="704" t="s">
        <v>675</v>
      </c>
      <c r="E6521" s="704" t="s">
        <v>448</v>
      </c>
      <c r="F6521" s="705">
        <v>1.4998162782357439E-4</v>
      </c>
      <c r="G6521" s="705">
        <v>6.7234357786042545E-2</v>
      </c>
    </row>
    <row r="6522" spans="2:7" ht="11.25" hidden="1" customHeight="1" outlineLevel="2" x14ac:dyDescent="0.25">
      <c r="B6522" s="704" t="s">
        <v>690</v>
      </c>
      <c r="C6522" s="704" t="s">
        <v>724</v>
      </c>
      <c r="D6522" s="704" t="s">
        <v>675</v>
      </c>
      <c r="E6522" s="704" t="s">
        <v>448</v>
      </c>
      <c r="F6522" s="705">
        <v>3.3022212557755979E-3</v>
      </c>
      <c r="G6522" s="705">
        <v>1.4802761356888992</v>
      </c>
    </row>
    <row r="6523" spans="2:7" ht="11.25" hidden="1" customHeight="1" outlineLevel="2" x14ac:dyDescent="0.25">
      <c r="B6523" s="704" t="s">
        <v>691</v>
      </c>
      <c r="C6523" s="704" t="s">
        <v>724</v>
      </c>
      <c r="D6523" s="704" t="s">
        <v>675</v>
      </c>
      <c r="E6523" s="704" t="s">
        <v>448</v>
      </c>
      <c r="F6523" s="705">
        <v>3.7712407010094982E-3</v>
      </c>
      <c r="G6523" s="705">
        <v>1.6905223059936356</v>
      </c>
    </row>
    <row r="6524" spans="2:7" ht="11.25" hidden="1" customHeight="1" outlineLevel="2" x14ac:dyDescent="0.25">
      <c r="B6524" s="704" t="s">
        <v>692</v>
      </c>
      <c r="C6524" s="704" t="s">
        <v>724</v>
      </c>
      <c r="D6524" s="704" t="s">
        <v>675</v>
      </c>
      <c r="E6524" s="704" t="s">
        <v>448</v>
      </c>
      <c r="F6524" s="705">
        <v>2.2053276006338173E-4</v>
      </c>
      <c r="G6524" s="705">
        <v>9.8857518859681429E-2</v>
      </c>
    </row>
    <row r="6525" spans="2:7" ht="11.25" hidden="1" customHeight="1" outlineLevel="2" x14ac:dyDescent="0.25">
      <c r="B6525" s="704" t="s">
        <v>693</v>
      </c>
      <c r="C6525" s="704" t="s">
        <v>724</v>
      </c>
      <c r="D6525" s="704" t="s">
        <v>675</v>
      </c>
      <c r="E6525" s="704" t="s">
        <v>448</v>
      </c>
      <c r="F6525" s="705">
        <v>5.5051760495545502E-4</v>
      </c>
      <c r="G6525" s="705">
        <v>0.24676799376164682</v>
      </c>
    </row>
    <row r="6526" spans="2:7" ht="11.25" hidden="1" customHeight="1" outlineLevel="2" x14ac:dyDescent="0.25">
      <c r="B6526" s="704" t="s">
        <v>694</v>
      </c>
      <c r="C6526" s="704" t="s">
        <v>724</v>
      </c>
      <c r="D6526" s="704" t="s">
        <v>675</v>
      </c>
      <c r="E6526" s="704" t="s">
        <v>448</v>
      </c>
      <c r="F6526" s="705">
        <v>6.1719463356204598E-5</v>
      </c>
      <c r="G6526" s="705">
        <v>2.7665582793281924E-2</v>
      </c>
    </row>
    <row r="6527" spans="2:7" ht="11.25" hidden="1" customHeight="1" outlineLevel="2" x14ac:dyDescent="0.25">
      <c r="B6527" s="704" t="s">
        <v>695</v>
      </c>
      <c r="C6527" s="704" t="s">
        <v>724</v>
      </c>
      <c r="D6527" s="704" t="s">
        <v>675</v>
      </c>
      <c r="E6527" s="704" t="s">
        <v>448</v>
      </c>
      <c r="F6527" s="705">
        <v>2.9275416914162345E-4</v>
      </c>
      <c r="G6527" s="705">
        <v>0.13122619612968106</v>
      </c>
    </row>
    <row r="6528" spans="2:7" ht="11.25" hidden="1" customHeight="1" outlineLevel="2" x14ac:dyDescent="0.25">
      <c r="B6528" s="704" t="s">
        <v>696</v>
      </c>
      <c r="C6528" s="704" t="s">
        <v>724</v>
      </c>
      <c r="D6528" s="704" t="s">
        <v>675</v>
      </c>
      <c r="E6528" s="704" t="s">
        <v>448</v>
      </c>
      <c r="F6528" s="705">
        <v>7.3145839689421946E-4</v>
      </c>
      <c r="G6528" s="705">
        <v>0.32787411308497344</v>
      </c>
    </row>
    <row r="6529" spans="2:7" ht="11.25" hidden="1" customHeight="1" outlineLevel="2" x14ac:dyDescent="0.25">
      <c r="B6529" s="704" t="s">
        <v>697</v>
      </c>
      <c r="C6529" s="704" t="s">
        <v>724</v>
      </c>
      <c r="D6529" s="704" t="s">
        <v>675</v>
      </c>
      <c r="E6529" s="704" t="s">
        <v>448</v>
      </c>
      <c r="F6529" s="705">
        <v>4.0020221830596565E-4</v>
      </c>
      <c r="G6529" s="705">
        <v>0.17938958369728566</v>
      </c>
    </row>
    <row r="6530" spans="2:7" ht="11.25" hidden="1" customHeight="1" outlineLevel="2" x14ac:dyDescent="0.25">
      <c r="B6530" s="704" t="s">
        <v>698</v>
      </c>
      <c r="C6530" s="704" t="s">
        <v>724</v>
      </c>
      <c r="D6530" s="704" t="s">
        <v>675</v>
      </c>
      <c r="E6530" s="704" t="s">
        <v>448</v>
      </c>
      <c r="F6530" s="705">
        <v>4.3945703173802278E-4</v>
      </c>
      <c r="G6530" s="705">
        <v>0.19698545847072607</v>
      </c>
    </row>
    <row r="6531" spans="2:7" ht="11.25" hidden="1" customHeight="1" outlineLevel="2" x14ac:dyDescent="0.25">
      <c r="B6531" s="704" t="s">
        <v>699</v>
      </c>
      <c r="C6531" s="704" t="s">
        <v>724</v>
      </c>
      <c r="D6531" s="704" t="s">
        <v>675</v>
      </c>
      <c r="E6531" s="704" t="s">
        <v>448</v>
      </c>
      <c r="F6531" s="705">
        <v>4.4947573044558784E-38</v>
      </c>
      <c r="G6531" s="705">
        <v>2.0148500704412117E-35</v>
      </c>
    </row>
    <row r="6532" spans="2:7" ht="11.25" hidden="1" customHeight="1" outlineLevel="2" x14ac:dyDescent="0.25">
      <c r="B6532" s="704" t="s">
        <v>673</v>
      </c>
      <c r="C6532" s="704" t="s">
        <v>750</v>
      </c>
      <c r="D6532" s="704" t="s">
        <v>675</v>
      </c>
      <c r="E6532" s="704" t="s">
        <v>448</v>
      </c>
      <c r="F6532" s="705">
        <v>2.3470977454537914E-3</v>
      </c>
      <c r="G6532" s="705">
        <v>3.6253676111343944</v>
      </c>
    </row>
    <row r="6533" spans="2:7" ht="11.25" hidden="1" customHeight="1" outlineLevel="2" x14ac:dyDescent="0.25">
      <c r="B6533" s="704" t="s">
        <v>677</v>
      </c>
      <c r="C6533" s="704" t="s">
        <v>750</v>
      </c>
      <c r="D6533" s="704" t="s">
        <v>675</v>
      </c>
      <c r="E6533" s="704" t="s">
        <v>448</v>
      </c>
      <c r="F6533" s="705">
        <v>3.9351792123335658E-2</v>
      </c>
      <c r="G6533" s="705">
        <v>60.162369810044666</v>
      </c>
    </row>
    <row r="6534" spans="2:7" ht="11.25" hidden="1" customHeight="1" outlineLevel="2" x14ac:dyDescent="0.25">
      <c r="B6534" s="704" t="s">
        <v>678</v>
      </c>
      <c r="C6534" s="704" t="s">
        <v>750</v>
      </c>
      <c r="D6534" s="704" t="s">
        <v>675</v>
      </c>
      <c r="E6534" s="704" t="s">
        <v>448</v>
      </c>
      <c r="F6534" s="705">
        <v>8.9864191983006117E-2</v>
      </c>
      <c r="G6534" s="705">
        <v>139.35493108884478</v>
      </c>
    </row>
    <row r="6535" spans="2:7" ht="11.25" hidden="1" customHeight="1" outlineLevel="2" x14ac:dyDescent="0.25">
      <c r="B6535" s="704" t="s">
        <v>679</v>
      </c>
      <c r="C6535" s="704" t="s">
        <v>750</v>
      </c>
      <c r="D6535" s="704" t="s">
        <v>675</v>
      </c>
      <c r="E6535" s="704" t="s">
        <v>448</v>
      </c>
      <c r="F6535" s="706">
        <v>7.2607902035612135E-3</v>
      </c>
      <c r="G6535" s="705">
        <v>11.308954469233353</v>
      </c>
    </row>
    <row r="6536" spans="2:7" ht="11.25" hidden="1" customHeight="1" outlineLevel="2" x14ac:dyDescent="0.25">
      <c r="B6536" s="704" t="s">
        <v>680</v>
      </c>
      <c r="C6536" s="704" t="s">
        <v>750</v>
      </c>
      <c r="D6536" s="704" t="s">
        <v>675</v>
      </c>
      <c r="E6536" s="704" t="s">
        <v>448</v>
      </c>
      <c r="F6536" s="706">
        <v>1.3440277688796247E-3</v>
      </c>
      <c r="G6536" s="705">
        <v>2.0960826218478226</v>
      </c>
    </row>
    <row r="6537" spans="2:7" ht="11.25" hidden="1" customHeight="1" outlineLevel="2" x14ac:dyDescent="0.25">
      <c r="B6537" s="704" t="s">
        <v>681</v>
      </c>
      <c r="C6537" s="704" t="s">
        <v>750</v>
      </c>
      <c r="D6537" s="704" t="s">
        <v>675</v>
      </c>
      <c r="E6537" s="704" t="s">
        <v>448</v>
      </c>
      <c r="F6537" s="706">
        <v>1.1400958950851661E-2</v>
      </c>
      <c r="G6537" s="705">
        <v>17.679784702565055</v>
      </c>
    </row>
    <row r="6538" spans="2:7" ht="11.25" hidden="1" customHeight="1" outlineLevel="2" x14ac:dyDescent="0.25">
      <c r="B6538" s="704" t="s">
        <v>682</v>
      </c>
      <c r="C6538" s="704" t="s">
        <v>750</v>
      </c>
      <c r="D6538" s="704" t="s">
        <v>675</v>
      </c>
      <c r="E6538" s="704" t="s">
        <v>448</v>
      </c>
      <c r="F6538" s="706">
        <v>1.0007392632240202E-2</v>
      </c>
      <c r="G6538" s="705">
        <v>15.52015097344926</v>
      </c>
    </row>
    <row r="6539" spans="2:7" ht="11.25" hidden="1" customHeight="1" outlineLevel="2" x14ac:dyDescent="0.25">
      <c r="B6539" s="704" t="s">
        <v>683</v>
      </c>
      <c r="C6539" s="704" t="s">
        <v>750</v>
      </c>
      <c r="D6539" s="704" t="s">
        <v>675</v>
      </c>
      <c r="E6539" s="704" t="s">
        <v>448</v>
      </c>
      <c r="F6539" s="706">
        <v>1.6548747711023767E-2</v>
      </c>
      <c r="G6539" s="705">
        <v>25.775314195653873</v>
      </c>
    </row>
    <row r="6540" spans="2:7" ht="11.25" hidden="1" customHeight="1" outlineLevel="2" x14ac:dyDescent="0.25">
      <c r="B6540" s="704" t="s">
        <v>684</v>
      </c>
      <c r="C6540" s="704" t="s">
        <v>750</v>
      </c>
      <c r="D6540" s="704" t="s">
        <v>675</v>
      </c>
      <c r="E6540" s="704" t="s">
        <v>448</v>
      </c>
      <c r="F6540" s="706">
        <v>2.1573097177111865E-3</v>
      </c>
      <c r="G6540" s="705">
        <v>3.3644402293941886</v>
      </c>
    </row>
    <row r="6541" spans="2:7" ht="11.25" hidden="1" customHeight="1" outlineLevel="2" x14ac:dyDescent="0.25">
      <c r="B6541" s="704" t="s">
        <v>685</v>
      </c>
      <c r="C6541" s="704" t="s">
        <v>750</v>
      </c>
      <c r="D6541" s="704" t="s">
        <v>675</v>
      </c>
      <c r="E6541" s="704" t="s">
        <v>448</v>
      </c>
      <c r="F6541" s="706">
        <v>1.986003369175577E-2</v>
      </c>
      <c r="G6541" s="705">
        <v>30.932756537300893</v>
      </c>
    </row>
    <row r="6542" spans="2:7" ht="11.25" hidden="1" customHeight="1" outlineLevel="2" x14ac:dyDescent="0.25">
      <c r="B6542" s="704" t="s">
        <v>686</v>
      </c>
      <c r="C6542" s="704" t="s">
        <v>750</v>
      </c>
      <c r="D6542" s="704" t="s">
        <v>675</v>
      </c>
      <c r="E6542" s="704" t="s">
        <v>448</v>
      </c>
      <c r="F6542" s="705">
        <v>4.708324519139797E-3</v>
      </c>
      <c r="G6542" s="705">
        <v>7.2725589261660737</v>
      </c>
    </row>
    <row r="6543" spans="2:7" ht="11.25" hidden="1" customHeight="1" outlineLevel="2" x14ac:dyDescent="0.25">
      <c r="B6543" s="704" t="s">
        <v>687</v>
      </c>
      <c r="C6543" s="704" t="s">
        <v>750</v>
      </c>
      <c r="D6543" s="704" t="s">
        <v>675</v>
      </c>
      <c r="E6543" s="704" t="s">
        <v>448</v>
      </c>
      <c r="F6543" s="705">
        <v>2.4022709963786602E-2</v>
      </c>
      <c r="G6543" s="705">
        <v>37.252715297635433</v>
      </c>
    </row>
    <row r="6544" spans="2:7" ht="11.25" hidden="1" customHeight="1" outlineLevel="2" x14ac:dyDescent="0.25">
      <c r="B6544" s="704" t="s">
        <v>688</v>
      </c>
      <c r="C6544" s="704" t="s">
        <v>750</v>
      </c>
      <c r="D6544" s="704" t="s">
        <v>675</v>
      </c>
      <c r="E6544" s="704" t="s">
        <v>448</v>
      </c>
      <c r="F6544" s="705">
        <v>1.6957192169592721E-2</v>
      </c>
      <c r="G6544" s="705">
        <v>26.281025477820023</v>
      </c>
    </row>
    <row r="6545" spans="2:7" ht="11.25" hidden="1" customHeight="1" outlineLevel="2" x14ac:dyDescent="0.25">
      <c r="B6545" s="704" t="s">
        <v>689</v>
      </c>
      <c r="C6545" s="704" t="s">
        <v>750</v>
      </c>
      <c r="D6545" s="704" t="s">
        <v>675</v>
      </c>
      <c r="E6545" s="704" t="s">
        <v>448</v>
      </c>
      <c r="F6545" s="706">
        <v>2.5539361028687041E-3</v>
      </c>
      <c r="G6545" s="705">
        <v>3.9533902864273567</v>
      </c>
    </row>
    <row r="6546" spans="2:7" ht="11.25" hidden="1" customHeight="1" outlineLevel="2" x14ac:dyDescent="0.25">
      <c r="B6546" s="704" t="s">
        <v>690</v>
      </c>
      <c r="C6546" s="704" t="s">
        <v>750</v>
      </c>
      <c r="D6546" s="704" t="s">
        <v>675</v>
      </c>
      <c r="E6546" s="704" t="s">
        <v>448</v>
      </c>
      <c r="F6546" s="705">
        <v>5.5883349506808663E-2</v>
      </c>
      <c r="G6546" s="705">
        <v>87.040419979185558</v>
      </c>
    </row>
    <row r="6547" spans="2:7" ht="11.25" hidden="1" customHeight="1" outlineLevel="2" x14ac:dyDescent="0.25">
      <c r="B6547" s="704" t="s">
        <v>691</v>
      </c>
      <c r="C6547" s="704" t="s">
        <v>750</v>
      </c>
      <c r="D6547" s="704" t="s">
        <v>675</v>
      </c>
      <c r="E6547" s="704" t="s">
        <v>448</v>
      </c>
      <c r="F6547" s="705">
        <v>6.3820549705336641E-2</v>
      </c>
      <c r="G6547" s="705">
        <v>99.402951302301162</v>
      </c>
    </row>
    <row r="6548" spans="2:7" ht="11.25" hidden="1" customHeight="1" outlineLevel="2" x14ac:dyDescent="0.25">
      <c r="B6548" s="704" t="s">
        <v>692</v>
      </c>
      <c r="C6548" s="704" t="s">
        <v>750</v>
      </c>
      <c r="D6548" s="704" t="s">
        <v>675</v>
      </c>
      <c r="E6548" s="704" t="s">
        <v>448</v>
      </c>
      <c r="F6548" s="706">
        <v>3.7484536668522094E-3</v>
      </c>
      <c r="G6548" s="705">
        <v>5.8128370859771934</v>
      </c>
    </row>
    <row r="6549" spans="2:7" ht="11.25" hidden="1" customHeight="1" outlineLevel="2" x14ac:dyDescent="0.25">
      <c r="B6549" s="704" t="s">
        <v>693</v>
      </c>
      <c r="C6549" s="704" t="s">
        <v>750</v>
      </c>
      <c r="D6549" s="704" t="s">
        <v>675</v>
      </c>
      <c r="E6549" s="704" t="s">
        <v>448</v>
      </c>
      <c r="F6549" s="705">
        <v>9.3039434698376378E-3</v>
      </c>
      <c r="G6549" s="705">
        <v>14.509986689938351</v>
      </c>
    </row>
    <row r="6550" spans="2:7" ht="11.25" hidden="1" customHeight="1" outlineLevel="2" x14ac:dyDescent="0.25">
      <c r="B6550" s="704" t="s">
        <v>694</v>
      </c>
      <c r="C6550" s="704" t="s">
        <v>750</v>
      </c>
      <c r="D6550" s="704" t="s">
        <v>675</v>
      </c>
      <c r="E6550" s="704" t="s">
        <v>448</v>
      </c>
      <c r="F6550" s="705">
        <v>1.0430812663194597E-3</v>
      </c>
      <c r="G6550" s="705">
        <v>1.6267404887112578</v>
      </c>
    </row>
    <row r="6551" spans="2:7" ht="11.25" hidden="1" customHeight="1" outlineLevel="2" x14ac:dyDescent="0.25">
      <c r="B6551" s="704" t="s">
        <v>695</v>
      </c>
      <c r="C6551" s="704" t="s">
        <v>750</v>
      </c>
      <c r="D6551" s="704" t="s">
        <v>675</v>
      </c>
      <c r="E6551" s="704" t="s">
        <v>448</v>
      </c>
      <c r="F6551" s="705">
        <v>4.9476486461192898E-3</v>
      </c>
      <c r="G6551" s="705">
        <v>7.7161203438351986</v>
      </c>
    </row>
    <row r="6552" spans="2:7" ht="11.25" hidden="1" customHeight="1" outlineLevel="2" x14ac:dyDescent="0.25">
      <c r="B6552" s="704" t="s">
        <v>696</v>
      </c>
      <c r="C6552" s="704" t="s">
        <v>750</v>
      </c>
      <c r="D6552" s="704" t="s">
        <v>675</v>
      </c>
      <c r="E6552" s="704" t="s">
        <v>448</v>
      </c>
      <c r="F6552" s="706">
        <v>1.2481444754262303E-2</v>
      </c>
      <c r="G6552" s="705">
        <v>19.279046844214552</v>
      </c>
    </row>
    <row r="6553" spans="2:7" ht="11.25" hidden="1" customHeight="1" outlineLevel="2" x14ac:dyDescent="0.25">
      <c r="B6553" s="704" t="s">
        <v>697</v>
      </c>
      <c r="C6553" s="704" t="s">
        <v>750</v>
      </c>
      <c r="D6553" s="704" t="s">
        <v>675</v>
      </c>
      <c r="E6553" s="704" t="s">
        <v>448</v>
      </c>
      <c r="F6553" s="706">
        <v>6.7635634916892477E-3</v>
      </c>
      <c r="G6553" s="705">
        <v>10.54813584455707</v>
      </c>
    </row>
    <row r="6554" spans="2:7" ht="11.25" hidden="1" customHeight="1" outlineLevel="2" x14ac:dyDescent="0.25">
      <c r="B6554" s="704" t="s">
        <v>698</v>
      </c>
      <c r="C6554" s="704" t="s">
        <v>750</v>
      </c>
      <c r="D6554" s="704" t="s">
        <v>675</v>
      </c>
      <c r="E6554" s="704" t="s">
        <v>448</v>
      </c>
      <c r="F6554" s="706">
        <v>7.4269853303031031E-3</v>
      </c>
      <c r="G6554" s="705">
        <v>11.582775126493615</v>
      </c>
    </row>
    <row r="6555" spans="2:7" ht="11.25" hidden="1" customHeight="1" outlineLevel="2" x14ac:dyDescent="0.25">
      <c r="B6555" s="704" t="s">
        <v>699</v>
      </c>
      <c r="C6555" s="704" t="s">
        <v>750</v>
      </c>
      <c r="D6555" s="704" t="s">
        <v>675</v>
      </c>
      <c r="E6555" s="704" t="s">
        <v>448</v>
      </c>
      <c r="F6555" s="705">
        <v>1.592384341995647E-33</v>
      </c>
      <c r="G6555" s="705">
        <v>2.1887064362259831E-30</v>
      </c>
    </row>
    <row r="6556" spans="2:7" ht="11.25" hidden="1" customHeight="1" outlineLevel="2" x14ac:dyDescent="0.25">
      <c r="B6556" s="704" t="s">
        <v>673</v>
      </c>
      <c r="C6556" s="704" t="s">
        <v>751</v>
      </c>
      <c r="D6556" s="704" t="s">
        <v>675</v>
      </c>
      <c r="E6556" s="704" t="s">
        <v>448</v>
      </c>
      <c r="F6556" s="705">
        <v>2.0791428830115198E-5</v>
      </c>
      <c r="G6556" s="705">
        <v>2.6790517933119217E-2</v>
      </c>
    </row>
    <row r="6557" spans="2:7" ht="11.25" hidden="1" customHeight="1" outlineLevel="2" x14ac:dyDescent="0.25">
      <c r="B6557" s="704" t="s">
        <v>677</v>
      </c>
      <c r="C6557" s="704" t="s">
        <v>751</v>
      </c>
      <c r="D6557" s="704" t="s">
        <v>675</v>
      </c>
      <c r="E6557" s="704" t="s">
        <v>448</v>
      </c>
      <c r="F6557" s="705">
        <v>3.4864731458997402E-4</v>
      </c>
      <c r="G6557" s="705">
        <v>0.44458438956335261</v>
      </c>
    </row>
    <row r="6558" spans="2:7" ht="11.25" hidden="1" customHeight="1" outlineLevel="2" x14ac:dyDescent="0.25">
      <c r="B6558" s="704" t="s">
        <v>678</v>
      </c>
      <c r="C6558" s="704" t="s">
        <v>751</v>
      </c>
      <c r="D6558" s="704" t="s">
        <v>675</v>
      </c>
      <c r="E6558" s="704" t="s">
        <v>448</v>
      </c>
      <c r="F6558" s="705">
        <v>7.960002184926176E-4</v>
      </c>
      <c r="G6558" s="705">
        <v>1.0297970511601284</v>
      </c>
    </row>
    <row r="6559" spans="2:7" ht="11.25" hidden="1" customHeight="1" outlineLevel="2" x14ac:dyDescent="0.25">
      <c r="B6559" s="704" t="s">
        <v>679</v>
      </c>
      <c r="C6559" s="704" t="s">
        <v>751</v>
      </c>
      <c r="D6559" s="704" t="s">
        <v>675</v>
      </c>
      <c r="E6559" s="704" t="s">
        <v>448</v>
      </c>
      <c r="F6559" s="705">
        <v>6.4310345753293928E-5</v>
      </c>
      <c r="G6559" s="705">
        <v>8.3570269732225033E-2</v>
      </c>
    </row>
    <row r="6560" spans="2:7" ht="11.25" hidden="1" customHeight="1" outlineLevel="2" x14ac:dyDescent="0.25">
      <c r="B6560" s="704" t="s">
        <v>680</v>
      </c>
      <c r="C6560" s="704" t="s">
        <v>751</v>
      </c>
      <c r="D6560" s="704" t="s">
        <v>675</v>
      </c>
      <c r="E6560" s="704" t="s">
        <v>448</v>
      </c>
      <c r="F6560" s="705">
        <v>1.190409356162469E-5</v>
      </c>
      <c r="G6560" s="705">
        <v>1.5489501510296764E-2</v>
      </c>
    </row>
    <row r="6561" spans="2:7" ht="11.25" hidden="1" customHeight="1" outlineLevel="2" x14ac:dyDescent="0.25">
      <c r="B6561" s="704" t="s">
        <v>681</v>
      </c>
      <c r="C6561" s="704" t="s">
        <v>751</v>
      </c>
      <c r="D6561" s="704" t="s">
        <v>675</v>
      </c>
      <c r="E6561" s="704" t="s">
        <v>448</v>
      </c>
      <c r="F6561" s="705">
        <v>1.0098754225091018E-4</v>
      </c>
      <c r="G6561" s="705">
        <v>0.13064904033620933</v>
      </c>
    </row>
    <row r="6562" spans="2:7" ht="11.25" hidden="1" customHeight="1" outlineLevel="2" x14ac:dyDescent="0.25">
      <c r="B6562" s="704" t="s">
        <v>682</v>
      </c>
      <c r="C6562" s="704" t="s">
        <v>751</v>
      </c>
      <c r="D6562" s="704" t="s">
        <v>675</v>
      </c>
      <c r="E6562" s="704" t="s">
        <v>448</v>
      </c>
      <c r="F6562" s="705">
        <v>8.8643471087347271E-5</v>
      </c>
      <c r="G6562" s="705">
        <v>0.11468988767337107</v>
      </c>
    </row>
    <row r="6563" spans="2:7" ht="11.25" hidden="1" customHeight="1" outlineLevel="2" x14ac:dyDescent="0.25">
      <c r="B6563" s="704" t="s">
        <v>683</v>
      </c>
      <c r="C6563" s="704" t="s">
        <v>751</v>
      </c>
      <c r="D6563" s="704" t="s">
        <v>675</v>
      </c>
      <c r="E6563" s="704" t="s">
        <v>448</v>
      </c>
      <c r="F6563" s="705">
        <v>1.4657563741830274E-4</v>
      </c>
      <c r="G6563" s="705">
        <v>0.19047277494344422</v>
      </c>
    </row>
    <row r="6564" spans="2:7" ht="11.25" hidden="1" customHeight="1" outlineLevel="2" x14ac:dyDescent="0.25">
      <c r="B6564" s="704" t="s">
        <v>684</v>
      </c>
      <c r="C6564" s="704" t="s">
        <v>751</v>
      </c>
      <c r="D6564" s="704" t="s">
        <v>675</v>
      </c>
      <c r="E6564" s="704" t="s">
        <v>448</v>
      </c>
      <c r="F6564" s="705">
        <v>1.9107355517366003E-5</v>
      </c>
      <c r="G6564" s="705">
        <v>2.4862328077750715E-2</v>
      </c>
    </row>
    <row r="6565" spans="2:7" ht="11.25" hidden="1" customHeight="1" outlineLevel="2" x14ac:dyDescent="0.25">
      <c r="B6565" s="704" t="s">
        <v>685</v>
      </c>
      <c r="C6565" s="704" t="s">
        <v>751</v>
      </c>
      <c r="D6565" s="704" t="s">
        <v>675</v>
      </c>
      <c r="E6565" s="704" t="s">
        <v>448</v>
      </c>
      <c r="F6565" s="705">
        <v>1.7590439120521558E-4</v>
      </c>
      <c r="G6565" s="705">
        <v>0.22858495217807082</v>
      </c>
    </row>
    <row r="6566" spans="2:7" ht="11.25" hidden="1" customHeight="1" outlineLevel="2" x14ac:dyDescent="0.25">
      <c r="B6566" s="704" t="s">
        <v>686</v>
      </c>
      <c r="C6566" s="704" t="s">
        <v>751</v>
      </c>
      <c r="D6566" s="704" t="s">
        <v>675</v>
      </c>
      <c r="E6566" s="704" t="s">
        <v>448</v>
      </c>
      <c r="F6566" s="706">
        <v>4.1708009499922951E-5</v>
      </c>
      <c r="G6566" s="705">
        <v>5.3742322782852493E-2</v>
      </c>
    </row>
    <row r="6567" spans="2:7" ht="11.25" hidden="1" customHeight="1" outlineLevel="2" x14ac:dyDescent="0.25">
      <c r="B6567" s="704" t="s">
        <v>687</v>
      </c>
      <c r="C6567" s="704" t="s">
        <v>751</v>
      </c>
      <c r="D6567" s="704" t="s">
        <v>675</v>
      </c>
      <c r="E6567" s="704" t="s">
        <v>448</v>
      </c>
      <c r="F6567" s="706">
        <v>2.127886342053579E-4</v>
      </c>
      <c r="G6567" s="705">
        <v>0.27528774813832041</v>
      </c>
    </row>
    <row r="6568" spans="2:7" ht="11.25" hidden="1" customHeight="1" outlineLevel="2" x14ac:dyDescent="0.25">
      <c r="B6568" s="704" t="s">
        <v>688</v>
      </c>
      <c r="C6568" s="704" t="s">
        <v>751</v>
      </c>
      <c r="D6568" s="704" t="s">
        <v>675</v>
      </c>
      <c r="E6568" s="704" t="s">
        <v>448</v>
      </c>
      <c r="F6568" s="705">
        <v>1.5020501724367951E-4</v>
      </c>
      <c r="G6568" s="705">
        <v>0.19421000857109755</v>
      </c>
    </row>
    <row r="6569" spans="2:7" ht="11.25" hidden="1" customHeight="1" outlineLevel="2" x14ac:dyDescent="0.25">
      <c r="B6569" s="704" t="s">
        <v>689</v>
      </c>
      <c r="C6569" s="704" t="s">
        <v>751</v>
      </c>
      <c r="D6569" s="704" t="s">
        <v>675</v>
      </c>
      <c r="E6569" s="704" t="s">
        <v>448</v>
      </c>
      <c r="F6569" s="705">
        <v>2.2622912803498214E-5</v>
      </c>
      <c r="G6569" s="705">
        <v>2.9214513376021586E-2</v>
      </c>
    </row>
    <row r="6570" spans="2:7" ht="11.25" hidden="1" customHeight="1" outlineLevel="2" x14ac:dyDescent="0.25">
      <c r="B6570" s="704" t="s">
        <v>690</v>
      </c>
      <c r="C6570" s="704" t="s">
        <v>751</v>
      </c>
      <c r="D6570" s="704" t="s">
        <v>675</v>
      </c>
      <c r="E6570" s="704" t="s">
        <v>448</v>
      </c>
      <c r="F6570" s="705">
        <v>4.949704060485089E-4</v>
      </c>
      <c r="G6570" s="705">
        <v>0.64320632308078496</v>
      </c>
    </row>
    <row r="6571" spans="2:7" ht="11.25" hidden="1" customHeight="1" outlineLevel="2" x14ac:dyDescent="0.25">
      <c r="B6571" s="704" t="s">
        <v>691</v>
      </c>
      <c r="C6571" s="704" t="s">
        <v>751</v>
      </c>
      <c r="D6571" s="704" t="s">
        <v>675</v>
      </c>
      <c r="E6571" s="704" t="s">
        <v>448</v>
      </c>
      <c r="F6571" s="705">
        <v>5.652717718504837E-4</v>
      </c>
      <c r="G6571" s="705">
        <v>0.73456207968541143</v>
      </c>
    </row>
    <row r="6572" spans="2:7" ht="11.25" hidden="1" customHeight="1" outlineLevel="2" x14ac:dyDescent="0.25">
      <c r="B6572" s="704" t="s">
        <v>692</v>
      </c>
      <c r="C6572" s="704" t="s">
        <v>751</v>
      </c>
      <c r="D6572" s="704" t="s">
        <v>675</v>
      </c>
      <c r="E6572" s="704" t="s">
        <v>448</v>
      </c>
      <c r="F6572" s="705">
        <v>3.3203110162359887E-5</v>
      </c>
      <c r="G6572" s="705">
        <v>4.2955341744417494E-2</v>
      </c>
    </row>
    <row r="6573" spans="2:7" ht="11.25" hidden="1" customHeight="1" outlineLevel="2" x14ac:dyDescent="0.25">
      <c r="B6573" s="704" t="s">
        <v>693</v>
      </c>
      <c r="C6573" s="704" t="s">
        <v>751</v>
      </c>
      <c r="D6573" s="704" t="s">
        <v>675</v>
      </c>
      <c r="E6573" s="704" t="s">
        <v>448</v>
      </c>
      <c r="F6573" s="705">
        <v>8.2405339572797271E-5</v>
      </c>
      <c r="G6573" s="705">
        <v>0.10722508917003663</v>
      </c>
    </row>
    <row r="6574" spans="2:7" ht="11.25" hidden="1" customHeight="1" outlineLevel="2" x14ac:dyDescent="0.25">
      <c r="B6574" s="704" t="s">
        <v>694</v>
      </c>
      <c r="C6574" s="704" t="s">
        <v>751</v>
      </c>
      <c r="D6574" s="704" t="s">
        <v>675</v>
      </c>
      <c r="E6574" s="704" t="s">
        <v>448</v>
      </c>
      <c r="F6574" s="705">
        <v>9.2385970736953512E-6</v>
      </c>
      <c r="G6574" s="705">
        <v>1.2021188143555095E-2</v>
      </c>
    </row>
    <row r="6575" spans="2:7" ht="11.25" hidden="1" customHeight="1" outlineLevel="2" x14ac:dyDescent="0.25">
      <c r="B6575" s="704" t="s">
        <v>695</v>
      </c>
      <c r="C6575" s="704" t="s">
        <v>751</v>
      </c>
      <c r="D6575" s="704" t="s">
        <v>675</v>
      </c>
      <c r="E6575" s="704" t="s">
        <v>448</v>
      </c>
      <c r="F6575" s="705">
        <v>4.3821461696402239E-5</v>
      </c>
      <c r="G6575" s="705">
        <v>5.7020127269528313E-2</v>
      </c>
    </row>
    <row r="6576" spans="2:7" ht="11.25" hidden="1" customHeight="1" outlineLevel="2" x14ac:dyDescent="0.25">
      <c r="B6576" s="704" t="s">
        <v>696</v>
      </c>
      <c r="C6576" s="704" t="s">
        <v>751</v>
      </c>
      <c r="D6576" s="704" t="s">
        <v>675</v>
      </c>
      <c r="E6576" s="704" t="s">
        <v>448</v>
      </c>
      <c r="F6576" s="705">
        <v>1.1056507836612924E-4</v>
      </c>
      <c r="G6576" s="705">
        <v>0.1424672198908567</v>
      </c>
    </row>
    <row r="6577" spans="2:7" ht="11.25" hidden="1" customHeight="1" outlineLevel="2" x14ac:dyDescent="0.25">
      <c r="B6577" s="704" t="s">
        <v>697</v>
      </c>
      <c r="C6577" s="704" t="s">
        <v>751</v>
      </c>
      <c r="D6577" s="704" t="s">
        <v>675</v>
      </c>
      <c r="E6577" s="704" t="s">
        <v>448</v>
      </c>
      <c r="F6577" s="705">
        <v>5.9905040942566818E-5</v>
      </c>
      <c r="G6577" s="705">
        <v>7.7947961708111205E-2</v>
      </c>
    </row>
    <row r="6578" spans="2:7" ht="11.25" hidden="1" customHeight="1" outlineLevel="2" x14ac:dyDescent="0.25">
      <c r="B6578" s="704" t="s">
        <v>698</v>
      </c>
      <c r="C6578" s="704" t="s">
        <v>751</v>
      </c>
      <c r="D6578" s="704" t="s">
        <v>675</v>
      </c>
      <c r="E6578" s="704" t="s">
        <v>448</v>
      </c>
      <c r="F6578" s="705">
        <v>6.5781001504463952E-5</v>
      </c>
      <c r="G6578" s="705">
        <v>8.5593652830586939E-2</v>
      </c>
    </row>
    <row r="6579" spans="2:7" ht="11.25" hidden="1" customHeight="1" outlineLevel="2" x14ac:dyDescent="0.25">
      <c r="B6579" s="704" t="s">
        <v>699</v>
      </c>
      <c r="C6579" s="704" t="s">
        <v>751</v>
      </c>
      <c r="D6579" s="704" t="s">
        <v>675</v>
      </c>
      <c r="E6579" s="704" t="s">
        <v>448</v>
      </c>
      <c r="F6579" s="705">
        <v>2.8188941846536646E-35</v>
      </c>
      <c r="G6579" s="705">
        <v>3.6468459944899661E-32</v>
      </c>
    </row>
    <row r="6580" spans="2:7" ht="11.25" hidden="1" customHeight="1" outlineLevel="2" x14ac:dyDescent="0.25">
      <c r="B6580" s="704" t="s">
        <v>673</v>
      </c>
      <c r="C6580" s="704" t="s">
        <v>752</v>
      </c>
      <c r="D6580" s="704" t="s">
        <v>675</v>
      </c>
      <c r="E6580" s="704" t="s">
        <v>448</v>
      </c>
      <c r="F6580" s="705">
        <v>5.7191920101656076E-3</v>
      </c>
      <c r="G6580" s="705">
        <v>6.78413957881763</v>
      </c>
    </row>
    <row r="6581" spans="2:7" ht="11.25" hidden="1" customHeight="1" outlineLevel="2" x14ac:dyDescent="0.25">
      <c r="B6581" s="704" t="s">
        <v>677</v>
      </c>
      <c r="C6581" s="704" t="s">
        <v>752</v>
      </c>
      <c r="D6581" s="704" t="s">
        <v>675</v>
      </c>
      <c r="E6581" s="704" t="s">
        <v>448</v>
      </c>
      <c r="F6581" s="705">
        <v>9.5904017693048196E-2</v>
      </c>
      <c r="G6581" s="705">
        <v>112.58171934712634</v>
      </c>
    </row>
    <row r="6582" spans="2:7" ht="11.25" hidden="1" customHeight="1" outlineLevel="2" x14ac:dyDescent="0.25">
      <c r="B6582" s="704" t="s">
        <v>678</v>
      </c>
      <c r="C6582" s="704" t="s">
        <v>752</v>
      </c>
      <c r="D6582" s="704" t="s">
        <v>675</v>
      </c>
      <c r="E6582" s="704" t="s">
        <v>448</v>
      </c>
      <c r="F6582" s="705">
        <v>0.21895933529834</v>
      </c>
      <c r="G6582" s="705">
        <v>260.77473919157478</v>
      </c>
    </row>
    <row r="6583" spans="2:7" ht="11.25" hidden="1" customHeight="1" outlineLevel="2" x14ac:dyDescent="0.25">
      <c r="B6583" s="704" t="s">
        <v>679</v>
      </c>
      <c r="C6583" s="704" t="s">
        <v>752</v>
      </c>
      <c r="D6583" s="704" t="s">
        <v>675</v>
      </c>
      <c r="E6583" s="704" t="s">
        <v>448</v>
      </c>
      <c r="F6583" s="706">
        <v>1.7690127908418042E-2</v>
      </c>
      <c r="G6583" s="705">
        <v>21.162422698473296</v>
      </c>
    </row>
    <row r="6584" spans="2:7" ht="11.25" hidden="1" customHeight="1" outlineLevel="2" x14ac:dyDescent="0.25">
      <c r="B6584" s="704" t="s">
        <v>680</v>
      </c>
      <c r="C6584" s="704" t="s">
        <v>752</v>
      </c>
      <c r="D6584" s="704" t="s">
        <v>675</v>
      </c>
      <c r="E6584" s="704" t="s">
        <v>448</v>
      </c>
      <c r="F6584" s="706">
        <v>3.274511557678847E-3</v>
      </c>
      <c r="G6584" s="705">
        <v>3.9223927002788339</v>
      </c>
    </row>
    <row r="6585" spans="2:7" ht="11.25" hidden="1" customHeight="1" outlineLevel="2" x14ac:dyDescent="0.25">
      <c r="B6585" s="704" t="s">
        <v>681</v>
      </c>
      <c r="C6585" s="704" t="s">
        <v>752</v>
      </c>
      <c r="D6585" s="704" t="s">
        <v>675</v>
      </c>
      <c r="E6585" s="704" t="s">
        <v>448</v>
      </c>
      <c r="F6585" s="706">
        <v>2.7779093259250383E-2</v>
      </c>
      <c r="G6585" s="705">
        <v>33.084153852502311</v>
      </c>
    </row>
    <row r="6586" spans="2:7" ht="11.25" hidden="1" customHeight="1" outlineLevel="2" x14ac:dyDescent="0.25">
      <c r="B6586" s="704" t="s">
        <v>682</v>
      </c>
      <c r="C6586" s="704" t="s">
        <v>752</v>
      </c>
      <c r="D6586" s="704" t="s">
        <v>675</v>
      </c>
      <c r="E6586" s="704" t="s">
        <v>448</v>
      </c>
      <c r="F6586" s="706">
        <v>2.4383560646629374E-2</v>
      </c>
      <c r="G6586" s="705">
        <v>29.042812974388013</v>
      </c>
    </row>
    <row r="6587" spans="2:7" ht="11.25" hidden="1" customHeight="1" outlineLevel="2" x14ac:dyDescent="0.25">
      <c r="B6587" s="704" t="s">
        <v>683</v>
      </c>
      <c r="C6587" s="704" t="s">
        <v>752</v>
      </c>
      <c r="D6587" s="704" t="s">
        <v>675</v>
      </c>
      <c r="E6587" s="704" t="s">
        <v>448</v>
      </c>
      <c r="F6587" s="706">
        <v>4.0319238293233778E-2</v>
      </c>
      <c r="G6587" s="705">
        <v>48.233243192237964</v>
      </c>
    </row>
    <row r="6588" spans="2:7" ht="11.25" hidden="1" customHeight="1" outlineLevel="2" x14ac:dyDescent="0.25">
      <c r="B6588" s="704" t="s">
        <v>684</v>
      </c>
      <c r="C6588" s="704" t="s">
        <v>752</v>
      </c>
      <c r="D6588" s="704" t="s">
        <v>675</v>
      </c>
      <c r="E6588" s="704" t="s">
        <v>448</v>
      </c>
      <c r="F6588" s="706">
        <v>5.2559479231985458E-3</v>
      </c>
      <c r="G6588" s="705">
        <v>6.2958651449687562</v>
      </c>
    </row>
    <row r="6589" spans="2:7" ht="11.25" hidden="1" customHeight="1" outlineLevel="2" x14ac:dyDescent="0.25">
      <c r="B6589" s="704" t="s">
        <v>685</v>
      </c>
      <c r="C6589" s="704" t="s">
        <v>752</v>
      </c>
      <c r="D6589" s="704" t="s">
        <v>675</v>
      </c>
      <c r="E6589" s="704" t="s">
        <v>448</v>
      </c>
      <c r="F6589" s="706">
        <v>4.8386811525431665E-2</v>
      </c>
      <c r="G6589" s="705">
        <v>57.884366198126052</v>
      </c>
    </row>
    <row r="6590" spans="2:7" ht="11.25" hidden="1" customHeight="1" outlineLevel="2" x14ac:dyDescent="0.25">
      <c r="B6590" s="704" t="s">
        <v>686</v>
      </c>
      <c r="C6590" s="704" t="s">
        <v>752</v>
      </c>
      <c r="D6590" s="704" t="s">
        <v>675</v>
      </c>
      <c r="E6590" s="704" t="s">
        <v>448</v>
      </c>
      <c r="F6590" s="706">
        <v>1.1472813796787384E-2</v>
      </c>
      <c r="G6590" s="705">
        <v>13.609107124397132</v>
      </c>
    </row>
    <row r="6591" spans="2:7" ht="11.25" hidden="1" customHeight="1" outlineLevel="2" x14ac:dyDescent="0.25">
      <c r="B6591" s="704" t="s">
        <v>687</v>
      </c>
      <c r="C6591" s="704" t="s">
        <v>752</v>
      </c>
      <c r="D6591" s="704" t="s">
        <v>675</v>
      </c>
      <c r="E6591" s="704" t="s">
        <v>448</v>
      </c>
      <c r="F6591" s="706">
        <v>5.853274717683845E-2</v>
      </c>
      <c r="G6591" s="705">
        <v>69.710886573539142</v>
      </c>
    </row>
    <row r="6592" spans="2:7" ht="11.25" hidden="1" customHeight="1" outlineLevel="2" x14ac:dyDescent="0.25">
      <c r="B6592" s="704" t="s">
        <v>688</v>
      </c>
      <c r="C6592" s="704" t="s">
        <v>752</v>
      </c>
      <c r="D6592" s="704" t="s">
        <v>675</v>
      </c>
      <c r="E6592" s="704" t="s">
        <v>448</v>
      </c>
      <c r="F6592" s="706">
        <v>4.1317554326148309E-2</v>
      </c>
      <c r="G6592" s="705">
        <v>49.179632655655737</v>
      </c>
    </row>
    <row r="6593" spans="2:7" ht="11.25" hidden="1" customHeight="1" outlineLevel="2" x14ac:dyDescent="0.25">
      <c r="B6593" s="704" t="s">
        <v>689</v>
      </c>
      <c r="C6593" s="704" t="s">
        <v>752</v>
      </c>
      <c r="D6593" s="704" t="s">
        <v>675</v>
      </c>
      <c r="E6593" s="704" t="s">
        <v>448</v>
      </c>
      <c r="F6593" s="705">
        <v>6.2229869871918168E-3</v>
      </c>
      <c r="G6593" s="705">
        <v>7.3979655644450633</v>
      </c>
    </row>
    <row r="6594" spans="2:7" ht="11.25" hidden="1" customHeight="1" outlineLevel="2" x14ac:dyDescent="0.25">
      <c r="B6594" s="704" t="s">
        <v>690</v>
      </c>
      <c r="C6594" s="704" t="s">
        <v>752</v>
      </c>
      <c r="D6594" s="704" t="s">
        <v>675</v>
      </c>
      <c r="E6594" s="704" t="s">
        <v>448</v>
      </c>
      <c r="F6594" s="705">
        <v>0.13615378925898308</v>
      </c>
      <c r="G6594" s="705">
        <v>162.87858416728668</v>
      </c>
    </row>
    <row r="6595" spans="2:7" ht="11.25" hidden="1" customHeight="1" outlineLevel="2" x14ac:dyDescent="0.25">
      <c r="B6595" s="704" t="s">
        <v>691</v>
      </c>
      <c r="C6595" s="704" t="s">
        <v>752</v>
      </c>
      <c r="D6595" s="704" t="s">
        <v>675</v>
      </c>
      <c r="E6595" s="704" t="s">
        <v>448</v>
      </c>
      <c r="F6595" s="706">
        <v>0.15549186586636338</v>
      </c>
      <c r="G6595" s="705">
        <v>186.01249488639067</v>
      </c>
    </row>
    <row r="6596" spans="2:7" ht="11.25" hidden="1" customHeight="1" outlineLevel="2" x14ac:dyDescent="0.25">
      <c r="B6596" s="704" t="s">
        <v>692</v>
      </c>
      <c r="C6596" s="704" t="s">
        <v>752</v>
      </c>
      <c r="D6596" s="704" t="s">
        <v>675</v>
      </c>
      <c r="E6596" s="704" t="s">
        <v>448</v>
      </c>
      <c r="F6596" s="705">
        <v>9.1333270592567056E-3</v>
      </c>
      <c r="G6596" s="705">
        <v>10.87754550107802</v>
      </c>
    </row>
    <row r="6597" spans="2:7" ht="11.25" hidden="1" customHeight="1" outlineLevel="2" x14ac:dyDescent="0.25">
      <c r="B6597" s="704" t="s">
        <v>693</v>
      </c>
      <c r="C6597" s="704" t="s">
        <v>752</v>
      </c>
      <c r="D6597" s="704" t="s">
        <v>675</v>
      </c>
      <c r="E6597" s="704" t="s">
        <v>448</v>
      </c>
      <c r="F6597" s="705">
        <v>2.2667596908859496E-2</v>
      </c>
      <c r="G6597" s="705">
        <v>27.152517357746092</v>
      </c>
    </row>
    <row r="6598" spans="2:7" ht="11.25" hidden="1" customHeight="1" outlineLevel="2" x14ac:dyDescent="0.25">
      <c r="B6598" s="704" t="s">
        <v>694</v>
      </c>
      <c r="C6598" s="704" t="s">
        <v>752</v>
      </c>
      <c r="D6598" s="704" t="s">
        <v>675</v>
      </c>
      <c r="E6598" s="704" t="s">
        <v>448</v>
      </c>
      <c r="F6598" s="705">
        <v>2.5413033776703351E-3</v>
      </c>
      <c r="G6598" s="705">
        <v>3.0441148174551604</v>
      </c>
    </row>
    <row r="6599" spans="2:7" ht="11.25" hidden="1" customHeight="1" outlineLevel="2" x14ac:dyDescent="0.25">
      <c r="B6599" s="704" t="s">
        <v>695</v>
      </c>
      <c r="C6599" s="704" t="s">
        <v>752</v>
      </c>
      <c r="D6599" s="704" t="s">
        <v>675</v>
      </c>
      <c r="E6599" s="704" t="s">
        <v>448</v>
      </c>
      <c r="F6599" s="705">
        <v>1.2054168421194248E-2</v>
      </c>
      <c r="G6599" s="705">
        <v>14.439152899239401</v>
      </c>
    </row>
    <row r="6600" spans="2:7" ht="11.25" hidden="1" customHeight="1" outlineLevel="2" x14ac:dyDescent="0.25">
      <c r="B6600" s="704" t="s">
        <v>696</v>
      </c>
      <c r="C6600" s="704" t="s">
        <v>752</v>
      </c>
      <c r="D6600" s="704" t="s">
        <v>675</v>
      </c>
      <c r="E6600" s="704" t="s">
        <v>448</v>
      </c>
      <c r="F6600" s="705">
        <v>3.0413632905572131E-2</v>
      </c>
      <c r="G6600" s="705">
        <v>36.076839006152738</v>
      </c>
    </row>
    <row r="6601" spans="2:7" ht="11.25" hidden="1" customHeight="1" outlineLevel="2" x14ac:dyDescent="0.25">
      <c r="B6601" s="704" t="s">
        <v>697</v>
      </c>
      <c r="C6601" s="704" t="s">
        <v>752</v>
      </c>
      <c r="D6601" s="704" t="s">
        <v>675</v>
      </c>
      <c r="E6601" s="704" t="s">
        <v>448</v>
      </c>
      <c r="F6601" s="705">
        <v>1.6478353630890591E-2</v>
      </c>
      <c r="G6601" s="705">
        <v>19.738687356135554</v>
      </c>
    </row>
    <row r="6602" spans="2:7" ht="11.25" hidden="1" customHeight="1" outlineLevel="2" x14ac:dyDescent="0.25">
      <c r="B6602" s="704" t="s">
        <v>698</v>
      </c>
      <c r="C6602" s="704" t="s">
        <v>752</v>
      </c>
      <c r="D6602" s="704" t="s">
        <v>675</v>
      </c>
      <c r="E6602" s="704" t="s">
        <v>448</v>
      </c>
      <c r="F6602" s="705">
        <v>1.809467839342312E-2</v>
      </c>
      <c r="G6602" s="705">
        <v>21.674817043067122</v>
      </c>
    </row>
    <row r="6603" spans="2:7" ht="11.25" hidden="1" customHeight="1" outlineLevel="2" x14ac:dyDescent="0.25">
      <c r="B6603" s="704" t="s">
        <v>699</v>
      </c>
      <c r="C6603" s="704" t="s">
        <v>752</v>
      </c>
      <c r="D6603" s="704" t="s">
        <v>675</v>
      </c>
      <c r="E6603" s="704" t="s">
        <v>448</v>
      </c>
      <c r="F6603" s="705">
        <v>5.2807307293900074E-33</v>
      </c>
      <c r="G6603" s="705">
        <v>6.0145549583322237E-30</v>
      </c>
    </row>
    <row r="6604" spans="2:7" ht="11.25" hidden="1" customHeight="1" outlineLevel="2" x14ac:dyDescent="0.25">
      <c r="B6604" s="704" t="s">
        <v>673</v>
      </c>
      <c r="C6604" s="704" t="s">
        <v>753</v>
      </c>
      <c r="D6604" s="704" t="s">
        <v>675</v>
      </c>
      <c r="E6604" s="704" t="s">
        <v>448</v>
      </c>
      <c r="F6604" s="705">
        <v>4.0965872834051635E-3</v>
      </c>
      <c r="G6604" s="705">
        <v>6.4105942367793354</v>
      </c>
    </row>
    <row r="6605" spans="2:7" ht="11.25" hidden="1" customHeight="1" outlineLevel="2" x14ac:dyDescent="0.25">
      <c r="B6605" s="704" t="s">
        <v>677</v>
      </c>
      <c r="C6605" s="704" t="s">
        <v>753</v>
      </c>
      <c r="D6605" s="704" t="s">
        <v>675</v>
      </c>
      <c r="E6605" s="704" t="s">
        <v>448</v>
      </c>
      <c r="F6605" s="705">
        <v>6.8692428760668181E-2</v>
      </c>
      <c r="G6605" s="705">
        <v>106.38274255202634</v>
      </c>
    </row>
    <row r="6606" spans="2:7" ht="11.25" hidden="1" customHeight="1" outlineLevel="2" x14ac:dyDescent="0.25">
      <c r="B6606" s="704" t="s">
        <v>678</v>
      </c>
      <c r="C6606" s="704" t="s">
        <v>753</v>
      </c>
      <c r="D6606" s="704" t="s">
        <v>675</v>
      </c>
      <c r="E6606" s="704" t="s">
        <v>448</v>
      </c>
      <c r="F6606" s="705">
        <v>0.1568400856898968</v>
      </c>
      <c r="G6606" s="705">
        <v>246.41602500952814</v>
      </c>
    </row>
    <row r="6607" spans="2:7" ht="11.25" hidden="1" customHeight="1" outlineLevel="2" x14ac:dyDescent="0.25">
      <c r="B6607" s="704" t="s">
        <v>679</v>
      </c>
      <c r="C6607" s="704" t="s">
        <v>753</v>
      </c>
      <c r="D6607" s="704" t="s">
        <v>675</v>
      </c>
      <c r="E6607" s="704" t="s">
        <v>448</v>
      </c>
      <c r="F6607" s="705">
        <v>1.2671597375598165E-2</v>
      </c>
      <c r="G6607" s="705">
        <v>19.997186779984336</v>
      </c>
    </row>
    <row r="6608" spans="2:7" ht="11.25" hidden="1" customHeight="1" outlineLevel="2" x14ac:dyDescent="0.25">
      <c r="B6608" s="704" t="s">
        <v>680</v>
      </c>
      <c r="C6608" s="704" t="s">
        <v>753</v>
      </c>
      <c r="D6608" s="704" t="s">
        <v>675</v>
      </c>
      <c r="E6608" s="704" t="s">
        <v>448</v>
      </c>
      <c r="F6608" s="705">
        <v>2.3455723603111249E-3</v>
      </c>
      <c r="G6608" s="705">
        <v>3.7064206793268251</v>
      </c>
    </row>
    <row r="6609" spans="2:7" ht="11.25" hidden="1" customHeight="1" outlineLevel="2" x14ac:dyDescent="0.25">
      <c r="B6609" s="704" t="s">
        <v>681</v>
      </c>
      <c r="C6609" s="704" t="s">
        <v>753</v>
      </c>
      <c r="D6609" s="704" t="s">
        <v>675</v>
      </c>
      <c r="E6609" s="704" t="s">
        <v>448</v>
      </c>
      <c r="F6609" s="705">
        <v>1.9898101230484726E-2</v>
      </c>
      <c r="G6609" s="705">
        <v>31.262487885200009</v>
      </c>
    </row>
    <row r="6610" spans="2:7" ht="11.25" hidden="1" customHeight="1" outlineLevel="2" x14ac:dyDescent="0.25">
      <c r="B6610" s="704" t="s">
        <v>682</v>
      </c>
      <c r="C6610" s="704" t="s">
        <v>753</v>
      </c>
      <c r="D6610" s="704" t="s">
        <v>675</v>
      </c>
      <c r="E6610" s="704" t="s">
        <v>448</v>
      </c>
      <c r="F6610" s="705">
        <v>1.7465896143108013E-2</v>
      </c>
      <c r="G6610" s="705">
        <v>27.443679524689365</v>
      </c>
    </row>
    <row r="6611" spans="2:7" ht="11.25" hidden="1" customHeight="1" outlineLevel="2" x14ac:dyDescent="0.25">
      <c r="B6611" s="704" t="s">
        <v>683</v>
      </c>
      <c r="C6611" s="704" t="s">
        <v>753</v>
      </c>
      <c r="D6611" s="704" t="s">
        <v>675</v>
      </c>
      <c r="E6611" s="704" t="s">
        <v>448</v>
      </c>
      <c r="F6611" s="705">
        <v>2.8881013566062715E-2</v>
      </c>
      <c r="G6611" s="705">
        <v>45.577467531895572</v>
      </c>
    </row>
    <row r="6612" spans="2:7" ht="11.25" hidden="1" customHeight="1" outlineLevel="2" x14ac:dyDescent="0.25">
      <c r="B6612" s="704" t="s">
        <v>684</v>
      </c>
      <c r="C6612" s="704" t="s">
        <v>753</v>
      </c>
      <c r="D6612" s="704" t="s">
        <v>675</v>
      </c>
      <c r="E6612" s="704" t="s">
        <v>448</v>
      </c>
      <c r="F6612" s="705">
        <v>3.7648992049191532E-3</v>
      </c>
      <c r="G6612" s="705">
        <v>5.9492075329649357</v>
      </c>
    </row>
    <row r="6613" spans="2:7" ht="11.25" hidden="1" customHeight="1" outlineLevel="2" x14ac:dyDescent="0.25">
      <c r="B6613" s="704" t="s">
        <v>685</v>
      </c>
      <c r="C6613" s="704" t="s">
        <v>753</v>
      </c>
      <c r="D6613" s="704" t="s">
        <v>675</v>
      </c>
      <c r="E6613" s="704" t="s">
        <v>448</v>
      </c>
      <c r="F6613" s="705">
        <v>3.465989307498922E-2</v>
      </c>
      <c r="G6613" s="705">
        <v>54.697172684154495</v>
      </c>
    </row>
    <row r="6614" spans="2:7" ht="11.25" hidden="1" customHeight="1" outlineLevel="2" x14ac:dyDescent="0.25">
      <c r="B6614" s="704" t="s">
        <v>686</v>
      </c>
      <c r="C6614" s="704" t="s">
        <v>753</v>
      </c>
      <c r="D6614" s="704" t="s">
        <v>675</v>
      </c>
      <c r="E6614" s="704" t="s">
        <v>448</v>
      </c>
      <c r="F6614" s="705">
        <v>8.2178360258584066E-3</v>
      </c>
      <c r="G6614" s="705">
        <v>12.859775460473136</v>
      </c>
    </row>
    <row r="6615" spans="2:7" ht="11.25" hidden="1" customHeight="1" outlineLevel="2" x14ac:dyDescent="0.25">
      <c r="B6615" s="704" t="s">
        <v>687</v>
      </c>
      <c r="C6615" s="704" t="s">
        <v>753</v>
      </c>
      <c r="D6615" s="704" t="s">
        <v>675</v>
      </c>
      <c r="E6615" s="704" t="s">
        <v>448</v>
      </c>
      <c r="F6615" s="705">
        <v>4.1926859331536594E-2</v>
      </c>
      <c r="G6615" s="705">
        <v>65.872507198967327</v>
      </c>
    </row>
    <row r="6616" spans="2:7" ht="11.25" hidden="1" customHeight="1" outlineLevel="2" x14ac:dyDescent="0.25">
      <c r="B6616" s="704" t="s">
        <v>688</v>
      </c>
      <c r="C6616" s="704" t="s">
        <v>753</v>
      </c>
      <c r="D6616" s="704" t="s">
        <v>675</v>
      </c>
      <c r="E6616" s="704" t="s">
        <v>448</v>
      </c>
      <c r="F6616" s="706">
        <v>2.9595609959814029E-2</v>
      </c>
      <c r="G6616" s="705">
        <v>46.471736343095998</v>
      </c>
    </row>
    <row r="6617" spans="2:7" ht="11.25" hidden="1" customHeight="1" outlineLevel="2" x14ac:dyDescent="0.25">
      <c r="B6617" s="704" t="s">
        <v>689</v>
      </c>
      <c r="C6617" s="704" t="s">
        <v>753</v>
      </c>
      <c r="D6617" s="704" t="s">
        <v>675</v>
      </c>
      <c r="E6617" s="704" t="s">
        <v>448</v>
      </c>
      <c r="F6617" s="706">
        <v>4.4574815545550791E-3</v>
      </c>
      <c r="G6617" s="705">
        <v>6.9906235463266251</v>
      </c>
    </row>
    <row r="6618" spans="2:7" ht="11.25" hidden="1" customHeight="1" outlineLevel="2" x14ac:dyDescent="0.25">
      <c r="B6618" s="704" t="s">
        <v>690</v>
      </c>
      <c r="C6618" s="704" t="s">
        <v>753</v>
      </c>
      <c r="D6618" s="704" t="s">
        <v>675</v>
      </c>
      <c r="E6618" s="704" t="s">
        <v>448</v>
      </c>
      <c r="F6618" s="706">
        <v>9.7528093092460341E-2</v>
      </c>
      <c r="G6618" s="705">
        <v>153.91022985669468</v>
      </c>
    </row>
    <row r="6619" spans="2:7" ht="11.25" hidden="1" customHeight="1" outlineLevel="2" x14ac:dyDescent="0.25">
      <c r="B6619" s="704" t="s">
        <v>691</v>
      </c>
      <c r="C6619" s="704" t="s">
        <v>753</v>
      </c>
      <c r="D6619" s="704" t="s">
        <v>675</v>
      </c>
      <c r="E6619" s="704" t="s">
        <v>448</v>
      </c>
      <c r="F6619" s="706">
        <v>0.11138023400817618</v>
      </c>
      <c r="G6619" s="705">
        <v>175.77033987204032</v>
      </c>
    </row>
    <row r="6620" spans="2:7" ht="11.25" hidden="1" customHeight="1" outlineLevel="2" x14ac:dyDescent="0.25">
      <c r="B6620" s="704" t="s">
        <v>692</v>
      </c>
      <c r="C6620" s="704" t="s">
        <v>753</v>
      </c>
      <c r="D6620" s="704" t="s">
        <v>675</v>
      </c>
      <c r="E6620" s="704" t="s">
        <v>448</v>
      </c>
      <c r="F6620" s="706">
        <v>6.5421808827049038E-3</v>
      </c>
      <c r="G6620" s="705">
        <v>10.278611511291659</v>
      </c>
    </row>
    <row r="6621" spans="2:7" ht="11.25" hidden="1" customHeight="1" outlineLevel="2" x14ac:dyDescent="0.25">
      <c r="B6621" s="704" t="s">
        <v>693</v>
      </c>
      <c r="C6621" s="704" t="s">
        <v>753</v>
      </c>
      <c r="D6621" s="704" t="s">
        <v>675</v>
      </c>
      <c r="E6621" s="704" t="s">
        <v>448</v>
      </c>
      <c r="F6621" s="706">
        <v>1.6237066587020368E-2</v>
      </c>
      <c r="G6621" s="705">
        <v>25.657445645214295</v>
      </c>
    </row>
    <row r="6622" spans="2:7" ht="11.25" hidden="1" customHeight="1" outlineLevel="2" x14ac:dyDescent="0.25">
      <c r="B6622" s="704" t="s">
        <v>694</v>
      </c>
      <c r="C6622" s="704" t="s">
        <v>753</v>
      </c>
      <c r="D6622" s="704" t="s">
        <v>675</v>
      </c>
      <c r="E6622" s="704" t="s">
        <v>448</v>
      </c>
      <c r="F6622" s="705">
        <v>1.8203658485368972E-3</v>
      </c>
      <c r="G6622" s="705">
        <v>2.876500397521859</v>
      </c>
    </row>
    <row r="6623" spans="2:7" ht="11.25" hidden="1" customHeight="1" outlineLevel="2" x14ac:dyDescent="0.25">
      <c r="B6623" s="704" t="s">
        <v>695</v>
      </c>
      <c r="C6623" s="704" t="s">
        <v>753</v>
      </c>
      <c r="D6623" s="704" t="s">
        <v>675</v>
      </c>
      <c r="E6623" s="704" t="s">
        <v>448</v>
      </c>
      <c r="F6623" s="705">
        <v>8.6345473829895283E-3</v>
      </c>
      <c r="G6623" s="705">
        <v>13.644118682759089</v>
      </c>
    </row>
    <row r="6624" spans="2:7" ht="11.25" hidden="1" customHeight="1" outlineLevel="2" x14ac:dyDescent="0.25">
      <c r="B6624" s="704" t="s">
        <v>696</v>
      </c>
      <c r="C6624" s="704" t="s">
        <v>753</v>
      </c>
      <c r="D6624" s="704" t="s">
        <v>675</v>
      </c>
      <c r="E6624" s="704" t="s">
        <v>448</v>
      </c>
      <c r="F6624" s="705">
        <v>2.1784913909264129E-2</v>
      </c>
      <c r="G6624" s="705">
        <v>34.09039598093382</v>
      </c>
    </row>
    <row r="6625" spans="2:7" ht="11.25" hidden="1" customHeight="1" outlineLevel="2" x14ac:dyDescent="0.25">
      <c r="B6625" s="704" t="s">
        <v>697</v>
      </c>
      <c r="C6625" s="704" t="s">
        <v>753</v>
      </c>
      <c r="D6625" s="704" t="s">
        <v>675</v>
      </c>
      <c r="E6625" s="704" t="s">
        <v>448</v>
      </c>
      <c r="F6625" s="705">
        <v>1.1803644215976633E-2</v>
      </c>
      <c r="G6625" s="705">
        <v>18.651851721638163</v>
      </c>
    </row>
    <row r="6626" spans="2:7" ht="11.25" hidden="1" customHeight="1" outlineLevel="2" x14ac:dyDescent="0.25">
      <c r="B6626" s="704" t="s">
        <v>698</v>
      </c>
      <c r="C6626" s="704" t="s">
        <v>753</v>
      </c>
      <c r="D6626" s="704" t="s">
        <v>675</v>
      </c>
      <c r="E6626" s="704" t="s">
        <v>448</v>
      </c>
      <c r="F6626" s="705">
        <v>1.2961433514894267E-2</v>
      </c>
      <c r="G6626" s="705">
        <v>20.481367408088168</v>
      </c>
    </row>
    <row r="6627" spans="2:7" ht="11.25" hidden="1" customHeight="1" outlineLevel="2" x14ac:dyDescent="0.25">
      <c r="B6627" s="704" t="s">
        <v>699</v>
      </c>
      <c r="C6627" s="704" t="s">
        <v>753</v>
      </c>
      <c r="D6627" s="704" t="s">
        <v>675</v>
      </c>
      <c r="E6627" s="704" t="s">
        <v>448</v>
      </c>
      <c r="F6627" s="705">
        <v>8.5123808420439548E-34</v>
      </c>
      <c r="G6627" s="705">
        <v>1.1081640453670495E-30</v>
      </c>
    </row>
    <row r="6628" spans="2:7" ht="11.25" hidden="1" customHeight="1" outlineLevel="2" x14ac:dyDescent="0.25">
      <c r="B6628" s="704" t="s">
        <v>673</v>
      </c>
      <c r="C6628" s="704" t="s">
        <v>754</v>
      </c>
      <c r="D6628" s="704" t="s">
        <v>675</v>
      </c>
      <c r="E6628" s="704" t="s">
        <v>448</v>
      </c>
      <c r="F6628" s="705">
        <v>1.0086601966614546E-2</v>
      </c>
      <c r="G6628" s="705">
        <v>12.75925244931836</v>
      </c>
    </row>
    <row r="6629" spans="2:7" ht="11.25" hidden="1" customHeight="1" outlineLevel="2" x14ac:dyDescent="0.25">
      <c r="B6629" s="704" t="s">
        <v>677</v>
      </c>
      <c r="C6629" s="704" t="s">
        <v>754</v>
      </c>
      <c r="D6629" s="704" t="s">
        <v>675</v>
      </c>
      <c r="E6629" s="704" t="s">
        <v>448</v>
      </c>
      <c r="F6629" s="705">
        <v>0.16913559068365674</v>
      </c>
      <c r="G6629" s="705">
        <v>211.73776566086232</v>
      </c>
    </row>
    <row r="6630" spans="2:7" ht="11.25" hidden="1" customHeight="1" outlineLevel="2" x14ac:dyDescent="0.25">
      <c r="B6630" s="704" t="s">
        <v>678</v>
      </c>
      <c r="C6630" s="704" t="s">
        <v>754</v>
      </c>
      <c r="D6630" s="704" t="s">
        <v>675</v>
      </c>
      <c r="E6630" s="704" t="s">
        <v>448</v>
      </c>
      <c r="F6630" s="705">
        <v>0.38616977750008896</v>
      </c>
      <c r="G6630" s="705">
        <v>490.45113642773418</v>
      </c>
    </row>
    <row r="6631" spans="2:7" ht="11.25" hidden="1" customHeight="1" outlineLevel="2" x14ac:dyDescent="0.25">
      <c r="B6631" s="704" t="s">
        <v>679</v>
      </c>
      <c r="C6631" s="704" t="s">
        <v>754</v>
      </c>
      <c r="D6631" s="704" t="s">
        <v>675</v>
      </c>
      <c r="E6631" s="704" t="s">
        <v>448</v>
      </c>
      <c r="F6631" s="705">
        <v>3.1199739041247045E-2</v>
      </c>
      <c r="G6631" s="705">
        <v>39.801163941755007</v>
      </c>
    </row>
    <row r="6632" spans="2:7" ht="11.25" hidden="1" customHeight="1" outlineLevel="2" x14ac:dyDescent="0.25">
      <c r="B6632" s="704" t="s">
        <v>680</v>
      </c>
      <c r="C6632" s="704" t="s">
        <v>754</v>
      </c>
      <c r="D6632" s="704" t="s">
        <v>675</v>
      </c>
      <c r="E6632" s="704" t="s">
        <v>448</v>
      </c>
      <c r="F6632" s="705">
        <v>5.7752161000933708E-3</v>
      </c>
      <c r="G6632" s="705">
        <v>7.377032384965589</v>
      </c>
    </row>
    <row r="6633" spans="2:7" ht="11.25" hidden="1" customHeight="1" outlineLevel="2" x14ac:dyDescent="0.25">
      <c r="B6633" s="704" t="s">
        <v>681</v>
      </c>
      <c r="C6633" s="704" t="s">
        <v>754</v>
      </c>
      <c r="D6633" s="704" t="s">
        <v>675</v>
      </c>
      <c r="E6633" s="704" t="s">
        <v>448</v>
      </c>
      <c r="F6633" s="705">
        <v>4.899287197987344E-2</v>
      </c>
      <c r="G6633" s="705">
        <v>62.222941508706285</v>
      </c>
    </row>
    <row r="6634" spans="2:7" ht="11.25" hidden="1" customHeight="1" outlineLevel="2" x14ac:dyDescent="0.25">
      <c r="B6634" s="704" t="s">
        <v>682</v>
      </c>
      <c r="C6634" s="704" t="s">
        <v>754</v>
      </c>
      <c r="D6634" s="704" t="s">
        <v>675</v>
      </c>
      <c r="E6634" s="704" t="s">
        <v>448</v>
      </c>
      <c r="F6634" s="705">
        <v>4.3004331263589282E-2</v>
      </c>
      <c r="G6634" s="705">
        <v>54.622198748411236</v>
      </c>
    </row>
    <row r="6635" spans="2:7" ht="11.25" hidden="1" customHeight="1" outlineLevel="2" x14ac:dyDescent="0.25">
      <c r="B6635" s="704" t="s">
        <v>683</v>
      </c>
      <c r="C6635" s="704" t="s">
        <v>754</v>
      </c>
      <c r="D6635" s="704" t="s">
        <v>675</v>
      </c>
      <c r="E6635" s="704" t="s">
        <v>448</v>
      </c>
      <c r="F6635" s="705">
        <v>7.1110251294058915E-2</v>
      </c>
      <c r="G6635" s="705">
        <v>90.714568777791399</v>
      </c>
    </row>
    <row r="6636" spans="2:7" ht="11.25" hidden="1" customHeight="1" outlineLevel="2" x14ac:dyDescent="0.25">
      <c r="B6636" s="704" t="s">
        <v>684</v>
      </c>
      <c r="C6636" s="704" t="s">
        <v>754</v>
      </c>
      <c r="D6636" s="704" t="s">
        <v>675</v>
      </c>
      <c r="E6636" s="704" t="s">
        <v>448</v>
      </c>
      <c r="F6636" s="705">
        <v>9.2698445902685191E-3</v>
      </c>
      <c r="G6636" s="705">
        <v>11.840934173497095</v>
      </c>
    </row>
    <row r="6637" spans="2:7" ht="11.25" hidden="1" customHeight="1" outlineLevel="2" x14ac:dyDescent="0.25">
      <c r="B6637" s="704" t="s">
        <v>685</v>
      </c>
      <c r="C6637" s="704" t="s">
        <v>754</v>
      </c>
      <c r="D6637" s="704" t="s">
        <v>675</v>
      </c>
      <c r="E6637" s="704" t="s">
        <v>448</v>
      </c>
      <c r="F6637" s="705">
        <v>8.5338891266215147E-2</v>
      </c>
      <c r="G6637" s="705">
        <v>108.86586558904753</v>
      </c>
    </row>
    <row r="6638" spans="2:7" ht="11.25" hidden="1" customHeight="1" outlineLevel="2" x14ac:dyDescent="0.25">
      <c r="B6638" s="704" t="s">
        <v>686</v>
      </c>
      <c r="C6638" s="704" t="s">
        <v>754</v>
      </c>
      <c r="D6638" s="704" t="s">
        <v>675</v>
      </c>
      <c r="E6638" s="704" t="s">
        <v>448</v>
      </c>
      <c r="F6638" s="705">
        <v>2.0233915421044916E-2</v>
      </c>
      <c r="G6638" s="705">
        <v>25.59530263978786</v>
      </c>
    </row>
    <row r="6639" spans="2:7" ht="11.25" hidden="1" customHeight="1" outlineLevel="2" x14ac:dyDescent="0.25">
      <c r="B6639" s="704" t="s">
        <v>687</v>
      </c>
      <c r="C6639" s="704" t="s">
        <v>754</v>
      </c>
      <c r="D6639" s="704" t="s">
        <v>675</v>
      </c>
      <c r="E6639" s="704" t="s">
        <v>448</v>
      </c>
      <c r="F6639" s="705">
        <v>0.10323182860594592</v>
      </c>
      <c r="G6639" s="705">
        <v>131.10856538658672</v>
      </c>
    </row>
    <row r="6640" spans="2:7" ht="11.25" hidden="1" customHeight="1" outlineLevel="2" x14ac:dyDescent="0.25">
      <c r="B6640" s="704" t="s">
        <v>688</v>
      </c>
      <c r="C6640" s="704" t="s">
        <v>754</v>
      </c>
      <c r="D6640" s="704" t="s">
        <v>675</v>
      </c>
      <c r="E6640" s="704" t="s">
        <v>448</v>
      </c>
      <c r="F6640" s="705">
        <v>7.287000000126477E-2</v>
      </c>
      <c r="G6640" s="705">
        <v>94.107736875199265</v>
      </c>
    </row>
    <row r="6641" spans="2:7" ht="11.25" hidden="1" customHeight="1" outlineLevel="2" x14ac:dyDescent="0.25">
      <c r="B6641" s="704" t="s">
        <v>689</v>
      </c>
      <c r="C6641" s="704" t="s">
        <v>754</v>
      </c>
      <c r="D6641" s="704" t="s">
        <v>675</v>
      </c>
      <c r="E6641" s="704" t="s">
        <v>448</v>
      </c>
      <c r="F6641" s="705">
        <v>1.0975177842623822E-2</v>
      </c>
      <c r="G6641" s="705">
        <v>13.913702376200044</v>
      </c>
    </row>
    <row r="6642" spans="2:7" ht="11.25" hidden="1" customHeight="1" outlineLevel="2" x14ac:dyDescent="0.25">
      <c r="B6642" s="704" t="s">
        <v>690</v>
      </c>
      <c r="C6642" s="704" t="s">
        <v>754</v>
      </c>
      <c r="D6642" s="704" t="s">
        <v>675</v>
      </c>
      <c r="E6642" s="704" t="s">
        <v>448</v>
      </c>
      <c r="F6642" s="705">
        <v>0.2401317481744209</v>
      </c>
      <c r="G6642" s="705">
        <v>306.33337501442378</v>
      </c>
    </row>
    <row r="6643" spans="2:7" ht="11.25" hidden="1" customHeight="1" outlineLevel="2" x14ac:dyDescent="0.25">
      <c r="B6643" s="704" t="s">
        <v>691</v>
      </c>
      <c r="C6643" s="704" t="s">
        <v>754</v>
      </c>
      <c r="D6643" s="704" t="s">
        <v>675</v>
      </c>
      <c r="E6643" s="704" t="s">
        <v>448</v>
      </c>
      <c r="F6643" s="705">
        <v>0.27423797208565281</v>
      </c>
      <c r="G6643" s="705">
        <v>349.84230726718607</v>
      </c>
    </row>
    <row r="6644" spans="2:7" ht="11.25" hidden="1" customHeight="1" outlineLevel="2" x14ac:dyDescent="0.25">
      <c r="B6644" s="704" t="s">
        <v>692</v>
      </c>
      <c r="C6644" s="704" t="s">
        <v>754</v>
      </c>
      <c r="D6644" s="704" t="s">
        <v>675</v>
      </c>
      <c r="E6644" s="704" t="s">
        <v>448</v>
      </c>
      <c r="F6644" s="705">
        <v>1.6108082566619226E-2</v>
      </c>
      <c r="G6644" s="705">
        <v>20.457905842967438</v>
      </c>
    </row>
    <row r="6645" spans="2:7" ht="11.25" hidden="1" customHeight="1" outlineLevel="2" x14ac:dyDescent="0.25">
      <c r="B6645" s="704" t="s">
        <v>693</v>
      </c>
      <c r="C6645" s="704" t="s">
        <v>754</v>
      </c>
      <c r="D6645" s="704" t="s">
        <v>675</v>
      </c>
      <c r="E6645" s="704" t="s">
        <v>448</v>
      </c>
      <c r="F6645" s="705">
        <v>3.9978540596252915E-2</v>
      </c>
      <c r="G6645" s="705">
        <v>51.067021772166463</v>
      </c>
    </row>
    <row r="6646" spans="2:7" ht="11.25" hidden="1" customHeight="1" outlineLevel="2" x14ac:dyDescent="0.25">
      <c r="B6646" s="704" t="s">
        <v>694</v>
      </c>
      <c r="C6646" s="704" t="s">
        <v>754</v>
      </c>
      <c r="D6646" s="704" t="s">
        <v>675</v>
      </c>
      <c r="E6646" s="704" t="s">
        <v>448</v>
      </c>
      <c r="F6646" s="705">
        <v>4.4820633247252412E-3</v>
      </c>
      <c r="G6646" s="705">
        <v>5.7252096919717372</v>
      </c>
    </row>
    <row r="6647" spans="2:7" ht="11.25" hidden="1" customHeight="1" outlineLevel="2" x14ac:dyDescent="0.25">
      <c r="B6647" s="704" t="s">
        <v>695</v>
      </c>
      <c r="C6647" s="704" t="s">
        <v>754</v>
      </c>
      <c r="D6647" s="704" t="s">
        <v>675</v>
      </c>
      <c r="E6647" s="704" t="s">
        <v>448</v>
      </c>
      <c r="F6647" s="705">
        <v>2.1259783682195083E-2</v>
      </c>
      <c r="G6647" s="705">
        <v>27.156396181479636</v>
      </c>
    </row>
    <row r="6648" spans="2:7" ht="11.25" hidden="1" customHeight="1" outlineLevel="2" x14ac:dyDescent="0.25">
      <c r="B6648" s="704" t="s">
        <v>696</v>
      </c>
      <c r="C6648" s="704" t="s">
        <v>754</v>
      </c>
      <c r="D6648" s="704" t="s">
        <v>675</v>
      </c>
      <c r="E6648" s="704" t="s">
        <v>448</v>
      </c>
      <c r="F6648" s="705">
        <v>5.3638725828972458E-2</v>
      </c>
      <c r="G6648" s="705">
        <v>67.851406511729806</v>
      </c>
    </row>
    <row r="6649" spans="2:7" ht="11.25" hidden="1" customHeight="1" outlineLevel="2" x14ac:dyDescent="0.25">
      <c r="B6649" s="704" t="s">
        <v>697</v>
      </c>
      <c r="C6649" s="704" t="s">
        <v>754</v>
      </c>
      <c r="D6649" s="704" t="s">
        <v>675</v>
      </c>
      <c r="E6649" s="704" t="s">
        <v>448</v>
      </c>
      <c r="F6649" s="705">
        <v>2.9062658882609761E-2</v>
      </c>
      <c r="G6649" s="705">
        <v>37.123491147504978</v>
      </c>
    </row>
    <row r="6650" spans="2:7" ht="11.25" hidden="1" customHeight="1" outlineLevel="2" x14ac:dyDescent="0.25">
      <c r="B6650" s="704" t="s">
        <v>698</v>
      </c>
      <c r="C6650" s="704" t="s">
        <v>754</v>
      </c>
      <c r="D6650" s="704" t="s">
        <v>675</v>
      </c>
      <c r="E6650" s="704" t="s">
        <v>448</v>
      </c>
      <c r="F6650" s="705">
        <v>3.1913345855798587E-2</v>
      </c>
      <c r="G6650" s="705">
        <v>40.764852541149878</v>
      </c>
    </row>
    <row r="6651" spans="2:7" ht="11.25" hidden="1" customHeight="1" outlineLevel="2" x14ac:dyDescent="0.25">
      <c r="B6651" s="704" t="s">
        <v>699</v>
      </c>
      <c r="C6651" s="704" t="s">
        <v>754</v>
      </c>
      <c r="D6651" s="704" t="s">
        <v>675</v>
      </c>
      <c r="E6651" s="704" t="s">
        <v>448</v>
      </c>
      <c r="F6651" s="705">
        <v>2.9100613553238081E-32</v>
      </c>
      <c r="G6651" s="705">
        <v>3.8714333524127069E-29</v>
      </c>
    </row>
    <row r="6652" spans="2:7" ht="11.25" hidden="1" customHeight="1" outlineLevel="2" x14ac:dyDescent="0.25">
      <c r="B6652" s="704" t="s">
        <v>673</v>
      </c>
      <c r="C6652" s="704" t="s">
        <v>755</v>
      </c>
      <c r="D6652" s="704" t="s">
        <v>675</v>
      </c>
      <c r="E6652" s="704" t="s">
        <v>448</v>
      </c>
      <c r="F6652" s="705">
        <v>3.9453336324789083E-3</v>
      </c>
      <c r="G6652" s="705">
        <v>5.3805788278073576</v>
      </c>
    </row>
    <row r="6653" spans="2:7" ht="11.25" hidden="1" customHeight="1" outlineLevel="2" x14ac:dyDescent="0.25">
      <c r="B6653" s="704" t="s">
        <v>677</v>
      </c>
      <c r="C6653" s="704" t="s">
        <v>755</v>
      </c>
      <c r="D6653" s="704" t="s">
        <v>675</v>
      </c>
      <c r="E6653" s="704" t="s">
        <v>448</v>
      </c>
      <c r="F6653" s="705">
        <v>6.6157611596048271E-2</v>
      </c>
      <c r="G6653" s="705">
        <v>89.289826822928163</v>
      </c>
    </row>
    <row r="6654" spans="2:7" ht="11.25" hidden="1" customHeight="1" outlineLevel="2" x14ac:dyDescent="0.25">
      <c r="B6654" s="704" t="s">
        <v>678</v>
      </c>
      <c r="C6654" s="704" t="s">
        <v>755</v>
      </c>
      <c r="D6654" s="704" t="s">
        <v>675</v>
      </c>
      <c r="E6654" s="704" t="s">
        <v>448</v>
      </c>
      <c r="F6654" s="705">
        <v>0.15104800563103521</v>
      </c>
      <c r="G6654" s="705">
        <v>206.82340535116322</v>
      </c>
    </row>
    <row r="6655" spans="2:7" ht="11.25" hidden="1" customHeight="1" outlineLevel="2" x14ac:dyDescent="0.25">
      <c r="B6655" s="704" t="s">
        <v>679</v>
      </c>
      <c r="C6655" s="704" t="s">
        <v>755</v>
      </c>
      <c r="D6655" s="704" t="s">
        <v>675</v>
      </c>
      <c r="E6655" s="704" t="s">
        <v>448</v>
      </c>
      <c r="F6655" s="705">
        <v>1.220351387995665E-2</v>
      </c>
      <c r="G6655" s="705">
        <v>16.784155947371271</v>
      </c>
    </row>
    <row r="6656" spans="2:7" ht="11.25" hidden="1" customHeight="1" outlineLevel="2" x14ac:dyDescent="0.25">
      <c r="B6656" s="704" t="s">
        <v>680</v>
      </c>
      <c r="C6656" s="704" t="s">
        <v>755</v>
      </c>
      <c r="D6656" s="704" t="s">
        <v>675</v>
      </c>
      <c r="E6656" s="704" t="s">
        <v>448</v>
      </c>
      <c r="F6656" s="705">
        <v>2.2589232724588241E-3</v>
      </c>
      <c r="G6656" s="705">
        <v>3.110895198063834</v>
      </c>
    </row>
    <row r="6657" spans="2:7" ht="11.25" hidden="1" customHeight="1" outlineLevel="2" x14ac:dyDescent="0.25">
      <c r="B6657" s="704" t="s">
        <v>681</v>
      </c>
      <c r="C6657" s="704" t="s">
        <v>755</v>
      </c>
      <c r="D6657" s="704" t="s">
        <v>675</v>
      </c>
      <c r="E6657" s="704" t="s">
        <v>448</v>
      </c>
      <c r="F6657" s="705">
        <v>1.9163271062270081E-2</v>
      </c>
      <c r="G6657" s="705">
        <v>26.239412289042221</v>
      </c>
    </row>
    <row r="6658" spans="2:7" ht="11.25" hidden="1" customHeight="1" outlineLevel="2" x14ac:dyDescent="0.25">
      <c r="B6658" s="704" t="s">
        <v>682</v>
      </c>
      <c r="C6658" s="704" t="s">
        <v>755</v>
      </c>
      <c r="D6658" s="704" t="s">
        <v>675</v>
      </c>
      <c r="E6658" s="704" t="s">
        <v>448</v>
      </c>
      <c r="F6658" s="705">
        <v>1.6820883196031849E-2</v>
      </c>
      <c r="G6658" s="705">
        <v>23.034190320711126</v>
      </c>
    </row>
    <row r="6659" spans="2:7" ht="11.25" hidden="1" customHeight="1" outlineLevel="2" x14ac:dyDescent="0.25">
      <c r="B6659" s="704" t="s">
        <v>683</v>
      </c>
      <c r="C6659" s="704" t="s">
        <v>755</v>
      </c>
      <c r="D6659" s="704" t="s">
        <v>675</v>
      </c>
      <c r="E6659" s="704" t="s">
        <v>448</v>
      </c>
      <c r="F6659" s="705">
        <v>2.7814187052841596E-2</v>
      </c>
      <c r="G6659" s="705">
        <v>38.25434727696355</v>
      </c>
    </row>
    <row r="6660" spans="2:7" ht="11.25" hidden="1" customHeight="1" outlineLevel="2" x14ac:dyDescent="0.25">
      <c r="B6660" s="704" t="s">
        <v>684</v>
      </c>
      <c r="C6660" s="704" t="s">
        <v>755</v>
      </c>
      <c r="D6660" s="704" t="s">
        <v>675</v>
      </c>
      <c r="E6660" s="704" t="s">
        <v>448</v>
      </c>
      <c r="F6660" s="705">
        <v>3.6258153567567653E-3</v>
      </c>
      <c r="G6660" s="705">
        <v>4.9933229396703203</v>
      </c>
    </row>
    <row r="6661" spans="2:7" ht="11.25" hidden="1" customHeight="1" outlineLevel="2" x14ac:dyDescent="0.25">
      <c r="B6661" s="704" t="s">
        <v>685</v>
      </c>
      <c r="C6661" s="704" t="s">
        <v>755</v>
      </c>
      <c r="D6661" s="704" t="s">
        <v>675</v>
      </c>
      <c r="E6661" s="704" t="s">
        <v>448</v>
      </c>
      <c r="F6661" s="705">
        <v>3.3379590943408637E-2</v>
      </c>
      <c r="G6661" s="705">
        <v>45.90875483761787</v>
      </c>
    </row>
    <row r="6662" spans="2:7" ht="11.25" hidden="1" customHeight="1" outlineLevel="2" x14ac:dyDescent="0.25">
      <c r="B6662" s="704" t="s">
        <v>686</v>
      </c>
      <c r="C6662" s="704" t="s">
        <v>755</v>
      </c>
      <c r="D6662" s="704" t="s">
        <v>675</v>
      </c>
      <c r="E6662" s="704" t="s">
        <v>448</v>
      </c>
      <c r="F6662" s="706">
        <v>7.9144158356947731E-3</v>
      </c>
      <c r="G6662" s="705">
        <v>10.793553862974365</v>
      </c>
    </row>
    <row r="6663" spans="2:7" ht="11.25" hidden="1" customHeight="1" outlineLevel="2" x14ac:dyDescent="0.25">
      <c r="B6663" s="704" t="s">
        <v>687</v>
      </c>
      <c r="C6663" s="704" t="s">
        <v>755</v>
      </c>
      <c r="D6663" s="704" t="s">
        <v>675</v>
      </c>
      <c r="E6663" s="704" t="s">
        <v>448</v>
      </c>
      <c r="F6663" s="706">
        <v>4.0378498797049113E-2</v>
      </c>
      <c r="G6663" s="705">
        <v>55.288508255864208</v>
      </c>
    </row>
    <row r="6664" spans="2:7" ht="11.25" hidden="1" customHeight="1" outlineLevel="2" x14ac:dyDescent="0.25">
      <c r="B6664" s="704" t="s">
        <v>688</v>
      </c>
      <c r="C6664" s="704" t="s">
        <v>755</v>
      </c>
      <c r="D6664" s="704" t="s">
        <v>675</v>
      </c>
      <c r="E6664" s="704" t="s">
        <v>448</v>
      </c>
      <c r="F6664" s="706">
        <v>2.8983074227351861E-2</v>
      </c>
      <c r="G6664" s="705">
        <v>39.685244809252723</v>
      </c>
    </row>
    <row r="6665" spans="2:7" ht="11.25" hidden="1" customHeight="1" outlineLevel="2" x14ac:dyDescent="0.25">
      <c r="B6665" s="704" t="s">
        <v>689</v>
      </c>
      <c r="C6665" s="704" t="s">
        <v>755</v>
      </c>
      <c r="D6665" s="704" t="s">
        <v>675</v>
      </c>
      <c r="E6665" s="704" t="s">
        <v>448</v>
      </c>
      <c r="F6665" s="706">
        <v>4.2928849270982405E-3</v>
      </c>
      <c r="G6665" s="705">
        <v>5.8674133720287109</v>
      </c>
    </row>
    <row r="6666" spans="2:7" ht="11.25" hidden="1" customHeight="1" outlineLevel="2" x14ac:dyDescent="0.25">
      <c r="B6666" s="704" t="s">
        <v>690</v>
      </c>
      <c r="C6666" s="704" t="s">
        <v>755</v>
      </c>
      <c r="D6666" s="704" t="s">
        <v>675</v>
      </c>
      <c r="E6666" s="704" t="s">
        <v>448</v>
      </c>
      <c r="F6666" s="706">
        <v>9.3925517615923923E-2</v>
      </c>
      <c r="G6666" s="705">
        <v>129.18081955568059</v>
      </c>
    </row>
    <row r="6667" spans="2:7" ht="11.25" hidden="1" customHeight="1" outlineLevel="2" x14ac:dyDescent="0.25">
      <c r="B6667" s="704" t="s">
        <v>691</v>
      </c>
      <c r="C6667" s="704" t="s">
        <v>755</v>
      </c>
      <c r="D6667" s="704" t="s">
        <v>675</v>
      </c>
      <c r="E6667" s="704" t="s">
        <v>448</v>
      </c>
      <c r="F6667" s="706">
        <v>0.10726595777636527</v>
      </c>
      <c r="G6667" s="705">
        <v>147.52860446090148</v>
      </c>
    </row>
    <row r="6668" spans="2:7" ht="11.25" hidden="1" customHeight="1" outlineLevel="2" x14ac:dyDescent="0.25">
      <c r="B6668" s="704" t="s">
        <v>692</v>
      </c>
      <c r="C6668" s="704" t="s">
        <v>755</v>
      </c>
      <c r="D6668" s="704" t="s">
        <v>675</v>
      </c>
      <c r="E6668" s="704" t="s">
        <v>448</v>
      </c>
      <c r="F6668" s="706">
        <v>6.3005791237491313E-3</v>
      </c>
      <c r="G6668" s="705">
        <v>8.6271011815780003</v>
      </c>
    </row>
    <row r="6669" spans="2:7" ht="11.25" hidden="1" customHeight="1" outlineLevel="2" x14ac:dyDescent="0.25">
      <c r="B6669" s="704" t="s">
        <v>693</v>
      </c>
      <c r="C6669" s="704" t="s">
        <v>755</v>
      </c>
      <c r="D6669" s="704" t="s">
        <v>675</v>
      </c>
      <c r="E6669" s="704" t="s">
        <v>448</v>
      </c>
      <c r="F6669" s="706">
        <v>1.563724727563753E-2</v>
      </c>
      <c r="G6669" s="705">
        <v>21.534959633379145</v>
      </c>
    </row>
    <row r="6670" spans="2:7" ht="11.25" hidden="1" customHeight="1" outlineLevel="2" x14ac:dyDescent="0.25">
      <c r="B6670" s="704" t="s">
        <v>694</v>
      </c>
      <c r="C6670" s="704" t="s">
        <v>755</v>
      </c>
      <c r="D6670" s="704" t="s">
        <v>675</v>
      </c>
      <c r="E6670" s="704" t="s">
        <v>448</v>
      </c>
      <c r="F6670" s="706">
        <v>1.7531187416813059E-3</v>
      </c>
      <c r="G6670" s="705">
        <v>2.4143222406641027</v>
      </c>
    </row>
    <row r="6671" spans="2:7" ht="11.25" hidden="1" customHeight="1" outlineLevel="2" x14ac:dyDescent="0.25">
      <c r="B6671" s="704" t="s">
        <v>695</v>
      </c>
      <c r="C6671" s="704" t="s">
        <v>755</v>
      </c>
      <c r="D6671" s="704" t="s">
        <v>675</v>
      </c>
      <c r="E6671" s="704" t="s">
        <v>448</v>
      </c>
      <c r="F6671" s="706">
        <v>8.3155711399357565E-3</v>
      </c>
      <c r="G6671" s="705">
        <v>11.451855559446015</v>
      </c>
    </row>
    <row r="6672" spans="2:7" ht="11.25" hidden="1" customHeight="1" outlineLevel="2" x14ac:dyDescent="0.25">
      <c r="B6672" s="704" t="s">
        <v>696</v>
      </c>
      <c r="C6672" s="704" t="s">
        <v>755</v>
      </c>
      <c r="D6672" s="704" t="s">
        <v>675</v>
      </c>
      <c r="E6672" s="704" t="s">
        <v>448</v>
      </c>
      <c r="F6672" s="706">
        <v>2.098058286231734E-2</v>
      </c>
      <c r="G6672" s="705">
        <v>28.612947773246873</v>
      </c>
    </row>
    <row r="6673" spans="2:7" ht="11.25" hidden="1" customHeight="1" outlineLevel="2" x14ac:dyDescent="0.25">
      <c r="B6673" s="704" t="s">
        <v>697</v>
      </c>
      <c r="C6673" s="704" t="s">
        <v>755</v>
      </c>
      <c r="D6673" s="704" t="s">
        <v>675</v>
      </c>
      <c r="E6673" s="704" t="s">
        <v>448</v>
      </c>
      <c r="F6673" s="706">
        <v>1.1367596695741826E-2</v>
      </c>
      <c r="G6673" s="705">
        <v>15.654980043085438</v>
      </c>
    </row>
    <row r="6674" spans="2:7" ht="11.25" hidden="1" customHeight="1" outlineLevel="2" x14ac:dyDescent="0.25">
      <c r="B6674" s="704" t="s">
        <v>698</v>
      </c>
      <c r="C6674" s="704" t="s">
        <v>755</v>
      </c>
      <c r="D6674" s="704" t="s">
        <v>675</v>
      </c>
      <c r="E6674" s="704" t="s">
        <v>448</v>
      </c>
      <c r="F6674" s="706">
        <v>1.2482624440050657E-2</v>
      </c>
      <c r="G6674" s="705">
        <v>17.190543420336219</v>
      </c>
    </row>
    <row r="6675" spans="2:7" ht="11.25" hidden="1" customHeight="1" outlineLevel="2" x14ac:dyDescent="0.25">
      <c r="B6675" s="704" t="s">
        <v>699</v>
      </c>
      <c r="C6675" s="704" t="s">
        <v>755</v>
      </c>
      <c r="D6675" s="704" t="s">
        <v>675</v>
      </c>
      <c r="E6675" s="704" t="s">
        <v>448</v>
      </c>
      <c r="F6675" s="706">
        <v>6.9477016515633839E-33</v>
      </c>
      <c r="G6675" s="705">
        <v>8.9487470916639854E-30</v>
      </c>
    </row>
    <row r="6676" spans="2:7" ht="11.25" hidden="1" customHeight="1" outlineLevel="2" x14ac:dyDescent="0.25">
      <c r="B6676" s="704" t="s">
        <v>673</v>
      </c>
      <c r="C6676" s="704" t="s">
        <v>756</v>
      </c>
      <c r="D6676" s="704" t="s">
        <v>675</v>
      </c>
      <c r="E6676" s="704" t="s">
        <v>448</v>
      </c>
      <c r="F6676" s="706">
        <v>2.1261539581283786E-4</v>
      </c>
      <c r="G6676" s="705">
        <v>0.27935609107643172</v>
      </c>
    </row>
    <row r="6677" spans="2:7" ht="11.25" hidden="1" customHeight="1" outlineLevel="2" x14ac:dyDescent="0.25">
      <c r="B6677" s="704" t="s">
        <v>677</v>
      </c>
      <c r="C6677" s="704" t="s">
        <v>756</v>
      </c>
      <c r="D6677" s="704" t="s">
        <v>675</v>
      </c>
      <c r="E6677" s="704" t="s">
        <v>448</v>
      </c>
      <c r="F6677" s="706">
        <v>3.5653070302279063E-3</v>
      </c>
      <c r="G6677" s="705">
        <v>4.6358685431137454</v>
      </c>
    </row>
    <row r="6678" spans="2:7" ht="11.25" hidden="1" customHeight="1" outlineLevel="2" x14ac:dyDescent="0.25">
      <c r="B6678" s="704" t="s">
        <v>678</v>
      </c>
      <c r="C6678" s="704" t="s">
        <v>756</v>
      </c>
      <c r="D6678" s="704" t="s">
        <v>675</v>
      </c>
      <c r="E6678" s="704" t="s">
        <v>448</v>
      </c>
      <c r="F6678" s="706">
        <v>8.1399890491395486E-3</v>
      </c>
      <c r="G6678" s="705">
        <v>10.738129997193372</v>
      </c>
    </row>
    <row r="6679" spans="2:7" ht="11.25" hidden="1" customHeight="1" outlineLevel="2" x14ac:dyDescent="0.25">
      <c r="B6679" s="704" t="s">
        <v>679</v>
      </c>
      <c r="C6679" s="704" t="s">
        <v>756</v>
      </c>
      <c r="D6679" s="704" t="s">
        <v>675</v>
      </c>
      <c r="E6679" s="704" t="s">
        <v>448</v>
      </c>
      <c r="F6679" s="706">
        <v>6.5764440550342281E-4</v>
      </c>
      <c r="G6679" s="705">
        <v>0.87142237299246383</v>
      </c>
    </row>
    <row r="6680" spans="2:7" ht="11.25" hidden="1" customHeight="1" outlineLevel="2" x14ac:dyDescent="0.25">
      <c r="B6680" s="704" t="s">
        <v>680</v>
      </c>
      <c r="C6680" s="704" t="s">
        <v>756</v>
      </c>
      <c r="D6680" s="704" t="s">
        <v>675</v>
      </c>
      <c r="E6680" s="704" t="s">
        <v>448</v>
      </c>
      <c r="F6680" s="706">
        <v>1.2173258292096384E-4</v>
      </c>
      <c r="G6680" s="705">
        <v>0.1615155729366928</v>
      </c>
    </row>
    <row r="6681" spans="2:7" ht="11.25" hidden="1" customHeight="1" outlineLevel="2" x14ac:dyDescent="0.25">
      <c r="B6681" s="704" t="s">
        <v>681</v>
      </c>
      <c r="C6681" s="704" t="s">
        <v>756</v>
      </c>
      <c r="D6681" s="704" t="s">
        <v>675</v>
      </c>
      <c r="E6681" s="704" t="s">
        <v>448</v>
      </c>
      <c r="F6681" s="706">
        <v>1.0327097475297995E-3</v>
      </c>
      <c r="G6681" s="705">
        <v>1.3623336205022971</v>
      </c>
    </row>
    <row r="6682" spans="2:7" ht="11.25" hidden="1" customHeight="1" outlineLevel="2" x14ac:dyDescent="0.25">
      <c r="B6682" s="704" t="s">
        <v>682</v>
      </c>
      <c r="C6682" s="704" t="s">
        <v>756</v>
      </c>
      <c r="D6682" s="704" t="s">
        <v>675</v>
      </c>
      <c r="E6682" s="704" t="s">
        <v>448</v>
      </c>
      <c r="F6682" s="706">
        <v>9.0647797887975843E-4</v>
      </c>
      <c r="G6682" s="705">
        <v>1.1959199792526203</v>
      </c>
    </row>
    <row r="6683" spans="2:7" ht="11.25" hidden="1" customHeight="1" outlineLevel="2" x14ac:dyDescent="0.25">
      <c r="B6683" s="704" t="s">
        <v>683</v>
      </c>
      <c r="C6683" s="704" t="s">
        <v>756</v>
      </c>
      <c r="D6683" s="704" t="s">
        <v>675</v>
      </c>
      <c r="E6683" s="704" t="s">
        <v>448</v>
      </c>
      <c r="F6683" s="706">
        <v>1.4988992031008239E-3</v>
      </c>
      <c r="G6683" s="705">
        <v>1.9861407444479708</v>
      </c>
    </row>
    <row r="6684" spans="2:7" ht="11.25" hidden="1" customHeight="1" outlineLevel="2" x14ac:dyDescent="0.25">
      <c r="B6684" s="704" t="s">
        <v>684</v>
      </c>
      <c r="C6684" s="704" t="s">
        <v>756</v>
      </c>
      <c r="D6684" s="704" t="s">
        <v>675</v>
      </c>
      <c r="E6684" s="704" t="s">
        <v>448</v>
      </c>
      <c r="F6684" s="706">
        <v>1.9539388939575217E-4</v>
      </c>
      <c r="G6684" s="705">
        <v>0.2592500348223517</v>
      </c>
    </row>
    <row r="6685" spans="2:7" ht="11.25" hidden="1" customHeight="1" outlineLevel="2" x14ac:dyDescent="0.25">
      <c r="B6685" s="704" t="s">
        <v>685</v>
      </c>
      <c r="C6685" s="704" t="s">
        <v>756</v>
      </c>
      <c r="D6685" s="704" t="s">
        <v>675</v>
      </c>
      <c r="E6685" s="704" t="s">
        <v>448</v>
      </c>
      <c r="F6685" s="706">
        <v>1.7988174938507319E-3</v>
      </c>
      <c r="G6685" s="705">
        <v>2.3835522322157363</v>
      </c>
    </row>
    <row r="6686" spans="2:7" ht="11.25" hidden="1" customHeight="1" outlineLevel="2" x14ac:dyDescent="0.25">
      <c r="B6686" s="704" t="s">
        <v>686</v>
      </c>
      <c r="C6686" s="704" t="s">
        <v>756</v>
      </c>
      <c r="D6686" s="704" t="s">
        <v>675</v>
      </c>
      <c r="E6686" s="704" t="s">
        <v>448</v>
      </c>
      <c r="F6686" s="706">
        <v>4.2651075606968056E-4</v>
      </c>
      <c r="G6686" s="705">
        <v>0.56039386362490407</v>
      </c>
    </row>
    <row r="6687" spans="2:7" ht="11.25" hidden="1" customHeight="1" outlineLevel="2" x14ac:dyDescent="0.25">
      <c r="B6687" s="704" t="s">
        <v>687</v>
      </c>
      <c r="C6687" s="704" t="s">
        <v>756</v>
      </c>
      <c r="D6687" s="704" t="s">
        <v>675</v>
      </c>
      <c r="E6687" s="704" t="s">
        <v>448</v>
      </c>
      <c r="F6687" s="705">
        <v>2.1760004173757433E-3</v>
      </c>
      <c r="G6687" s="705">
        <v>2.8705424742670442</v>
      </c>
    </row>
    <row r="6688" spans="2:7" ht="11.25" hidden="1" customHeight="1" outlineLevel="2" x14ac:dyDescent="0.25">
      <c r="B6688" s="704" t="s">
        <v>688</v>
      </c>
      <c r="C6688" s="704" t="s">
        <v>756</v>
      </c>
      <c r="D6688" s="704" t="s">
        <v>675</v>
      </c>
      <c r="E6688" s="704" t="s">
        <v>448</v>
      </c>
      <c r="F6688" s="705">
        <v>1.5618994148667948E-3</v>
      </c>
      <c r="G6688" s="705">
        <v>2.0604313156162117</v>
      </c>
    </row>
    <row r="6689" spans="2:7" ht="11.25" hidden="1" customHeight="1" outlineLevel="2" x14ac:dyDescent="0.25">
      <c r="B6689" s="704" t="s">
        <v>689</v>
      </c>
      <c r="C6689" s="704" t="s">
        <v>756</v>
      </c>
      <c r="D6689" s="704" t="s">
        <v>675</v>
      </c>
      <c r="E6689" s="704" t="s">
        <v>448</v>
      </c>
      <c r="F6689" s="705">
        <v>2.3134434651014214E-4</v>
      </c>
      <c r="G6689" s="705">
        <v>0.30463202696399411</v>
      </c>
    </row>
    <row r="6690" spans="2:7" ht="11.25" hidden="1" customHeight="1" outlineLevel="2" x14ac:dyDescent="0.25">
      <c r="B6690" s="704" t="s">
        <v>690</v>
      </c>
      <c r="C6690" s="704" t="s">
        <v>756</v>
      </c>
      <c r="D6690" s="704" t="s">
        <v>675</v>
      </c>
      <c r="E6690" s="704" t="s">
        <v>448</v>
      </c>
      <c r="F6690" s="705">
        <v>5.0616211827888081E-3</v>
      </c>
      <c r="G6690" s="705">
        <v>6.7069835744016881</v>
      </c>
    </row>
    <row r="6691" spans="2:7" ht="11.25" hidden="1" customHeight="1" outlineLevel="2" x14ac:dyDescent="0.25">
      <c r="B6691" s="704" t="s">
        <v>691</v>
      </c>
      <c r="C6691" s="704" t="s">
        <v>756</v>
      </c>
      <c r="D6691" s="704" t="s">
        <v>675</v>
      </c>
      <c r="E6691" s="704" t="s">
        <v>448</v>
      </c>
      <c r="F6691" s="705">
        <v>5.7805337967976704E-3</v>
      </c>
      <c r="G6691" s="705">
        <v>7.6595859810700446</v>
      </c>
    </row>
    <row r="6692" spans="2:7" ht="11.25" hidden="1" customHeight="1" outlineLevel="2" x14ac:dyDescent="0.25">
      <c r="B6692" s="704" t="s">
        <v>692</v>
      </c>
      <c r="C6692" s="704" t="s">
        <v>756</v>
      </c>
      <c r="D6692" s="704" t="s">
        <v>675</v>
      </c>
      <c r="E6692" s="704" t="s">
        <v>448</v>
      </c>
      <c r="F6692" s="705">
        <v>3.3953858530170832E-4</v>
      </c>
      <c r="G6692" s="705">
        <v>0.4479135190870025</v>
      </c>
    </row>
    <row r="6693" spans="2:7" ht="11.25" hidden="1" customHeight="1" outlineLevel="2" x14ac:dyDescent="0.25">
      <c r="B6693" s="704" t="s">
        <v>693</v>
      </c>
      <c r="C6693" s="704" t="s">
        <v>756</v>
      </c>
      <c r="D6693" s="704" t="s">
        <v>675</v>
      </c>
      <c r="E6693" s="704" t="s">
        <v>448</v>
      </c>
      <c r="F6693" s="705">
        <v>8.4268602086911659E-4</v>
      </c>
      <c r="G6693" s="705">
        <v>1.1180806003255719</v>
      </c>
    </row>
    <row r="6694" spans="2:7" ht="11.25" hidden="1" customHeight="1" outlineLevel="2" x14ac:dyDescent="0.25">
      <c r="B6694" s="704" t="s">
        <v>694</v>
      </c>
      <c r="C6694" s="704" t="s">
        <v>756</v>
      </c>
      <c r="D6694" s="704" t="s">
        <v>675</v>
      </c>
      <c r="E6694" s="704" t="s">
        <v>448</v>
      </c>
      <c r="F6694" s="705">
        <v>9.4474902048765928E-5</v>
      </c>
      <c r="G6694" s="705">
        <v>0.12534993576041117</v>
      </c>
    </row>
    <row r="6695" spans="2:7" ht="11.25" hidden="1" customHeight="1" outlineLevel="2" x14ac:dyDescent="0.25">
      <c r="B6695" s="704" t="s">
        <v>695</v>
      </c>
      <c r="C6695" s="704" t="s">
        <v>756</v>
      </c>
      <c r="D6695" s="704" t="s">
        <v>675</v>
      </c>
      <c r="E6695" s="704" t="s">
        <v>448</v>
      </c>
      <c r="F6695" s="705">
        <v>4.4812313000956261E-4</v>
      </c>
      <c r="G6695" s="705">
        <v>0.59457254806912563</v>
      </c>
    </row>
    <row r="6696" spans="2:7" ht="11.25" hidden="1" customHeight="1" outlineLevel="2" x14ac:dyDescent="0.25">
      <c r="B6696" s="704" t="s">
        <v>696</v>
      </c>
      <c r="C6696" s="704" t="s">
        <v>756</v>
      </c>
      <c r="D6696" s="704" t="s">
        <v>675</v>
      </c>
      <c r="E6696" s="704" t="s">
        <v>448</v>
      </c>
      <c r="F6696" s="705">
        <v>1.1306506893197315E-3</v>
      </c>
      <c r="G6696" s="705">
        <v>1.4855659539702772</v>
      </c>
    </row>
    <row r="6697" spans="2:7" ht="11.25" hidden="1" customHeight="1" outlineLevel="2" x14ac:dyDescent="0.25">
      <c r="B6697" s="704" t="s">
        <v>697</v>
      </c>
      <c r="C6697" s="704" t="s">
        <v>756</v>
      </c>
      <c r="D6697" s="704" t="s">
        <v>675</v>
      </c>
      <c r="E6697" s="704" t="s">
        <v>448</v>
      </c>
      <c r="F6697" s="705">
        <v>6.1259590889929216E-4</v>
      </c>
      <c r="G6697" s="705">
        <v>0.81279590337117424</v>
      </c>
    </row>
    <row r="6698" spans="2:7" ht="11.25" hidden="1" customHeight="1" outlineLevel="2" x14ac:dyDescent="0.25">
      <c r="B6698" s="704" t="s">
        <v>698</v>
      </c>
      <c r="C6698" s="704" t="s">
        <v>756</v>
      </c>
      <c r="D6698" s="704" t="s">
        <v>675</v>
      </c>
      <c r="E6698" s="704" t="s">
        <v>448</v>
      </c>
      <c r="F6698" s="705">
        <v>6.7268399845940292E-4</v>
      </c>
      <c r="G6698" s="705">
        <v>0.89252159627275429</v>
      </c>
    </row>
    <row r="6699" spans="2:7" ht="11.25" hidden="1" customHeight="1" outlineLevel="2" x14ac:dyDescent="0.25">
      <c r="B6699" s="704" t="s">
        <v>699</v>
      </c>
      <c r="C6699" s="704" t="s">
        <v>756</v>
      </c>
      <c r="D6699" s="704" t="s">
        <v>675</v>
      </c>
      <c r="E6699" s="704" t="s">
        <v>448</v>
      </c>
      <c r="F6699" s="705">
        <v>6.3111657622653414E-34</v>
      </c>
      <c r="G6699" s="705">
        <v>7.9647149724644296E-31</v>
      </c>
    </row>
    <row r="6700" spans="2:7" ht="11.25" hidden="1" customHeight="1" outlineLevel="2" x14ac:dyDescent="0.25">
      <c r="B6700" s="704" t="s">
        <v>673</v>
      </c>
      <c r="C6700" s="704" t="s">
        <v>757</v>
      </c>
      <c r="D6700" s="704" t="s">
        <v>675</v>
      </c>
      <c r="E6700" s="704" t="s">
        <v>448</v>
      </c>
      <c r="F6700" s="705">
        <v>7.5173782339259861E-3</v>
      </c>
      <c r="G6700" s="705">
        <v>11.264093231981585</v>
      </c>
    </row>
    <row r="6701" spans="2:7" ht="11.25" hidden="1" customHeight="1" outlineLevel="2" x14ac:dyDescent="0.25">
      <c r="B6701" s="704" t="s">
        <v>677</v>
      </c>
      <c r="C6701" s="704" t="s">
        <v>757</v>
      </c>
      <c r="D6701" s="704" t="s">
        <v>675</v>
      </c>
      <c r="E6701" s="704" t="s">
        <v>448</v>
      </c>
      <c r="F6701" s="705">
        <v>0.12603708479081513</v>
      </c>
      <c r="G6701" s="705">
        <v>186.9257999695933</v>
      </c>
    </row>
    <row r="6702" spans="2:7" ht="11.25" hidden="1" customHeight="1" outlineLevel="2" x14ac:dyDescent="0.25">
      <c r="B6702" s="704" t="s">
        <v>678</v>
      </c>
      <c r="C6702" s="704" t="s">
        <v>757</v>
      </c>
      <c r="D6702" s="704" t="s">
        <v>675</v>
      </c>
      <c r="E6702" s="704" t="s">
        <v>448</v>
      </c>
      <c r="F6702" s="705">
        <v>0.28782100757752993</v>
      </c>
      <c r="G6702" s="705">
        <v>432.97922902867367</v>
      </c>
    </row>
    <row r="6703" spans="2:7" ht="11.25" hidden="1" customHeight="1" outlineLevel="2" x14ac:dyDescent="0.25">
      <c r="B6703" s="704" t="s">
        <v>679</v>
      </c>
      <c r="C6703" s="704" t="s">
        <v>757</v>
      </c>
      <c r="D6703" s="704" t="s">
        <v>675</v>
      </c>
      <c r="E6703" s="704" t="s">
        <v>448</v>
      </c>
      <c r="F6703" s="705">
        <v>2.325521162964073E-2</v>
      </c>
      <c r="G6703" s="705">
        <v>35.137177917999239</v>
      </c>
    </row>
    <row r="6704" spans="2:7" ht="11.25" hidden="1" customHeight="1" outlineLevel="2" x14ac:dyDescent="0.25">
      <c r="B6704" s="704" t="s">
        <v>680</v>
      </c>
      <c r="C6704" s="704" t="s">
        <v>757</v>
      </c>
      <c r="D6704" s="704" t="s">
        <v>675</v>
      </c>
      <c r="E6704" s="704" t="s">
        <v>448</v>
      </c>
      <c r="F6704" s="705">
        <v>4.3047189603625437E-3</v>
      </c>
      <c r="G6704" s="705">
        <v>6.5125743718652265</v>
      </c>
    </row>
    <row r="6705" spans="2:7" ht="11.25" hidden="1" customHeight="1" outlineLevel="2" x14ac:dyDescent="0.25">
      <c r="B6705" s="704" t="s">
        <v>681</v>
      </c>
      <c r="C6705" s="704" t="s">
        <v>757</v>
      </c>
      <c r="D6705" s="704" t="s">
        <v>675</v>
      </c>
      <c r="E6705" s="704" t="s">
        <v>448</v>
      </c>
      <c r="F6705" s="705">
        <v>3.6515493829710616E-2</v>
      </c>
      <c r="G6705" s="705">
        <v>54.931510291209484</v>
      </c>
    </row>
    <row r="6706" spans="2:7" ht="11.25" hidden="1" customHeight="1" outlineLevel="2" x14ac:dyDescent="0.25">
      <c r="B6706" s="704" t="s">
        <v>682</v>
      </c>
      <c r="C6706" s="704" t="s">
        <v>757</v>
      </c>
      <c r="D6706" s="704" t="s">
        <v>675</v>
      </c>
      <c r="E6706" s="704" t="s">
        <v>448</v>
      </c>
      <c r="F6706" s="705">
        <v>3.2052119073147284E-2</v>
      </c>
      <c r="G6706" s="705">
        <v>48.22143993860842</v>
      </c>
    </row>
    <row r="6707" spans="2:7" ht="11.25" hidden="1" customHeight="1" outlineLevel="2" x14ac:dyDescent="0.25">
      <c r="B6707" s="704" t="s">
        <v>683</v>
      </c>
      <c r="C6707" s="704" t="s">
        <v>757</v>
      </c>
      <c r="D6707" s="704" t="s">
        <v>675</v>
      </c>
      <c r="E6707" s="704" t="s">
        <v>448</v>
      </c>
      <c r="F6707" s="706">
        <v>5.3003109995902034E-2</v>
      </c>
      <c r="G6707" s="705">
        <v>80.084420762005664</v>
      </c>
    </row>
    <row r="6708" spans="2:7" ht="11.25" hidden="1" customHeight="1" outlineLevel="2" x14ac:dyDescent="0.25">
      <c r="B6708" s="704" t="s">
        <v>684</v>
      </c>
      <c r="C6708" s="704" t="s">
        <v>757</v>
      </c>
      <c r="D6708" s="704" t="s">
        <v>675</v>
      </c>
      <c r="E6708" s="704" t="s">
        <v>448</v>
      </c>
      <c r="F6708" s="706">
        <v>6.909539159596861E-3</v>
      </c>
      <c r="G6708" s="705">
        <v>10.453387497717284</v>
      </c>
    </row>
    <row r="6709" spans="2:7" ht="11.25" hidden="1" customHeight="1" outlineLevel="2" x14ac:dyDescent="0.25">
      <c r="B6709" s="704" t="s">
        <v>685</v>
      </c>
      <c r="C6709" s="704" t="s">
        <v>757</v>
      </c>
      <c r="D6709" s="704" t="s">
        <v>675</v>
      </c>
      <c r="E6709" s="704" t="s">
        <v>448</v>
      </c>
      <c r="F6709" s="706">
        <v>6.3608655322207261E-2</v>
      </c>
      <c r="G6709" s="705">
        <v>96.108742032228008</v>
      </c>
    </row>
    <row r="6710" spans="2:7" ht="11.25" hidden="1" customHeight="1" outlineLevel="2" x14ac:dyDescent="0.25">
      <c r="B6710" s="704" t="s">
        <v>686</v>
      </c>
      <c r="C6710" s="704" t="s">
        <v>757</v>
      </c>
      <c r="D6710" s="704" t="s">
        <v>675</v>
      </c>
      <c r="E6710" s="704" t="s">
        <v>448</v>
      </c>
      <c r="F6710" s="706">
        <v>1.5080007604084037E-2</v>
      </c>
      <c r="G6710" s="705">
        <v>22.595998245146657</v>
      </c>
    </row>
    <row r="6711" spans="2:7" ht="11.25" hidden="1" customHeight="1" outlineLevel="2" x14ac:dyDescent="0.25">
      <c r="B6711" s="704" t="s">
        <v>687</v>
      </c>
      <c r="C6711" s="704" t="s">
        <v>757</v>
      </c>
      <c r="D6711" s="704" t="s">
        <v>675</v>
      </c>
      <c r="E6711" s="704" t="s">
        <v>448</v>
      </c>
      <c r="F6711" s="706">
        <v>7.6940981517430382E-2</v>
      </c>
      <c r="G6711" s="705">
        <v>115.74499382138103</v>
      </c>
    </row>
    <row r="6712" spans="2:7" ht="11.25" hidden="1" customHeight="1" outlineLevel="2" x14ac:dyDescent="0.25">
      <c r="B6712" s="704" t="s">
        <v>688</v>
      </c>
      <c r="C6712" s="704" t="s">
        <v>757</v>
      </c>
      <c r="D6712" s="704" t="s">
        <v>675</v>
      </c>
      <c r="E6712" s="704" t="s">
        <v>448</v>
      </c>
      <c r="F6712" s="706">
        <v>5.5227058949910118E-2</v>
      </c>
      <c r="G6712" s="705">
        <v>83.079966785053074</v>
      </c>
    </row>
    <row r="6713" spans="2:7" ht="11.25" hidden="1" customHeight="1" outlineLevel="2" x14ac:dyDescent="0.25">
      <c r="B6713" s="704" t="s">
        <v>689</v>
      </c>
      <c r="C6713" s="704" t="s">
        <v>757</v>
      </c>
      <c r="D6713" s="704" t="s">
        <v>675</v>
      </c>
      <c r="E6713" s="704" t="s">
        <v>448</v>
      </c>
      <c r="F6713" s="706">
        <v>8.1798528402472464E-3</v>
      </c>
      <c r="G6713" s="705">
        <v>12.283264860607348</v>
      </c>
    </row>
    <row r="6714" spans="2:7" ht="11.25" hidden="1" customHeight="1" outlineLevel="2" x14ac:dyDescent="0.25">
      <c r="B6714" s="704" t="s">
        <v>690</v>
      </c>
      <c r="C6714" s="704" t="s">
        <v>757</v>
      </c>
      <c r="D6714" s="704" t="s">
        <v>675</v>
      </c>
      <c r="E6714" s="704" t="s">
        <v>448</v>
      </c>
      <c r="F6714" s="705">
        <v>0.17898588295493581</v>
      </c>
      <c r="G6714" s="705">
        <v>270.4365567230243</v>
      </c>
    </row>
    <row r="6715" spans="2:7" ht="11.25" hidden="1" customHeight="1" outlineLevel="2" x14ac:dyDescent="0.25">
      <c r="B6715" s="704" t="s">
        <v>691</v>
      </c>
      <c r="C6715" s="704" t="s">
        <v>757</v>
      </c>
      <c r="D6715" s="704" t="s">
        <v>675</v>
      </c>
      <c r="E6715" s="704" t="s">
        <v>448</v>
      </c>
      <c r="F6715" s="705">
        <v>0.20440750781713052</v>
      </c>
      <c r="G6715" s="705">
        <v>308.84719825140365</v>
      </c>
    </row>
    <row r="6716" spans="2:7" ht="11.25" hidden="1" customHeight="1" outlineLevel="2" x14ac:dyDescent="0.25">
      <c r="B6716" s="704" t="s">
        <v>692</v>
      </c>
      <c r="C6716" s="704" t="s">
        <v>757</v>
      </c>
      <c r="D6716" s="704" t="s">
        <v>675</v>
      </c>
      <c r="E6716" s="704" t="s">
        <v>448</v>
      </c>
      <c r="F6716" s="705">
        <v>1.2005711011566219E-2</v>
      </c>
      <c r="G6716" s="705">
        <v>18.060603768148411</v>
      </c>
    </row>
    <row r="6717" spans="2:7" ht="11.25" hidden="1" customHeight="1" outlineLevel="2" x14ac:dyDescent="0.25">
      <c r="B6717" s="704" t="s">
        <v>693</v>
      </c>
      <c r="C6717" s="704" t="s">
        <v>757</v>
      </c>
      <c r="D6717" s="704" t="s">
        <v>675</v>
      </c>
      <c r="E6717" s="704" t="s">
        <v>448</v>
      </c>
      <c r="F6717" s="705">
        <v>2.9799137563480658E-2</v>
      </c>
      <c r="G6717" s="705">
        <v>45.082870029187227</v>
      </c>
    </row>
    <row r="6718" spans="2:7" ht="11.25" hidden="1" customHeight="1" outlineLevel="2" x14ac:dyDescent="0.25">
      <c r="B6718" s="704" t="s">
        <v>694</v>
      </c>
      <c r="C6718" s="704" t="s">
        <v>757</v>
      </c>
      <c r="D6718" s="704" t="s">
        <v>675</v>
      </c>
      <c r="E6718" s="704" t="s">
        <v>448</v>
      </c>
      <c r="F6718" s="705">
        <v>3.3408319455174797E-3</v>
      </c>
      <c r="G6718" s="705">
        <v>5.0543174371653832</v>
      </c>
    </row>
    <row r="6719" spans="2:7" ht="11.25" hidden="1" customHeight="1" outlineLevel="2" x14ac:dyDescent="0.25">
      <c r="B6719" s="704" t="s">
        <v>695</v>
      </c>
      <c r="C6719" s="704" t="s">
        <v>757</v>
      </c>
      <c r="D6719" s="704" t="s">
        <v>675</v>
      </c>
      <c r="E6719" s="704" t="s">
        <v>448</v>
      </c>
      <c r="F6719" s="705">
        <v>1.5846574765203243E-2</v>
      </c>
      <c r="G6719" s="705">
        <v>23.974167065215767</v>
      </c>
    </row>
    <row r="6720" spans="2:7" ht="11.25" hidden="1" customHeight="1" outlineLevel="2" x14ac:dyDescent="0.25">
      <c r="B6720" s="704" t="s">
        <v>696</v>
      </c>
      <c r="C6720" s="704" t="s">
        <v>757</v>
      </c>
      <c r="D6720" s="704" t="s">
        <v>675</v>
      </c>
      <c r="E6720" s="704" t="s">
        <v>448</v>
      </c>
      <c r="F6720" s="705">
        <v>3.9976069578128416E-2</v>
      </c>
      <c r="G6720" s="705">
        <v>59.900436475507803</v>
      </c>
    </row>
    <row r="6721" spans="2:7" ht="11.25" hidden="1" customHeight="1" outlineLevel="2" x14ac:dyDescent="0.25">
      <c r="B6721" s="704" t="s">
        <v>697</v>
      </c>
      <c r="C6721" s="704" t="s">
        <v>757</v>
      </c>
      <c r="D6721" s="704" t="s">
        <v>675</v>
      </c>
      <c r="E6721" s="704" t="s">
        <v>448</v>
      </c>
      <c r="F6721" s="705">
        <v>2.166267153228223E-2</v>
      </c>
      <c r="G6721" s="705">
        <v>32.773275569895773</v>
      </c>
    </row>
    <row r="6722" spans="2:7" ht="11.25" hidden="1" customHeight="1" outlineLevel="2" x14ac:dyDescent="0.25">
      <c r="B6722" s="704" t="s">
        <v>698</v>
      </c>
      <c r="C6722" s="704" t="s">
        <v>757</v>
      </c>
      <c r="D6722" s="704" t="s">
        <v>675</v>
      </c>
      <c r="E6722" s="704" t="s">
        <v>448</v>
      </c>
      <c r="F6722" s="705">
        <v>2.3787504076747408E-2</v>
      </c>
      <c r="G6722" s="705">
        <v>35.987942143022401</v>
      </c>
    </row>
    <row r="6723" spans="2:7" ht="11.25" hidden="1" customHeight="1" outlineLevel="2" x14ac:dyDescent="0.25">
      <c r="B6723" s="704" t="s">
        <v>699</v>
      </c>
      <c r="C6723" s="704" t="s">
        <v>757</v>
      </c>
      <c r="D6723" s="704" t="s">
        <v>675</v>
      </c>
      <c r="E6723" s="704" t="s">
        <v>448</v>
      </c>
      <c r="F6723" s="705">
        <v>7.7763069249459399E-34</v>
      </c>
      <c r="G6723" s="705">
        <v>1.3915771514807513E-30</v>
      </c>
    </row>
    <row r="6724" spans="2:7" ht="11.25" hidden="1" customHeight="1" outlineLevel="2" x14ac:dyDescent="0.25">
      <c r="B6724" s="704" t="s">
        <v>673</v>
      </c>
      <c r="C6724" s="704" t="s">
        <v>758</v>
      </c>
      <c r="D6724" s="704" t="s">
        <v>675</v>
      </c>
      <c r="E6724" s="704" t="s">
        <v>448</v>
      </c>
      <c r="F6724" s="705">
        <v>3.3837862718013156E-3</v>
      </c>
      <c r="G6724" s="705">
        <v>3.8795353341208401</v>
      </c>
    </row>
    <row r="6725" spans="2:7" ht="11.25" hidden="1" customHeight="1" outlineLevel="2" x14ac:dyDescent="0.25">
      <c r="B6725" s="704" t="s">
        <v>677</v>
      </c>
      <c r="C6725" s="704" t="s">
        <v>758</v>
      </c>
      <c r="D6725" s="704" t="s">
        <v>675</v>
      </c>
      <c r="E6725" s="704" t="s">
        <v>448</v>
      </c>
      <c r="F6725" s="705">
        <v>5.6714708037978269E-2</v>
      </c>
      <c r="G6725" s="705">
        <v>64.380251940692716</v>
      </c>
    </row>
    <row r="6726" spans="2:7" ht="11.25" hidden="1" customHeight="1" outlineLevel="2" x14ac:dyDescent="0.25">
      <c r="B6726" s="704" t="s">
        <v>678</v>
      </c>
      <c r="C6726" s="704" t="s">
        <v>758</v>
      </c>
      <c r="D6726" s="704" t="s">
        <v>675</v>
      </c>
      <c r="E6726" s="704" t="s">
        <v>448</v>
      </c>
      <c r="F6726" s="705">
        <v>0.12957251222305702</v>
      </c>
      <c r="G6726" s="705">
        <v>149.12495414457123</v>
      </c>
    </row>
    <row r="6727" spans="2:7" ht="11.25" hidden="1" customHeight="1" outlineLevel="2" x14ac:dyDescent="0.25">
      <c r="B6727" s="704" t="s">
        <v>679</v>
      </c>
      <c r="C6727" s="704" t="s">
        <v>758</v>
      </c>
      <c r="D6727" s="704" t="s">
        <v>675</v>
      </c>
      <c r="E6727" s="704" t="s">
        <v>448</v>
      </c>
      <c r="F6727" s="705">
        <v>1.0470579285291147E-2</v>
      </c>
      <c r="G6727" s="705">
        <v>12.101806082441291</v>
      </c>
    </row>
    <row r="6728" spans="2:7" ht="11.25" hidden="1" customHeight="1" outlineLevel="2" x14ac:dyDescent="0.25">
      <c r="B6728" s="704" t="s">
        <v>680</v>
      </c>
      <c r="C6728" s="704" t="s">
        <v>758</v>
      </c>
      <c r="D6728" s="704" t="s">
        <v>675</v>
      </c>
      <c r="E6728" s="704" t="s">
        <v>448</v>
      </c>
      <c r="F6728" s="705">
        <v>1.9382641194140438E-3</v>
      </c>
      <c r="G6728" s="705">
        <v>2.2430355576999776</v>
      </c>
    </row>
    <row r="6729" spans="2:7" ht="11.25" hidden="1" customHeight="1" outlineLevel="2" x14ac:dyDescent="0.25">
      <c r="B6729" s="704" t="s">
        <v>681</v>
      </c>
      <c r="C6729" s="704" t="s">
        <v>758</v>
      </c>
      <c r="D6729" s="704" t="s">
        <v>675</v>
      </c>
      <c r="E6729" s="704" t="s">
        <v>448</v>
      </c>
      <c r="F6729" s="705">
        <v>1.6438704891780731E-2</v>
      </c>
      <c r="G6729" s="705">
        <v>18.919285776095375</v>
      </c>
    </row>
    <row r="6730" spans="2:7" ht="11.25" hidden="1" customHeight="1" outlineLevel="2" x14ac:dyDescent="0.25">
      <c r="B6730" s="704" t="s">
        <v>682</v>
      </c>
      <c r="C6730" s="704" t="s">
        <v>758</v>
      </c>
      <c r="D6730" s="704" t="s">
        <v>675</v>
      </c>
      <c r="E6730" s="704" t="s">
        <v>448</v>
      </c>
      <c r="F6730" s="705">
        <v>1.4429403233470984E-2</v>
      </c>
      <c r="G6730" s="705">
        <v>16.608240302000493</v>
      </c>
    </row>
    <row r="6731" spans="2:7" ht="11.25" hidden="1" customHeight="1" outlineLevel="2" x14ac:dyDescent="0.25">
      <c r="B6731" s="704" t="s">
        <v>683</v>
      </c>
      <c r="C6731" s="704" t="s">
        <v>758</v>
      </c>
      <c r="D6731" s="704" t="s">
        <v>675</v>
      </c>
      <c r="E6731" s="704" t="s">
        <v>448</v>
      </c>
      <c r="F6731" s="705">
        <v>2.3864471139603903E-2</v>
      </c>
      <c r="G6731" s="705">
        <v>27.58236287768721</v>
      </c>
    </row>
    <row r="6732" spans="2:7" ht="11.25" hidden="1" customHeight="1" outlineLevel="2" x14ac:dyDescent="0.25">
      <c r="B6732" s="704" t="s">
        <v>684</v>
      </c>
      <c r="C6732" s="704" t="s">
        <v>758</v>
      </c>
      <c r="D6732" s="704" t="s">
        <v>675</v>
      </c>
      <c r="E6732" s="704" t="s">
        <v>448</v>
      </c>
      <c r="F6732" s="705">
        <v>3.1111236783028747E-3</v>
      </c>
      <c r="G6732" s="705">
        <v>3.6003139777926267</v>
      </c>
    </row>
    <row r="6733" spans="2:7" ht="11.25" hidden="1" customHeight="1" outlineLevel="2" x14ac:dyDescent="0.25">
      <c r="B6733" s="704" t="s">
        <v>685</v>
      </c>
      <c r="C6733" s="704" t="s">
        <v>758</v>
      </c>
      <c r="D6733" s="704" t="s">
        <v>675</v>
      </c>
      <c r="E6733" s="704" t="s">
        <v>448</v>
      </c>
      <c r="F6733" s="705">
        <v>2.8639583510906463E-2</v>
      </c>
      <c r="G6733" s="705">
        <v>33.101394135101515</v>
      </c>
    </row>
    <row r="6734" spans="2:7" ht="11.25" hidden="1" customHeight="1" outlineLevel="2" x14ac:dyDescent="0.25">
      <c r="B6734" s="704" t="s">
        <v>686</v>
      </c>
      <c r="C6734" s="704" t="s">
        <v>758</v>
      </c>
      <c r="D6734" s="704" t="s">
        <v>675</v>
      </c>
      <c r="E6734" s="704" t="s">
        <v>448</v>
      </c>
      <c r="F6734" s="705">
        <v>6.7879412410316456E-3</v>
      </c>
      <c r="G6734" s="705">
        <v>7.7824231388208034</v>
      </c>
    </row>
    <row r="6735" spans="2:7" ht="11.25" hidden="1" customHeight="1" outlineLevel="2" x14ac:dyDescent="0.25">
      <c r="B6735" s="704" t="s">
        <v>687</v>
      </c>
      <c r="C6735" s="704" t="s">
        <v>758</v>
      </c>
      <c r="D6735" s="704" t="s">
        <v>675</v>
      </c>
      <c r="E6735" s="704" t="s">
        <v>448</v>
      </c>
      <c r="F6735" s="705">
        <v>3.4637629925918852E-2</v>
      </c>
      <c r="G6735" s="705">
        <v>39.864429912580718</v>
      </c>
    </row>
    <row r="6736" spans="2:7" ht="11.25" hidden="1" customHeight="1" outlineLevel="2" x14ac:dyDescent="0.25">
      <c r="B6736" s="704" t="s">
        <v>688</v>
      </c>
      <c r="C6736" s="704" t="s">
        <v>758</v>
      </c>
      <c r="D6736" s="704" t="s">
        <v>675</v>
      </c>
      <c r="E6736" s="704" t="s">
        <v>448</v>
      </c>
      <c r="F6736" s="705">
        <v>2.4862365144279249E-2</v>
      </c>
      <c r="G6736" s="705">
        <v>28.614078743321212</v>
      </c>
    </row>
    <row r="6737" spans="2:7" ht="11.25" hidden="1" customHeight="1" outlineLevel="2" x14ac:dyDescent="0.25">
      <c r="B6737" s="704" t="s">
        <v>689</v>
      </c>
      <c r="C6737" s="704" t="s">
        <v>758</v>
      </c>
      <c r="D6737" s="704" t="s">
        <v>675</v>
      </c>
      <c r="E6737" s="704" t="s">
        <v>448</v>
      </c>
      <c r="F6737" s="705">
        <v>3.6822348382677035E-3</v>
      </c>
      <c r="G6737" s="705">
        <v>4.2305552690390886</v>
      </c>
    </row>
    <row r="6738" spans="2:7" ht="11.25" hidden="1" customHeight="1" outlineLevel="2" x14ac:dyDescent="0.25">
      <c r="B6738" s="704" t="s">
        <v>690</v>
      </c>
      <c r="C6738" s="704" t="s">
        <v>758</v>
      </c>
      <c r="D6738" s="704" t="s">
        <v>675</v>
      </c>
      <c r="E6738" s="704" t="s">
        <v>448</v>
      </c>
      <c r="F6738" s="705">
        <v>8.0587784520916042E-2</v>
      </c>
      <c r="G6738" s="705">
        <v>93.142729529471083</v>
      </c>
    </row>
    <row r="6739" spans="2:7" ht="11.25" hidden="1" customHeight="1" outlineLevel="2" x14ac:dyDescent="0.25">
      <c r="B6739" s="704" t="s">
        <v>691</v>
      </c>
      <c r="C6739" s="704" t="s">
        <v>758</v>
      </c>
      <c r="D6739" s="704" t="s">
        <v>675</v>
      </c>
      <c r="E6739" s="704" t="s">
        <v>448</v>
      </c>
      <c r="F6739" s="705">
        <v>9.2033804787490431E-2</v>
      </c>
      <c r="G6739" s="705">
        <v>106.37190937548402</v>
      </c>
    </row>
    <row r="6740" spans="2:7" ht="11.25" hidden="1" customHeight="1" outlineLevel="2" x14ac:dyDescent="0.25">
      <c r="B6740" s="704" t="s">
        <v>692</v>
      </c>
      <c r="C6740" s="704" t="s">
        <v>758</v>
      </c>
      <c r="D6740" s="704" t="s">
        <v>675</v>
      </c>
      <c r="E6740" s="704" t="s">
        <v>448</v>
      </c>
      <c r="F6740" s="705">
        <v>5.4047830001928464E-3</v>
      </c>
      <c r="G6740" s="705">
        <v>6.2203623999652615</v>
      </c>
    </row>
    <row r="6741" spans="2:7" ht="11.25" hidden="1" customHeight="1" outlineLevel="2" x14ac:dyDescent="0.25">
      <c r="B6741" s="704" t="s">
        <v>693</v>
      </c>
      <c r="C6741" s="704" t="s">
        <v>758</v>
      </c>
      <c r="D6741" s="704" t="s">
        <v>675</v>
      </c>
      <c r="E6741" s="704" t="s">
        <v>448</v>
      </c>
      <c r="F6741" s="705">
        <v>1.3417508529465294E-2</v>
      </c>
      <c r="G6741" s="705">
        <v>15.527263686242458</v>
      </c>
    </row>
    <row r="6742" spans="2:7" ht="11.25" hidden="1" customHeight="1" outlineLevel="2" x14ac:dyDescent="0.25">
      <c r="B6742" s="704" t="s">
        <v>694</v>
      </c>
      <c r="C6742" s="704" t="s">
        <v>758</v>
      </c>
      <c r="D6742" s="704" t="s">
        <v>675</v>
      </c>
      <c r="E6742" s="704" t="s">
        <v>448</v>
      </c>
      <c r="F6742" s="705">
        <v>1.5042597344358415E-3</v>
      </c>
      <c r="G6742" s="705">
        <v>1.7407876606815913</v>
      </c>
    </row>
    <row r="6743" spans="2:7" ht="11.25" hidden="1" customHeight="1" outlineLevel="2" x14ac:dyDescent="0.25">
      <c r="B6743" s="704" t="s">
        <v>695</v>
      </c>
      <c r="C6743" s="704" t="s">
        <v>758</v>
      </c>
      <c r="D6743" s="704" t="s">
        <v>675</v>
      </c>
      <c r="E6743" s="704" t="s">
        <v>448</v>
      </c>
      <c r="F6743" s="705">
        <v>7.1351590296876381E-3</v>
      </c>
      <c r="G6743" s="705">
        <v>8.2570846031404521</v>
      </c>
    </row>
    <row r="6744" spans="2:7" ht="11.25" hidden="1" customHeight="1" outlineLevel="2" x14ac:dyDescent="0.25">
      <c r="B6744" s="704" t="s">
        <v>696</v>
      </c>
      <c r="C6744" s="704" t="s">
        <v>758</v>
      </c>
      <c r="D6744" s="704" t="s">
        <v>675</v>
      </c>
      <c r="E6744" s="704" t="s">
        <v>448</v>
      </c>
      <c r="F6744" s="705">
        <v>1.7994364726166504E-2</v>
      </c>
      <c r="G6744" s="705">
        <v>20.630666281840618</v>
      </c>
    </row>
    <row r="6745" spans="2:7" ht="11.25" hidden="1" customHeight="1" outlineLevel="2" x14ac:dyDescent="0.25">
      <c r="B6745" s="704" t="s">
        <v>697</v>
      </c>
      <c r="C6745" s="704" t="s">
        <v>758</v>
      </c>
      <c r="D6745" s="704" t="s">
        <v>675</v>
      </c>
      <c r="E6745" s="704" t="s">
        <v>448</v>
      </c>
      <c r="F6745" s="705">
        <v>9.7539453380934438E-3</v>
      </c>
      <c r="G6745" s="705">
        <v>11.287642780858933</v>
      </c>
    </row>
    <row r="6746" spans="2:7" ht="11.25" hidden="1" customHeight="1" outlineLevel="2" x14ac:dyDescent="0.25">
      <c r="B6746" s="704" t="s">
        <v>698</v>
      </c>
      <c r="C6746" s="704" t="s">
        <v>758</v>
      </c>
      <c r="D6746" s="704" t="s">
        <v>675</v>
      </c>
      <c r="E6746" s="704" t="s">
        <v>448</v>
      </c>
      <c r="F6746" s="706">
        <v>1.0710682615751609E-2</v>
      </c>
      <c r="G6746" s="705">
        <v>12.394816489272602</v>
      </c>
    </row>
    <row r="6747" spans="2:7" ht="11.25" hidden="1" customHeight="1" outlineLevel="2" x14ac:dyDescent="0.25">
      <c r="B6747" s="704" t="s">
        <v>699</v>
      </c>
      <c r="C6747" s="704" t="s">
        <v>758</v>
      </c>
      <c r="D6747" s="704" t="s">
        <v>675</v>
      </c>
      <c r="E6747" s="704" t="s">
        <v>448</v>
      </c>
      <c r="F6747" s="706">
        <v>2.5840475884423704E-33</v>
      </c>
      <c r="G6747" s="705">
        <v>3.0253925261209732E-30</v>
      </c>
    </row>
    <row r="6748" spans="2:7" ht="11.25" hidden="1" customHeight="1" outlineLevel="2" x14ac:dyDescent="0.25">
      <c r="B6748" s="704" t="s">
        <v>673</v>
      </c>
      <c r="C6748" s="704" t="s">
        <v>759</v>
      </c>
      <c r="D6748" s="704" t="s">
        <v>675</v>
      </c>
      <c r="E6748" s="704" t="s">
        <v>448</v>
      </c>
      <c r="F6748" s="706">
        <v>1.6747018168624526E-2</v>
      </c>
      <c r="G6748" s="705">
        <v>23.460891342720757</v>
      </c>
    </row>
    <row r="6749" spans="2:7" ht="11.25" hidden="1" customHeight="1" outlineLevel="2" x14ac:dyDescent="0.25">
      <c r="B6749" s="704" t="s">
        <v>677</v>
      </c>
      <c r="C6749" s="704" t="s">
        <v>759</v>
      </c>
      <c r="D6749" s="704" t="s">
        <v>675</v>
      </c>
      <c r="E6749" s="704" t="s">
        <v>448</v>
      </c>
      <c r="F6749" s="706">
        <v>0.28082682873278003</v>
      </c>
      <c r="G6749" s="705">
        <v>389.32961734280099</v>
      </c>
    </row>
    <row r="6750" spans="2:7" ht="11.25" hidden="1" customHeight="1" outlineLevel="2" x14ac:dyDescent="0.25">
      <c r="B6750" s="704" t="s">
        <v>678</v>
      </c>
      <c r="C6750" s="704" t="s">
        <v>759</v>
      </c>
      <c r="D6750" s="704" t="s">
        <v>675</v>
      </c>
      <c r="E6750" s="704" t="s">
        <v>448</v>
      </c>
      <c r="F6750" s="706">
        <v>0.64116089945177623</v>
      </c>
      <c r="G6750" s="705">
        <v>901.80992216682216</v>
      </c>
    </row>
    <row r="6751" spans="2:7" ht="11.25" hidden="1" customHeight="1" outlineLevel="2" x14ac:dyDescent="0.25">
      <c r="B6751" s="704" t="s">
        <v>679</v>
      </c>
      <c r="C6751" s="704" t="s">
        <v>759</v>
      </c>
      <c r="D6751" s="704" t="s">
        <v>675</v>
      </c>
      <c r="E6751" s="704" t="s">
        <v>448</v>
      </c>
      <c r="F6751" s="706">
        <v>5.180062972746434E-2</v>
      </c>
      <c r="G6751" s="705">
        <v>73.183844580809122</v>
      </c>
    </row>
    <row r="6752" spans="2:7" ht="11.25" hidden="1" customHeight="1" outlineLevel="2" x14ac:dyDescent="0.25">
      <c r="B6752" s="704" t="s">
        <v>680</v>
      </c>
      <c r="C6752" s="704" t="s">
        <v>759</v>
      </c>
      <c r="D6752" s="704" t="s">
        <v>675</v>
      </c>
      <c r="E6752" s="704" t="s">
        <v>448</v>
      </c>
      <c r="F6752" s="706">
        <v>9.5885012212110019E-3</v>
      </c>
      <c r="G6752" s="705">
        <v>13.56440484841888</v>
      </c>
    </row>
    <row r="6753" spans="2:7" ht="11.25" hidden="1" customHeight="1" outlineLevel="2" x14ac:dyDescent="0.25">
      <c r="B6753" s="704" t="s">
        <v>681</v>
      </c>
      <c r="C6753" s="704" t="s">
        <v>759</v>
      </c>
      <c r="D6753" s="704" t="s">
        <v>675</v>
      </c>
      <c r="E6753" s="704" t="s">
        <v>448</v>
      </c>
      <c r="F6753" s="705">
        <v>8.1343254352802222E-2</v>
      </c>
      <c r="G6753" s="705">
        <v>114.41148213871776</v>
      </c>
    </row>
    <row r="6754" spans="2:7" ht="11.25" hidden="1" customHeight="1" outlineLevel="2" x14ac:dyDescent="0.25">
      <c r="B6754" s="704" t="s">
        <v>682</v>
      </c>
      <c r="C6754" s="704" t="s">
        <v>759</v>
      </c>
      <c r="D6754" s="704" t="s">
        <v>675</v>
      </c>
      <c r="E6754" s="704" t="s">
        <v>448</v>
      </c>
      <c r="F6754" s="705">
        <v>7.1400394219006555E-2</v>
      </c>
      <c r="G6754" s="705">
        <v>100.43578218781363</v>
      </c>
    </row>
    <row r="6755" spans="2:7" ht="11.25" hidden="1" customHeight="1" outlineLevel="2" x14ac:dyDescent="0.25">
      <c r="B6755" s="704" t="s">
        <v>683</v>
      </c>
      <c r="C6755" s="704" t="s">
        <v>759</v>
      </c>
      <c r="D6755" s="704" t="s">
        <v>675</v>
      </c>
      <c r="E6755" s="704" t="s">
        <v>448</v>
      </c>
      <c r="F6755" s="705">
        <v>0.1180636641988477</v>
      </c>
      <c r="G6755" s="705">
        <v>166.79999001972749</v>
      </c>
    </row>
    <row r="6756" spans="2:7" ht="11.25" hidden="1" customHeight="1" outlineLevel="2" x14ac:dyDescent="0.25">
      <c r="B6756" s="704" t="s">
        <v>684</v>
      </c>
      <c r="C6756" s="704" t="s">
        <v>759</v>
      </c>
      <c r="D6756" s="704" t="s">
        <v>675</v>
      </c>
      <c r="E6756" s="704" t="s">
        <v>448</v>
      </c>
      <c r="F6756" s="706">
        <v>1.539058869578485E-2</v>
      </c>
      <c r="G6756" s="705">
        <v>21.772344660952559</v>
      </c>
    </row>
    <row r="6757" spans="2:7" ht="11.25" hidden="1" customHeight="1" outlineLevel="2" x14ac:dyDescent="0.25">
      <c r="B6757" s="704" t="s">
        <v>685</v>
      </c>
      <c r="C6757" s="704" t="s">
        <v>759</v>
      </c>
      <c r="D6757" s="704" t="s">
        <v>675</v>
      </c>
      <c r="E6757" s="704" t="s">
        <v>448</v>
      </c>
      <c r="F6757" s="705">
        <v>0.14168732654455896</v>
      </c>
      <c r="G6757" s="705">
        <v>200.17553285541766</v>
      </c>
    </row>
    <row r="6758" spans="2:7" ht="11.25" hidden="1" customHeight="1" outlineLevel="2" x14ac:dyDescent="0.25">
      <c r="B6758" s="704" t="s">
        <v>686</v>
      </c>
      <c r="C6758" s="704" t="s">
        <v>759</v>
      </c>
      <c r="D6758" s="704" t="s">
        <v>675</v>
      </c>
      <c r="E6758" s="704" t="s">
        <v>448</v>
      </c>
      <c r="F6758" s="705">
        <v>3.3594857959301214E-2</v>
      </c>
      <c r="G6758" s="705">
        <v>47.063000818418864</v>
      </c>
    </row>
    <row r="6759" spans="2:7" ht="11.25" hidden="1" customHeight="1" outlineLevel="2" x14ac:dyDescent="0.25">
      <c r="B6759" s="704" t="s">
        <v>687</v>
      </c>
      <c r="C6759" s="704" t="s">
        <v>759</v>
      </c>
      <c r="D6759" s="704" t="s">
        <v>675</v>
      </c>
      <c r="E6759" s="704" t="s">
        <v>448</v>
      </c>
      <c r="F6759" s="706">
        <v>0.17139657414471449</v>
      </c>
      <c r="G6759" s="705">
        <v>241.07398724205689</v>
      </c>
    </row>
    <row r="6760" spans="2:7" ht="11.25" hidden="1" customHeight="1" outlineLevel="2" x14ac:dyDescent="0.25">
      <c r="B6760" s="704" t="s">
        <v>688</v>
      </c>
      <c r="C6760" s="704" t="s">
        <v>759</v>
      </c>
      <c r="D6760" s="704" t="s">
        <v>675</v>
      </c>
      <c r="E6760" s="704" t="s">
        <v>448</v>
      </c>
      <c r="F6760" s="705">
        <v>0.12302582255976917</v>
      </c>
      <c r="G6760" s="705">
        <v>173.03917063000512</v>
      </c>
    </row>
    <row r="6761" spans="2:7" ht="11.25" hidden="1" customHeight="1" outlineLevel="2" x14ac:dyDescent="0.25">
      <c r="B6761" s="704" t="s">
        <v>689</v>
      </c>
      <c r="C6761" s="704" t="s">
        <v>759</v>
      </c>
      <c r="D6761" s="704" t="s">
        <v>675</v>
      </c>
      <c r="E6761" s="704" t="s">
        <v>448</v>
      </c>
      <c r="F6761" s="705">
        <v>1.822225455249506E-2</v>
      </c>
      <c r="G6761" s="705">
        <v>25.583619473470563</v>
      </c>
    </row>
    <row r="6762" spans="2:7" ht="11.25" hidden="1" customHeight="1" outlineLevel="2" x14ac:dyDescent="0.25">
      <c r="B6762" s="704" t="s">
        <v>690</v>
      </c>
      <c r="C6762" s="704" t="s">
        <v>759</v>
      </c>
      <c r="D6762" s="704" t="s">
        <v>675</v>
      </c>
      <c r="E6762" s="704" t="s">
        <v>448</v>
      </c>
      <c r="F6762" s="705">
        <v>0.39868832658351899</v>
      </c>
      <c r="G6762" s="705">
        <v>563.26590449421019</v>
      </c>
    </row>
    <row r="6763" spans="2:7" ht="11.25" hidden="1" customHeight="1" outlineLevel="2" x14ac:dyDescent="0.25">
      <c r="B6763" s="704" t="s">
        <v>691</v>
      </c>
      <c r="C6763" s="704" t="s">
        <v>759</v>
      </c>
      <c r="D6763" s="704" t="s">
        <v>675</v>
      </c>
      <c r="E6763" s="704" t="s">
        <v>448</v>
      </c>
      <c r="F6763" s="706">
        <v>0.45531476404442262</v>
      </c>
      <c r="G6763" s="705">
        <v>643.26750601179947</v>
      </c>
    </row>
    <row r="6764" spans="2:7" ht="11.25" hidden="1" customHeight="1" outlineLevel="2" x14ac:dyDescent="0.25">
      <c r="B6764" s="704" t="s">
        <v>692</v>
      </c>
      <c r="C6764" s="704" t="s">
        <v>759</v>
      </c>
      <c r="D6764" s="704" t="s">
        <v>675</v>
      </c>
      <c r="E6764" s="704" t="s">
        <v>448</v>
      </c>
      <c r="F6764" s="706">
        <v>2.6744366171713493E-2</v>
      </c>
      <c r="G6764" s="705">
        <v>37.616678066826395</v>
      </c>
    </row>
    <row r="6765" spans="2:7" ht="11.25" hidden="1" customHeight="1" outlineLevel="2" x14ac:dyDescent="0.25">
      <c r="B6765" s="704" t="s">
        <v>693</v>
      </c>
      <c r="C6765" s="704" t="s">
        <v>759</v>
      </c>
      <c r="D6765" s="704" t="s">
        <v>675</v>
      </c>
      <c r="E6765" s="704" t="s">
        <v>448</v>
      </c>
      <c r="F6765" s="706">
        <v>6.6375746536942518E-2</v>
      </c>
      <c r="G6765" s="705">
        <v>93.898745163547716</v>
      </c>
    </row>
    <row r="6766" spans="2:7" ht="11.25" hidden="1" customHeight="1" outlineLevel="2" x14ac:dyDescent="0.25">
      <c r="B6766" s="704" t="s">
        <v>694</v>
      </c>
      <c r="C6766" s="704" t="s">
        <v>759</v>
      </c>
      <c r="D6766" s="704" t="s">
        <v>675</v>
      </c>
      <c r="E6766" s="704" t="s">
        <v>448</v>
      </c>
      <c r="F6766" s="705">
        <v>7.441501409593234E-3</v>
      </c>
      <c r="G6766" s="705">
        <v>10.527148637027233</v>
      </c>
    </row>
    <row r="6767" spans="2:7" ht="11.25" hidden="1" customHeight="1" outlineLevel="2" x14ac:dyDescent="0.25">
      <c r="B6767" s="704" t="s">
        <v>695</v>
      </c>
      <c r="C6767" s="704" t="s">
        <v>759</v>
      </c>
      <c r="D6767" s="704" t="s">
        <v>675</v>
      </c>
      <c r="E6767" s="704" t="s">
        <v>448</v>
      </c>
      <c r="F6767" s="705">
        <v>3.5297288451012966E-2</v>
      </c>
      <c r="G6767" s="705">
        <v>49.933434798063104</v>
      </c>
    </row>
    <row r="6768" spans="2:7" ht="11.25" hidden="1" customHeight="1" outlineLevel="2" x14ac:dyDescent="0.25">
      <c r="B6768" s="704" t="s">
        <v>696</v>
      </c>
      <c r="C6768" s="704" t="s">
        <v>759</v>
      </c>
      <c r="D6768" s="704" t="s">
        <v>675</v>
      </c>
      <c r="E6768" s="704" t="s">
        <v>448</v>
      </c>
      <c r="F6768" s="705">
        <v>8.9057712886010387E-2</v>
      </c>
      <c r="G6768" s="705">
        <v>124.7607678603746</v>
      </c>
    </row>
    <row r="6769" spans="2:7" ht="11.25" hidden="1" customHeight="1" outlineLevel="2" x14ac:dyDescent="0.25">
      <c r="B6769" s="704" t="s">
        <v>697</v>
      </c>
      <c r="C6769" s="704" t="s">
        <v>759</v>
      </c>
      <c r="D6769" s="704" t="s">
        <v>675</v>
      </c>
      <c r="E6769" s="704" t="s">
        <v>448</v>
      </c>
      <c r="F6769" s="705">
        <v>4.8252300828086542E-2</v>
      </c>
      <c r="G6769" s="705">
        <v>68.2602895506312</v>
      </c>
    </row>
    <row r="6770" spans="2:7" ht="11.25" hidden="1" customHeight="1" outlineLevel="2" x14ac:dyDescent="0.25">
      <c r="B6770" s="704" t="s">
        <v>698</v>
      </c>
      <c r="C6770" s="704" t="s">
        <v>759</v>
      </c>
      <c r="D6770" s="704" t="s">
        <v>675</v>
      </c>
      <c r="E6770" s="704" t="s">
        <v>448</v>
      </c>
      <c r="F6770" s="705">
        <v>5.2985247308876077E-2</v>
      </c>
      <c r="G6770" s="705">
        <v>74.95575475688554</v>
      </c>
    </row>
    <row r="6771" spans="2:7" ht="11.25" hidden="1" customHeight="1" outlineLevel="2" x14ac:dyDescent="0.25">
      <c r="B6771" s="704" t="s">
        <v>699</v>
      </c>
      <c r="C6771" s="704" t="s">
        <v>759</v>
      </c>
      <c r="D6771" s="704" t="s">
        <v>675</v>
      </c>
      <c r="E6771" s="704" t="s">
        <v>448</v>
      </c>
      <c r="F6771" s="705">
        <v>5.1595613345166052E-33</v>
      </c>
      <c r="G6771" s="705">
        <v>6.6774071907901284E-30</v>
      </c>
    </row>
    <row r="6772" spans="2:7" ht="11.25" hidden="1" customHeight="1" outlineLevel="2" x14ac:dyDescent="0.25">
      <c r="B6772" s="704" t="s">
        <v>673</v>
      </c>
      <c r="C6772" s="704" t="s">
        <v>760</v>
      </c>
      <c r="D6772" s="704" t="s">
        <v>675</v>
      </c>
      <c r="E6772" s="704" t="s">
        <v>448</v>
      </c>
      <c r="F6772" s="705">
        <v>1.1286243131800254E-2</v>
      </c>
      <c r="G6772" s="705">
        <v>11.238999827008357</v>
      </c>
    </row>
    <row r="6773" spans="2:7" ht="11.25" hidden="1" customHeight="1" outlineLevel="2" x14ac:dyDescent="0.25">
      <c r="B6773" s="704" t="s">
        <v>677</v>
      </c>
      <c r="C6773" s="704" t="s">
        <v>760</v>
      </c>
      <c r="D6773" s="704" t="s">
        <v>675</v>
      </c>
      <c r="E6773" s="704" t="s">
        <v>448</v>
      </c>
      <c r="F6773" s="705">
        <v>0.18925189697909559</v>
      </c>
      <c r="G6773" s="705">
        <v>186.50937383735328</v>
      </c>
    </row>
    <row r="6774" spans="2:7" ht="11.25" hidden="1" customHeight="1" outlineLevel="2" x14ac:dyDescent="0.25">
      <c r="B6774" s="704" t="s">
        <v>678</v>
      </c>
      <c r="C6774" s="704" t="s">
        <v>760</v>
      </c>
      <c r="D6774" s="704" t="s">
        <v>675</v>
      </c>
      <c r="E6774" s="704" t="s">
        <v>448</v>
      </c>
      <c r="F6774" s="705">
        <v>0.43209866156461235</v>
      </c>
      <c r="G6774" s="705">
        <v>432.01425759697133</v>
      </c>
    </row>
    <row r="6775" spans="2:7" ht="11.25" hidden="1" customHeight="1" outlineLevel="2" x14ac:dyDescent="0.25">
      <c r="B6775" s="704" t="s">
        <v>679</v>
      </c>
      <c r="C6775" s="704" t="s">
        <v>760</v>
      </c>
      <c r="D6775" s="704" t="s">
        <v>675</v>
      </c>
      <c r="E6775" s="704" t="s">
        <v>448</v>
      </c>
      <c r="F6775" s="705">
        <v>3.4910440145241244E-2</v>
      </c>
      <c r="G6775" s="705">
        <v>35.058891667753549</v>
      </c>
    </row>
    <row r="6776" spans="2:7" ht="11.25" hidden="1" customHeight="1" outlineLevel="2" x14ac:dyDescent="0.25">
      <c r="B6776" s="704" t="s">
        <v>680</v>
      </c>
      <c r="C6776" s="704" t="s">
        <v>760</v>
      </c>
      <c r="D6776" s="704" t="s">
        <v>675</v>
      </c>
      <c r="E6776" s="704" t="s">
        <v>448</v>
      </c>
      <c r="F6776" s="705">
        <v>6.4620810116543543E-3</v>
      </c>
      <c r="G6776" s="705">
        <v>6.4980637039862694</v>
      </c>
    </row>
    <row r="6777" spans="2:7" ht="11.25" hidden="1" customHeight="1" outlineLevel="2" x14ac:dyDescent="0.25">
      <c r="B6777" s="704" t="s">
        <v>681</v>
      </c>
      <c r="C6777" s="704" t="s">
        <v>760</v>
      </c>
      <c r="D6777" s="704" t="s">
        <v>675</v>
      </c>
      <c r="E6777" s="704" t="s">
        <v>448</v>
      </c>
      <c r="F6777" s="706">
        <v>5.4819799500223101E-2</v>
      </c>
      <c r="G6777" s="705">
        <v>54.809101117093533</v>
      </c>
    </row>
    <row r="6778" spans="2:7" ht="11.25" hidden="1" customHeight="1" outlineLevel="2" x14ac:dyDescent="0.25">
      <c r="B6778" s="704" t="s">
        <v>682</v>
      </c>
      <c r="C6778" s="704" t="s">
        <v>760</v>
      </c>
      <c r="D6778" s="704" t="s">
        <v>675</v>
      </c>
      <c r="E6778" s="704" t="s">
        <v>448</v>
      </c>
      <c r="F6778" s="706">
        <v>4.8118997927598522E-2</v>
      </c>
      <c r="G6778" s="705">
        <v>48.113998625570822</v>
      </c>
    </row>
    <row r="6779" spans="2:7" ht="11.25" hidden="1" customHeight="1" outlineLevel="2" x14ac:dyDescent="0.25">
      <c r="B6779" s="704" t="s">
        <v>683</v>
      </c>
      <c r="C6779" s="704" t="s">
        <v>760</v>
      </c>
      <c r="D6779" s="704" t="s">
        <v>675</v>
      </c>
      <c r="E6779" s="704" t="s">
        <v>448</v>
      </c>
      <c r="F6779" s="705">
        <v>7.9567655962265241E-2</v>
      </c>
      <c r="G6779" s="705">
        <v>79.905997861474361</v>
      </c>
    </row>
    <row r="6780" spans="2:7" ht="11.25" hidden="1" customHeight="1" outlineLevel="2" x14ac:dyDescent="0.25">
      <c r="B6780" s="704" t="s">
        <v>684</v>
      </c>
      <c r="C6780" s="704" t="s">
        <v>760</v>
      </c>
      <c r="D6780" s="704" t="s">
        <v>675</v>
      </c>
      <c r="E6780" s="704" t="s">
        <v>448</v>
      </c>
      <c r="F6780" s="705">
        <v>1.0372338274581111E-2</v>
      </c>
      <c r="G6780" s="705">
        <v>10.430094043917002</v>
      </c>
    </row>
    <row r="6781" spans="2:7" ht="11.25" hidden="1" customHeight="1" outlineLevel="2" x14ac:dyDescent="0.25">
      <c r="B6781" s="704" t="s">
        <v>685</v>
      </c>
      <c r="C6781" s="704" t="s">
        <v>760</v>
      </c>
      <c r="D6781" s="704" t="s">
        <v>675</v>
      </c>
      <c r="E6781" s="704" t="s">
        <v>448</v>
      </c>
      <c r="F6781" s="705">
        <v>9.5488532887982466E-2</v>
      </c>
      <c r="G6781" s="705">
        <v>95.894613702032757</v>
      </c>
    </row>
    <row r="6782" spans="2:7" ht="11.25" hidden="1" customHeight="1" outlineLevel="2" x14ac:dyDescent="0.25">
      <c r="B6782" s="704" t="s">
        <v>686</v>
      </c>
      <c r="C6782" s="704" t="s">
        <v>760</v>
      </c>
      <c r="D6782" s="704" t="s">
        <v>675</v>
      </c>
      <c r="E6782" s="704" t="s">
        <v>448</v>
      </c>
      <c r="F6782" s="705">
        <v>2.2640437548126838E-2</v>
      </c>
      <c r="G6782" s="705">
        <v>22.545640257950499</v>
      </c>
    </row>
    <row r="6783" spans="2:7" ht="11.25" hidden="1" customHeight="1" outlineLevel="2" x14ac:dyDescent="0.25">
      <c r="B6783" s="704" t="s">
        <v>687</v>
      </c>
      <c r="C6783" s="704" t="s">
        <v>760</v>
      </c>
      <c r="D6783" s="704" t="s">
        <v>675</v>
      </c>
      <c r="E6783" s="704" t="s">
        <v>448</v>
      </c>
      <c r="F6783" s="705">
        <v>0.1155095778696419</v>
      </c>
      <c r="G6783" s="705">
        <v>115.48711905502971</v>
      </c>
    </row>
    <row r="6784" spans="2:7" ht="11.25" hidden="1" customHeight="1" outlineLevel="2" x14ac:dyDescent="0.25">
      <c r="B6784" s="704" t="s">
        <v>688</v>
      </c>
      <c r="C6784" s="704" t="s">
        <v>760</v>
      </c>
      <c r="D6784" s="704" t="s">
        <v>675</v>
      </c>
      <c r="E6784" s="704" t="s">
        <v>448</v>
      </c>
      <c r="F6784" s="705">
        <v>8.2911039314939025E-2</v>
      </c>
      <c r="G6784" s="705">
        <v>82.894866255710355</v>
      </c>
    </row>
    <row r="6785" spans="2:7" ht="11.25" hidden="1" customHeight="1" outlineLevel="2" x14ac:dyDescent="0.25">
      <c r="B6785" s="704" t="s">
        <v>689</v>
      </c>
      <c r="C6785" s="704" t="s">
        <v>760</v>
      </c>
      <c r="D6785" s="704" t="s">
        <v>675</v>
      </c>
      <c r="E6785" s="704" t="s">
        <v>448</v>
      </c>
      <c r="F6785" s="705">
        <v>1.2280498620997752E-2</v>
      </c>
      <c r="G6785" s="705">
        <v>12.255897990097637</v>
      </c>
    </row>
    <row r="6786" spans="2:7" ht="11.25" hidden="1" customHeight="1" outlineLevel="2" x14ac:dyDescent="0.25">
      <c r="B6786" s="704" t="s">
        <v>690</v>
      </c>
      <c r="C6786" s="704" t="s">
        <v>760</v>
      </c>
      <c r="D6786" s="704" t="s">
        <v>675</v>
      </c>
      <c r="E6786" s="704" t="s">
        <v>448</v>
      </c>
      <c r="F6786" s="705">
        <v>0.26869145911374259</v>
      </c>
      <c r="G6786" s="705">
        <v>269.83398430372574</v>
      </c>
    </row>
    <row r="6787" spans="2:7" ht="11.25" hidden="1" customHeight="1" outlineLevel="2" x14ac:dyDescent="0.25">
      <c r="B6787" s="704" t="s">
        <v>691</v>
      </c>
      <c r="C6787" s="704" t="s">
        <v>760</v>
      </c>
      <c r="D6787" s="704" t="s">
        <v>675</v>
      </c>
      <c r="E6787" s="704" t="s">
        <v>448</v>
      </c>
      <c r="F6787" s="705">
        <v>0.30685410671388086</v>
      </c>
      <c r="G6787" s="705">
        <v>308.15900092940763</v>
      </c>
    </row>
    <row r="6788" spans="2:7" ht="11.25" hidden="1" customHeight="1" outlineLevel="2" x14ac:dyDescent="0.25">
      <c r="B6788" s="704" t="s">
        <v>692</v>
      </c>
      <c r="C6788" s="704" t="s">
        <v>760</v>
      </c>
      <c r="D6788" s="704" t="s">
        <v>675</v>
      </c>
      <c r="E6788" s="704" t="s">
        <v>448</v>
      </c>
      <c r="F6788" s="705">
        <v>1.8023887461879308E-2</v>
      </c>
      <c r="G6788" s="705">
        <v>18.02036169880089</v>
      </c>
    </row>
    <row r="6789" spans="2:7" ht="11.25" hidden="1" customHeight="1" outlineLevel="2" x14ac:dyDescent="0.25">
      <c r="B6789" s="704" t="s">
        <v>693</v>
      </c>
      <c r="C6789" s="704" t="s">
        <v>760</v>
      </c>
      <c r="D6789" s="704" t="s">
        <v>675</v>
      </c>
      <c r="E6789" s="704" t="s">
        <v>448</v>
      </c>
      <c r="F6789" s="705">
        <v>4.4733322926005251E-2</v>
      </c>
      <c r="G6789" s="705">
        <v>44.982407973433411</v>
      </c>
    </row>
    <row r="6790" spans="2:7" ht="11.25" hidden="1" customHeight="1" outlineLevel="2" x14ac:dyDescent="0.25">
      <c r="B6790" s="704" t="s">
        <v>694</v>
      </c>
      <c r="C6790" s="704" t="s">
        <v>760</v>
      </c>
      <c r="D6790" s="704" t="s">
        <v>675</v>
      </c>
      <c r="E6790" s="704" t="s">
        <v>448</v>
      </c>
      <c r="F6790" s="705">
        <v>5.0151292132669641E-3</v>
      </c>
      <c r="G6790" s="705">
        <v>5.0430541812443321</v>
      </c>
    </row>
    <row r="6791" spans="2:7" ht="11.25" hidden="1" customHeight="1" outlineLevel="2" x14ac:dyDescent="0.25">
      <c r="B6791" s="704" t="s">
        <v>695</v>
      </c>
      <c r="C6791" s="704" t="s">
        <v>760</v>
      </c>
      <c r="D6791" s="704" t="s">
        <v>675</v>
      </c>
      <c r="E6791" s="704" t="s">
        <v>448</v>
      </c>
      <c r="F6791" s="705">
        <v>2.3788278695837134E-2</v>
      </c>
      <c r="G6791" s="705">
        <v>23.920730532378489</v>
      </c>
    </row>
    <row r="6792" spans="2:7" ht="11.25" hidden="1" customHeight="1" outlineLevel="2" x14ac:dyDescent="0.25">
      <c r="B6792" s="704" t="s">
        <v>696</v>
      </c>
      <c r="C6792" s="704" t="s">
        <v>760</v>
      </c>
      <c r="D6792" s="704" t="s">
        <v>675</v>
      </c>
      <c r="E6792" s="704" t="s">
        <v>448</v>
      </c>
      <c r="F6792" s="705">
        <v>6.0018232186042929E-2</v>
      </c>
      <c r="G6792" s="705">
        <v>59.766972301455908</v>
      </c>
    </row>
    <row r="6793" spans="2:7" ht="11.25" hidden="1" customHeight="1" outlineLevel="2" x14ac:dyDescent="0.25">
      <c r="B6793" s="704" t="s">
        <v>697</v>
      </c>
      <c r="C6793" s="704" t="s">
        <v>760</v>
      </c>
      <c r="D6793" s="704" t="s">
        <v>675</v>
      </c>
      <c r="E6793" s="704" t="s">
        <v>448</v>
      </c>
      <c r="F6793" s="705">
        <v>3.2519186615173369E-2</v>
      </c>
      <c r="G6793" s="705">
        <v>32.700249004442604</v>
      </c>
    </row>
    <row r="6794" spans="2:7" ht="11.25" hidden="1" customHeight="1" outlineLevel="2" x14ac:dyDescent="0.25">
      <c r="B6794" s="704" t="s">
        <v>698</v>
      </c>
      <c r="C6794" s="704" t="s">
        <v>760</v>
      </c>
      <c r="D6794" s="704" t="s">
        <v>675</v>
      </c>
      <c r="E6794" s="704" t="s">
        <v>448</v>
      </c>
      <c r="F6794" s="706">
        <v>3.5708910511080716E-2</v>
      </c>
      <c r="G6794" s="705">
        <v>35.907742648303085</v>
      </c>
    </row>
    <row r="6795" spans="2:7" ht="11.25" hidden="1" customHeight="1" outlineLevel="2" x14ac:dyDescent="0.25">
      <c r="B6795" s="704" t="s">
        <v>699</v>
      </c>
      <c r="C6795" s="704" t="s">
        <v>760</v>
      </c>
      <c r="D6795" s="704" t="s">
        <v>675</v>
      </c>
      <c r="E6795" s="704" t="s">
        <v>448</v>
      </c>
      <c r="F6795" s="706">
        <v>2.9121146972715174E-34</v>
      </c>
      <c r="G6795" s="705">
        <v>2.8715258328323827E-31</v>
      </c>
    </row>
    <row r="6796" spans="2:7" ht="11.25" hidden="1" customHeight="1" outlineLevel="2" x14ac:dyDescent="0.25">
      <c r="B6796" s="704" t="s">
        <v>673</v>
      </c>
      <c r="C6796" s="704" t="s">
        <v>761</v>
      </c>
      <c r="D6796" s="704" t="s">
        <v>675</v>
      </c>
      <c r="E6796" s="704" t="s">
        <v>448</v>
      </c>
      <c r="F6796" s="706">
        <v>5.3579418989565565E-4</v>
      </c>
      <c r="G6796" s="705">
        <v>0.89592460058893952</v>
      </c>
    </row>
    <row r="6797" spans="2:7" ht="11.25" hidden="1" customHeight="1" outlineLevel="2" x14ac:dyDescent="0.25">
      <c r="B6797" s="704" t="s">
        <v>677</v>
      </c>
      <c r="C6797" s="704" t="s">
        <v>761</v>
      </c>
      <c r="D6797" s="704" t="s">
        <v>675</v>
      </c>
      <c r="E6797" s="704" t="s">
        <v>448</v>
      </c>
      <c r="F6797" s="706">
        <v>8.9657674816854844E-3</v>
      </c>
      <c r="G6797" s="705">
        <v>14.867727178828478</v>
      </c>
    </row>
    <row r="6798" spans="2:7" ht="11.25" hidden="1" customHeight="1" outlineLevel="2" x14ac:dyDescent="0.25">
      <c r="B6798" s="704" t="s">
        <v>678</v>
      </c>
      <c r="C6798" s="704" t="s">
        <v>761</v>
      </c>
      <c r="D6798" s="704" t="s">
        <v>675</v>
      </c>
      <c r="E6798" s="704" t="s">
        <v>448</v>
      </c>
      <c r="F6798" s="706">
        <v>2.0529574193766002E-2</v>
      </c>
      <c r="G6798" s="705">
        <v>34.438326263909723</v>
      </c>
    </row>
    <row r="6799" spans="2:7" ht="11.25" hidden="1" customHeight="1" outlineLevel="2" x14ac:dyDescent="0.25">
      <c r="B6799" s="704" t="s">
        <v>679</v>
      </c>
      <c r="C6799" s="704" t="s">
        <v>761</v>
      </c>
      <c r="D6799" s="704" t="s">
        <v>675</v>
      </c>
      <c r="E6799" s="704" t="s">
        <v>448</v>
      </c>
      <c r="F6799" s="706">
        <v>1.6601234578053569E-3</v>
      </c>
      <c r="G6799" s="705">
        <v>2.7947439666220744</v>
      </c>
    </row>
    <row r="6800" spans="2:7" ht="11.25" hidden="1" customHeight="1" outlineLevel="2" x14ac:dyDescent="0.25">
      <c r="B6800" s="704" t="s">
        <v>680</v>
      </c>
      <c r="C6800" s="704" t="s">
        <v>761</v>
      </c>
      <c r="D6800" s="704" t="s">
        <v>675</v>
      </c>
      <c r="E6800" s="704" t="s">
        <v>448</v>
      </c>
      <c r="F6800" s="706">
        <v>3.0737755000439295E-4</v>
      </c>
      <c r="G6800" s="705">
        <v>0.51799775422733041</v>
      </c>
    </row>
    <row r="6801" spans="2:7" ht="11.25" hidden="1" customHeight="1" outlineLevel="2" x14ac:dyDescent="0.25">
      <c r="B6801" s="704" t="s">
        <v>681</v>
      </c>
      <c r="C6801" s="704" t="s">
        <v>761</v>
      </c>
      <c r="D6801" s="704" t="s">
        <v>675</v>
      </c>
      <c r="E6801" s="704" t="s">
        <v>448</v>
      </c>
      <c r="F6801" s="706">
        <v>2.6045611025575423E-3</v>
      </c>
      <c r="G6801" s="705">
        <v>4.3691479688194024</v>
      </c>
    </row>
    <row r="6802" spans="2:7" ht="11.25" hidden="1" customHeight="1" outlineLevel="2" x14ac:dyDescent="0.25">
      <c r="B6802" s="704" t="s">
        <v>682</v>
      </c>
      <c r="C6802" s="704" t="s">
        <v>761</v>
      </c>
      <c r="D6802" s="704" t="s">
        <v>675</v>
      </c>
      <c r="E6802" s="704" t="s">
        <v>448</v>
      </c>
      <c r="F6802" s="706">
        <v>2.2862390492979934E-3</v>
      </c>
      <c r="G6802" s="705">
        <v>3.8354411658239922</v>
      </c>
    </row>
    <row r="6803" spans="2:7" ht="11.25" hidden="1" customHeight="1" outlineLevel="2" x14ac:dyDescent="0.25">
      <c r="B6803" s="704" t="s">
        <v>683</v>
      </c>
      <c r="C6803" s="704" t="s">
        <v>761</v>
      </c>
      <c r="D6803" s="704" t="s">
        <v>675</v>
      </c>
      <c r="E6803" s="704" t="s">
        <v>448</v>
      </c>
      <c r="F6803" s="706">
        <v>3.7837429430160824E-3</v>
      </c>
      <c r="G6803" s="705">
        <v>6.3697631192732587</v>
      </c>
    </row>
    <row r="6804" spans="2:7" ht="11.25" hidden="1" customHeight="1" outlineLevel="2" x14ac:dyDescent="0.25">
      <c r="B6804" s="704" t="s">
        <v>684</v>
      </c>
      <c r="C6804" s="704" t="s">
        <v>761</v>
      </c>
      <c r="D6804" s="704" t="s">
        <v>675</v>
      </c>
      <c r="E6804" s="704" t="s">
        <v>448</v>
      </c>
      <c r="F6804" s="705">
        <v>4.9337425256974743E-4</v>
      </c>
      <c r="G6804" s="705">
        <v>0.83144255785814802</v>
      </c>
    </row>
    <row r="6805" spans="2:7" ht="11.25" hidden="1" customHeight="1" outlineLevel="2" x14ac:dyDescent="0.25">
      <c r="B6805" s="704" t="s">
        <v>685</v>
      </c>
      <c r="C6805" s="704" t="s">
        <v>761</v>
      </c>
      <c r="D6805" s="704" t="s">
        <v>675</v>
      </c>
      <c r="E6805" s="704" t="s">
        <v>448</v>
      </c>
      <c r="F6805" s="705">
        <v>4.5408403373922261E-3</v>
      </c>
      <c r="G6805" s="705">
        <v>7.6443069678658704</v>
      </c>
    </row>
    <row r="6806" spans="2:7" ht="11.25" hidden="1" customHeight="1" outlineLevel="2" x14ac:dyDescent="0.25">
      <c r="B6806" s="704" t="s">
        <v>686</v>
      </c>
      <c r="C6806" s="704" t="s">
        <v>761</v>
      </c>
      <c r="D6806" s="704" t="s">
        <v>675</v>
      </c>
      <c r="E6806" s="704" t="s">
        <v>448</v>
      </c>
      <c r="F6806" s="706">
        <v>1.0748136184895712E-3</v>
      </c>
      <c r="G6806" s="705">
        <v>1.7972425642460244</v>
      </c>
    </row>
    <row r="6807" spans="2:7" ht="11.25" hidden="1" customHeight="1" outlineLevel="2" x14ac:dyDescent="0.25">
      <c r="B6807" s="704" t="s">
        <v>687</v>
      </c>
      <c r="C6807" s="704" t="s">
        <v>761</v>
      </c>
      <c r="D6807" s="704" t="s">
        <v>675</v>
      </c>
      <c r="E6807" s="704" t="s">
        <v>448</v>
      </c>
      <c r="F6807" s="705">
        <v>5.4880132209896033E-3</v>
      </c>
      <c r="G6807" s="705">
        <v>9.2061378740414863</v>
      </c>
    </row>
    <row r="6808" spans="2:7" ht="11.25" hidden="1" customHeight="1" outlineLevel="2" x14ac:dyDescent="0.25">
      <c r="B6808" s="704" t="s">
        <v>688</v>
      </c>
      <c r="C6808" s="704" t="s">
        <v>761</v>
      </c>
      <c r="D6808" s="704" t="s">
        <v>675</v>
      </c>
      <c r="E6808" s="704" t="s">
        <v>448</v>
      </c>
      <c r="F6808" s="705">
        <v>3.9392111619041201E-3</v>
      </c>
      <c r="G6808" s="705">
        <v>6.608024508841785</v>
      </c>
    </row>
    <row r="6809" spans="2:7" ht="11.25" hidden="1" customHeight="1" outlineLevel="2" x14ac:dyDescent="0.25">
      <c r="B6809" s="704" t="s">
        <v>689</v>
      </c>
      <c r="C6809" s="704" t="s">
        <v>761</v>
      </c>
      <c r="D6809" s="704" t="s">
        <v>675</v>
      </c>
      <c r="E6809" s="704" t="s">
        <v>448</v>
      </c>
      <c r="F6809" s="705">
        <v>5.8325073242064193E-4</v>
      </c>
      <c r="G6809" s="705">
        <v>0.97698764034384544</v>
      </c>
    </row>
    <row r="6810" spans="2:7" ht="11.25" hidden="1" customHeight="1" outlineLevel="2" x14ac:dyDescent="0.25">
      <c r="B6810" s="704" t="s">
        <v>690</v>
      </c>
      <c r="C6810" s="704" t="s">
        <v>761</v>
      </c>
      <c r="D6810" s="704" t="s">
        <v>675</v>
      </c>
      <c r="E6810" s="704" t="s">
        <v>448</v>
      </c>
      <c r="F6810" s="705">
        <v>1.2777293230573443E-2</v>
      </c>
      <c r="G6810" s="705">
        <v>21.510008590714001</v>
      </c>
    </row>
    <row r="6811" spans="2:7" ht="11.25" hidden="1" customHeight="1" outlineLevel="2" x14ac:dyDescent="0.25">
      <c r="B6811" s="704" t="s">
        <v>691</v>
      </c>
      <c r="C6811" s="704" t="s">
        <v>761</v>
      </c>
      <c r="D6811" s="704" t="s">
        <v>675</v>
      </c>
      <c r="E6811" s="704" t="s">
        <v>448</v>
      </c>
      <c r="F6811" s="705">
        <v>1.4592072382607756E-2</v>
      </c>
      <c r="G6811" s="705">
        <v>24.565110961894387</v>
      </c>
    </row>
    <row r="6812" spans="2:7" ht="11.25" hidden="1" customHeight="1" outlineLevel="2" x14ac:dyDescent="0.25">
      <c r="B6812" s="704" t="s">
        <v>692</v>
      </c>
      <c r="C6812" s="704" t="s">
        <v>761</v>
      </c>
      <c r="D6812" s="704" t="s">
        <v>675</v>
      </c>
      <c r="E6812" s="704" t="s">
        <v>448</v>
      </c>
      <c r="F6812" s="705">
        <v>8.5633817005928913E-4</v>
      </c>
      <c r="G6812" s="705">
        <v>1.436506758695151</v>
      </c>
    </row>
    <row r="6813" spans="2:7" ht="11.25" hidden="1" customHeight="1" outlineLevel="2" x14ac:dyDescent="0.25">
      <c r="B6813" s="704" t="s">
        <v>693</v>
      </c>
      <c r="C6813" s="704" t="s">
        <v>761</v>
      </c>
      <c r="D6813" s="704" t="s">
        <v>675</v>
      </c>
      <c r="E6813" s="704" t="s">
        <v>448</v>
      </c>
      <c r="F6813" s="705">
        <v>2.1278003550200754E-3</v>
      </c>
      <c r="G6813" s="705">
        <v>3.5858058765410328</v>
      </c>
    </row>
    <row r="6814" spans="2:7" ht="11.25" hidden="1" customHeight="1" outlineLevel="2" x14ac:dyDescent="0.25">
      <c r="B6814" s="704" t="s">
        <v>694</v>
      </c>
      <c r="C6814" s="704" t="s">
        <v>761</v>
      </c>
      <c r="D6814" s="704" t="s">
        <v>675</v>
      </c>
      <c r="E6814" s="704" t="s">
        <v>448</v>
      </c>
      <c r="F6814" s="705">
        <v>2.3855140989362164E-4</v>
      </c>
      <c r="G6814" s="705">
        <v>0.40201071551313672</v>
      </c>
    </row>
    <row r="6815" spans="2:7" ht="11.25" hidden="1" customHeight="1" outlineLevel="2" x14ac:dyDescent="0.25">
      <c r="B6815" s="704" t="s">
        <v>695</v>
      </c>
      <c r="C6815" s="704" t="s">
        <v>761</v>
      </c>
      <c r="D6815" s="704" t="s">
        <v>675</v>
      </c>
      <c r="E6815" s="704" t="s">
        <v>448</v>
      </c>
      <c r="F6815" s="705">
        <v>1.1315211996235726E-3</v>
      </c>
      <c r="G6815" s="705">
        <v>1.9068587562907453</v>
      </c>
    </row>
    <row r="6816" spans="2:7" ht="11.25" hidden="1" customHeight="1" outlineLevel="2" x14ac:dyDescent="0.25">
      <c r="B6816" s="704" t="s">
        <v>696</v>
      </c>
      <c r="C6816" s="704" t="s">
        <v>761</v>
      </c>
      <c r="D6816" s="704" t="s">
        <v>675</v>
      </c>
      <c r="E6816" s="704" t="s">
        <v>448</v>
      </c>
      <c r="F6816" s="705">
        <v>2.8492562514666683E-3</v>
      </c>
      <c r="G6816" s="705">
        <v>4.7643667420282796</v>
      </c>
    </row>
    <row r="6817" spans="2:7" ht="11.25" hidden="1" customHeight="1" outlineLevel="2" x14ac:dyDescent="0.25">
      <c r="B6817" s="704" t="s">
        <v>697</v>
      </c>
      <c r="C6817" s="704" t="s">
        <v>761</v>
      </c>
      <c r="D6817" s="704" t="s">
        <v>675</v>
      </c>
      <c r="E6817" s="704" t="s">
        <v>448</v>
      </c>
      <c r="F6817" s="705">
        <v>1.5468187114101122E-3</v>
      </c>
      <c r="G6817" s="705">
        <v>2.6067245892415558</v>
      </c>
    </row>
    <row r="6818" spans="2:7" ht="11.25" hidden="1" customHeight="1" outlineLevel="2" x14ac:dyDescent="0.25">
      <c r="B6818" s="704" t="s">
        <v>698</v>
      </c>
      <c r="C6818" s="704" t="s">
        <v>761</v>
      </c>
      <c r="D6818" s="704" t="s">
        <v>675</v>
      </c>
      <c r="E6818" s="704" t="s">
        <v>448</v>
      </c>
      <c r="F6818" s="705">
        <v>1.698542516892713E-3</v>
      </c>
      <c r="G6818" s="705">
        <v>2.8624113327232807</v>
      </c>
    </row>
    <row r="6819" spans="2:7" ht="11.25" hidden="1" customHeight="1" outlineLevel="2" x14ac:dyDescent="0.25">
      <c r="B6819" s="704" t="s">
        <v>699</v>
      </c>
      <c r="C6819" s="704" t="s">
        <v>761</v>
      </c>
      <c r="D6819" s="704" t="s">
        <v>675</v>
      </c>
      <c r="E6819" s="704" t="s">
        <v>448</v>
      </c>
      <c r="F6819" s="705">
        <v>4.7006865638535548E-34</v>
      </c>
      <c r="G6819" s="705">
        <v>8.1534945445003144E-31</v>
      </c>
    </row>
    <row r="6820" spans="2:7" ht="11.25" hidden="1" customHeight="1" outlineLevel="2" x14ac:dyDescent="0.25">
      <c r="B6820" s="704" t="s">
        <v>673</v>
      </c>
      <c r="C6820" s="704" t="s">
        <v>762</v>
      </c>
      <c r="D6820" s="704" t="s">
        <v>675</v>
      </c>
      <c r="E6820" s="704" t="s">
        <v>448</v>
      </c>
      <c r="F6820" s="705">
        <v>1.0904831015834803E-3</v>
      </c>
      <c r="G6820" s="705">
        <v>1.5191642571694584</v>
      </c>
    </row>
    <row r="6821" spans="2:7" ht="11.25" hidden="1" customHeight="1" outlineLevel="2" x14ac:dyDescent="0.25">
      <c r="B6821" s="704" t="s">
        <v>677</v>
      </c>
      <c r="C6821" s="704" t="s">
        <v>762</v>
      </c>
      <c r="D6821" s="704" t="s">
        <v>675</v>
      </c>
      <c r="E6821" s="704" t="s">
        <v>448</v>
      </c>
      <c r="F6821" s="705">
        <v>1.8283270945554573E-2</v>
      </c>
      <c r="G6821" s="705">
        <v>25.210291456756615</v>
      </c>
    </row>
    <row r="6822" spans="2:7" ht="11.25" hidden="1" customHeight="1" outlineLevel="2" x14ac:dyDescent="0.25">
      <c r="B6822" s="704" t="s">
        <v>678</v>
      </c>
      <c r="C6822" s="704" t="s">
        <v>762</v>
      </c>
      <c r="D6822" s="704" t="s">
        <v>675</v>
      </c>
      <c r="E6822" s="704" t="s">
        <v>448</v>
      </c>
      <c r="F6822" s="705">
        <v>4.1751652859715695E-2</v>
      </c>
      <c r="G6822" s="705">
        <v>58.394976504337286</v>
      </c>
    </row>
    <row r="6823" spans="2:7" ht="11.25" hidden="1" customHeight="1" outlineLevel="2" x14ac:dyDescent="0.25">
      <c r="B6823" s="704" t="s">
        <v>679</v>
      </c>
      <c r="C6823" s="704" t="s">
        <v>762</v>
      </c>
      <c r="D6823" s="704" t="s">
        <v>675</v>
      </c>
      <c r="E6823" s="704" t="s">
        <v>448</v>
      </c>
      <c r="F6823" s="705">
        <v>3.3734167622716969E-3</v>
      </c>
      <c r="G6823" s="705">
        <v>4.7388761966074799</v>
      </c>
    </row>
    <row r="6824" spans="2:7" ht="11.25" hidden="1" customHeight="1" outlineLevel="2" x14ac:dyDescent="0.25">
      <c r="B6824" s="704" t="s">
        <v>680</v>
      </c>
      <c r="C6824" s="704" t="s">
        <v>762</v>
      </c>
      <c r="D6824" s="704" t="s">
        <v>675</v>
      </c>
      <c r="E6824" s="704" t="s">
        <v>448</v>
      </c>
      <c r="F6824" s="705">
        <v>6.2444517856340446E-4</v>
      </c>
      <c r="G6824" s="705">
        <v>0.8783373305359492</v>
      </c>
    </row>
    <row r="6825" spans="2:7" ht="11.25" hidden="1" customHeight="1" outlineLevel="2" x14ac:dyDescent="0.25">
      <c r="B6825" s="704" t="s">
        <v>681</v>
      </c>
      <c r="C6825" s="704" t="s">
        <v>762</v>
      </c>
      <c r="D6825" s="704" t="s">
        <v>675</v>
      </c>
      <c r="E6825" s="704" t="s">
        <v>448</v>
      </c>
      <c r="F6825" s="705">
        <v>5.296978263082181E-3</v>
      </c>
      <c r="G6825" s="705">
        <v>7.4085007171411013</v>
      </c>
    </row>
    <row r="6826" spans="2:7" ht="11.25" hidden="1" customHeight="1" outlineLevel="2" x14ac:dyDescent="0.25">
      <c r="B6826" s="704" t="s">
        <v>682</v>
      </c>
      <c r="C6826" s="704" t="s">
        <v>762</v>
      </c>
      <c r="D6826" s="704" t="s">
        <v>675</v>
      </c>
      <c r="E6826" s="704" t="s">
        <v>448</v>
      </c>
      <c r="F6826" s="705">
        <v>4.7283028008247175E-3</v>
      </c>
      <c r="G6826" s="705">
        <v>6.610965881657429</v>
      </c>
    </row>
    <row r="6827" spans="2:7" ht="11.25" hidden="1" customHeight="1" outlineLevel="2" x14ac:dyDescent="0.25">
      <c r="B6827" s="704" t="s">
        <v>683</v>
      </c>
      <c r="C6827" s="704" t="s">
        <v>762</v>
      </c>
      <c r="D6827" s="704" t="s">
        <v>675</v>
      </c>
      <c r="E6827" s="704" t="s">
        <v>448</v>
      </c>
      <c r="F6827" s="706">
        <v>7.6886721267976571E-3</v>
      </c>
      <c r="G6827" s="705">
        <v>10.800822003592536</v>
      </c>
    </row>
    <row r="6828" spans="2:7" ht="11.25" hidden="1" customHeight="1" outlineLevel="2" x14ac:dyDescent="0.25">
      <c r="B6828" s="704" t="s">
        <v>684</v>
      </c>
      <c r="C6828" s="704" t="s">
        <v>762</v>
      </c>
      <c r="D6828" s="704" t="s">
        <v>675</v>
      </c>
      <c r="E6828" s="704" t="s">
        <v>448</v>
      </c>
      <c r="F6828" s="706">
        <v>1.0023021527877714E-3</v>
      </c>
      <c r="G6828" s="705">
        <v>1.4098264359678729</v>
      </c>
    </row>
    <row r="6829" spans="2:7" ht="11.25" hidden="1" customHeight="1" outlineLevel="2" x14ac:dyDescent="0.25">
      <c r="B6829" s="704" t="s">
        <v>685</v>
      </c>
      <c r="C6829" s="704" t="s">
        <v>762</v>
      </c>
      <c r="D6829" s="704" t="s">
        <v>675</v>
      </c>
      <c r="E6829" s="704" t="s">
        <v>448</v>
      </c>
      <c r="F6829" s="706">
        <v>9.2271153617651605E-3</v>
      </c>
      <c r="G6829" s="705">
        <v>12.96198031772764</v>
      </c>
    </row>
    <row r="6830" spans="2:7" ht="11.25" hidden="1" customHeight="1" outlineLevel="2" x14ac:dyDescent="0.25">
      <c r="B6830" s="704" t="s">
        <v>686</v>
      </c>
      <c r="C6830" s="704" t="s">
        <v>762</v>
      </c>
      <c r="D6830" s="704" t="s">
        <v>675</v>
      </c>
      <c r="E6830" s="704" t="s">
        <v>448</v>
      </c>
      <c r="F6830" s="706">
        <v>2.1875304683466519E-3</v>
      </c>
      <c r="G6830" s="705">
        <v>3.0474743407191718</v>
      </c>
    </row>
    <row r="6831" spans="2:7" ht="11.25" hidden="1" customHeight="1" outlineLevel="2" x14ac:dyDescent="0.25">
      <c r="B6831" s="704" t="s">
        <v>687</v>
      </c>
      <c r="C6831" s="704" t="s">
        <v>762</v>
      </c>
      <c r="D6831" s="704" t="s">
        <v>675</v>
      </c>
      <c r="E6831" s="704" t="s">
        <v>448</v>
      </c>
      <c r="F6831" s="706">
        <v>1.1161146858374897E-2</v>
      </c>
      <c r="G6831" s="705">
        <v>15.610280952334666</v>
      </c>
    </row>
    <row r="6832" spans="2:7" ht="11.25" hidden="1" customHeight="1" outlineLevel="2" x14ac:dyDescent="0.25">
      <c r="B6832" s="704" t="s">
        <v>688</v>
      </c>
      <c r="C6832" s="704" t="s">
        <v>762</v>
      </c>
      <c r="D6832" s="704" t="s">
        <v>675</v>
      </c>
      <c r="E6832" s="704" t="s">
        <v>448</v>
      </c>
      <c r="F6832" s="706">
        <v>8.0113033315182876E-3</v>
      </c>
      <c r="G6832" s="705">
        <v>11.204820651015494</v>
      </c>
    </row>
    <row r="6833" spans="2:7" ht="11.25" hidden="1" customHeight="1" outlineLevel="2" x14ac:dyDescent="0.25">
      <c r="B6833" s="704" t="s">
        <v>689</v>
      </c>
      <c r="C6833" s="704" t="s">
        <v>762</v>
      </c>
      <c r="D6833" s="704" t="s">
        <v>675</v>
      </c>
      <c r="E6833" s="704" t="s">
        <v>448</v>
      </c>
      <c r="F6833" s="705">
        <v>1.1865804259119871E-3</v>
      </c>
      <c r="G6833" s="705">
        <v>1.6566182825901814</v>
      </c>
    </row>
    <row r="6834" spans="2:7" ht="11.25" hidden="1" customHeight="1" outlineLevel="2" x14ac:dyDescent="0.25">
      <c r="B6834" s="704" t="s">
        <v>690</v>
      </c>
      <c r="C6834" s="704" t="s">
        <v>762</v>
      </c>
      <c r="D6834" s="704" t="s">
        <v>675</v>
      </c>
      <c r="E6834" s="704" t="s">
        <v>448</v>
      </c>
      <c r="F6834" s="705">
        <v>2.5963824402120968E-2</v>
      </c>
      <c r="G6834" s="705">
        <v>36.473206045987119</v>
      </c>
    </row>
    <row r="6835" spans="2:7" ht="11.25" hidden="1" customHeight="1" outlineLevel="2" x14ac:dyDescent="0.25">
      <c r="B6835" s="704" t="s">
        <v>691</v>
      </c>
      <c r="C6835" s="704" t="s">
        <v>762</v>
      </c>
      <c r="D6835" s="704" t="s">
        <v>675</v>
      </c>
      <c r="E6835" s="704" t="s">
        <v>448</v>
      </c>
      <c r="F6835" s="705">
        <v>2.9651512352541268E-2</v>
      </c>
      <c r="G6835" s="705">
        <v>41.6535575811968</v>
      </c>
    </row>
    <row r="6836" spans="2:7" ht="11.25" hidden="1" customHeight="1" outlineLevel="2" x14ac:dyDescent="0.25">
      <c r="B6836" s="704" t="s">
        <v>692</v>
      </c>
      <c r="C6836" s="704" t="s">
        <v>762</v>
      </c>
      <c r="D6836" s="704" t="s">
        <v>675</v>
      </c>
      <c r="E6836" s="704" t="s">
        <v>448</v>
      </c>
      <c r="F6836" s="705">
        <v>1.7415631602668662E-3</v>
      </c>
      <c r="G6836" s="705">
        <v>2.4357952855144025</v>
      </c>
    </row>
    <row r="6837" spans="2:7" ht="11.25" hidden="1" customHeight="1" outlineLevel="2" x14ac:dyDescent="0.25">
      <c r="B6837" s="704" t="s">
        <v>693</v>
      </c>
      <c r="C6837" s="704" t="s">
        <v>762</v>
      </c>
      <c r="D6837" s="704" t="s">
        <v>675</v>
      </c>
      <c r="E6837" s="704" t="s">
        <v>448</v>
      </c>
      <c r="F6837" s="705">
        <v>4.322679215563432E-3</v>
      </c>
      <c r="G6837" s="705">
        <v>6.0802321544497824</v>
      </c>
    </row>
    <row r="6838" spans="2:7" ht="11.25" hidden="1" customHeight="1" outlineLevel="2" x14ac:dyDescent="0.25">
      <c r="B6838" s="704" t="s">
        <v>694</v>
      </c>
      <c r="C6838" s="704" t="s">
        <v>762</v>
      </c>
      <c r="D6838" s="704" t="s">
        <v>675</v>
      </c>
      <c r="E6838" s="704" t="s">
        <v>448</v>
      </c>
      <c r="F6838" s="705">
        <v>4.8462311995913426E-4</v>
      </c>
      <c r="G6838" s="705">
        <v>0.68166518477247351</v>
      </c>
    </row>
    <row r="6839" spans="2:7" ht="11.25" hidden="1" customHeight="1" outlineLevel="2" x14ac:dyDescent="0.25">
      <c r="B6839" s="704" t="s">
        <v>695</v>
      </c>
      <c r="C6839" s="704" t="s">
        <v>762</v>
      </c>
      <c r="D6839" s="704" t="s">
        <v>675</v>
      </c>
      <c r="E6839" s="704" t="s">
        <v>448</v>
      </c>
      <c r="F6839" s="705">
        <v>2.2987132387022593E-3</v>
      </c>
      <c r="G6839" s="705">
        <v>3.2333434839988184</v>
      </c>
    </row>
    <row r="6840" spans="2:7" ht="11.25" hidden="1" customHeight="1" outlineLevel="2" x14ac:dyDescent="0.25">
      <c r="B6840" s="704" t="s">
        <v>696</v>
      </c>
      <c r="C6840" s="704" t="s">
        <v>762</v>
      </c>
      <c r="D6840" s="704" t="s">
        <v>675</v>
      </c>
      <c r="E6840" s="704" t="s">
        <v>448</v>
      </c>
      <c r="F6840" s="705">
        <v>5.7989919603569631E-3</v>
      </c>
      <c r="G6840" s="705">
        <v>8.078641449104218</v>
      </c>
    </row>
    <row r="6841" spans="2:7" ht="11.25" hidden="1" customHeight="1" outlineLevel="2" x14ac:dyDescent="0.25">
      <c r="B6841" s="704" t="s">
        <v>697</v>
      </c>
      <c r="C6841" s="704" t="s">
        <v>762</v>
      </c>
      <c r="D6841" s="704" t="s">
        <v>675</v>
      </c>
      <c r="E6841" s="704" t="s">
        <v>448</v>
      </c>
      <c r="F6841" s="705">
        <v>3.1424009511798732E-3</v>
      </c>
      <c r="G6841" s="705">
        <v>4.420062778896849</v>
      </c>
    </row>
    <row r="6842" spans="2:7" ht="11.25" hidden="1" customHeight="1" outlineLevel="2" x14ac:dyDescent="0.25">
      <c r="B6842" s="704" t="s">
        <v>698</v>
      </c>
      <c r="C6842" s="704" t="s">
        <v>762</v>
      </c>
      <c r="D6842" s="704" t="s">
        <v>675</v>
      </c>
      <c r="E6842" s="704" t="s">
        <v>448</v>
      </c>
      <c r="F6842" s="705">
        <v>3.4506305354439931E-3</v>
      </c>
      <c r="G6842" s="705">
        <v>4.8536161518622247</v>
      </c>
    </row>
    <row r="6843" spans="2:7" ht="11.25" hidden="1" customHeight="1" outlineLevel="2" x14ac:dyDescent="0.25">
      <c r="B6843" s="704" t="s">
        <v>699</v>
      </c>
      <c r="C6843" s="704" t="s">
        <v>762</v>
      </c>
      <c r="D6843" s="704" t="s">
        <v>675</v>
      </c>
      <c r="E6843" s="704" t="s">
        <v>448</v>
      </c>
      <c r="F6843" s="705">
        <v>3.8613429593165804E-34</v>
      </c>
      <c r="G6843" s="705">
        <v>7.0591480651042828E-31</v>
      </c>
    </row>
    <row r="6844" spans="2:7" ht="11.25" hidden="1" customHeight="1" outlineLevel="2" x14ac:dyDescent="0.25">
      <c r="B6844" s="704" t="s">
        <v>673</v>
      </c>
      <c r="C6844" s="704" t="s">
        <v>763</v>
      </c>
      <c r="D6844" s="704" t="s">
        <v>675</v>
      </c>
      <c r="E6844" s="704" t="s">
        <v>448</v>
      </c>
      <c r="F6844" s="705">
        <v>4.8405765105927602E-4</v>
      </c>
      <c r="G6844" s="705">
        <v>1.3613086046352181</v>
      </c>
    </row>
    <row r="6845" spans="2:7" ht="11.25" hidden="1" customHeight="1" outlineLevel="2" x14ac:dyDescent="0.25">
      <c r="B6845" s="704" t="s">
        <v>677</v>
      </c>
      <c r="C6845" s="704" t="s">
        <v>763</v>
      </c>
      <c r="D6845" s="704" t="s">
        <v>675</v>
      </c>
      <c r="E6845" s="704" t="s">
        <v>448</v>
      </c>
      <c r="F6845" s="705">
        <v>8.100496467256536E-3</v>
      </c>
      <c r="G6845" s="705">
        <v>22.590694558193594</v>
      </c>
    </row>
    <row r="6846" spans="2:7" ht="11.25" hidden="1" customHeight="1" outlineLevel="2" x14ac:dyDescent="0.25">
      <c r="B6846" s="704" t="s">
        <v>678</v>
      </c>
      <c r="C6846" s="704" t="s">
        <v>763</v>
      </c>
      <c r="D6846" s="704" t="s">
        <v>675</v>
      </c>
      <c r="E6846" s="704" t="s">
        <v>448</v>
      </c>
      <c r="F6846" s="705">
        <v>1.8546819783719328E-2</v>
      </c>
      <c r="G6846" s="705">
        <v>52.327155507770854</v>
      </c>
    </row>
    <row r="6847" spans="2:7" ht="11.25" hidden="1" customHeight="1" outlineLevel="2" x14ac:dyDescent="0.25">
      <c r="B6847" s="704" t="s">
        <v>679</v>
      </c>
      <c r="C6847" s="704" t="s">
        <v>763</v>
      </c>
      <c r="D6847" s="704" t="s">
        <v>675</v>
      </c>
      <c r="E6847" s="704" t="s">
        <v>448</v>
      </c>
      <c r="F6847" s="705">
        <v>1.4997508572044053E-3</v>
      </c>
      <c r="G6847" s="705">
        <v>4.246461301507126</v>
      </c>
    </row>
    <row r="6848" spans="2:7" ht="11.25" hidden="1" customHeight="1" outlineLevel="2" x14ac:dyDescent="0.25">
      <c r="B6848" s="704" t="s">
        <v>680</v>
      </c>
      <c r="C6848" s="704" t="s">
        <v>763</v>
      </c>
      <c r="D6848" s="704" t="s">
        <v>675</v>
      </c>
      <c r="E6848" s="704" t="s">
        <v>448</v>
      </c>
      <c r="F6848" s="705">
        <v>2.7768206507384227E-4</v>
      </c>
      <c r="G6848" s="705">
        <v>0.78706957409165701</v>
      </c>
    </row>
    <row r="6849" spans="2:7" ht="11.25" hidden="1" customHeight="1" outlineLevel="2" x14ac:dyDescent="0.25">
      <c r="B6849" s="704" t="s">
        <v>681</v>
      </c>
      <c r="C6849" s="704" t="s">
        <v>763</v>
      </c>
      <c r="D6849" s="704" t="s">
        <v>675</v>
      </c>
      <c r="E6849" s="704" t="s">
        <v>448</v>
      </c>
      <c r="F6849" s="705">
        <v>2.3530115002435743E-3</v>
      </c>
      <c r="G6849" s="705">
        <v>6.6386846525838967</v>
      </c>
    </row>
    <row r="6850" spans="2:7" ht="11.25" hidden="1" customHeight="1" outlineLevel="2" x14ac:dyDescent="0.25">
      <c r="B6850" s="704" t="s">
        <v>682</v>
      </c>
      <c r="C6850" s="704" t="s">
        <v>763</v>
      </c>
      <c r="D6850" s="704" t="s">
        <v>675</v>
      </c>
      <c r="E6850" s="704" t="s">
        <v>448</v>
      </c>
      <c r="F6850" s="705">
        <v>2.0654320688585212E-3</v>
      </c>
      <c r="G6850" s="705">
        <v>5.8277443009287921</v>
      </c>
    </row>
    <row r="6851" spans="2:7" ht="11.25" hidden="1" customHeight="1" outlineLevel="2" x14ac:dyDescent="0.25">
      <c r="B6851" s="704" t="s">
        <v>683</v>
      </c>
      <c r="C6851" s="704" t="s">
        <v>763</v>
      </c>
      <c r="D6851" s="704" t="s">
        <v>675</v>
      </c>
      <c r="E6851" s="704" t="s">
        <v>448</v>
      </c>
      <c r="F6851" s="705">
        <v>3.4182223827060113E-3</v>
      </c>
      <c r="G6851" s="705">
        <v>9.6785086683750379</v>
      </c>
    </row>
    <row r="6852" spans="2:7" ht="11.25" hidden="1" customHeight="1" outlineLevel="2" x14ac:dyDescent="0.25">
      <c r="B6852" s="704" t="s">
        <v>684</v>
      </c>
      <c r="C6852" s="704" t="s">
        <v>763</v>
      </c>
      <c r="D6852" s="704" t="s">
        <v>675</v>
      </c>
      <c r="E6852" s="704" t="s">
        <v>448</v>
      </c>
      <c r="F6852" s="705">
        <v>4.4570980062055236E-4</v>
      </c>
      <c r="G6852" s="705">
        <v>1.2633311126752076</v>
      </c>
    </row>
    <row r="6853" spans="2:7" ht="11.25" hidden="1" customHeight="1" outlineLevel="2" x14ac:dyDescent="0.25">
      <c r="B6853" s="704" t="s">
        <v>685</v>
      </c>
      <c r="C6853" s="704" t="s">
        <v>763</v>
      </c>
      <c r="D6853" s="704" t="s">
        <v>675</v>
      </c>
      <c r="E6853" s="704" t="s">
        <v>448</v>
      </c>
      <c r="F6853" s="705">
        <v>4.1021840453118255E-3</v>
      </c>
      <c r="G6853" s="705">
        <v>11.61511280779415</v>
      </c>
    </row>
    <row r="6854" spans="2:7" ht="11.25" hidden="1" customHeight="1" outlineLevel="2" x14ac:dyDescent="0.25">
      <c r="B6854" s="704" t="s">
        <v>686</v>
      </c>
      <c r="C6854" s="704" t="s">
        <v>763</v>
      </c>
      <c r="D6854" s="704" t="s">
        <v>675</v>
      </c>
      <c r="E6854" s="704" t="s">
        <v>448</v>
      </c>
      <c r="F6854" s="705">
        <v>9.7102902920359363E-4</v>
      </c>
      <c r="G6854" s="705">
        <v>2.7308114339759579</v>
      </c>
    </row>
    <row r="6855" spans="2:7" ht="11.25" hidden="1" customHeight="1" outlineLevel="2" x14ac:dyDescent="0.25">
      <c r="B6855" s="704" t="s">
        <v>687</v>
      </c>
      <c r="C6855" s="704" t="s">
        <v>763</v>
      </c>
      <c r="D6855" s="704" t="s">
        <v>675</v>
      </c>
      <c r="E6855" s="704" t="s">
        <v>448</v>
      </c>
      <c r="F6855" s="705">
        <v>4.9579801850298836E-3</v>
      </c>
      <c r="G6855" s="705">
        <v>13.988222920148392</v>
      </c>
    </row>
    <row r="6856" spans="2:7" ht="11.25" hidden="1" customHeight="1" outlineLevel="2" x14ac:dyDescent="0.25">
      <c r="B6856" s="704" t="s">
        <v>688</v>
      </c>
      <c r="C6856" s="704" t="s">
        <v>763</v>
      </c>
      <c r="D6856" s="704" t="s">
        <v>675</v>
      </c>
      <c r="E6856" s="704" t="s">
        <v>448</v>
      </c>
      <c r="F6856" s="705">
        <v>3.5587614778928509E-3</v>
      </c>
      <c r="G6856" s="705">
        <v>10.040531045450034</v>
      </c>
    </row>
    <row r="6857" spans="2:7" ht="11.25" hidden="1" customHeight="1" outlineLevel="2" x14ac:dyDescent="0.25">
      <c r="B6857" s="704" t="s">
        <v>689</v>
      </c>
      <c r="C6857" s="704" t="s">
        <v>763</v>
      </c>
      <c r="D6857" s="704" t="s">
        <v>675</v>
      </c>
      <c r="E6857" s="704" t="s">
        <v>448</v>
      </c>
      <c r="F6857" s="705">
        <v>5.2692531099801686E-4</v>
      </c>
      <c r="G6857" s="705">
        <v>1.4844792623393668</v>
      </c>
    </row>
    <row r="6858" spans="2:7" ht="11.25" hidden="1" customHeight="1" outlineLevel="2" x14ac:dyDescent="0.25">
      <c r="B6858" s="704" t="s">
        <v>690</v>
      </c>
      <c r="C6858" s="704" t="s">
        <v>763</v>
      </c>
      <c r="D6858" s="704" t="s">
        <v>675</v>
      </c>
      <c r="E6858" s="704" t="s">
        <v>448</v>
      </c>
      <c r="F6858" s="705">
        <v>1.1542977042526794E-2</v>
      </c>
      <c r="G6858" s="705">
        <v>32.683283541969537</v>
      </c>
    </row>
    <row r="6859" spans="2:7" ht="11.25" hidden="1" customHeight="1" outlineLevel="2" x14ac:dyDescent="0.25">
      <c r="B6859" s="704" t="s">
        <v>691</v>
      </c>
      <c r="C6859" s="704" t="s">
        <v>763</v>
      </c>
      <c r="D6859" s="704" t="s">
        <v>675</v>
      </c>
      <c r="E6859" s="704" t="s">
        <v>448</v>
      </c>
      <c r="F6859" s="705">
        <v>1.318244012631755E-2</v>
      </c>
      <c r="G6859" s="705">
        <v>37.325349481311214</v>
      </c>
    </row>
    <row r="6860" spans="2:7" ht="11.25" hidden="1" customHeight="1" outlineLevel="2" x14ac:dyDescent="0.25">
      <c r="B6860" s="704" t="s">
        <v>692</v>
      </c>
      <c r="C6860" s="704" t="s">
        <v>763</v>
      </c>
      <c r="D6860" s="704" t="s">
        <v>675</v>
      </c>
      <c r="E6860" s="704" t="s">
        <v>448</v>
      </c>
      <c r="F6860" s="705">
        <v>7.7363294790251398E-4</v>
      </c>
      <c r="G6860" s="705">
        <v>2.1826931432762917</v>
      </c>
    </row>
    <row r="6861" spans="2:7" ht="11.25" hidden="1" customHeight="1" outlineLevel="2" x14ac:dyDescent="0.25">
      <c r="B6861" s="704" t="s">
        <v>693</v>
      </c>
      <c r="C6861" s="704" t="s">
        <v>763</v>
      </c>
      <c r="D6861" s="704" t="s">
        <v>675</v>
      </c>
      <c r="E6861" s="704" t="s">
        <v>448</v>
      </c>
      <c r="F6861" s="705">
        <v>1.9222357847168184E-3</v>
      </c>
      <c r="G6861" s="705">
        <v>5.4484362661178789</v>
      </c>
    </row>
    <row r="6862" spans="2:7" ht="11.25" hidden="1" customHeight="1" outlineLevel="2" x14ac:dyDescent="0.25">
      <c r="B6862" s="704" t="s">
        <v>694</v>
      </c>
      <c r="C6862" s="704" t="s">
        <v>763</v>
      </c>
      <c r="D6862" s="704" t="s">
        <v>675</v>
      </c>
      <c r="E6862" s="704" t="s">
        <v>448</v>
      </c>
      <c r="F6862" s="705">
        <v>2.1550512750739077E-4</v>
      </c>
      <c r="G6862" s="705">
        <v>0.61083341678923486</v>
      </c>
    </row>
    <row r="6863" spans="2:7" ht="11.25" hidden="1" customHeight="1" outlineLevel="2" x14ac:dyDescent="0.25">
      <c r="B6863" s="704" t="s">
        <v>695</v>
      </c>
      <c r="C6863" s="704" t="s">
        <v>763</v>
      </c>
      <c r="D6863" s="704" t="s">
        <v>675</v>
      </c>
      <c r="E6863" s="704" t="s">
        <v>448</v>
      </c>
      <c r="F6863" s="705">
        <v>1.0222059355994369E-3</v>
      </c>
      <c r="G6863" s="705">
        <v>2.8973670992681391</v>
      </c>
    </row>
    <row r="6864" spans="2:7" ht="11.25" hidden="1" customHeight="1" outlineLevel="2" x14ac:dyDescent="0.25">
      <c r="B6864" s="704" t="s">
        <v>696</v>
      </c>
      <c r="C6864" s="704" t="s">
        <v>763</v>
      </c>
      <c r="D6864" s="704" t="s">
        <v>675</v>
      </c>
      <c r="E6864" s="704" t="s">
        <v>448</v>
      </c>
      <c r="F6864" s="705">
        <v>2.5741315143140769E-3</v>
      </c>
      <c r="G6864" s="705">
        <v>7.2391944783990683</v>
      </c>
    </row>
    <row r="6865" spans="2:7" ht="11.25" hidden="1" customHeight="1" outlineLevel="2" x14ac:dyDescent="0.25">
      <c r="B6865" s="704" t="s">
        <v>697</v>
      </c>
      <c r="C6865" s="704" t="s">
        <v>763</v>
      </c>
      <c r="D6865" s="704" t="s">
        <v>675</v>
      </c>
      <c r="E6865" s="704" t="s">
        <v>448</v>
      </c>
      <c r="F6865" s="705">
        <v>1.3973820206286444E-3</v>
      </c>
      <c r="G6865" s="705">
        <v>3.9607755637512163</v>
      </c>
    </row>
    <row r="6866" spans="2:7" ht="11.25" hidden="1" customHeight="1" outlineLevel="2" x14ac:dyDescent="0.25">
      <c r="B6866" s="704" t="s">
        <v>698</v>
      </c>
      <c r="C6866" s="704" t="s">
        <v>763</v>
      </c>
      <c r="D6866" s="704" t="s">
        <v>675</v>
      </c>
      <c r="E6866" s="704" t="s">
        <v>448</v>
      </c>
      <c r="F6866" s="705">
        <v>1.5344479293580261E-3</v>
      </c>
      <c r="G6866" s="705">
        <v>4.3492779191203841</v>
      </c>
    </row>
    <row r="6867" spans="2:7" ht="11.25" hidden="1" customHeight="1" outlineLevel="2" x14ac:dyDescent="0.25">
      <c r="B6867" s="704" t="s">
        <v>699</v>
      </c>
      <c r="C6867" s="704" t="s">
        <v>763</v>
      </c>
      <c r="D6867" s="704" t="s">
        <v>675</v>
      </c>
      <c r="E6867" s="704" t="s">
        <v>448</v>
      </c>
      <c r="F6867" s="705">
        <v>8.1554348903242171E-36</v>
      </c>
      <c r="G6867" s="705">
        <v>9.3254471537192438E-32</v>
      </c>
    </row>
    <row r="6868" spans="2:7" ht="11.25" hidden="1" customHeight="1" outlineLevel="2" x14ac:dyDescent="0.25">
      <c r="B6868" s="704" t="s">
        <v>673</v>
      </c>
      <c r="C6868" s="704" t="s">
        <v>764</v>
      </c>
      <c r="D6868" s="704" t="s">
        <v>675</v>
      </c>
      <c r="E6868" s="704" t="s">
        <v>448</v>
      </c>
      <c r="F6868" s="705">
        <v>5.6409125147795073E-4</v>
      </c>
      <c r="G6868" s="705">
        <v>3.2514068607923261</v>
      </c>
    </row>
    <row r="6869" spans="2:7" ht="11.25" hidden="1" customHeight="1" outlineLevel="2" x14ac:dyDescent="0.25">
      <c r="B6869" s="704" t="s">
        <v>677</v>
      </c>
      <c r="C6869" s="704" t="s">
        <v>764</v>
      </c>
      <c r="D6869" s="704" t="s">
        <v>675</v>
      </c>
      <c r="E6869" s="704" t="s">
        <v>448</v>
      </c>
      <c r="F6869" s="705">
        <v>9.446348463655033E-3</v>
      </c>
      <c r="G6869" s="705">
        <v>53.956541496335049</v>
      </c>
    </row>
    <row r="6870" spans="2:7" ht="11.25" hidden="1" customHeight="1" outlineLevel="2" x14ac:dyDescent="0.25">
      <c r="B6870" s="704" t="s">
        <v>678</v>
      </c>
      <c r="C6870" s="704" t="s">
        <v>764</v>
      </c>
      <c r="D6870" s="704" t="s">
        <v>675</v>
      </c>
      <c r="E6870" s="704" t="s">
        <v>448</v>
      </c>
      <c r="F6870" s="705">
        <v>2.1607550131488254E-2</v>
      </c>
      <c r="G6870" s="705">
        <v>124.98039403701344</v>
      </c>
    </row>
    <row r="6871" spans="2:7" ht="11.25" hidden="1" customHeight="1" outlineLevel="2" x14ac:dyDescent="0.25">
      <c r="B6871" s="704" t="s">
        <v>679</v>
      </c>
      <c r="C6871" s="704" t="s">
        <v>764</v>
      </c>
      <c r="D6871" s="704" t="s">
        <v>675</v>
      </c>
      <c r="E6871" s="704" t="s">
        <v>448</v>
      </c>
      <c r="F6871" s="705">
        <v>1.7467315506609802E-3</v>
      </c>
      <c r="G6871" s="705">
        <v>10.142426793158759</v>
      </c>
    </row>
    <row r="6872" spans="2:7" ht="11.25" hidden="1" customHeight="1" outlineLevel="2" x14ac:dyDescent="0.25">
      <c r="B6872" s="704" t="s">
        <v>680</v>
      </c>
      <c r="C6872" s="704" t="s">
        <v>764</v>
      </c>
      <c r="D6872" s="704" t="s">
        <v>675</v>
      </c>
      <c r="E6872" s="704" t="s">
        <v>448</v>
      </c>
      <c r="F6872" s="705">
        <v>3.2338265709310366E-4</v>
      </c>
      <c r="G6872" s="705">
        <v>1.8798694675910603</v>
      </c>
    </row>
    <row r="6873" spans="2:7" ht="11.25" hidden="1" customHeight="1" outlineLevel="2" x14ac:dyDescent="0.25">
      <c r="B6873" s="704" t="s">
        <v>681</v>
      </c>
      <c r="C6873" s="704" t="s">
        <v>764</v>
      </c>
      <c r="D6873" s="704" t="s">
        <v>675</v>
      </c>
      <c r="E6873" s="704" t="s">
        <v>448</v>
      </c>
      <c r="F6873" s="706">
        <v>2.7413229058066771E-3</v>
      </c>
      <c r="G6873" s="705">
        <v>15.856099755703084</v>
      </c>
    </row>
    <row r="6874" spans="2:7" ht="11.25" hidden="1" customHeight="1" outlineLevel="2" x14ac:dyDescent="0.25">
      <c r="B6874" s="704" t="s">
        <v>682</v>
      </c>
      <c r="C6874" s="704" t="s">
        <v>764</v>
      </c>
      <c r="D6874" s="704" t="s">
        <v>675</v>
      </c>
      <c r="E6874" s="704" t="s">
        <v>448</v>
      </c>
      <c r="F6874" s="706">
        <v>2.4062703613937737E-3</v>
      </c>
      <c r="G6874" s="705">
        <v>13.919224995712563</v>
      </c>
    </row>
    <row r="6875" spans="2:7" ht="11.25" hidden="1" customHeight="1" outlineLevel="2" x14ac:dyDescent="0.25">
      <c r="B6875" s="704" t="s">
        <v>683</v>
      </c>
      <c r="C6875" s="704" t="s">
        <v>764</v>
      </c>
      <c r="D6875" s="704" t="s">
        <v>675</v>
      </c>
      <c r="E6875" s="704" t="s">
        <v>448</v>
      </c>
      <c r="F6875" s="706">
        <v>3.981139547486837E-3</v>
      </c>
      <c r="G6875" s="705">
        <v>23.116554286426588</v>
      </c>
    </row>
    <row r="6876" spans="2:7" ht="11.25" hidden="1" customHeight="1" outlineLevel="2" x14ac:dyDescent="0.25">
      <c r="B6876" s="704" t="s">
        <v>684</v>
      </c>
      <c r="C6876" s="704" t="s">
        <v>764</v>
      </c>
      <c r="D6876" s="704" t="s">
        <v>675</v>
      </c>
      <c r="E6876" s="704" t="s">
        <v>448</v>
      </c>
      <c r="F6876" s="706">
        <v>5.1906412412780782E-4</v>
      </c>
      <c r="G6876" s="705">
        <v>3.0173933740784671</v>
      </c>
    </row>
    <row r="6877" spans="2:7" ht="11.25" hidden="1" customHeight="1" outlineLevel="2" x14ac:dyDescent="0.25">
      <c r="B6877" s="704" t="s">
        <v>685</v>
      </c>
      <c r="C6877" s="704" t="s">
        <v>764</v>
      </c>
      <c r="D6877" s="704" t="s">
        <v>675</v>
      </c>
      <c r="E6877" s="704" t="s">
        <v>448</v>
      </c>
      <c r="F6877" s="706">
        <v>4.7777358822459421E-3</v>
      </c>
      <c r="G6877" s="705">
        <v>27.742011109926803</v>
      </c>
    </row>
    <row r="6878" spans="2:7" ht="11.25" hidden="1" customHeight="1" outlineLevel="2" x14ac:dyDescent="0.25">
      <c r="B6878" s="704" t="s">
        <v>686</v>
      </c>
      <c r="C6878" s="704" t="s">
        <v>764</v>
      </c>
      <c r="D6878" s="704" t="s">
        <v>675</v>
      </c>
      <c r="E6878" s="704" t="s">
        <v>448</v>
      </c>
      <c r="F6878" s="706">
        <v>1.1315780640607921E-3</v>
      </c>
      <c r="G6878" s="705">
        <v>6.5223846203098654</v>
      </c>
    </row>
    <row r="6879" spans="2:7" ht="11.25" hidden="1" customHeight="1" outlineLevel="2" x14ac:dyDescent="0.25">
      <c r="B6879" s="704" t="s">
        <v>687</v>
      </c>
      <c r="C6879" s="704" t="s">
        <v>764</v>
      </c>
      <c r="D6879" s="704" t="s">
        <v>675</v>
      </c>
      <c r="E6879" s="704" t="s">
        <v>448</v>
      </c>
      <c r="F6879" s="706">
        <v>5.7761812455473299E-3</v>
      </c>
      <c r="G6879" s="705">
        <v>33.41005399229411</v>
      </c>
    </row>
    <row r="6880" spans="2:7" ht="11.25" hidden="1" customHeight="1" outlineLevel="2" x14ac:dyDescent="0.25">
      <c r="B6880" s="704" t="s">
        <v>688</v>
      </c>
      <c r="C6880" s="704" t="s">
        <v>764</v>
      </c>
      <c r="D6880" s="704" t="s">
        <v>675</v>
      </c>
      <c r="E6880" s="704" t="s">
        <v>448</v>
      </c>
      <c r="F6880" s="706">
        <v>4.1460553240648757E-3</v>
      </c>
      <c r="G6880" s="705">
        <v>23.981224897833314</v>
      </c>
    </row>
    <row r="6881" spans="2:7" ht="11.25" hidden="1" customHeight="1" outlineLevel="2" x14ac:dyDescent="0.25">
      <c r="B6881" s="704" t="s">
        <v>689</v>
      </c>
      <c r="C6881" s="704" t="s">
        <v>764</v>
      </c>
      <c r="D6881" s="704" t="s">
        <v>675</v>
      </c>
      <c r="E6881" s="704" t="s">
        <v>448</v>
      </c>
      <c r="F6881" s="706">
        <v>6.1395669034887868E-4</v>
      </c>
      <c r="G6881" s="705">
        <v>3.5455922172594896</v>
      </c>
    </row>
    <row r="6882" spans="2:7" ht="11.25" hidden="1" customHeight="1" outlineLevel="2" x14ac:dyDescent="0.25">
      <c r="B6882" s="704" t="s">
        <v>690</v>
      </c>
      <c r="C6882" s="704" t="s">
        <v>764</v>
      </c>
      <c r="D6882" s="704" t="s">
        <v>675</v>
      </c>
      <c r="E6882" s="704" t="s">
        <v>448</v>
      </c>
      <c r="F6882" s="706">
        <v>1.3443884662421361E-2</v>
      </c>
      <c r="G6882" s="705">
        <v>78.062115692555381</v>
      </c>
    </row>
    <row r="6883" spans="2:7" ht="11.25" hidden="1" customHeight="1" outlineLevel="2" x14ac:dyDescent="0.25">
      <c r="B6883" s="704" t="s">
        <v>691</v>
      </c>
      <c r="C6883" s="704" t="s">
        <v>764</v>
      </c>
      <c r="D6883" s="704" t="s">
        <v>675</v>
      </c>
      <c r="E6883" s="704" t="s">
        <v>448</v>
      </c>
      <c r="F6883" s="706">
        <v>1.5353339045219674E-2</v>
      </c>
      <c r="G6883" s="705">
        <v>89.14942914289027</v>
      </c>
    </row>
    <row r="6884" spans="2:7" ht="11.25" hidden="1" customHeight="1" outlineLevel="2" x14ac:dyDescent="0.25">
      <c r="B6884" s="704" t="s">
        <v>692</v>
      </c>
      <c r="C6884" s="704" t="s">
        <v>764</v>
      </c>
      <c r="D6884" s="704" t="s">
        <v>675</v>
      </c>
      <c r="E6884" s="704" t="s">
        <v>448</v>
      </c>
      <c r="F6884" s="706">
        <v>9.0130322356434586E-4</v>
      </c>
      <c r="G6884" s="705">
        <v>5.2132310758119624</v>
      </c>
    </row>
    <row r="6885" spans="2:7" ht="11.25" hidden="1" customHeight="1" outlineLevel="2" x14ac:dyDescent="0.25">
      <c r="B6885" s="704" t="s">
        <v>693</v>
      </c>
      <c r="C6885" s="704" t="s">
        <v>764</v>
      </c>
      <c r="D6885" s="704" t="s">
        <v>675</v>
      </c>
      <c r="E6885" s="704" t="s">
        <v>448</v>
      </c>
      <c r="F6885" s="706">
        <v>2.2385956611903372E-3</v>
      </c>
      <c r="G6885" s="705">
        <v>13.01326872656902</v>
      </c>
    </row>
    <row r="6886" spans="2:7" ht="11.25" hidden="1" customHeight="1" outlineLevel="2" x14ac:dyDescent="0.25">
      <c r="B6886" s="704" t="s">
        <v>694</v>
      </c>
      <c r="C6886" s="704" t="s">
        <v>764</v>
      </c>
      <c r="D6886" s="704" t="s">
        <v>675</v>
      </c>
      <c r="E6886" s="704" t="s">
        <v>448</v>
      </c>
      <c r="F6886" s="706">
        <v>2.5097267743868416E-4</v>
      </c>
      <c r="G6886" s="705">
        <v>1.4589399489057251</v>
      </c>
    </row>
    <row r="6887" spans="2:7" ht="11.25" hidden="1" customHeight="1" outlineLevel="2" x14ac:dyDescent="0.25">
      <c r="B6887" s="704" t="s">
        <v>695</v>
      </c>
      <c r="C6887" s="704" t="s">
        <v>764</v>
      </c>
      <c r="D6887" s="704" t="s">
        <v>675</v>
      </c>
      <c r="E6887" s="704" t="s">
        <v>448</v>
      </c>
      <c r="F6887" s="706">
        <v>1.1904390296498379E-3</v>
      </c>
      <c r="G6887" s="705">
        <v>6.920189291243978</v>
      </c>
    </row>
    <row r="6888" spans="2:7" ht="11.25" hidden="1" customHeight="1" outlineLevel="2" x14ac:dyDescent="0.25">
      <c r="B6888" s="704" t="s">
        <v>696</v>
      </c>
      <c r="C6888" s="704" t="s">
        <v>764</v>
      </c>
      <c r="D6888" s="704" t="s">
        <v>675</v>
      </c>
      <c r="E6888" s="704" t="s">
        <v>448</v>
      </c>
      <c r="F6888" s="706">
        <v>2.9997358692300472E-3</v>
      </c>
      <c r="G6888" s="705">
        <v>17.29039935333045</v>
      </c>
    </row>
    <row r="6889" spans="2:7" ht="11.25" hidden="1" customHeight="1" outlineLevel="2" x14ac:dyDescent="0.25">
      <c r="B6889" s="704" t="s">
        <v>697</v>
      </c>
      <c r="C6889" s="704" t="s">
        <v>764</v>
      </c>
      <c r="D6889" s="704" t="s">
        <v>675</v>
      </c>
      <c r="E6889" s="704" t="s">
        <v>448</v>
      </c>
      <c r="F6889" s="706">
        <v>1.6273610453521371E-3</v>
      </c>
      <c r="G6889" s="705">
        <v>9.4600841119494028</v>
      </c>
    </row>
    <row r="6890" spans="2:7" ht="11.25" hidden="1" customHeight="1" outlineLevel="2" x14ac:dyDescent="0.25">
      <c r="B6890" s="704" t="s">
        <v>698</v>
      </c>
      <c r="C6890" s="704" t="s">
        <v>764</v>
      </c>
      <c r="D6890" s="704" t="s">
        <v>675</v>
      </c>
      <c r="E6890" s="704" t="s">
        <v>448</v>
      </c>
      <c r="F6890" s="706">
        <v>1.7869854610084266E-3</v>
      </c>
      <c r="G6890" s="705">
        <v>10.387996124493155</v>
      </c>
    </row>
    <row r="6891" spans="2:7" ht="11.25" hidden="1" customHeight="1" outlineLevel="2" x14ac:dyDescent="0.25">
      <c r="B6891" s="704" t="s">
        <v>699</v>
      </c>
      <c r="C6891" s="704" t="s">
        <v>764</v>
      </c>
      <c r="D6891" s="704" t="s">
        <v>675</v>
      </c>
      <c r="E6891" s="704" t="s">
        <v>448</v>
      </c>
      <c r="F6891" s="706">
        <v>4.504606933838142E-35</v>
      </c>
      <c r="G6891" s="705">
        <v>2.6624500171759199E-31</v>
      </c>
    </row>
    <row r="6892" spans="2:7" ht="11.25" hidden="1" customHeight="1" outlineLevel="2" x14ac:dyDescent="0.25">
      <c r="B6892" s="704" t="s">
        <v>673</v>
      </c>
      <c r="C6892" s="704" t="s">
        <v>765</v>
      </c>
      <c r="D6892" s="704" t="s">
        <v>675</v>
      </c>
      <c r="E6892" s="704" t="s">
        <v>448</v>
      </c>
      <c r="F6892" s="706">
        <v>5.3393198250496999E-3</v>
      </c>
      <c r="G6892" s="705">
        <v>7.7049845249846376</v>
      </c>
    </row>
    <row r="6893" spans="2:7" ht="11.25" hidden="1" customHeight="1" outlineLevel="2" x14ac:dyDescent="0.25">
      <c r="B6893" s="704" t="s">
        <v>677</v>
      </c>
      <c r="C6893" s="704" t="s">
        <v>765</v>
      </c>
      <c r="D6893" s="704" t="s">
        <v>675</v>
      </c>
      <c r="E6893" s="704" t="s">
        <v>448</v>
      </c>
      <c r="F6893" s="706">
        <v>8.9533387765775768E-2</v>
      </c>
      <c r="G6893" s="705">
        <v>127.86298104008107</v>
      </c>
    </row>
    <row r="6894" spans="2:7" ht="11.25" hidden="1" customHeight="1" outlineLevel="2" x14ac:dyDescent="0.25">
      <c r="B6894" s="704" t="s">
        <v>678</v>
      </c>
      <c r="C6894" s="704" t="s">
        <v>765</v>
      </c>
      <c r="D6894" s="704" t="s">
        <v>675</v>
      </c>
      <c r="E6894" s="704" t="s">
        <v>448</v>
      </c>
      <c r="F6894" s="706">
        <v>0.20441628618670513</v>
      </c>
      <c r="G6894" s="705">
        <v>296.1710678964086</v>
      </c>
    </row>
    <row r="6895" spans="2:7" ht="11.25" hidden="1" customHeight="1" outlineLevel="2" x14ac:dyDescent="0.25">
      <c r="B6895" s="704" t="s">
        <v>679</v>
      </c>
      <c r="C6895" s="704" t="s">
        <v>765</v>
      </c>
      <c r="D6895" s="704" t="s">
        <v>675</v>
      </c>
      <c r="E6895" s="704" t="s">
        <v>448</v>
      </c>
      <c r="F6895" s="706">
        <v>1.6515243158937588E-2</v>
      </c>
      <c r="G6895" s="705">
        <v>24.034911341426284</v>
      </c>
    </row>
    <row r="6896" spans="2:7" ht="11.25" hidden="1" customHeight="1" outlineLevel="2" x14ac:dyDescent="0.25">
      <c r="B6896" s="704" t="s">
        <v>680</v>
      </c>
      <c r="C6896" s="704" t="s">
        <v>765</v>
      </c>
      <c r="D6896" s="704" t="s">
        <v>675</v>
      </c>
      <c r="E6896" s="704" t="s">
        <v>448</v>
      </c>
      <c r="F6896" s="706">
        <v>3.057035976378727E-3</v>
      </c>
      <c r="G6896" s="705">
        <v>4.4548029196942709</v>
      </c>
    </row>
    <row r="6897" spans="2:7" ht="11.25" hidden="1" customHeight="1" outlineLevel="2" x14ac:dyDescent="0.25">
      <c r="B6897" s="704" t="s">
        <v>681</v>
      </c>
      <c r="C6897" s="704" t="s">
        <v>765</v>
      </c>
      <c r="D6897" s="704" t="s">
        <v>675</v>
      </c>
      <c r="E6897" s="704" t="s">
        <v>448</v>
      </c>
      <c r="F6897" s="706">
        <v>2.5934053709689479E-2</v>
      </c>
      <c r="G6897" s="705">
        <v>37.574847100157186</v>
      </c>
    </row>
    <row r="6898" spans="2:7" ht="11.25" hidden="1" customHeight="1" outlineLevel="2" x14ac:dyDescent="0.25">
      <c r="B6898" s="704" t="s">
        <v>682</v>
      </c>
      <c r="C6898" s="704" t="s">
        <v>765</v>
      </c>
      <c r="D6898" s="704" t="s">
        <v>675</v>
      </c>
      <c r="E6898" s="704" t="s">
        <v>448</v>
      </c>
      <c r="F6898" s="705">
        <v>2.2764035889633771E-2</v>
      </c>
      <c r="G6898" s="705">
        <v>32.984942815794071</v>
      </c>
    </row>
    <row r="6899" spans="2:7" ht="11.25" hidden="1" customHeight="1" outlineLevel="2" x14ac:dyDescent="0.25">
      <c r="B6899" s="704" t="s">
        <v>683</v>
      </c>
      <c r="C6899" s="704" t="s">
        <v>765</v>
      </c>
      <c r="D6899" s="704" t="s">
        <v>675</v>
      </c>
      <c r="E6899" s="704" t="s">
        <v>448</v>
      </c>
      <c r="F6899" s="705">
        <v>3.7641383045452885E-2</v>
      </c>
      <c r="G6899" s="705">
        <v>54.780258371951433</v>
      </c>
    </row>
    <row r="6900" spans="2:7" ht="11.25" hidden="1" customHeight="1" outlineLevel="2" x14ac:dyDescent="0.25">
      <c r="B6900" s="704" t="s">
        <v>684</v>
      </c>
      <c r="C6900" s="704" t="s">
        <v>765</v>
      </c>
      <c r="D6900" s="704" t="s">
        <v>675</v>
      </c>
      <c r="E6900" s="704" t="s">
        <v>448</v>
      </c>
      <c r="F6900" s="705">
        <v>4.90687233416292E-3</v>
      </c>
      <c r="G6900" s="705">
        <v>7.1504389892337761</v>
      </c>
    </row>
    <row r="6901" spans="2:7" ht="11.25" hidden="1" customHeight="1" outlineLevel="2" x14ac:dyDescent="0.25">
      <c r="B6901" s="704" t="s">
        <v>685</v>
      </c>
      <c r="C6901" s="704" t="s">
        <v>765</v>
      </c>
      <c r="D6901" s="704" t="s">
        <v>675</v>
      </c>
      <c r="E6901" s="704" t="s">
        <v>448</v>
      </c>
      <c r="F6901" s="705">
        <v>4.5173201193825528E-2</v>
      </c>
      <c r="G6901" s="705">
        <v>65.74130502562582</v>
      </c>
    </row>
    <row r="6902" spans="2:7" ht="11.25" hidden="1" customHeight="1" outlineLevel="2" x14ac:dyDescent="0.25">
      <c r="B6902" s="704" t="s">
        <v>686</v>
      </c>
      <c r="C6902" s="704" t="s">
        <v>765</v>
      </c>
      <c r="D6902" s="704" t="s">
        <v>675</v>
      </c>
      <c r="E6902" s="704" t="s">
        <v>448</v>
      </c>
      <c r="F6902" s="705">
        <v>1.0710773256576338E-2</v>
      </c>
      <c r="G6902" s="705">
        <v>15.456357520948826</v>
      </c>
    </row>
    <row r="6903" spans="2:7" ht="11.25" hidden="1" customHeight="1" outlineLevel="2" x14ac:dyDescent="0.25">
      <c r="B6903" s="704" t="s">
        <v>687</v>
      </c>
      <c r="C6903" s="704" t="s">
        <v>765</v>
      </c>
      <c r="D6903" s="704" t="s">
        <v>675</v>
      </c>
      <c r="E6903" s="704" t="s">
        <v>448</v>
      </c>
      <c r="F6903" s="705">
        <v>5.4645117107831986E-2</v>
      </c>
      <c r="G6903" s="705">
        <v>79.173203367900669</v>
      </c>
    </row>
    <row r="6904" spans="2:7" ht="11.25" hidden="1" customHeight="1" outlineLevel="2" x14ac:dyDescent="0.25">
      <c r="B6904" s="704" t="s">
        <v>688</v>
      </c>
      <c r="C6904" s="704" t="s">
        <v>765</v>
      </c>
      <c r="D6904" s="704" t="s">
        <v>675</v>
      </c>
      <c r="E6904" s="704" t="s">
        <v>448</v>
      </c>
      <c r="F6904" s="705">
        <v>3.9223408472152776E-2</v>
      </c>
      <c r="G6904" s="705">
        <v>56.829239228527484</v>
      </c>
    </row>
    <row r="6905" spans="2:7" ht="11.25" hidden="1" customHeight="1" outlineLevel="2" x14ac:dyDescent="0.25">
      <c r="B6905" s="704" t="s">
        <v>689</v>
      </c>
      <c r="C6905" s="704" t="s">
        <v>765</v>
      </c>
      <c r="D6905" s="704" t="s">
        <v>675</v>
      </c>
      <c r="E6905" s="704" t="s">
        <v>448</v>
      </c>
      <c r="F6905" s="705">
        <v>5.8096567224137589E-3</v>
      </c>
      <c r="G6905" s="705">
        <v>8.4021297389685703</v>
      </c>
    </row>
    <row r="6906" spans="2:7" ht="11.25" hidden="1" customHeight="1" outlineLevel="2" x14ac:dyDescent="0.25">
      <c r="B6906" s="704" t="s">
        <v>690</v>
      </c>
      <c r="C6906" s="704" t="s">
        <v>765</v>
      </c>
      <c r="D6906" s="704" t="s">
        <v>675</v>
      </c>
      <c r="E6906" s="704" t="s">
        <v>448</v>
      </c>
      <c r="F6906" s="705">
        <v>0.12711102683176856</v>
      </c>
      <c r="G6906" s="705">
        <v>184.98698119634037</v>
      </c>
    </row>
    <row r="6907" spans="2:7" ht="11.25" hidden="1" customHeight="1" outlineLevel="2" x14ac:dyDescent="0.25">
      <c r="B6907" s="704" t="s">
        <v>691</v>
      </c>
      <c r="C6907" s="704" t="s">
        <v>765</v>
      </c>
      <c r="D6907" s="704" t="s">
        <v>675</v>
      </c>
      <c r="E6907" s="704" t="s">
        <v>448</v>
      </c>
      <c r="F6907" s="705">
        <v>0.14516478400622432</v>
      </c>
      <c r="G6907" s="705">
        <v>211.26091058153278</v>
      </c>
    </row>
    <row r="6908" spans="2:7" ht="11.25" hidden="1" customHeight="1" outlineLevel="2" x14ac:dyDescent="0.25">
      <c r="B6908" s="704" t="s">
        <v>692</v>
      </c>
      <c r="C6908" s="704" t="s">
        <v>765</v>
      </c>
      <c r="D6908" s="704" t="s">
        <v>675</v>
      </c>
      <c r="E6908" s="704" t="s">
        <v>448</v>
      </c>
      <c r="F6908" s="705">
        <v>8.5267046324393678E-3</v>
      </c>
      <c r="G6908" s="705">
        <v>12.354007941666024</v>
      </c>
    </row>
    <row r="6909" spans="2:7" ht="11.25" hidden="1" customHeight="1" outlineLevel="2" x14ac:dyDescent="0.25">
      <c r="B6909" s="704" t="s">
        <v>693</v>
      </c>
      <c r="C6909" s="704" t="s">
        <v>765</v>
      </c>
      <c r="D6909" s="704" t="s">
        <v>675</v>
      </c>
      <c r="E6909" s="704" t="s">
        <v>448</v>
      </c>
      <c r="F6909" s="705">
        <v>2.1162128358370197E-2</v>
      </c>
      <c r="G6909" s="705">
        <v>30.838064647628972</v>
      </c>
    </row>
    <row r="6910" spans="2:7" ht="11.25" hidden="1" customHeight="1" outlineLevel="2" x14ac:dyDescent="0.25">
      <c r="B6910" s="704" t="s">
        <v>694</v>
      </c>
      <c r="C6910" s="704" t="s">
        <v>765</v>
      </c>
      <c r="D6910" s="704" t="s">
        <v>675</v>
      </c>
      <c r="E6910" s="704" t="s">
        <v>448</v>
      </c>
      <c r="F6910" s="705">
        <v>2.3725224419614403E-3</v>
      </c>
      <c r="G6910" s="705">
        <v>3.4573095744893458</v>
      </c>
    </row>
    <row r="6911" spans="2:7" ht="11.25" hidden="1" customHeight="1" outlineLevel="2" x14ac:dyDescent="0.25">
      <c r="B6911" s="704" t="s">
        <v>695</v>
      </c>
      <c r="C6911" s="704" t="s">
        <v>765</v>
      </c>
      <c r="D6911" s="704" t="s">
        <v>675</v>
      </c>
      <c r="E6911" s="704" t="s">
        <v>448</v>
      </c>
      <c r="F6911" s="705">
        <v>1.1253595675030153E-2</v>
      </c>
      <c r="G6911" s="705">
        <v>16.399063992205154</v>
      </c>
    </row>
    <row r="6912" spans="2:7" ht="11.25" hidden="1" customHeight="1" outlineLevel="2" x14ac:dyDescent="0.25">
      <c r="B6912" s="704" t="s">
        <v>696</v>
      </c>
      <c r="C6912" s="704" t="s">
        <v>765</v>
      </c>
      <c r="D6912" s="704" t="s">
        <v>675</v>
      </c>
      <c r="E6912" s="704" t="s">
        <v>448</v>
      </c>
      <c r="F6912" s="705">
        <v>2.8393519904483945E-2</v>
      </c>
      <c r="G6912" s="705">
        <v>40.973764592472335</v>
      </c>
    </row>
    <row r="6913" spans="2:7" ht="11.25" hidden="1" customHeight="1" outlineLevel="2" x14ac:dyDescent="0.25">
      <c r="B6913" s="704" t="s">
        <v>697</v>
      </c>
      <c r="C6913" s="704" t="s">
        <v>765</v>
      </c>
      <c r="D6913" s="704" t="s">
        <v>675</v>
      </c>
      <c r="E6913" s="704" t="s">
        <v>448</v>
      </c>
      <c r="F6913" s="705">
        <v>1.5383942809834896E-2</v>
      </c>
      <c r="G6913" s="705">
        <v>22.417935668409797</v>
      </c>
    </row>
    <row r="6914" spans="2:7" ht="11.25" hidden="1" customHeight="1" outlineLevel="2" x14ac:dyDescent="0.25">
      <c r="B6914" s="704" t="s">
        <v>698</v>
      </c>
      <c r="C6914" s="704" t="s">
        <v>765</v>
      </c>
      <c r="D6914" s="704" t="s">
        <v>675</v>
      </c>
      <c r="E6914" s="704" t="s">
        <v>448</v>
      </c>
      <c r="F6914" s="705">
        <v>1.6892926997875035E-2</v>
      </c>
      <c r="G6914" s="705">
        <v>24.616848747697066</v>
      </c>
    </row>
    <row r="6915" spans="2:7" ht="11.25" hidden="1" customHeight="1" outlineLevel="2" x14ac:dyDescent="0.25">
      <c r="B6915" s="704" t="s">
        <v>699</v>
      </c>
      <c r="C6915" s="704" t="s">
        <v>765</v>
      </c>
      <c r="D6915" s="704" t="s">
        <v>675</v>
      </c>
      <c r="E6915" s="704" t="s">
        <v>448</v>
      </c>
      <c r="F6915" s="705">
        <v>1.1093063311404508E-34</v>
      </c>
      <c r="G6915" s="705">
        <v>1.5540462074317711E-31</v>
      </c>
    </row>
    <row r="6916" spans="2:7" ht="11.25" hidden="1" customHeight="1" outlineLevel="2" x14ac:dyDescent="0.25">
      <c r="B6916" s="704" t="s">
        <v>673</v>
      </c>
      <c r="C6916" s="704" t="s">
        <v>766</v>
      </c>
      <c r="D6916" s="704" t="s">
        <v>675</v>
      </c>
      <c r="E6916" s="704" t="s">
        <v>448</v>
      </c>
      <c r="F6916" s="705">
        <v>3.3103406103199571E-3</v>
      </c>
      <c r="G6916" s="705">
        <v>5.288033336867036</v>
      </c>
    </row>
    <row r="6917" spans="2:7" ht="11.25" hidden="1" customHeight="1" outlineLevel="2" x14ac:dyDescent="0.25">
      <c r="B6917" s="704" t="s">
        <v>677</v>
      </c>
      <c r="C6917" s="704" t="s">
        <v>766</v>
      </c>
      <c r="D6917" s="704" t="s">
        <v>675</v>
      </c>
      <c r="E6917" s="704" t="s">
        <v>448</v>
      </c>
      <c r="F6917" s="705">
        <v>5.5452066675657809E-2</v>
      </c>
      <c r="G6917" s="705">
        <v>87.75405322223088</v>
      </c>
    </row>
    <row r="6918" spans="2:7" ht="11.25" hidden="1" customHeight="1" outlineLevel="2" x14ac:dyDescent="0.25">
      <c r="B6918" s="704" t="s">
        <v>678</v>
      </c>
      <c r="C6918" s="704" t="s">
        <v>766</v>
      </c>
      <c r="D6918" s="704" t="s">
        <v>675</v>
      </c>
      <c r="E6918" s="704" t="s">
        <v>448</v>
      </c>
      <c r="F6918" s="706">
        <v>0.1267880826158829</v>
      </c>
      <c r="G6918" s="705">
        <v>203.26604939188658</v>
      </c>
    </row>
    <row r="6919" spans="2:7" ht="11.25" hidden="1" customHeight="1" outlineLevel="2" x14ac:dyDescent="0.25">
      <c r="B6919" s="704" t="s">
        <v>679</v>
      </c>
      <c r="C6919" s="704" t="s">
        <v>766</v>
      </c>
      <c r="D6919" s="704" t="s">
        <v>675</v>
      </c>
      <c r="E6919" s="704" t="s">
        <v>448</v>
      </c>
      <c r="F6919" s="706">
        <v>1.0248089026993375E-2</v>
      </c>
      <c r="G6919" s="705">
        <v>16.495470047639301</v>
      </c>
    </row>
    <row r="6920" spans="2:7" ht="11.25" hidden="1" customHeight="1" outlineLevel="2" x14ac:dyDescent="0.25">
      <c r="B6920" s="704" t="s">
        <v>680</v>
      </c>
      <c r="C6920" s="704" t="s">
        <v>766</v>
      </c>
      <c r="D6920" s="704" t="s">
        <v>675</v>
      </c>
      <c r="E6920" s="704" t="s">
        <v>448</v>
      </c>
      <c r="F6920" s="706">
        <v>1.8972159504522228E-3</v>
      </c>
      <c r="G6920" s="705">
        <v>3.057387402097441</v>
      </c>
    </row>
    <row r="6921" spans="2:7" ht="11.25" hidden="1" customHeight="1" outlineLevel="2" x14ac:dyDescent="0.25">
      <c r="B6921" s="704" t="s">
        <v>681</v>
      </c>
      <c r="C6921" s="704" t="s">
        <v>766</v>
      </c>
      <c r="D6921" s="704" t="s">
        <v>675</v>
      </c>
      <c r="E6921" s="704" t="s">
        <v>448</v>
      </c>
      <c r="F6921" s="706">
        <v>1.6085444213560004E-2</v>
      </c>
      <c r="G6921" s="705">
        <v>25.788101606617854</v>
      </c>
    </row>
    <row r="6922" spans="2:7" ht="11.25" hidden="1" customHeight="1" outlineLevel="2" x14ac:dyDescent="0.25">
      <c r="B6922" s="704" t="s">
        <v>682</v>
      </c>
      <c r="C6922" s="704" t="s">
        <v>766</v>
      </c>
      <c r="D6922" s="704" t="s">
        <v>675</v>
      </c>
      <c r="E6922" s="704" t="s">
        <v>448</v>
      </c>
      <c r="F6922" s="706">
        <v>1.4119393301794148E-2</v>
      </c>
      <c r="G6922" s="705">
        <v>22.638003707105074</v>
      </c>
    </row>
    <row r="6923" spans="2:7" ht="11.25" hidden="1" customHeight="1" outlineLevel="2" x14ac:dyDescent="0.25">
      <c r="B6923" s="704" t="s">
        <v>683</v>
      </c>
      <c r="C6923" s="704" t="s">
        <v>766</v>
      </c>
      <c r="D6923" s="704" t="s">
        <v>675</v>
      </c>
      <c r="E6923" s="704" t="s">
        <v>448</v>
      </c>
      <c r="F6923" s="706">
        <v>2.3357375775249808E-2</v>
      </c>
      <c r="G6923" s="705">
        <v>37.596380757625482</v>
      </c>
    </row>
    <row r="6924" spans="2:7" ht="11.25" hidden="1" customHeight="1" outlineLevel="2" x14ac:dyDescent="0.25">
      <c r="B6924" s="704" t="s">
        <v>684</v>
      </c>
      <c r="C6924" s="704" t="s">
        <v>766</v>
      </c>
      <c r="D6924" s="704" t="s">
        <v>675</v>
      </c>
      <c r="E6924" s="704" t="s">
        <v>448</v>
      </c>
      <c r="F6924" s="706">
        <v>3.0452370802144259E-3</v>
      </c>
      <c r="G6924" s="705">
        <v>4.9074391607036425</v>
      </c>
    </row>
    <row r="6925" spans="2:7" ht="11.25" hidden="1" customHeight="1" outlineLevel="2" x14ac:dyDescent="0.25">
      <c r="B6925" s="704" t="s">
        <v>685</v>
      </c>
      <c r="C6925" s="704" t="s">
        <v>766</v>
      </c>
      <c r="D6925" s="704" t="s">
        <v>675</v>
      </c>
      <c r="E6925" s="704" t="s">
        <v>448</v>
      </c>
      <c r="F6925" s="705">
        <v>2.8031019134722203E-2</v>
      </c>
      <c r="G6925" s="705">
        <v>45.119141515557111</v>
      </c>
    </row>
    <row r="6926" spans="2:7" ht="11.25" hidden="1" customHeight="1" outlineLevel="2" x14ac:dyDescent="0.25">
      <c r="B6926" s="704" t="s">
        <v>686</v>
      </c>
      <c r="C6926" s="704" t="s">
        <v>766</v>
      </c>
      <c r="D6926" s="704" t="s">
        <v>675</v>
      </c>
      <c r="E6926" s="704" t="s">
        <v>448</v>
      </c>
      <c r="F6926" s="705">
        <v>6.6406083486204841E-3</v>
      </c>
      <c r="G6926" s="705">
        <v>10.607896345828177</v>
      </c>
    </row>
    <row r="6927" spans="2:7" ht="11.25" hidden="1" customHeight="1" outlineLevel="2" x14ac:dyDescent="0.25">
      <c r="B6927" s="704" t="s">
        <v>687</v>
      </c>
      <c r="C6927" s="704" t="s">
        <v>766</v>
      </c>
      <c r="D6927" s="704" t="s">
        <v>675</v>
      </c>
      <c r="E6927" s="704" t="s">
        <v>448</v>
      </c>
      <c r="F6927" s="705">
        <v>3.3893286407440375E-2</v>
      </c>
      <c r="G6927" s="705">
        <v>54.337547976930551</v>
      </c>
    </row>
    <row r="6928" spans="2:7" ht="11.25" hidden="1" customHeight="1" outlineLevel="2" x14ac:dyDescent="0.25">
      <c r="B6928" s="704" t="s">
        <v>688</v>
      </c>
      <c r="C6928" s="704" t="s">
        <v>766</v>
      </c>
      <c r="D6928" s="704" t="s">
        <v>675</v>
      </c>
      <c r="E6928" s="704" t="s">
        <v>448</v>
      </c>
      <c r="F6928" s="705">
        <v>2.4328082004007268E-2</v>
      </c>
      <c r="G6928" s="705">
        <v>39.002672018541062</v>
      </c>
    </row>
    <row r="6929" spans="2:7" ht="11.25" hidden="1" customHeight="1" outlineLevel="2" x14ac:dyDescent="0.25">
      <c r="B6929" s="704" t="s">
        <v>689</v>
      </c>
      <c r="C6929" s="704" t="s">
        <v>766</v>
      </c>
      <c r="D6929" s="704" t="s">
        <v>675</v>
      </c>
      <c r="E6929" s="704" t="s">
        <v>448</v>
      </c>
      <c r="F6929" s="705">
        <v>3.6027456409736328E-3</v>
      </c>
      <c r="G6929" s="705">
        <v>5.7664931887694575</v>
      </c>
    </row>
    <row r="6930" spans="2:7" ht="11.25" hidden="1" customHeight="1" outlineLevel="2" x14ac:dyDescent="0.25">
      <c r="B6930" s="704" t="s">
        <v>690</v>
      </c>
      <c r="C6930" s="704" t="s">
        <v>766</v>
      </c>
      <c r="D6930" s="704" t="s">
        <v>675</v>
      </c>
      <c r="E6930" s="704" t="s">
        <v>448</v>
      </c>
      <c r="F6930" s="705">
        <v>7.8875390416495397E-2</v>
      </c>
      <c r="G6930" s="705">
        <v>126.95896122421105</v>
      </c>
    </row>
    <row r="6931" spans="2:7" ht="11.25" hidden="1" customHeight="1" outlineLevel="2" x14ac:dyDescent="0.25">
      <c r="B6931" s="704" t="s">
        <v>691</v>
      </c>
      <c r="C6931" s="704" t="s">
        <v>766</v>
      </c>
      <c r="D6931" s="704" t="s">
        <v>675</v>
      </c>
      <c r="E6931" s="704" t="s">
        <v>448</v>
      </c>
      <c r="F6931" s="705">
        <v>9.0078171615274011E-2</v>
      </c>
      <c r="G6931" s="705">
        <v>144.99114397208555</v>
      </c>
    </row>
    <row r="6932" spans="2:7" ht="11.25" hidden="1" customHeight="1" outlineLevel="2" x14ac:dyDescent="0.25">
      <c r="B6932" s="704" t="s">
        <v>692</v>
      </c>
      <c r="C6932" s="704" t="s">
        <v>766</v>
      </c>
      <c r="D6932" s="704" t="s">
        <v>675</v>
      </c>
      <c r="E6932" s="704" t="s">
        <v>448</v>
      </c>
      <c r="F6932" s="705">
        <v>5.2886386641339692E-3</v>
      </c>
      <c r="G6932" s="705">
        <v>8.4787187325651416</v>
      </c>
    </row>
    <row r="6933" spans="2:7" ht="11.25" hidden="1" customHeight="1" outlineLevel="2" x14ac:dyDescent="0.25">
      <c r="B6933" s="704" t="s">
        <v>693</v>
      </c>
      <c r="C6933" s="704" t="s">
        <v>766</v>
      </c>
      <c r="D6933" s="704" t="s">
        <v>675</v>
      </c>
      <c r="E6933" s="704" t="s">
        <v>448</v>
      </c>
      <c r="F6933" s="705">
        <v>1.3133351097044383E-2</v>
      </c>
      <c r="G6933" s="705">
        <v>21.164566221096404</v>
      </c>
    </row>
    <row r="6934" spans="2:7" ht="11.25" hidden="1" customHeight="1" outlineLevel="2" x14ac:dyDescent="0.25">
      <c r="B6934" s="704" t="s">
        <v>694</v>
      </c>
      <c r="C6934" s="704" t="s">
        <v>766</v>
      </c>
      <c r="D6934" s="704" t="s">
        <v>675</v>
      </c>
      <c r="E6934" s="704" t="s">
        <v>448</v>
      </c>
      <c r="F6934" s="705">
        <v>1.4724029773079436E-3</v>
      </c>
      <c r="G6934" s="705">
        <v>2.3727957349666298</v>
      </c>
    </row>
    <row r="6935" spans="2:7" ht="11.25" hidden="1" customHeight="1" outlineLevel="2" x14ac:dyDescent="0.25">
      <c r="B6935" s="704" t="s">
        <v>695</v>
      </c>
      <c r="C6935" s="704" t="s">
        <v>766</v>
      </c>
      <c r="D6935" s="704" t="s">
        <v>675</v>
      </c>
      <c r="E6935" s="704" t="s">
        <v>448</v>
      </c>
      <c r="F6935" s="705">
        <v>6.9840520178042417E-3</v>
      </c>
      <c r="G6935" s="705">
        <v>11.25488556841451</v>
      </c>
    </row>
    <row r="6936" spans="2:7" ht="11.25" hidden="1" customHeight="1" outlineLevel="2" x14ac:dyDescent="0.25">
      <c r="B6936" s="704" t="s">
        <v>696</v>
      </c>
      <c r="C6936" s="704" t="s">
        <v>766</v>
      </c>
      <c r="D6936" s="704" t="s">
        <v>675</v>
      </c>
      <c r="E6936" s="704" t="s">
        <v>448</v>
      </c>
      <c r="F6936" s="705">
        <v>1.7603790575566686E-2</v>
      </c>
      <c r="G6936" s="705">
        <v>28.12081523578625</v>
      </c>
    </row>
    <row r="6937" spans="2:7" ht="11.25" hidden="1" customHeight="1" outlineLevel="2" x14ac:dyDescent="0.25">
      <c r="B6937" s="704" t="s">
        <v>697</v>
      </c>
      <c r="C6937" s="704" t="s">
        <v>766</v>
      </c>
      <c r="D6937" s="704" t="s">
        <v>675</v>
      </c>
      <c r="E6937" s="704" t="s">
        <v>448</v>
      </c>
      <c r="F6937" s="705">
        <v>9.5473763614551642E-3</v>
      </c>
      <c r="G6937" s="705">
        <v>15.385721142870356</v>
      </c>
    </row>
    <row r="6938" spans="2:7" ht="11.25" hidden="1" customHeight="1" outlineLevel="2" x14ac:dyDescent="0.25">
      <c r="B6938" s="704" t="s">
        <v>698</v>
      </c>
      <c r="C6938" s="704" t="s">
        <v>766</v>
      </c>
      <c r="D6938" s="704" t="s">
        <v>675</v>
      </c>
      <c r="E6938" s="704" t="s">
        <v>448</v>
      </c>
      <c r="F6938" s="705">
        <v>1.0483854868132024E-2</v>
      </c>
      <c r="G6938" s="705">
        <v>16.894870028766086</v>
      </c>
    </row>
    <row r="6939" spans="2:7" ht="11.25" hidden="1" customHeight="1" outlineLevel="2" x14ac:dyDescent="0.25">
      <c r="B6939" s="704" t="s">
        <v>699</v>
      </c>
      <c r="C6939" s="704" t="s">
        <v>766</v>
      </c>
      <c r="D6939" s="704" t="s">
        <v>675</v>
      </c>
      <c r="E6939" s="704" t="s">
        <v>448</v>
      </c>
      <c r="F6939" s="705">
        <v>9.9999841675024043E-33</v>
      </c>
      <c r="G6939" s="705">
        <v>1.3023641966440594E-29</v>
      </c>
    </row>
    <row r="6940" spans="2:7" ht="11.25" hidden="1" customHeight="1" outlineLevel="2" x14ac:dyDescent="0.25">
      <c r="B6940" s="704" t="s">
        <v>673</v>
      </c>
      <c r="C6940" s="704" t="s">
        <v>767</v>
      </c>
      <c r="D6940" s="704" t="s">
        <v>675</v>
      </c>
      <c r="E6940" s="704" t="s">
        <v>448</v>
      </c>
      <c r="F6940" s="705">
        <v>1.6674982661846964E-3</v>
      </c>
      <c r="G6940" s="705">
        <v>1.7423591884838927</v>
      </c>
    </row>
    <row r="6941" spans="2:7" ht="11.25" hidden="1" customHeight="1" outlineLevel="2" x14ac:dyDescent="0.25">
      <c r="B6941" s="704" t="s">
        <v>677</v>
      </c>
      <c r="C6941" s="704" t="s">
        <v>767</v>
      </c>
      <c r="D6941" s="704" t="s">
        <v>675</v>
      </c>
      <c r="E6941" s="704" t="s">
        <v>448</v>
      </c>
      <c r="F6941" s="705">
        <v>2.7956649512240389E-2</v>
      </c>
      <c r="G6941" s="705">
        <v>28.914162741830111</v>
      </c>
    </row>
    <row r="6942" spans="2:7" ht="11.25" hidden="1" customHeight="1" outlineLevel="2" x14ac:dyDescent="0.25">
      <c r="B6942" s="704" t="s">
        <v>678</v>
      </c>
      <c r="C6942" s="704" t="s">
        <v>767</v>
      </c>
      <c r="D6942" s="704" t="s">
        <v>675</v>
      </c>
      <c r="E6942" s="704" t="s">
        <v>448</v>
      </c>
      <c r="F6942" s="705">
        <v>6.3844896985083638E-2</v>
      </c>
      <c r="G6942" s="705">
        <v>66.974308623725491</v>
      </c>
    </row>
    <row r="6943" spans="2:7" ht="11.25" hidden="1" customHeight="1" outlineLevel="2" x14ac:dyDescent="0.25">
      <c r="B6943" s="704" t="s">
        <v>679</v>
      </c>
      <c r="C6943" s="704" t="s">
        <v>767</v>
      </c>
      <c r="D6943" s="704" t="s">
        <v>675</v>
      </c>
      <c r="E6943" s="704" t="s">
        <v>448</v>
      </c>
      <c r="F6943" s="705">
        <v>5.1585676965125518E-3</v>
      </c>
      <c r="G6943" s="705">
        <v>5.4351088608429787</v>
      </c>
    </row>
    <row r="6944" spans="2:7" ht="11.25" hidden="1" customHeight="1" outlineLevel="2" x14ac:dyDescent="0.25">
      <c r="B6944" s="704" t="s">
        <v>680</v>
      </c>
      <c r="C6944" s="704" t="s">
        <v>767</v>
      </c>
      <c r="D6944" s="704" t="s">
        <v>675</v>
      </c>
      <c r="E6944" s="704" t="s">
        <v>448</v>
      </c>
      <c r="F6944" s="705">
        <v>9.5489417115571294E-4</v>
      </c>
      <c r="G6944" s="705">
        <v>1.0073816231320221</v>
      </c>
    </row>
    <row r="6945" spans="2:7" ht="11.25" hidden="1" customHeight="1" outlineLevel="2" x14ac:dyDescent="0.25">
      <c r="B6945" s="704" t="s">
        <v>681</v>
      </c>
      <c r="C6945" s="704" t="s">
        <v>767</v>
      </c>
      <c r="D6945" s="704" t="s">
        <v>675</v>
      </c>
      <c r="E6945" s="704" t="s">
        <v>448</v>
      </c>
      <c r="F6945" s="705">
        <v>8.0999188843776677E-3</v>
      </c>
      <c r="G6945" s="705">
        <v>8.4969468176300165</v>
      </c>
    </row>
    <row r="6946" spans="2:7" ht="11.25" hidden="1" customHeight="1" outlineLevel="2" x14ac:dyDescent="0.25">
      <c r="B6946" s="704" t="s">
        <v>682</v>
      </c>
      <c r="C6946" s="704" t="s">
        <v>767</v>
      </c>
      <c r="D6946" s="704" t="s">
        <v>675</v>
      </c>
      <c r="E6946" s="704" t="s">
        <v>448</v>
      </c>
      <c r="F6946" s="705">
        <v>7.1098522677548988E-3</v>
      </c>
      <c r="G6946" s="705">
        <v>7.4590178834742922</v>
      </c>
    </row>
    <row r="6947" spans="2:7" ht="11.25" hidden="1" customHeight="1" outlineLevel="2" x14ac:dyDescent="0.25">
      <c r="B6947" s="704" t="s">
        <v>683</v>
      </c>
      <c r="C6947" s="704" t="s">
        <v>767</v>
      </c>
      <c r="D6947" s="704" t="s">
        <v>675</v>
      </c>
      <c r="E6947" s="704" t="s">
        <v>448</v>
      </c>
      <c r="F6947" s="705">
        <v>1.1757368234064111E-2</v>
      </c>
      <c r="G6947" s="705">
        <v>12.387664284195946</v>
      </c>
    </row>
    <row r="6948" spans="2:7" ht="11.25" hidden="1" customHeight="1" outlineLevel="2" x14ac:dyDescent="0.25">
      <c r="B6948" s="704" t="s">
        <v>684</v>
      </c>
      <c r="C6948" s="704" t="s">
        <v>767</v>
      </c>
      <c r="D6948" s="704" t="s">
        <v>675</v>
      </c>
      <c r="E6948" s="704" t="s">
        <v>448</v>
      </c>
      <c r="F6948" s="705">
        <v>1.5327084604590581E-3</v>
      </c>
      <c r="G6948" s="705">
        <v>1.6169568228253335</v>
      </c>
    </row>
    <row r="6949" spans="2:7" ht="11.25" hidden="1" customHeight="1" outlineLevel="2" x14ac:dyDescent="0.25">
      <c r="B6949" s="704" t="s">
        <v>685</v>
      </c>
      <c r="C6949" s="704" t="s">
        <v>767</v>
      </c>
      <c r="D6949" s="704" t="s">
        <v>675</v>
      </c>
      <c r="E6949" s="704" t="s">
        <v>448</v>
      </c>
      <c r="F6949" s="705">
        <v>1.4109939860902176E-2</v>
      </c>
      <c r="G6949" s="705">
        <v>14.866340683713981</v>
      </c>
    </row>
    <row r="6950" spans="2:7" ht="11.25" hidden="1" customHeight="1" outlineLevel="2" x14ac:dyDescent="0.25">
      <c r="B6950" s="704" t="s">
        <v>686</v>
      </c>
      <c r="C6950" s="704" t="s">
        <v>767</v>
      </c>
      <c r="D6950" s="704" t="s">
        <v>675</v>
      </c>
      <c r="E6950" s="704" t="s">
        <v>448</v>
      </c>
      <c r="F6950" s="705">
        <v>3.3450330753355428E-3</v>
      </c>
      <c r="G6950" s="705">
        <v>3.4952073605644891</v>
      </c>
    </row>
    <row r="6951" spans="2:7" ht="11.25" hidden="1" customHeight="1" outlineLevel="2" x14ac:dyDescent="0.25">
      <c r="B6951" s="704" t="s">
        <v>687</v>
      </c>
      <c r="C6951" s="704" t="s">
        <v>767</v>
      </c>
      <c r="D6951" s="704" t="s">
        <v>675</v>
      </c>
      <c r="E6951" s="704" t="s">
        <v>448</v>
      </c>
      <c r="F6951" s="705">
        <v>1.7067163441156136E-2</v>
      </c>
      <c r="G6951" s="705">
        <v>17.903729312556393</v>
      </c>
    </row>
    <row r="6952" spans="2:7" ht="11.25" hidden="1" customHeight="1" outlineLevel="2" x14ac:dyDescent="0.25">
      <c r="B6952" s="704" t="s">
        <v>688</v>
      </c>
      <c r="C6952" s="704" t="s">
        <v>767</v>
      </c>
      <c r="D6952" s="704" t="s">
        <v>675</v>
      </c>
      <c r="E6952" s="704" t="s">
        <v>448</v>
      </c>
      <c r="F6952" s="705">
        <v>1.2250554028453707E-2</v>
      </c>
      <c r="G6952" s="705">
        <v>12.85101702751423</v>
      </c>
    </row>
    <row r="6953" spans="2:7" ht="11.25" hidden="1" customHeight="1" outlineLevel="2" x14ac:dyDescent="0.25">
      <c r="B6953" s="704" t="s">
        <v>689</v>
      </c>
      <c r="C6953" s="704" t="s">
        <v>767</v>
      </c>
      <c r="D6953" s="704" t="s">
        <v>675</v>
      </c>
      <c r="E6953" s="704" t="s">
        <v>448</v>
      </c>
      <c r="F6953" s="705">
        <v>1.8144578028780757E-3</v>
      </c>
      <c r="G6953" s="705">
        <v>1.9000064542108166</v>
      </c>
    </row>
    <row r="6954" spans="2:7" ht="11.25" hidden="1" customHeight="1" outlineLevel="2" x14ac:dyDescent="0.25">
      <c r="B6954" s="704" t="s">
        <v>690</v>
      </c>
      <c r="C6954" s="704" t="s">
        <v>767</v>
      </c>
      <c r="D6954" s="704" t="s">
        <v>675</v>
      </c>
      <c r="E6954" s="704" t="s">
        <v>448</v>
      </c>
      <c r="F6954" s="705">
        <v>3.9703402227266121E-2</v>
      </c>
      <c r="G6954" s="705">
        <v>41.831831126756654</v>
      </c>
    </row>
    <row r="6955" spans="2:7" ht="11.25" hidden="1" customHeight="1" outlineLevel="2" x14ac:dyDescent="0.25">
      <c r="B6955" s="704" t="s">
        <v>691</v>
      </c>
      <c r="C6955" s="704" t="s">
        <v>767</v>
      </c>
      <c r="D6955" s="704" t="s">
        <v>675</v>
      </c>
      <c r="E6955" s="704" t="s">
        <v>448</v>
      </c>
      <c r="F6955" s="705">
        <v>4.5342535818840353E-2</v>
      </c>
      <c r="G6955" s="705">
        <v>47.773265304127733</v>
      </c>
    </row>
    <row r="6956" spans="2:7" ht="11.25" hidden="1" customHeight="1" outlineLevel="2" x14ac:dyDescent="0.25">
      <c r="B6956" s="704" t="s">
        <v>692</v>
      </c>
      <c r="C6956" s="704" t="s">
        <v>767</v>
      </c>
      <c r="D6956" s="704" t="s">
        <v>675</v>
      </c>
      <c r="E6956" s="704" t="s">
        <v>448</v>
      </c>
      <c r="F6956" s="705">
        <v>2.6631252024846902E-3</v>
      </c>
      <c r="G6956" s="705">
        <v>2.7936613719433252</v>
      </c>
    </row>
    <row r="6957" spans="2:7" ht="11.25" hidden="1" customHeight="1" outlineLevel="2" x14ac:dyDescent="0.25">
      <c r="B6957" s="704" t="s">
        <v>693</v>
      </c>
      <c r="C6957" s="704" t="s">
        <v>767</v>
      </c>
      <c r="D6957" s="704" t="s">
        <v>675</v>
      </c>
      <c r="E6957" s="704" t="s">
        <v>448</v>
      </c>
      <c r="F6957" s="706">
        <v>6.6101909650428748E-3</v>
      </c>
      <c r="G6957" s="705">
        <v>6.9735336102156591</v>
      </c>
    </row>
    <row r="6958" spans="2:7" ht="11.25" hidden="1" customHeight="1" outlineLevel="2" x14ac:dyDescent="0.25">
      <c r="B6958" s="704" t="s">
        <v>694</v>
      </c>
      <c r="C6958" s="704" t="s">
        <v>767</v>
      </c>
      <c r="D6958" s="704" t="s">
        <v>675</v>
      </c>
      <c r="E6958" s="704" t="s">
        <v>448</v>
      </c>
      <c r="F6958" s="706">
        <v>7.4107992732697114E-4</v>
      </c>
      <c r="G6958" s="705">
        <v>0.78181478079180466</v>
      </c>
    </row>
    <row r="6959" spans="2:7" ht="11.25" hidden="1" customHeight="1" outlineLevel="2" x14ac:dyDescent="0.25">
      <c r="B6959" s="704" t="s">
        <v>695</v>
      </c>
      <c r="C6959" s="704" t="s">
        <v>767</v>
      </c>
      <c r="D6959" s="704" t="s">
        <v>675</v>
      </c>
      <c r="E6959" s="704" t="s">
        <v>448</v>
      </c>
      <c r="F6959" s="706">
        <v>3.5151675075415266E-3</v>
      </c>
      <c r="G6959" s="705">
        <v>3.7083852876024226</v>
      </c>
    </row>
    <row r="6960" spans="2:7" ht="11.25" hidden="1" customHeight="1" outlineLevel="2" x14ac:dyDescent="0.25">
      <c r="B6960" s="704" t="s">
        <v>696</v>
      </c>
      <c r="C6960" s="704" t="s">
        <v>767</v>
      </c>
      <c r="D6960" s="704" t="s">
        <v>675</v>
      </c>
      <c r="E6960" s="704" t="s">
        <v>448</v>
      </c>
      <c r="F6960" s="706">
        <v>8.8674558441865902E-3</v>
      </c>
      <c r="G6960" s="705">
        <v>9.2655523470312957</v>
      </c>
    </row>
    <row r="6961" spans="2:7" ht="11.25" hidden="1" customHeight="1" outlineLevel="2" x14ac:dyDescent="0.25">
      <c r="B6961" s="704" t="s">
        <v>697</v>
      </c>
      <c r="C6961" s="704" t="s">
        <v>767</v>
      </c>
      <c r="D6961" s="704" t="s">
        <v>675</v>
      </c>
      <c r="E6961" s="704" t="s">
        <v>448</v>
      </c>
      <c r="F6961" s="706">
        <v>4.8053217768195102E-3</v>
      </c>
      <c r="G6961" s="705">
        <v>5.0694566580504965</v>
      </c>
    </row>
    <row r="6962" spans="2:7" ht="11.25" hidden="1" customHeight="1" outlineLevel="2" x14ac:dyDescent="0.25">
      <c r="B6962" s="704" t="s">
        <v>698</v>
      </c>
      <c r="C6962" s="704" t="s">
        <v>767</v>
      </c>
      <c r="D6962" s="704" t="s">
        <v>675</v>
      </c>
      <c r="E6962" s="704" t="s">
        <v>448</v>
      </c>
      <c r="F6962" s="706">
        <v>5.2766650558513824E-3</v>
      </c>
      <c r="G6962" s="705">
        <v>5.5667056667213499</v>
      </c>
    </row>
    <row r="6963" spans="2:7" ht="11.25" hidden="1" customHeight="1" outlineLevel="2" x14ac:dyDescent="0.25">
      <c r="B6963" s="704" t="s">
        <v>699</v>
      </c>
      <c r="C6963" s="704" t="s">
        <v>767</v>
      </c>
      <c r="D6963" s="704" t="s">
        <v>675</v>
      </c>
      <c r="E6963" s="704" t="s">
        <v>448</v>
      </c>
      <c r="F6963" s="706">
        <v>1.3378774024136669E-33</v>
      </c>
      <c r="G6963" s="705">
        <v>1.5687843423089569E-30</v>
      </c>
    </row>
    <row r="6964" spans="2:7" ht="11.25" hidden="1" customHeight="1" outlineLevel="2" x14ac:dyDescent="0.25">
      <c r="B6964" s="704" t="s">
        <v>673</v>
      </c>
      <c r="C6964" s="704" t="s">
        <v>768</v>
      </c>
      <c r="D6964" s="704" t="s">
        <v>675</v>
      </c>
      <c r="E6964" s="704" t="s">
        <v>448</v>
      </c>
      <c r="F6964" s="705">
        <v>7.7692727787547378E-4</v>
      </c>
      <c r="G6964" s="705">
        <v>1.2308575538862856</v>
      </c>
    </row>
    <row r="6965" spans="2:7" ht="11.25" hidden="1" customHeight="1" outlineLevel="2" x14ac:dyDescent="0.25">
      <c r="B6965" s="704" t="s">
        <v>677</v>
      </c>
      <c r="C6965" s="704" t="s">
        <v>768</v>
      </c>
      <c r="D6965" s="704" t="s">
        <v>675</v>
      </c>
      <c r="E6965" s="704" t="s">
        <v>448</v>
      </c>
      <c r="F6965" s="705">
        <v>1.2994631924494258E-2</v>
      </c>
      <c r="G6965" s="705">
        <v>20.425876570073228</v>
      </c>
    </row>
    <row r="6966" spans="2:7" ht="11.25" hidden="1" customHeight="1" outlineLevel="2" x14ac:dyDescent="0.25">
      <c r="B6966" s="704" t="s">
        <v>678</v>
      </c>
      <c r="C6966" s="704" t="s">
        <v>768</v>
      </c>
      <c r="D6966" s="704" t="s">
        <v>675</v>
      </c>
      <c r="E6966" s="704" t="s">
        <v>448</v>
      </c>
      <c r="F6966" s="705">
        <v>2.9774306789756268E-2</v>
      </c>
      <c r="G6966" s="705">
        <v>47.312777291445258</v>
      </c>
    </row>
    <row r="6967" spans="2:7" ht="11.25" hidden="1" customHeight="1" outlineLevel="2" x14ac:dyDescent="0.25">
      <c r="B6967" s="704" t="s">
        <v>679</v>
      </c>
      <c r="C6967" s="704" t="s">
        <v>768</v>
      </c>
      <c r="D6967" s="704" t="s">
        <v>675</v>
      </c>
      <c r="E6967" s="704" t="s">
        <v>448</v>
      </c>
      <c r="F6967" s="706">
        <v>2.4081884053820716E-3</v>
      </c>
      <c r="G6967" s="705">
        <v>3.8395334144719246</v>
      </c>
    </row>
    <row r="6968" spans="2:7" ht="11.25" hidden="1" customHeight="1" outlineLevel="2" x14ac:dyDescent="0.25">
      <c r="B6968" s="704" t="s">
        <v>680</v>
      </c>
      <c r="C6968" s="704" t="s">
        <v>768</v>
      </c>
      <c r="D6968" s="704" t="s">
        <v>675</v>
      </c>
      <c r="E6968" s="704" t="s">
        <v>448</v>
      </c>
      <c r="F6968" s="705">
        <v>4.4591123197610955E-4</v>
      </c>
      <c r="G6968" s="705">
        <v>0.71164633055443249</v>
      </c>
    </row>
    <row r="6969" spans="2:7" ht="11.25" hidden="1" customHeight="1" outlineLevel="2" x14ac:dyDescent="0.25">
      <c r="B6969" s="704" t="s">
        <v>681</v>
      </c>
      <c r="C6969" s="704" t="s">
        <v>768</v>
      </c>
      <c r="D6969" s="704" t="s">
        <v>675</v>
      </c>
      <c r="E6969" s="704" t="s">
        <v>448</v>
      </c>
      <c r="F6969" s="705">
        <v>3.7774291049893606E-3</v>
      </c>
      <c r="G6969" s="705">
        <v>6.0025125252576137</v>
      </c>
    </row>
    <row r="6970" spans="2:7" ht="11.25" hidden="1" customHeight="1" outlineLevel="2" x14ac:dyDescent="0.25">
      <c r="B6970" s="704" t="s">
        <v>682</v>
      </c>
      <c r="C6970" s="704" t="s">
        <v>768</v>
      </c>
      <c r="D6970" s="704" t="s">
        <v>675</v>
      </c>
      <c r="E6970" s="704" t="s">
        <v>448</v>
      </c>
      <c r="F6970" s="706">
        <v>3.3157763943667071E-3</v>
      </c>
      <c r="G6970" s="705">
        <v>5.2692873499703339</v>
      </c>
    </row>
    <row r="6971" spans="2:7" ht="11.25" hidden="1" customHeight="1" outlineLevel="2" x14ac:dyDescent="0.25">
      <c r="B6971" s="704" t="s">
        <v>683</v>
      </c>
      <c r="C6971" s="704" t="s">
        <v>768</v>
      </c>
      <c r="D6971" s="704" t="s">
        <v>675</v>
      </c>
      <c r="E6971" s="704" t="s">
        <v>448</v>
      </c>
      <c r="F6971" s="705">
        <v>5.4887267597359974E-3</v>
      </c>
      <c r="G6971" s="705">
        <v>8.7510339113744173</v>
      </c>
    </row>
    <row r="6972" spans="2:7" ht="11.25" hidden="1" customHeight="1" outlineLevel="2" x14ac:dyDescent="0.25">
      <c r="B6972" s="704" t="s">
        <v>684</v>
      </c>
      <c r="C6972" s="704" t="s">
        <v>768</v>
      </c>
      <c r="D6972" s="704" t="s">
        <v>675</v>
      </c>
      <c r="E6972" s="704" t="s">
        <v>448</v>
      </c>
      <c r="F6972" s="705">
        <v>7.1573546444358722E-4</v>
      </c>
      <c r="G6972" s="705">
        <v>1.1422702605344375</v>
      </c>
    </row>
    <row r="6973" spans="2:7" ht="11.25" hidden="1" customHeight="1" outlineLevel="2" x14ac:dyDescent="0.25">
      <c r="B6973" s="704" t="s">
        <v>685</v>
      </c>
      <c r="C6973" s="704" t="s">
        <v>768</v>
      </c>
      <c r="D6973" s="704" t="s">
        <v>675</v>
      </c>
      <c r="E6973" s="704" t="s">
        <v>448</v>
      </c>
      <c r="F6973" s="705">
        <v>6.5869802633671554E-3</v>
      </c>
      <c r="G6973" s="705">
        <v>10.502063640684286</v>
      </c>
    </row>
    <row r="6974" spans="2:7" ht="11.25" hidden="1" customHeight="1" outlineLevel="2" x14ac:dyDescent="0.25">
      <c r="B6974" s="704" t="s">
        <v>686</v>
      </c>
      <c r="C6974" s="704" t="s">
        <v>768</v>
      </c>
      <c r="D6974" s="704" t="s">
        <v>675</v>
      </c>
      <c r="E6974" s="704" t="s">
        <v>448</v>
      </c>
      <c r="F6974" s="706">
        <v>1.5585316636509891E-3</v>
      </c>
      <c r="G6974" s="705">
        <v>2.4691239449128535</v>
      </c>
    </row>
    <row r="6975" spans="2:7" ht="11.25" hidden="1" customHeight="1" outlineLevel="2" x14ac:dyDescent="0.25">
      <c r="B6975" s="704" t="s">
        <v>687</v>
      </c>
      <c r="C6975" s="704" t="s">
        <v>768</v>
      </c>
      <c r="D6975" s="704" t="s">
        <v>675</v>
      </c>
      <c r="E6975" s="704" t="s">
        <v>448</v>
      </c>
      <c r="F6975" s="706">
        <v>7.9593406719046036E-3</v>
      </c>
      <c r="G6975" s="705">
        <v>12.647765756651916</v>
      </c>
    </row>
    <row r="6976" spans="2:7" ht="11.25" hidden="1" customHeight="1" outlineLevel="2" x14ac:dyDescent="0.25">
      <c r="B6976" s="704" t="s">
        <v>688</v>
      </c>
      <c r="C6976" s="704" t="s">
        <v>768</v>
      </c>
      <c r="D6976" s="704" t="s">
        <v>675</v>
      </c>
      <c r="E6976" s="704" t="s">
        <v>448</v>
      </c>
      <c r="F6976" s="706">
        <v>5.7130946191812949E-3</v>
      </c>
      <c r="G6976" s="705">
        <v>9.0783724197196118</v>
      </c>
    </row>
    <row r="6977" spans="2:7" ht="11.25" hidden="1" customHeight="1" outlineLevel="2" x14ac:dyDescent="0.25">
      <c r="B6977" s="704" t="s">
        <v>689</v>
      </c>
      <c r="C6977" s="704" t="s">
        <v>768</v>
      </c>
      <c r="D6977" s="704" t="s">
        <v>675</v>
      </c>
      <c r="E6977" s="704" t="s">
        <v>448</v>
      </c>
      <c r="F6977" s="705">
        <v>8.458262820319239E-4</v>
      </c>
      <c r="G6977" s="705">
        <v>1.3422244252642226</v>
      </c>
    </row>
    <row r="6978" spans="2:7" ht="11.25" hidden="1" customHeight="1" outlineLevel="2" x14ac:dyDescent="0.25">
      <c r="B6978" s="704" t="s">
        <v>690</v>
      </c>
      <c r="C6978" s="704" t="s">
        <v>768</v>
      </c>
      <c r="D6978" s="704" t="s">
        <v>675</v>
      </c>
      <c r="E6978" s="704" t="s">
        <v>448</v>
      </c>
      <c r="F6978" s="705">
        <v>1.8534852354382979E-2</v>
      </c>
      <c r="G6978" s="705">
        <v>29.551335518688099</v>
      </c>
    </row>
    <row r="6979" spans="2:7" ht="11.25" hidden="1" customHeight="1" outlineLevel="2" x14ac:dyDescent="0.25">
      <c r="B6979" s="704" t="s">
        <v>691</v>
      </c>
      <c r="C6979" s="704" t="s">
        <v>768</v>
      </c>
      <c r="D6979" s="704" t="s">
        <v>675</v>
      </c>
      <c r="E6979" s="704" t="s">
        <v>448</v>
      </c>
      <c r="F6979" s="705">
        <v>2.1167384282546501E-2</v>
      </c>
      <c r="G6979" s="705">
        <v>33.748545599238625</v>
      </c>
    </row>
    <row r="6980" spans="2:7" ht="11.25" hidden="1" customHeight="1" outlineLevel="2" x14ac:dyDescent="0.25">
      <c r="B6980" s="704" t="s">
        <v>692</v>
      </c>
      <c r="C6980" s="704" t="s">
        <v>768</v>
      </c>
      <c r="D6980" s="704" t="s">
        <v>675</v>
      </c>
      <c r="E6980" s="704" t="s">
        <v>448</v>
      </c>
      <c r="F6980" s="705">
        <v>1.2419587380555338E-3</v>
      </c>
      <c r="G6980" s="705">
        <v>1.9735309144422348</v>
      </c>
    </row>
    <row r="6981" spans="2:7" ht="11.25" hidden="1" customHeight="1" outlineLevel="2" x14ac:dyDescent="0.25">
      <c r="B6981" s="704" t="s">
        <v>693</v>
      </c>
      <c r="C6981" s="704" t="s">
        <v>768</v>
      </c>
      <c r="D6981" s="704" t="s">
        <v>675</v>
      </c>
      <c r="E6981" s="704" t="s">
        <v>448</v>
      </c>
      <c r="F6981" s="705">
        <v>3.0867903854900204E-3</v>
      </c>
      <c r="G6981" s="705">
        <v>4.9263246421715374</v>
      </c>
    </row>
    <row r="6982" spans="2:7" ht="11.25" hidden="1" customHeight="1" outlineLevel="2" x14ac:dyDescent="0.25">
      <c r="B6982" s="704" t="s">
        <v>694</v>
      </c>
      <c r="C6982" s="704" t="s">
        <v>768</v>
      </c>
      <c r="D6982" s="704" t="s">
        <v>675</v>
      </c>
      <c r="E6982" s="704" t="s">
        <v>448</v>
      </c>
      <c r="F6982" s="705">
        <v>3.4606536769126632E-4</v>
      </c>
      <c r="G6982" s="705">
        <v>0.55229865551432544</v>
      </c>
    </row>
    <row r="6983" spans="2:7" ht="11.25" hidden="1" customHeight="1" outlineLevel="2" x14ac:dyDescent="0.25">
      <c r="B6983" s="704" t="s">
        <v>695</v>
      </c>
      <c r="C6983" s="704" t="s">
        <v>768</v>
      </c>
      <c r="D6983" s="704" t="s">
        <v>675</v>
      </c>
      <c r="E6983" s="704" t="s">
        <v>448</v>
      </c>
      <c r="F6983" s="705">
        <v>1.6414933486810191E-3</v>
      </c>
      <c r="G6983" s="705">
        <v>2.6197204352138903</v>
      </c>
    </row>
    <row r="6984" spans="2:7" ht="11.25" hidden="1" customHeight="1" outlineLevel="2" x14ac:dyDescent="0.25">
      <c r="B6984" s="704" t="s">
        <v>696</v>
      </c>
      <c r="C6984" s="704" t="s">
        <v>768</v>
      </c>
      <c r="D6984" s="704" t="s">
        <v>675</v>
      </c>
      <c r="E6984" s="704" t="s">
        <v>448</v>
      </c>
      <c r="F6984" s="705">
        <v>4.1315594028742027E-3</v>
      </c>
      <c r="G6984" s="705">
        <v>6.5454798931552025</v>
      </c>
    </row>
    <row r="6985" spans="2:7" ht="11.25" hidden="1" customHeight="1" outlineLevel="2" x14ac:dyDescent="0.25">
      <c r="B6985" s="704" t="s">
        <v>697</v>
      </c>
      <c r="C6985" s="704" t="s">
        <v>768</v>
      </c>
      <c r="D6985" s="704" t="s">
        <v>675</v>
      </c>
      <c r="E6985" s="704" t="s">
        <v>448</v>
      </c>
      <c r="F6985" s="705">
        <v>2.2439635639761295E-3</v>
      </c>
      <c r="G6985" s="705">
        <v>3.5812248277846779</v>
      </c>
    </row>
    <row r="6986" spans="2:7" ht="11.25" hidden="1" customHeight="1" outlineLevel="2" x14ac:dyDescent="0.25">
      <c r="B6986" s="704" t="s">
        <v>698</v>
      </c>
      <c r="C6986" s="704" t="s">
        <v>768</v>
      </c>
      <c r="D6986" s="704" t="s">
        <v>675</v>
      </c>
      <c r="E6986" s="704" t="s">
        <v>448</v>
      </c>
      <c r="F6986" s="705">
        <v>2.4640673377183558E-3</v>
      </c>
      <c r="G6986" s="705">
        <v>3.932498989331306</v>
      </c>
    </row>
    <row r="6987" spans="2:7" ht="11.25" hidden="1" customHeight="1" outlineLevel="2" x14ac:dyDescent="0.25">
      <c r="B6987" s="704" t="s">
        <v>699</v>
      </c>
      <c r="C6987" s="704" t="s">
        <v>768</v>
      </c>
      <c r="D6987" s="704" t="s">
        <v>675</v>
      </c>
      <c r="E6987" s="704" t="s">
        <v>448</v>
      </c>
      <c r="F6987" s="705">
        <v>7.4273721289766249E-35</v>
      </c>
      <c r="G6987" s="705">
        <v>1.1561437038615444E-31</v>
      </c>
    </row>
    <row r="6988" spans="2:7" ht="11.25" hidden="1" customHeight="1" outlineLevel="2" x14ac:dyDescent="0.25">
      <c r="B6988" s="704" t="s">
        <v>673</v>
      </c>
      <c r="C6988" s="704" t="s">
        <v>825</v>
      </c>
      <c r="D6988" s="704" t="s">
        <v>675</v>
      </c>
      <c r="E6988" s="704" t="s">
        <v>824</v>
      </c>
      <c r="F6988" s="706">
        <v>1.4724494478168359E-4</v>
      </c>
      <c r="G6988" s="705">
        <v>0.69717689105758507</v>
      </c>
    </row>
    <row r="6989" spans="2:7" ht="11.25" hidden="1" customHeight="1" outlineLevel="2" x14ac:dyDescent="0.25">
      <c r="B6989" s="704" t="s">
        <v>677</v>
      </c>
      <c r="C6989" s="704" t="s">
        <v>825</v>
      </c>
      <c r="D6989" s="704" t="s">
        <v>675</v>
      </c>
      <c r="E6989" s="704" t="s">
        <v>824</v>
      </c>
      <c r="F6989" s="706">
        <v>2.4435071069017823E-3</v>
      </c>
      <c r="G6989" s="705">
        <v>11.569540446650805</v>
      </c>
    </row>
    <row r="6990" spans="2:7" ht="11.25" hidden="1" customHeight="1" outlineLevel="2" x14ac:dyDescent="0.25">
      <c r="B6990" s="704" t="s">
        <v>678</v>
      </c>
      <c r="C6990" s="704" t="s">
        <v>825</v>
      </c>
      <c r="D6990" s="704" t="s">
        <v>675</v>
      </c>
      <c r="E6990" s="704" t="s">
        <v>824</v>
      </c>
      <c r="F6990" s="705">
        <v>5.6599289147902312E-3</v>
      </c>
      <c r="G6990" s="705">
        <v>26.798697969955285</v>
      </c>
    </row>
    <row r="6991" spans="2:7" ht="11.25" hidden="1" customHeight="1" outlineLevel="2" x14ac:dyDescent="0.25">
      <c r="B6991" s="704" t="s">
        <v>679</v>
      </c>
      <c r="C6991" s="704" t="s">
        <v>825</v>
      </c>
      <c r="D6991" s="704" t="s">
        <v>675</v>
      </c>
      <c r="E6991" s="704" t="s">
        <v>824</v>
      </c>
      <c r="F6991" s="705">
        <v>4.5931528132420023E-4</v>
      </c>
      <c r="G6991" s="705">
        <v>2.1747716882966084</v>
      </c>
    </row>
    <row r="6992" spans="2:7" ht="11.25" hidden="1" customHeight="1" outlineLevel="2" x14ac:dyDescent="0.25">
      <c r="B6992" s="704" t="s">
        <v>680</v>
      </c>
      <c r="C6992" s="704" t="s">
        <v>825</v>
      </c>
      <c r="D6992" s="704" t="s">
        <v>675</v>
      </c>
      <c r="E6992" s="704" t="s">
        <v>824</v>
      </c>
      <c r="F6992" s="705">
        <v>8.5132778316998874E-5</v>
      </c>
      <c r="G6992" s="705">
        <v>0.40308772513238816</v>
      </c>
    </row>
    <row r="6993" spans="2:7" ht="11.25" hidden="1" customHeight="1" outlineLevel="2" x14ac:dyDescent="0.25">
      <c r="B6993" s="704" t="s">
        <v>681</v>
      </c>
      <c r="C6993" s="704" t="s">
        <v>825</v>
      </c>
      <c r="D6993" s="704" t="s">
        <v>675</v>
      </c>
      <c r="E6993" s="704" t="s">
        <v>824</v>
      </c>
      <c r="F6993" s="705">
        <v>7.1806796638343917E-4</v>
      </c>
      <c r="G6993" s="705">
        <v>3.3999168930975436</v>
      </c>
    </row>
    <row r="6994" spans="2:7" ht="11.25" hidden="1" customHeight="1" outlineLevel="2" x14ac:dyDescent="0.25">
      <c r="B6994" s="704" t="s">
        <v>682</v>
      </c>
      <c r="C6994" s="704" t="s">
        <v>825</v>
      </c>
      <c r="D6994" s="704" t="s">
        <v>675</v>
      </c>
      <c r="E6994" s="704" t="s">
        <v>824</v>
      </c>
      <c r="F6994" s="705">
        <v>6.3035370887999924E-4</v>
      </c>
      <c r="G6994" s="705">
        <v>2.9846060372141054</v>
      </c>
    </row>
    <row r="6995" spans="2:7" ht="11.25" hidden="1" customHeight="1" outlineLevel="2" x14ac:dyDescent="0.25">
      <c r="B6995" s="704" t="s">
        <v>683</v>
      </c>
      <c r="C6995" s="704" t="s">
        <v>825</v>
      </c>
      <c r="D6995" s="704" t="s">
        <v>675</v>
      </c>
      <c r="E6995" s="704" t="s">
        <v>824</v>
      </c>
      <c r="F6995" s="705">
        <v>1.0468685675725138E-3</v>
      </c>
      <c r="G6995" s="705">
        <v>4.9567263154733725</v>
      </c>
    </row>
    <row r="6996" spans="2:7" ht="11.25" hidden="1" customHeight="1" outlineLevel="2" x14ac:dyDescent="0.25">
      <c r="B6996" s="704" t="s">
        <v>684</v>
      </c>
      <c r="C6996" s="704" t="s">
        <v>825</v>
      </c>
      <c r="D6996" s="704" t="s">
        <v>675</v>
      </c>
      <c r="E6996" s="704" t="s">
        <v>824</v>
      </c>
      <c r="F6996" s="705">
        <v>1.3664726924562321E-4</v>
      </c>
      <c r="G6996" s="705">
        <v>0.64699937685515652</v>
      </c>
    </row>
    <row r="6997" spans="2:7" ht="11.25" hidden="1" customHeight="1" outlineLevel="2" x14ac:dyDescent="0.25">
      <c r="B6997" s="704" t="s">
        <v>685</v>
      </c>
      <c r="C6997" s="704" t="s">
        <v>825</v>
      </c>
      <c r="D6997" s="704" t="s">
        <v>675</v>
      </c>
      <c r="E6997" s="704" t="s">
        <v>824</v>
      </c>
      <c r="F6997" s="705">
        <v>1.2563388776244007E-3</v>
      </c>
      <c r="G6997" s="705">
        <v>5.9485304918367419</v>
      </c>
    </row>
    <row r="6998" spans="2:7" ht="11.25" hidden="1" customHeight="1" outlineLevel="2" x14ac:dyDescent="0.25">
      <c r="B6998" s="704" t="s">
        <v>686</v>
      </c>
      <c r="C6998" s="704" t="s">
        <v>825</v>
      </c>
      <c r="D6998" s="704" t="s">
        <v>675</v>
      </c>
      <c r="E6998" s="704" t="s">
        <v>824</v>
      </c>
      <c r="F6998" s="705">
        <v>2.9537619237653725E-4</v>
      </c>
      <c r="G6998" s="705">
        <v>1.3985514635914611</v>
      </c>
    </row>
    <row r="6999" spans="2:7" ht="11.25" hidden="1" customHeight="1" outlineLevel="2" x14ac:dyDescent="0.25">
      <c r="B6999" s="704" t="s">
        <v>687</v>
      </c>
      <c r="C6999" s="704" t="s">
        <v>825</v>
      </c>
      <c r="D6999" s="704" t="s">
        <v>675</v>
      </c>
      <c r="E6999" s="704" t="s">
        <v>824</v>
      </c>
      <c r="F6999" s="705">
        <v>1.5130262354407058E-3</v>
      </c>
      <c r="G6999" s="705">
        <v>7.1638924642857136</v>
      </c>
    </row>
    <row r="7000" spans="2:7" ht="11.25" hidden="1" customHeight="1" outlineLevel="2" x14ac:dyDescent="0.25">
      <c r="B7000" s="704" t="s">
        <v>688</v>
      </c>
      <c r="C7000" s="704" t="s">
        <v>825</v>
      </c>
      <c r="D7000" s="704" t="s">
        <v>675</v>
      </c>
      <c r="E7000" s="704" t="s">
        <v>824</v>
      </c>
      <c r="F7000" s="705">
        <v>1.0860266367174324E-3</v>
      </c>
      <c r="G7000" s="705">
        <v>5.1421316035408235</v>
      </c>
    </row>
    <row r="7001" spans="2:7" ht="11.25" hidden="1" customHeight="1" outlineLevel="2" x14ac:dyDescent="0.25">
      <c r="B7001" s="704" t="s">
        <v>689</v>
      </c>
      <c r="C7001" s="704" t="s">
        <v>825</v>
      </c>
      <c r="D7001" s="704" t="s">
        <v>675</v>
      </c>
      <c r="E7001" s="704" t="s">
        <v>824</v>
      </c>
      <c r="F7001" s="705">
        <v>1.6056764232426197E-4</v>
      </c>
      <c r="G7001" s="705">
        <v>0.7602573989089717</v>
      </c>
    </row>
    <row r="7002" spans="2:7" ht="11.25" hidden="1" customHeight="1" outlineLevel="2" x14ac:dyDescent="0.25">
      <c r="B7002" s="704" t="s">
        <v>690</v>
      </c>
      <c r="C7002" s="704" t="s">
        <v>825</v>
      </c>
      <c r="D7002" s="704" t="s">
        <v>675</v>
      </c>
      <c r="E7002" s="704" t="s">
        <v>824</v>
      </c>
      <c r="F7002" s="705">
        <v>3.5351632835687479E-3</v>
      </c>
      <c r="G7002" s="705">
        <v>16.738345831867786</v>
      </c>
    </row>
    <row r="7003" spans="2:7" ht="11.25" hidden="1" customHeight="1" outlineLevel="2" x14ac:dyDescent="0.25">
      <c r="B7003" s="704" t="s">
        <v>691</v>
      </c>
      <c r="C7003" s="704" t="s">
        <v>825</v>
      </c>
      <c r="D7003" s="704" t="s">
        <v>675</v>
      </c>
      <c r="E7003" s="704" t="s">
        <v>824</v>
      </c>
      <c r="F7003" s="705">
        <v>4.0372676904417981E-3</v>
      </c>
      <c r="G7003" s="705">
        <v>19.115701903041526</v>
      </c>
    </row>
    <row r="7004" spans="2:7" ht="11.25" hidden="1" customHeight="1" outlineLevel="2" x14ac:dyDescent="0.25">
      <c r="B7004" s="704" t="s">
        <v>692</v>
      </c>
      <c r="C7004" s="704" t="s">
        <v>825</v>
      </c>
      <c r="D7004" s="704" t="s">
        <v>675</v>
      </c>
      <c r="E7004" s="704" t="s">
        <v>824</v>
      </c>
      <c r="F7004" s="705">
        <v>2.3608933797217741E-4</v>
      </c>
      <c r="G7004" s="705">
        <v>1.1178389158044668</v>
      </c>
    </row>
    <row r="7005" spans="2:7" ht="11.25" hidden="1" customHeight="1" outlineLevel="2" x14ac:dyDescent="0.25">
      <c r="B7005" s="704" t="s">
        <v>693</v>
      </c>
      <c r="C7005" s="704" t="s">
        <v>825</v>
      </c>
      <c r="D7005" s="704" t="s">
        <v>675</v>
      </c>
      <c r="E7005" s="704" t="s">
        <v>824</v>
      </c>
      <c r="F7005" s="706">
        <v>5.8932585297641696E-4</v>
      </c>
      <c r="G7005" s="705">
        <v>2.7903471672134463</v>
      </c>
    </row>
    <row r="7006" spans="2:7" ht="11.25" hidden="1" customHeight="1" outlineLevel="2" x14ac:dyDescent="0.25">
      <c r="B7006" s="704" t="s">
        <v>694</v>
      </c>
      <c r="C7006" s="704" t="s">
        <v>825</v>
      </c>
      <c r="D7006" s="704" t="s">
        <v>675</v>
      </c>
      <c r="E7006" s="704" t="s">
        <v>824</v>
      </c>
      <c r="F7006" s="706">
        <v>6.607032552082256E-5</v>
      </c>
      <c r="G7006" s="705">
        <v>0.31283075785195441</v>
      </c>
    </row>
    <row r="7007" spans="2:7" ht="11.25" hidden="1" customHeight="1" outlineLevel="2" x14ac:dyDescent="0.25">
      <c r="B7007" s="704" t="s">
        <v>695</v>
      </c>
      <c r="C7007" s="704" t="s">
        <v>825</v>
      </c>
      <c r="D7007" s="704" t="s">
        <v>675</v>
      </c>
      <c r="E7007" s="704" t="s">
        <v>824</v>
      </c>
      <c r="F7007" s="706">
        <v>3.133916607174495E-4</v>
      </c>
      <c r="G7007" s="705">
        <v>1.4838503703926957</v>
      </c>
    </row>
    <row r="7008" spans="2:7" ht="11.25" hidden="1" customHeight="1" outlineLevel="2" x14ac:dyDescent="0.25">
      <c r="B7008" s="704" t="s">
        <v>696</v>
      </c>
      <c r="C7008" s="704" t="s">
        <v>825</v>
      </c>
      <c r="D7008" s="704" t="s">
        <v>675</v>
      </c>
      <c r="E7008" s="704" t="s">
        <v>824</v>
      </c>
      <c r="F7008" s="706">
        <v>7.8302178555353873E-4</v>
      </c>
      <c r="G7008" s="705">
        <v>3.707463470091668</v>
      </c>
    </row>
    <row r="7009" spans="2:7" ht="11.25" hidden="1" customHeight="1" outlineLevel="2" x14ac:dyDescent="0.25">
      <c r="B7009" s="704" t="s">
        <v>697</v>
      </c>
      <c r="C7009" s="704" t="s">
        <v>825</v>
      </c>
      <c r="D7009" s="704" t="s">
        <v>675</v>
      </c>
      <c r="E7009" s="704" t="s">
        <v>824</v>
      </c>
      <c r="F7009" s="706">
        <v>4.2841426433953752E-4</v>
      </c>
      <c r="G7009" s="705">
        <v>2.0284615008197178</v>
      </c>
    </row>
    <row r="7010" spans="2:7" ht="11.25" hidden="1" customHeight="1" outlineLevel="2" x14ac:dyDescent="0.25">
      <c r="B7010" s="704" t="s">
        <v>698</v>
      </c>
      <c r="C7010" s="704" t="s">
        <v>825</v>
      </c>
      <c r="D7010" s="704" t="s">
        <v>675</v>
      </c>
      <c r="E7010" s="704" t="s">
        <v>824</v>
      </c>
      <c r="F7010" s="706">
        <v>4.7043648881658147E-4</v>
      </c>
      <c r="G7010" s="705">
        <v>2.2274284625250695</v>
      </c>
    </row>
    <row r="7011" spans="2:7" ht="11.25" hidden="1" customHeight="1" outlineLevel="2" x14ac:dyDescent="0.25">
      <c r="B7011" s="704" t="s">
        <v>699</v>
      </c>
      <c r="C7011" s="704" t="s">
        <v>825</v>
      </c>
      <c r="D7011" s="704" t="s">
        <v>675</v>
      </c>
      <c r="E7011" s="704" t="s">
        <v>824</v>
      </c>
      <c r="F7011" s="706">
        <v>6.4109261635202507E-35</v>
      </c>
      <c r="G7011" s="705">
        <v>4.5061821783692092E-31</v>
      </c>
    </row>
    <row r="7012" spans="2:7" ht="11.25" hidden="1" customHeight="1" outlineLevel="2" x14ac:dyDescent="0.25">
      <c r="B7012" s="704" t="s">
        <v>673</v>
      </c>
      <c r="C7012" s="704" t="s">
        <v>826</v>
      </c>
      <c r="D7012" s="704" t="s">
        <v>675</v>
      </c>
      <c r="E7012" s="704" t="s">
        <v>824</v>
      </c>
      <c r="F7012" s="706">
        <v>1.0945712378554294E-4</v>
      </c>
      <c r="G7012" s="705">
        <v>1.1699954006757545</v>
      </c>
    </row>
    <row r="7013" spans="2:7" ht="11.25" hidden="1" customHeight="1" outlineLevel="2" x14ac:dyDescent="0.25">
      <c r="B7013" s="704" t="s">
        <v>677</v>
      </c>
      <c r="C7013" s="704" t="s">
        <v>826</v>
      </c>
      <c r="D7013" s="704" t="s">
        <v>675</v>
      </c>
      <c r="E7013" s="704" t="s">
        <v>824</v>
      </c>
      <c r="F7013" s="706">
        <v>1.8164231031035745E-3</v>
      </c>
      <c r="G7013" s="705">
        <v>19.415865343743292</v>
      </c>
    </row>
    <row r="7014" spans="2:7" ht="11.25" hidden="1" customHeight="1" outlineLevel="2" x14ac:dyDescent="0.25">
      <c r="B7014" s="704" t="s">
        <v>678</v>
      </c>
      <c r="C7014" s="704" t="s">
        <v>826</v>
      </c>
      <c r="D7014" s="704" t="s">
        <v>675</v>
      </c>
      <c r="E7014" s="704" t="s">
        <v>824</v>
      </c>
      <c r="F7014" s="706">
        <v>4.2074083354541403E-3</v>
      </c>
      <c r="G7014" s="705">
        <v>44.973264451792168</v>
      </c>
    </row>
    <row r="7015" spans="2:7" ht="11.25" hidden="1" customHeight="1" outlineLevel="2" x14ac:dyDescent="0.25">
      <c r="B7015" s="704" t="s">
        <v>679</v>
      </c>
      <c r="C7015" s="704" t="s">
        <v>826</v>
      </c>
      <c r="D7015" s="704" t="s">
        <v>675</v>
      </c>
      <c r="E7015" s="704" t="s">
        <v>824</v>
      </c>
      <c r="F7015" s="705">
        <v>3.4144008246168357E-4</v>
      </c>
      <c r="G7015" s="705">
        <v>3.6496764829857766</v>
      </c>
    </row>
    <row r="7016" spans="2:7" ht="11.25" hidden="1" customHeight="1" outlineLevel="2" x14ac:dyDescent="0.25">
      <c r="B7016" s="704" t="s">
        <v>680</v>
      </c>
      <c r="C7016" s="704" t="s">
        <v>826</v>
      </c>
      <c r="D7016" s="704" t="s">
        <v>675</v>
      </c>
      <c r="E7016" s="704" t="s">
        <v>824</v>
      </c>
      <c r="F7016" s="705">
        <v>6.3284953510433627E-5</v>
      </c>
      <c r="G7016" s="705">
        <v>0.67645709697436929</v>
      </c>
    </row>
    <row r="7017" spans="2:7" ht="11.25" hidden="1" customHeight="1" outlineLevel="2" x14ac:dyDescent="0.25">
      <c r="B7017" s="704" t="s">
        <v>681</v>
      </c>
      <c r="C7017" s="704" t="s">
        <v>826</v>
      </c>
      <c r="D7017" s="704" t="s">
        <v>675</v>
      </c>
      <c r="E7017" s="704" t="s">
        <v>824</v>
      </c>
      <c r="F7017" s="706">
        <v>5.3378850509563545E-4</v>
      </c>
      <c r="G7017" s="705">
        <v>5.7057012455714418</v>
      </c>
    </row>
    <row r="7018" spans="2:7" ht="11.25" hidden="1" customHeight="1" outlineLevel="2" x14ac:dyDescent="0.25">
      <c r="B7018" s="704" t="s">
        <v>682</v>
      </c>
      <c r="C7018" s="704" t="s">
        <v>826</v>
      </c>
      <c r="D7018" s="704" t="s">
        <v>675</v>
      </c>
      <c r="E7018" s="704" t="s">
        <v>824</v>
      </c>
      <c r="F7018" s="705">
        <v>4.6858459907692665E-4</v>
      </c>
      <c r="G7018" s="705">
        <v>5.0087309989832756</v>
      </c>
    </row>
    <row r="7019" spans="2:7" ht="11.25" hidden="1" customHeight="1" outlineLevel="2" x14ac:dyDescent="0.25">
      <c r="B7019" s="704" t="s">
        <v>683</v>
      </c>
      <c r="C7019" s="704" t="s">
        <v>826</v>
      </c>
      <c r="D7019" s="704" t="s">
        <v>675</v>
      </c>
      <c r="E7019" s="704" t="s">
        <v>824</v>
      </c>
      <c r="F7019" s="705">
        <v>7.7820826848781809E-4</v>
      </c>
      <c r="G7019" s="705">
        <v>8.3183208707594076</v>
      </c>
    </row>
    <row r="7020" spans="2:7" ht="11.25" hidden="1" customHeight="1" outlineLevel="2" x14ac:dyDescent="0.25">
      <c r="B7020" s="704" t="s">
        <v>684</v>
      </c>
      <c r="C7020" s="704" t="s">
        <v>826</v>
      </c>
      <c r="D7020" s="704" t="s">
        <v>675</v>
      </c>
      <c r="E7020" s="704" t="s">
        <v>824</v>
      </c>
      <c r="F7020" s="705">
        <v>1.0157919226015414E-4</v>
      </c>
      <c r="G7020" s="705">
        <v>1.0857866984202986</v>
      </c>
    </row>
    <row r="7021" spans="2:7" ht="11.25" hidden="1" customHeight="1" outlineLevel="2" x14ac:dyDescent="0.25">
      <c r="B7021" s="704" t="s">
        <v>685</v>
      </c>
      <c r="C7021" s="704" t="s">
        <v>826</v>
      </c>
      <c r="D7021" s="704" t="s">
        <v>675</v>
      </c>
      <c r="E7021" s="704" t="s">
        <v>824</v>
      </c>
      <c r="F7021" s="705">
        <v>9.3392202024349721E-4</v>
      </c>
      <c r="G7021" s="705">
        <v>9.9827509121441853</v>
      </c>
    </row>
    <row r="7022" spans="2:7" ht="11.25" hidden="1" customHeight="1" outlineLevel="2" x14ac:dyDescent="0.25">
      <c r="B7022" s="704" t="s">
        <v>686</v>
      </c>
      <c r="C7022" s="704" t="s">
        <v>826</v>
      </c>
      <c r="D7022" s="704" t="s">
        <v>675</v>
      </c>
      <c r="E7022" s="704" t="s">
        <v>824</v>
      </c>
      <c r="F7022" s="705">
        <v>2.195731276639831E-4</v>
      </c>
      <c r="G7022" s="705">
        <v>2.3470318924262781</v>
      </c>
    </row>
    <row r="7023" spans="2:7" ht="11.25" hidden="1" customHeight="1" outlineLevel="2" x14ac:dyDescent="0.25">
      <c r="B7023" s="704" t="s">
        <v>687</v>
      </c>
      <c r="C7023" s="704" t="s">
        <v>826</v>
      </c>
      <c r="D7023" s="704" t="s">
        <v>675</v>
      </c>
      <c r="E7023" s="704" t="s">
        <v>824</v>
      </c>
      <c r="F7023" s="705">
        <v>1.1247343896218461E-3</v>
      </c>
      <c r="G7023" s="705">
        <v>12.022362132269512</v>
      </c>
    </row>
    <row r="7024" spans="2:7" ht="11.25" hidden="1" customHeight="1" outlineLevel="2" x14ac:dyDescent="0.25">
      <c r="B7024" s="704" t="s">
        <v>688</v>
      </c>
      <c r="C7024" s="704" t="s">
        <v>826</v>
      </c>
      <c r="D7024" s="704" t="s">
        <v>675</v>
      </c>
      <c r="E7024" s="704" t="s">
        <v>824</v>
      </c>
      <c r="F7024" s="705">
        <v>8.07317167463835E-4</v>
      </c>
      <c r="G7024" s="705">
        <v>8.6294668810548778</v>
      </c>
    </row>
    <row r="7025" spans="2:7" ht="11.25" hidden="1" customHeight="1" outlineLevel="2" x14ac:dyDescent="0.25">
      <c r="B7025" s="704" t="s">
        <v>689</v>
      </c>
      <c r="C7025" s="704" t="s">
        <v>826</v>
      </c>
      <c r="D7025" s="704" t="s">
        <v>675</v>
      </c>
      <c r="E7025" s="704" t="s">
        <v>824</v>
      </c>
      <c r="F7025" s="705">
        <v>1.1936076600204007E-4</v>
      </c>
      <c r="G7025" s="705">
        <v>1.2758555336715427</v>
      </c>
    </row>
    <row r="7026" spans="2:7" ht="11.25" hidden="1" customHeight="1" outlineLevel="2" x14ac:dyDescent="0.25">
      <c r="B7026" s="704" t="s">
        <v>690</v>
      </c>
      <c r="C7026" s="704" t="s">
        <v>826</v>
      </c>
      <c r="D7026" s="704" t="s">
        <v>675</v>
      </c>
      <c r="E7026" s="704" t="s">
        <v>824</v>
      </c>
      <c r="F7026" s="705">
        <v>2.6279268749185248E-3</v>
      </c>
      <c r="G7026" s="705">
        <v>28.090078927595236</v>
      </c>
    </row>
    <row r="7027" spans="2:7" ht="11.25" hidden="1" customHeight="1" outlineLevel="2" x14ac:dyDescent="0.25">
      <c r="B7027" s="704" t="s">
        <v>691</v>
      </c>
      <c r="C7027" s="704" t="s">
        <v>826</v>
      </c>
      <c r="D7027" s="704" t="s">
        <v>675</v>
      </c>
      <c r="E7027" s="704" t="s">
        <v>824</v>
      </c>
      <c r="F7027" s="705">
        <v>3.0011760625375393E-3</v>
      </c>
      <c r="G7027" s="705">
        <v>32.079750328051951</v>
      </c>
    </row>
    <row r="7028" spans="2:7" ht="11.25" hidden="1" customHeight="1" outlineLevel="2" x14ac:dyDescent="0.25">
      <c r="B7028" s="704" t="s">
        <v>692</v>
      </c>
      <c r="C7028" s="704" t="s">
        <v>826</v>
      </c>
      <c r="D7028" s="704" t="s">
        <v>675</v>
      </c>
      <c r="E7028" s="704" t="s">
        <v>824</v>
      </c>
      <c r="F7028" s="705">
        <v>1.7550119298132975E-4</v>
      </c>
      <c r="G7028" s="705">
        <v>1.8759443372812226</v>
      </c>
    </row>
    <row r="7029" spans="2:7" ht="11.25" hidden="1" customHeight="1" outlineLevel="2" x14ac:dyDescent="0.25">
      <c r="B7029" s="704" t="s">
        <v>693</v>
      </c>
      <c r="C7029" s="704" t="s">
        <v>826</v>
      </c>
      <c r="D7029" s="704" t="s">
        <v>675</v>
      </c>
      <c r="E7029" s="704" t="s">
        <v>824</v>
      </c>
      <c r="F7029" s="705">
        <v>4.3808574253531503E-4</v>
      </c>
      <c r="G7029" s="705">
        <v>4.6827295468043717</v>
      </c>
    </row>
    <row r="7030" spans="2:7" ht="11.25" hidden="1" customHeight="1" outlineLevel="2" x14ac:dyDescent="0.25">
      <c r="B7030" s="704" t="s">
        <v>694</v>
      </c>
      <c r="C7030" s="704" t="s">
        <v>826</v>
      </c>
      <c r="D7030" s="704" t="s">
        <v>675</v>
      </c>
      <c r="E7030" s="704" t="s">
        <v>824</v>
      </c>
      <c r="F7030" s="705">
        <v>4.9114568311686235E-5</v>
      </c>
      <c r="G7030" s="705">
        <v>0.52498864764635944</v>
      </c>
    </row>
    <row r="7031" spans="2:7" ht="11.25" hidden="1" customHeight="1" outlineLevel="2" x14ac:dyDescent="0.25">
      <c r="B7031" s="704" t="s">
        <v>695</v>
      </c>
      <c r="C7031" s="704" t="s">
        <v>826</v>
      </c>
      <c r="D7031" s="704" t="s">
        <v>675</v>
      </c>
      <c r="E7031" s="704" t="s">
        <v>824</v>
      </c>
      <c r="F7031" s="705">
        <v>2.3296528139548684E-4</v>
      </c>
      <c r="G7031" s="705">
        <v>2.4901807224240695</v>
      </c>
    </row>
    <row r="7032" spans="2:7" ht="11.25" hidden="1" customHeight="1" outlineLevel="2" x14ac:dyDescent="0.25">
      <c r="B7032" s="704" t="s">
        <v>696</v>
      </c>
      <c r="C7032" s="704" t="s">
        <v>826</v>
      </c>
      <c r="D7032" s="704" t="s">
        <v>675</v>
      </c>
      <c r="E7032" s="704" t="s">
        <v>824</v>
      </c>
      <c r="F7032" s="705">
        <v>5.8207334608071618E-4</v>
      </c>
      <c r="G7032" s="705">
        <v>6.2218208425736297</v>
      </c>
    </row>
    <row r="7033" spans="2:7" ht="11.25" hidden="1" customHeight="1" outlineLevel="2" x14ac:dyDescent="0.25">
      <c r="B7033" s="704" t="s">
        <v>697</v>
      </c>
      <c r="C7033" s="704" t="s">
        <v>826</v>
      </c>
      <c r="D7033" s="704" t="s">
        <v>675</v>
      </c>
      <c r="E7033" s="704" t="s">
        <v>824</v>
      </c>
      <c r="F7033" s="705">
        <v>3.1846949036357634E-4</v>
      </c>
      <c r="G7033" s="705">
        <v>3.4041395554532841</v>
      </c>
    </row>
    <row r="7034" spans="2:7" ht="11.25" hidden="1" customHeight="1" outlineLevel="2" x14ac:dyDescent="0.25">
      <c r="B7034" s="704" t="s">
        <v>698</v>
      </c>
      <c r="C7034" s="704" t="s">
        <v>826</v>
      </c>
      <c r="D7034" s="704" t="s">
        <v>675</v>
      </c>
      <c r="E7034" s="704" t="s">
        <v>824</v>
      </c>
      <c r="F7034" s="705">
        <v>3.4970733919950593E-4</v>
      </c>
      <c r="G7034" s="705">
        <v>3.7380442499467272</v>
      </c>
    </row>
    <row r="7035" spans="2:7" ht="11.25" hidden="1" customHeight="1" outlineLevel="2" x14ac:dyDescent="0.25">
      <c r="B7035" s="704" t="s">
        <v>699</v>
      </c>
      <c r="C7035" s="704" t="s">
        <v>826</v>
      </c>
      <c r="D7035" s="704" t="s">
        <v>675</v>
      </c>
      <c r="E7035" s="704" t="s">
        <v>824</v>
      </c>
      <c r="F7035" s="705">
        <v>6.3495751445360996E-35</v>
      </c>
      <c r="G7035" s="705">
        <v>5.5876112040841091E-31</v>
      </c>
    </row>
    <row r="7036" spans="2:7" ht="11.25" hidden="1" customHeight="1" outlineLevel="2" x14ac:dyDescent="0.25">
      <c r="B7036" s="704" t="s">
        <v>673</v>
      </c>
      <c r="C7036" s="704" t="s">
        <v>827</v>
      </c>
      <c r="D7036" s="704" t="s">
        <v>675</v>
      </c>
      <c r="E7036" s="704" t="s">
        <v>824</v>
      </c>
      <c r="F7036" s="705">
        <v>8.1051147315854347E-5</v>
      </c>
      <c r="G7036" s="705">
        <v>0.1935521460979861</v>
      </c>
    </row>
    <row r="7037" spans="2:7" ht="11.25" hidden="1" customHeight="1" outlineLevel="2" x14ac:dyDescent="0.25">
      <c r="B7037" s="704" t="s">
        <v>677</v>
      </c>
      <c r="C7037" s="704" t="s">
        <v>827</v>
      </c>
      <c r="D7037" s="704" t="s">
        <v>675</v>
      </c>
      <c r="E7037" s="704" t="s">
        <v>824</v>
      </c>
      <c r="F7037" s="705">
        <v>1.3450307972903185E-3</v>
      </c>
      <c r="G7037" s="705">
        <v>3.2119668811962843</v>
      </c>
    </row>
    <row r="7038" spans="2:7" ht="11.25" hidden="1" customHeight="1" outlineLevel="2" x14ac:dyDescent="0.25">
      <c r="B7038" s="704" t="s">
        <v>678</v>
      </c>
      <c r="C7038" s="704" t="s">
        <v>827</v>
      </c>
      <c r="D7038" s="704" t="s">
        <v>675</v>
      </c>
      <c r="E7038" s="704" t="s">
        <v>824</v>
      </c>
      <c r="F7038" s="706">
        <v>3.1155142952454091E-3</v>
      </c>
      <c r="G7038" s="705">
        <v>7.4399290363535435</v>
      </c>
    </row>
    <row r="7039" spans="2:7" ht="11.25" hidden="1" customHeight="1" outlineLevel="2" x14ac:dyDescent="0.25">
      <c r="B7039" s="704" t="s">
        <v>679</v>
      </c>
      <c r="C7039" s="704" t="s">
        <v>827</v>
      </c>
      <c r="D7039" s="704" t="s">
        <v>675</v>
      </c>
      <c r="E7039" s="704" t="s">
        <v>824</v>
      </c>
      <c r="F7039" s="706">
        <v>2.5283074213370605E-4</v>
      </c>
      <c r="G7039" s="705">
        <v>0.60376596217702327</v>
      </c>
    </row>
    <row r="7040" spans="2:7" ht="11.25" hidden="1" customHeight="1" outlineLevel="2" x14ac:dyDescent="0.25">
      <c r="B7040" s="704" t="s">
        <v>680</v>
      </c>
      <c r="C7040" s="704" t="s">
        <v>827</v>
      </c>
      <c r="D7040" s="704" t="s">
        <v>675</v>
      </c>
      <c r="E7040" s="704" t="s">
        <v>824</v>
      </c>
      <c r="F7040" s="706">
        <v>4.6861432037902379E-5</v>
      </c>
      <c r="G7040" s="705">
        <v>0.11190623076785181</v>
      </c>
    </row>
    <row r="7041" spans="2:7" ht="11.25" hidden="1" customHeight="1" outlineLevel="2" x14ac:dyDescent="0.25">
      <c r="B7041" s="704" t="s">
        <v>681</v>
      </c>
      <c r="C7041" s="704" t="s">
        <v>827</v>
      </c>
      <c r="D7041" s="704" t="s">
        <v>675</v>
      </c>
      <c r="E7041" s="704" t="s">
        <v>824</v>
      </c>
      <c r="F7041" s="706">
        <v>3.9526149650110905E-4</v>
      </c>
      <c r="G7041" s="705">
        <v>0.94389414363819613</v>
      </c>
    </row>
    <row r="7042" spans="2:7" ht="11.25" hidden="1" customHeight="1" outlineLevel="2" x14ac:dyDescent="0.25">
      <c r="B7042" s="704" t="s">
        <v>682</v>
      </c>
      <c r="C7042" s="704" t="s">
        <v>827</v>
      </c>
      <c r="D7042" s="704" t="s">
        <v>675</v>
      </c>
      <c r="E7042" s="704" t="s">
        <v>824</v>
      </c>
      <c r="F7042" s="706">
        <v>3.4697894077065936E-4</v>
      </c>
      <c r="G7042" s="705">
        <v>0.8285940199278955</v>
      </c>
    </row>
    <row r="7043" spans="2:7" ht="11.25" hidden="1" customHeight="1" outlineLevel="2" x14ac:dyDescent="0.25">
      <c r="B7043" s="704" t="s">
        <v>683</v>
      </c>
      <c r="C7043" s="704" t="s">
        <v>827</v>
      </c>
      <c r="D7043" s="704" t="s">
        <v>675</v>
      </c>
      <c r="E7043" s="704" t="s">
        <v>824</v>
      </c>
      <c r="F7043" s="706">
        <v>5.7625011761688351E-4</v>
      </c>
      <c r="G7043" s="705">
        <v>1.3760993402650965</v>
      </c>
    </row>
    <row r="7044" spans="2:7" ht="11.25" hidden="1" customHeight="1" outlineLevel="2" x14ac:dyDescent="0.25">
      <c r="B7044" s="704" t="s">
        <v>684</v>
      </c>
      <c r="C7044" s="704" t="s">
        <v>827</v>
      </c>
      <c r="D7044" s="704" t="s">
        <v>675</v>
      </c>
      <c r="E7044" s="704" t="s">
        <v>824</v>
      </c>
      <c r="F7044" s="705">
        <v>7.5217689267648811E-5</v>
      </c>
      <c r="G7044" s="705">
        <v>0.17962161239839833</v>
      </c>
    </row>
    <row r="7045" spans="2:7" ht="11.25" hidden="1" customHeight="1" outlineLevel="2" x14ac:dyDescent="0.25">
      <c r="B7045" s="704" t="s">
        <v>685</v>
      </c>
      <c r="C7045" s="704" t="s">
        <v>827</v>
      </c>
      <c r="D7045" s="704" t="s">
        <v>675</v>
      </c>
      <c r="E7045" s="704" t="s">
        <v>824</v>
      </c>
      <c r="F7045" s="705">
        <v>6.9155352134421001E-4</v>
      </c>
      <c r="G7045" s="705">
        <v>1.6514472222388212</v>
      </c>
    </row>
    <row r="7046" spans="2:7" ht="11.25" hidden="1" customHeight="1" outlineLevel="2" x14ac:dyDescent="0.25">
      <c r="B7046" s="704" t="s">
        <v>686</v>
      </c>
      <c r="C7046" s="704" t="s">
        <v>827</v>
      </c>
      <c r="D7046" s="704" t="s">
        <v>675</v>
      </c>
      <c r="E7046" s="704" t="s">
        <v>824</v>
      </c>
      <c r="F7046" s="705">
        <v>1.6259025144889448E-4</v>
      </c>
      <c r="G7046" s="705">
        <v>0.3882694257251329</v>
      </c>
    </row>
    <row r="7047" spans="2:7" ht="11.25" hidden="1" customHeight="1" outlineLevel="2" x14ac:dyDescent="0.25">
      <c r="B7047" s="704" t="s">
        <v>687</v>
      </c>
      <c r="C7047" s="704" t="s">
        <v>827</v>
      </c>
      <c r="D7047" s="704" t="s">
        <v>675</v>
      </c>
      <c r="E7047" s="704" t="s">
        <v>824</v>
      </c>
      <c r="F7047" s="705">
        <v>8.3284729768302803E-4</v>
      </c>
      <c r="G7047" s="705">
        <v>1.9888586877675323</v>
      </c>
    </row>
    <row r="7048" spans="2:7" ht="11.25" hidden="1" customHeight="1" outlineLevel="2" x14ac:dyDescent="0.25">
      <c r="B7048" s="704" t="s">
        <v>688</v>
      </c>
      <c r="C7048" s="704" t="s">
        <v>827</v>
      </c>
      <c r="D7048" s="704" t="s">
        <v>675</v>
      </c>
      <c r="E7048" s="704" t="s">
        <v>824</v>
      </c>
      <c r="F7048" s="705">
        <v>5.9780462467077383E-4</v>
      </c>
      <c r="G7048" s="705">
        <v>1.4275724310949889</v>
      </c>
    </row>
    <row r="7049" spans="2:7" ht="11.25" hidden="1" customHeight="1" outlineLevel="2" x14ac:dyDescent="0.25">
      <c r="B7049" s="704" t="s">
        <v>689</v>
      </c>
      <c r="C7049" s="704" t="s">
        <v>827</v>
      </c>
      <c r="D7049" s="704" t="s">
        <v>675</v>
      </c>
      <c r="E7049" s="704" t="s">
        <v>824</v>
      </c>
      <c r="F7049" s="705">
        <v>8.8384650327506391E-5</v>
      </c>
      <c r="G7049" s="705">
        <v>0.21106460523387602</v>
      </c>
    </row>
    <row r="7050" spans="2:7" ht="11.25" hidden="1" customHeight="1" outlineLevel="2" x14ac:dyDescent="0.25">
      <c r="B7050" s="704" t="s">
        <v>690</v>
      </c>
      <c r="C7050" s="704" t="s">
        <v>827</v>
      </c>
      <c r="D7050" s="704" t="s">
        <v>675</v>
      </c>
      <c r="E7050" s="704" t="s">
        <v>824</v>
      </c>
      <c r="F7050" s="705">
        <v>1.9459350621036226E-3</v>
      </c>
      <c r="G7050" s="705">
        <v>4.6469395992144955</v>
      </c>
    </row>
    <row r="7051" spans="2:7" ht="11.25" hidden="1" customHeight="1" outlineLevel="2" x14ac:dyDescent="0.25">
      <c r="B7051" s="704" t="s">
        <v>691</v>
      </c>
      <c r="C7051" s="704" t="s">
        <v>827</v>
      </c>
      <c r="D7051" s="704" t="s">
        <v>675</v>
      </c>
      <c r="E7051" s="704" t="s">
        <v>824</v>
      </c>
      <c r="F7051" s="705">
        <v>2.2223190897344247E-3</v>
      </c>
      <c r="G7051" s="705">
        <v>5.306953160014193</v>
      </c>
    </row>
    <row r="7052" spans="2:7" ht="11.25" hidden="1" customHeight="1" outlineLevel="2" x14ac:dyDescent="0.25">
      <c r="B7052" s="704" t="s">
        <v>692</v>
      </c>
      <c r="C7052" s="704" t="s">
        <v>827</v>
      </c>
      <c r="D7052" s="704" t="s">
        <v>675</v>
      </c>
      <c r="E7052" s="704" t="s">
        <v>824</v>
      </c>
      <c r="F7052" s="705">
        <v>1.2995571054126465E-4</v>
      </c>
      <c r="G7052" s="705">
        <v>0.31033741896608463</v>
      </c>
    </row>
    <row r="7053" spans="2:7" ht="11.25" hidden="1" customHeight="1" outlineLevel="2" x14ac:dyDescent="0.25">
      <c r="B7053" s="704" t="s">
        <v>693</v>
      </c>
      <c r="C7053" s="704" t="s">
        <v>827</v>
      </c>
      <c r="D7053" s="704" t="s">
        <v>675</v>
      </c>
      <c r="E7053" s="704" t="s">
        <v>824</v>
      </c>
      <c r="F7053" s="705">
        <v>3.2439519633044371E-4</v>
      </c>
      <c r="G7053" s="705">
        <v>0.7746636682359338</v>
      </c>
    </row>
    <row r="7054" spans="2:7" ht="11.25" hidden="1" customHeight="1" outlineLevel="2" x14ac:dyDescent="0.25">
      <c r="B7054" s="704" t="s">
        <v>694</v>
      </c>
      <c r="C7054" s="704" t="s">
        <v>827</v>
      </c>
      <c r="D7054" s="704" t="s">
        <v>675</v>
      </c>
      <c r="E7054" s="704" t="s">
        <v>824</v>
      </c>
      <c r="F7054" s="705">
        <v>3.6368514001814603E-5</v>
      </c>
      <c r="G7054" s="705">
        <v>8.6848893426328219E-2</v>
      </c>
    </row>
    <row r="7055" spans="2:7" ht="11.25" hidden="1" customHeight="1" outlineLevel="2" x14ac:dyDescent="0.25">
      <c r="B7055" s="704" t="s">
        <v>695</v>
      </c>
      <c r="C7055" s="704" t="s">
        <v>827</v>
      </c>
      <c r="D7055" s="704" t="s">
        <v>675</v>
      </c>
      <c r="E7055" s="704" t="s">
        <v>824</v>
      </c>
      <c r="F7055" s="705">
        <v>1.7250681264537352E-4</v>
      </c>
      <c r="G7055" s="705">
        <v>0.41195053288000055</v>
      </c>
    </row>
    <row r="7056" spans="2:7" ht="11.25" hidden="1" customHeight="1" outlineLevel="2" x14ac:dyDescent="0.25">
      <c r="B7056" s="704" t="s">
        <v>696</v>
      </c>
      <c r="C7056" s="704" t="s">
        <v>827</v>
      </c>
      <c r="D7056" s="704" t="s">
        <v>675</v>
      </c>
      <c r="E7056" s="704" t="s">
        <v>824</v>
      </c>
      <c r="F7056" s="705">
        <v>4.3101552815088287E-4</v>
      </c>
      <c r="G7056" s="705">
        <v>1.0292750520081704</v>
      </c>
    </row>
    <row r="7057" spans="2:7" ht="11.25" hidden="1" customHeight="1" outlineLevel="2" x14ac:dyDescent="0.25">
      <c r="B7057" s="704" t="s">
        <v>697</v>
      </c>
      <c r="C7057" s="704" t="s">
        <v>827</v>
      </c>
      <c r="D7057" s="704" t="s">
        <v>675</v>
      </c>
      <c r="E7057" s="704" t="s">
        <v>824</v>
      </c>
      <c r="F7057" s="705">
        <v>2.3582128492283575E-4</v>
      </c>
      <c r="G7057" s="705">
        <v>0.56314684559623673</v>
      </c>
    </row>
    <row r="7058" spans="2:7" ht="11.25" hidden="1" customHeight="1" outlineLevel="2" x14ac:dyDescent="0.25">
      <c r="B7058" s="704" t="s">
        <v>698</v>
      </c>
      <c r="C7058" s="704" t="s">
        <v>827</v>
      </c>
      <c r="D7058" s="704" t="s">
        <v>675</v>
      </c>
      <c r="E7058" s="704" t="s">
        <v>824</v>
      </c>
      <c r="F7058" s="705">
        <v>2.5895240602888278E-4</v>
      </c>
      <c r="G7058" s="705">
        <v>0.61838456883572468</v>
      </c>
    </row>
    <row r="7059" spans="2:7" ht="11.25" hidden="1" customHeight="1" outlineLevel="2" x14ac:dyDescent="0.25">
      <c r="B7059" s="704" t="s">
        <v>699</v>
      </c>
      <c r="C7059" s="704" t="s">
        <v>827</v>
      </c>
      <c r="D7059" s="704" t="s">
        <v>675</v>
      </c>
      <c r="E7059" s="704" t="s">
        <v>824</v>
      </c>
      <c r="F7059" s="705">
        <v>1.3931299995213113E-36</v>
      </c>
      <c r="G7059" s="705">
        <v>3.5520604857606628E-33</v>
      </c>
    </row>
    <row r="7060" spans="2:7" ht="11.25" hidden="1" customHeight="1" outlineLevel="2" x14ac:dyDescent="0.25">
      <c r="B7060" s="704" t="s">
        <v>673</v>
      </c>
      <c r="C7060" s="704" t="s">
        <v>828</v>
      </c>
      <c r="D7060" s="704" t="s">
        <v>675</v>
      </c>
      <c r="E7060" s="704" t="s">
        <v>824</v>
      </c>
      <c r="F7060" s="705">
        <v>2.2100911348229906E-5</v>
      </c>
      <c r="G7060" s="705">
        <v>0.12128413991516737</v>
      </c>
    </row>
    <row r="7061" spans="2:7" ht="11.25" hidden="1" customHeight="1" outlineLevel="2" x14ac:dyDescent="0.25">
      <c r="B7061" s="704" t="s">
        <v>677</v>
      </c>
      <c r="C7061" s="704" t="s">
        <v>828</v>
      </c>
      <c r="D7061" s="704" t="s">
        <v>675</v>
      </c>
      <c r="E7061" s="704" t="s">
        <v>824</v>
      </c>
      <c r="F7061" s="705">
        <v>3.6676107427986211E-4</v>
      </c>
      <c r="G7061" s="705">
        <v>2.0126903422817954</v>
      </c>
    </row>
    <row r="7062" spans="2:7" ht="11.25" hidden="1" customHeight="1" outlineLevel="2" x14ac:dyDescent="0.25">
      <c r="B7062" s="704" t="s">
        <v>678</v>
      </c>
      <c r="C7062" s="704" t="s">
        <v>828</v>
      </c>
      <c r="D7062" s="704" t="s">
        <v>675</v>
      </c>
      <c r="E7062" s="704" t="s">
        <v>824</v>
      </c>
      <c r="F7062" s="705">
        <v>8.4953396602479442E-4</v>
      </c>
      <c r="G7062" s="705">
        <v>4.6620241763043149</v>
      </c>
    </row>
    <row r="7063" spans="2:7" ht="11.25" hidden="1" customHeight="1" outlineLevel="2" x14ac:dyDescent="0.25">
      <c r="B7063" s="704" t="s">
        <v>679</v>
      </c>
      <c r="C7063" s="704" t="s">
        <v>828</v>
      </c>
      <c r="D7063" s="704" t="s">
        <v>675</v>
      </c>
      <c r="E7063" s="704" t="s">
        <v>824</v>
      </c>
      <c r="F7063" s="705">
        <v>6.8941511736013105E-5</v>
      </c>
      <c r="G7063" s="705">
        <v>0.37833327722272347</v>
      </c>
    </row>
    <row r="7064" spans="2:7" ht="11.25" hidden="1" customHeight="1" outlineLevel="2" x14ac:dyDescent="0.25">
      <c r="B7064" s="704" t="s">
        <v>680</v>
      </c>
      <c r="C7064" s="704" t="s">
        <v>828</v>
      </c>
      <c r="D7064" s="704" t="s">
        <v>675</v>
      </c>
      <c r="E7064" s="704" t="s">
        <v>824</v>
      </c>
      <c r="F7064" s="705">
        <v>1.2778108607428869E-5</v>
      </c>
      <c r="G7064" s="705">
        <v>7.0122983860609486E-2</v>
      </c>
    </row>
    <row r="7065" spans="2:7" ht="11.25" hidden="1" customHeight="1" outlineLevel="2" x14ac:dyDescent="0.25">
      <c r="B7065" s="704" t="s">
        <v>681</v>
      </c>
      <c r="C7065" s="704" t="s">
        <v>828</v>
      </c>
      <c r="D7065" s="704" t="s">
        <v>675</v>
      </c>
      <c r="E7065" s="704" t="s">
        <v>824</v>
      </c>
      <c r="F7065" s="705">
        <v>1.0777935817745574E-4</v>
      </c>
      <c r="G7065" s="705">
        <v>0.59146518038698903</v>
      </c>
    </row>
    <row r="7066" spans="2:7" ht="11.25" hidden="1" customHeight="1" outlineLevel="2" x14ac:dyDescent="0.25">
      <c r="B7066" s="704" t="s">
        <v>682</v>
      </c>
      <c r="C7066" s="704" t="s">
        <v>828</v>
      </c>
      <c r="D7066" s="704" t="s">
        <v>675</v>
      </c>
      <c r="E7066" s="704" t="s">
        <v>824</v>
      </c>
      <c r="F7066" s="705">
        <v>9.461372264385289E-5</v>
      </c>
      <c r="G7066" s="705">
        <v>0.51921569726230021</v>
      </c>
    </row>
    <row r="7067" spans="2:7" ht="11.25" hidden="1" customHeight="1" outlineLevel="2" x14ac:dyDescent="0.25">
      <c r="B7067" s="704" t="s">
        <v>683</v>
      </c>
      <c r="C7067" s="704" t="s">
        <v>828</v>
      </c>
      <c r="D7067" s="704" t="s">
        <v>675</v>
      </c>
      <c r="E7067" s="704" t="s">
        <v>824</v>
      </c>
      <c r="F7067" s="705">
        <v>1.5713111956916395E-4</v>
      </c>
      <c r="G7067" s="705">
        <v>0.86229436308473117</v>
      </c>
    </row>
    <row r="7068" spans="2:7" ht="11.25" hidden="1" customHeight="1" outlineLevel="2" x14ac:dyDescent="0.25">
      <c r="B7068" s="704" t="s">
        <v>684</v>
      </c>
      <c r="C7068" s="704" t="s">
        <v>828</v>
      </c>
      <c r="D7068" s="704" t="s">
        <v>675</v>
      </c>
      <c r="E7068" s="704" t="s">
        <v>824</v>
      </c>
      <c r="F7068" s="705">
        <v>2.0510255393466448E-5</v>
      </c>
      <c r="G7068" s="705">
        <v>0.1125549813190045</v>
      </c>
    </row>
    <row r="7069" spans="2:7" ht="11.25" hidden="1" customHeight="1" outlineLevel="2" x14ac:dyDescent="0.25">
      <c r="B7069" s="704" t="s">
        <v>685</v>
      </c>
      <c r="C7069" s="704" t="s">
        <v>828</v>
      </c>
      <c r="D7069" s="704" t="s">
        <v>675</v>
      </c>
      <c r="E7069" s="704" t="s">
        <v>824</v>
      </c>
      <c r="F7069" s="705">
        <v>1.8857181640860945E-4</v>
      </c>
      <c r="G7069" s="705">
        <v>1.0348336099008859</v>
      </c>
    </row>
    <row r="7070" spans="2:7" ht="11.25" hidden="1" customHeight="1" outlineLevel="2" x14ac:dyDescent="0.25">
      <c r="B7070" s="704" t="s">
        <v>686</v>
      </c>
      <c r="C7070" s="704" t="s">
        <v>828</v>
      </c>
      <c r="D7070" s="704" t="s">
        <v>675</v>
      </c>
      <c r="E7070" s="704" t="s">
        <v>824</v>
      </c>
      <c r="F7070" s="705">
        <v>4.433486884162038E-5</v>
      </c>
      <c r="G7070" s="705">
        <v>0.24329823428661518</v>
      </c>
    </row>
    <row r="7071" spans="2:7" ht="11.25" hidden="1" customHeight="1" outlineLevel="2" x14ac:dyDescent="0.25">
      <c r="B7071" s="704" t="s">
        <v>687</v>
      </c>
      <c r="C7071" s="704" t="s">
        <v>828</v>
      </c>
      <c r="D7071" s="704" t="s">
        <v>675</v>
      </c>
      <c r="E7071" s="704" t="s">
        <v>824</v>
      </c>
      <c r="F7071" s="705">
        <v>2.2709946775811602E-4</v>
      </c>
      <c r="G7071" s="705">
        <v>1.2462636425712066</v>
      </c>
    </row>
    <row r="7072" spans="2:7" ht="11.25" hidden="1" customHeight="1" outlineLevel="2" x14ac:dyDescent="0.25">
      <c r="B7072" s="704" t="s">
        <v>688</v>
      </c>
      <c r="C7072" s="704" t="s">
        <v>828</v>
      </c>
      <c r="D7072" s="704" t="s">
        <v>675</v>
      </c>
      <c r="E7072" s="704" t="s">
        <v>824</v>
      </c>
      <c r="F7072" s="705">
        <v>1.630086186425722E-4</v>
      </c>
      <c r="G7072" s="705">
        <v>0.89454877247612841</v>
      </c>
    </row>
    <row r="7073" spans="2:7" ht="11.25" hidden="1" customHeight="1" outlineLevel="2" x14ac:dyDescent="0.25">
      <c r="B7073" s="704" t="s">
        <v>689</v>
      </c>
      <c r="C7073" s="704" t="s">
        <v>828</v>
      </c>
      <c r="D7073" s="704" t="s">
        <v>675</v>
      </c>
      <c r="E7073" s="704" t="s">
        <v>824</v>
      </c>
      <c r="F7073" s="705">
        <v>2.4100591627977199E-5</v>
      </c>
      <c r="G7073" s="705">
        <v>0.13225783721178017</v>
      </c>
    </row>
    <row r="7074" spans="2:7" ht="11.25" hidden="1" customHeight="1" outlineLevel="2" x14ac:dyDescent="0.25">
      <c r="B7074" s="704" t="s">
        <v>690</v>
      </c>
      <c r="C7074" s="704" t="s">
        <v>828</v>
      </c>
      <c r="D7074" s="704" t="s">
        <v>675</v>
      </c>
      <c r="E7074" s="704" t="s">
        <v>824</v>
      </c>
      <c r="F7074" s="705">
        <v>5.3061472364418559E-4</v>
      </c>
      <c r="G7074" s="705">
        <v>2.9118767048264109</v>
      </c>
    </row>
    <row r="7075" spans="2:7" ht="11.25" hidden="1" customHeight="1" outlineLevel="2" x14ac:dyDescent="0.25">
      <c r="B7075" s="704" t="s">
        <v>691</v>
      </c>
      <c r="C7075" s="704" t="s">
        <v>828</v>
      </c>
      <c r="D7075" s="704" t="s">
        <v>675</v>
      </c>
      <c r="E7075" s="704" t="s">
        <v>824</v>
      </c>
      <c r="F7075" s="705">
        <v>6.0597878674622683E-4</v>
      </c>
      <c r="G7075" s="705">
        <v>3.3254547455024253</v>
      </c>
    </row>
    <row r="7076" spans="2:7" ht="11.25" hidden="1" customHeight="1" outlineLevel="2" x14ac:dyDescent="0.25">
      <c r="B7076" s="704" t="s">
        <v>692</v>
      </c>
      <c r="C7076" s="704" t="s">
        <v>828</v>
      </c>
      <c r="D7076" s="704" t="s">
        <v>675</v>
      </c>
      <c r="E7076" s="704" t="s">
        <v>824</v>
      </c>
      <c r="F7076" s="705">
        <v>3.5436137779463197E-5</v>
      </c>
      <c r="G7076" s="705">
        <v>0.19446432570965158</v>
      </c>
    </row>
    <row r="7077" spans="2:7" ht="11.25" hidden="1" customHeight="1" outlineLevel="2" x14ac:dyDescent="0.25">
      <c r="B7077" s="704" t="s">
        <v>693</v>
      </c>
      <c r="C7077" s="704" t="s">
        <v>828</v>
      </c>
      <c r="D7077" s="704" t="s">
        <v>675</v>
      </c>
      <c r="E7077" s="704" t="s">
        <v>824</v>
      </c>
      <c r="F7077" s="705">
        <v>8.8455637919478207E-5</v>
      </c>
      <c r="G7077" s="705">
        <v>0.48542166858749047</v>
      </c>
    </row>
    <row r="7078" spans="2:7" ht="11.25" hidden="1" customHeight="1" outlineLevel="2" x14ac:dyDescent="0.25">
      <c r="B7078" s="704" t="s">
        <v>694</v>
      </c>
      <c r="C7078" s="704" t="s">
        <v>828</v>
      </c>
      <c r="D7078" s="704" t="s">
        <v>675</v>
      </c>
      <c r="E7078" s="704" t="s">
        <v>824</v>
      </c>
      <c r="F7078" s="705">
        <v>9.9169122066727977E-6</v>
      </c>
      <c r="G7078" s="705">
        <v>5.4421465723648067E-2</v>
      </c>
    </row>
    <row r="7079" spans="2:7" ht="11.25" hidden="1" customHeight="1" outlineLevel="2" x14ac:dyDescent="0.25">
      <c r="B7079" s="704" t="s">
        <v>695</v>
      </c>
      <c r="C7079" s="704" t="s">
        <v>828</v>
      </c>
      <c r="D7079" s="704" t="s">
        <v>675</v>
      </c>
      <c r="E7079" s="704" t="s">
        <v>824</v>
      </c>
      <c r="F7079" s="705">
        <v>4.7038911916732481E-5</v>
      </c>
      <c r="G7079" s="705">
        <v>0.25813735633087181</v>
      </c>
    </row>
    <row r="7080" spans="2:7" ht="11.25" hidden="1" customHeight="1" outlineLevel="2" x14ac:dyDescent="0.25">
      <c r="B7080" s="704" t="s">
        <v>696</v>
      </c>
      <c r="C7080" s="704" t="s">
        <v>828</v>
      </c>
      <c r="D7080" s="704" t="s">
        <v>675</v>
      </c>
      <c r="E7080" s="704" t="s">
        <v>824</v>
      </c>
      <c r="F7080" s="705">
        <v>1.1752867941621485E-4</v>
      </c>
      <c r="G7080" s="705">
        <v>0.64496703379540599</v>
      </c>
    </row>
    <row r="7081" spans="2:7" ht="11.25" hidden="1" customHeight="1" outlineLevel="2" x14ac:dyDescent="0.25">
      <c r="B7081" s="704" t="s">
        <v>697</v>
      </c>
      <c r="C7081" s="704" t="s">
        <v>828</v>
      </c>
      <c r="D7081" s="704" t="s">
        <v>675</v>
      </c>
      <c r="E7081" s="704" t="s">
        <v>824</v>
      </c>
      <c r="F7081" s="705">
        <v>6.4303409818046548E-5</v>
      </c>
      <c r="G7081" s="705">
        <v>0.35288049630769525</v>
      </c>
    </row>
    <row r="7082" spans="2:7" ht="11.25" hidden="1" customHeight="1" outlineLevel="2" x14ac:dyDescent="0.25">
      <c r="B7082" s="704" t="s">
        <v>698</v>
      </c>
      <c r="C7082" s="704" t="s">
        <v>828</v>
      </c>
      <c r="D7082" s="704" t="s">
        <v>675</v>
      </c>
      <c r="E7082" s="704" t="s">
        <v>824</v>
      </c>
      <c r="F7082" s="705">
        <v>7.0610754680556874E-5</v>
      </c>
      <c r="G7082" s="705">
        <v>0.38749353505467266</v>
      </c>
    </row>
    <row r="7083" spans="2:7" ht="11.25" hidden="1" customHeight="1" outlineLevel="2" x14ac:dyDescent="0.25">
      <c r="B7083" s="704" t="s">
        <v>699</v>
      </c>
      <c r="C7083" s="704" t="s">
        <v>828</v>
      </c>
      <c r="D7083" s="704" t="s">
        <v>675</v>
      </c>
      <c r="E7083" s="704" t="s">
        <v>824</v>
      </c>
      <c r="F7083" s="705">
        <v>5.0263454186658089E-35</v>
      </c>
      <c r="G7083" s="705">
        <v>4.4770586099014243E-31</v>
      </c>
    </row>
    <row r="7084" spans="2:7" ht="11.25" hidden="1" customHeight="1" outlineLevel="2" x14ac:dyDescent="0.25">
      <c r="B7084" s="704" t="s">
        <v>673</v>
      </c>
      <c r="C7084" s="704" t="s">
        <v>829</v>
      </c>
      <c r="D7084" s="704" t="s">
        <v>675</v>
      </c>
      <c r="E7084" s="704" t="s">
        <v>824</v>
      </c>
      <c r="F7084" s="706">
        <v>4.7827884455283295E-4</v>
      </c>
      <c r="G7084" s="705">
        <v>2.1463188069936194</v>
      </c>
    </row>
    <row r="7085" spans="2:7" ht="11.25" hidden="1" customHeight="1" outlineLevel="2" x14ac:dyDescent="0.25">
      <c r="B7085" s="704" t="s">
        <v>677</v>
      </c>
      <c r="C7085" s="704" t="s">
        <v>829</v>
      </c>
      <c r="D7085" s="704" t="s">
        <v>675</v>
      </c>
      <c r="E7085" s="704" t="s">
        <v>824</v>
      </c>
      <c r="F7085" s="706">
        <v>7.9369587344715262E-3</v>
      </c>
      <c r="G7085" s="705">
        <v>35.6178058716512</v>
      </c>
    </row>
    <row r="7086" spans="2:7" ht="11.25" hidden="1" customHeight="1" outlineLevel="2" x14ac:dyDescent="0.25">
      <c r="B7086" s="704" t="s">
        <v>678</v>
      </c>
      <c r="C7086" s="704" t="s">
        <v>829</v>
      </c>
      <c r="D7086" s="704" t="s">
        <v>675</v>
      </c>
      <c r="E7086" s="704" t="s">
        <v>824</v>
      </c>
      <c r="F7086" s="706">
        <v>1.8384498214086192E-2</v>
      </c>
      <c r="G7086" s="705">
        <v>82.50204707244967</v>
      </c>
    </row>
    <row r="7087" spans="2:7" ht="11.25" hidden="1" customHeight="1" outlineLevel="2" x14ac:dyDescent="0.25">
      <c r="B7087" s="704" t="s">
        <v>679</v>
      </c>
      <c r="C7087" s="704" t="s">
        <v>829</v>
      </c>
      <c r="D7087" s="704" t="s">
        <v>675</v>
      </c>
      <c r="E7087" s="704" t="s">
        <v>824</v>
      </c>
      <c r="F7087" s="706">
        <v>1.4919414481158783E-3</v>
      </c>
      <c r="G7087" s="705">
        <v>6.6952182587353493</v>
      </c>
    </row>
    <row r="7088" spans="2:7" ht="11.25" hidden="1" customHeight="1" outlineLevel="2" x14ac:dyDescent="0.25">
      <c r="B7088" s="704" t="s">
        <v>680</v>
      </c>
      <c r="C7088" s="704" t="s">
        <v>829</v>
      </c>
      <c r="D7088" s="704" t="s">
        <v>675</v>
      </c>
      <c r="E7088" s="704" t="s">
        <v>824</v>
      </c>
      <c r="F7088" s="706">
        <v>2.7652699220664738E-4</v>
      </c>
      <c r="G7088" s="705">
        <v>1.2409395160481702</v>
      </c>
    </row>
    <row r="7089" spans="2:7" ht="11.25" hidden="1" customHeight="1" outlineLevel="2" x14ac:dyDescent="0.25">
      <c r="B7089" s="704" t="s">
        <v>681</v>
      </c>
      <c r="C7089" s="704" t="s">
        <v>829</v>
      </c>
      <c r="D7089" s="704" t="s">
        <v>675</v>
      </c>
      <c r="E7089" s="704" t="s">
        <v>824</v>
      </c>
      <c r="F7089" s="706">
        <v>2.3324185299534407E-3</v>
      </c>
      <c r="G7089" s="705">
        <v>10.466928938205188</v>
      </c>
    </row>
    <row r="7090" spans="2:7" ht="11.25" hidden="1" customHeight="1" outlineLevel="2" x14ac:dyDescent="0.25">
      <c r="B7090" s="704" t="s">
        <v>682</v>
      </c>
      <c r="C7090" s="704" t="s">
        <v>829</v>
      </c>
      <c r="D7090" s="704" t="s">
        <v>675</v>
      </c>
      <c r="E7090" s="704" t="s">
        <v>824</v>
      </c>
      <c r="F7090" s="706">
        <v>2.0475060023723516E-3</v>
      </c>
      <c r="G7090" s="705">
        <v>9.1883611253191386</v>
      </c>
    </row>
    <row r="7091" spans="2:7" ht="11.25" hidden="1" customHeight="1" outlineLevel="2" x14ac:dyDescent="0.25">
      <c r="B7091" s="704" t="s">
        <v>683</v>
      </c>
      <c r="C7091" s="704" t="s">
        <v>829</v>
      </c>
      <c r="D7091" s="704" t="s">
        <v>675</v>
      </c>
      <c r="E7091" s="704" t="s">
        <v>824</v>
      </c>
      <c r="F7091" s="706">
        <v>3.4004231535545324E-3</v>
      </c>
      <c r="G7091" s="705">
        <v>15.25969747884319</v>
      </c>
    </row>
    <row r="7092" spans="2:7" ht="11.25" hidden="1" customHeight="1" outlineLevel="2" x14ac:dyDescent="0.25">
      <c r="B7092" s="704" t="s">
        <v>684</v>
      </c>
      <c r="C7092" s="704" t="s">
        <v>829</v>
      </c>
      <c r="D7092" s="704" t="s">
        <v>675</v>
      </c>
      <c r="E7092" s="704" t="s">
        <v>824</v>
      </c>
      <c r="F7092" s="706">
        <v>4.43855809655459E-4</v>
      </c>
      <c r="G7092" s="705">
        <v>1.9918421817186147</v>
      </c>
    </row>
    <row r="7093" spans="2:7" ht="11.25" hidden="1" customHeight="1" outlineLevel="2" x14ac:dyDescent="0.25">
      <c r="B7093" s="704" t="s">
        <v>685</v>
      </c>
      <c r="C7093" s="704" t="s">
        <v>829</v>
      </c>
      <c r="D7093" s="704" t="s">
        <v>675</v>
      </c>
      <c r="E7093" s="704" t="s">
        <v>824</v>
      </c>
      <c r="F7093" s="706">
        <v>4.0808233031935691E-3</v>
      </c>
      <c r="G7093" s="705">
        <v>18.313047344589354</v>
      </c>
    </row>
    <row r="7094" spans="2:7" ht="11.25" hidden="1" customHeight="1" outlineLevel="2" x14ac:dyDescent="0.25">
      <c r="B7094" s="704" t="s">
        <v>686</v>
      </c>
      <c r="C7094" s="704" t="s">
        <v>829</v>
      </c>
      <c r="D7094" s="704" t="s">
        <v>675</v>
      </c>
      <c r="E7094" s="704" t="s">
        <v>824</v>
      </c>
      <c r="F7094" s="706">
        <v>9.5943685812261694E-4</v>
      </c>
      <c r="G7094" s="705">
        <v>4.3055558079881671</v>
      </c>
    </row>
    <row r="7095" spans="2:7" ht="11.25" hidden="1" customHeight="1" outlineLevel="2" x14ac:dyDescent="0.25">
      <c r="B7095" s="704" t="s">
        <v>687</v>
      </c>
      <c r="C7095" s="704" t="s">
        <v>829</v>
      </c>
      <c r="D7095" s="704" t="s">
        <v>675</v>
      </c>
      <c r="E7095" s="704" t="s">
        <v>824</v>
      </c>
      <c r="F7095" s="706">
        <v>4.9145871474715348E-3</v>
      </c>
      <c r="G7095" s="705">
        <v>22.054640761238225</v>
      </c>
    </row>
    <row r="7096" spans="2:7" ht="11.25" hidden="1" customHeight="1" outlineLevel="2" x14ac:dyDescent="0.25">
      <c r="B7096" s="704" t="s">
        <v>688</v>
      </c>
      <c r="C7096" s="704" t="s">
        <v>829</v>
      </c>
      <c r="D7096" s="704" t="s">
        <v>675</v>
      </c>
      <c r="E7096" s="704" t="s">
        <v>824</v>
      </c>
      <c r="F7096" s="706">
        <v>3.5276153784559502E-3</v>
      </c>
      <c r="G7096" s="705">
        <v>15.830488440696387</v>
      </c>
    </row>
    <row r="7097" spans="2:7" ht="11.25" hidden="1" customHeight="1" outlineLevel="2" x14ac:dyDescent="0.25">
      <c r="B7097" s="704" t="s">
        <v>689</v>
      </c>
      <c r="C7097" s="704" t="s">
        <v>829</v>
      </c>
      <c r="D7097" s="704" t="s">
        <v>675</v>
      </c>
      <c r="E7097" s="704" t="s">
        <v>824</v>
      </c>
      <c r="F7097" s="706">
        <v>5.2155340400668662E-4</v>
      </c>
      <c r="G7097" s="705">
        <v>2.3405166621381257</v>
      </c>
    </row>
    <row r="7098" spans="2:7" ht="11.25" hidden="1" customHeight="1" outlineLevel="2" x14ac:dyDescent="0.25">
      <c r="B7098" s="704" t="s">
        <v>690</v>
      </c>
      <c r="C7098" s="704" t="s">
        <v>829</v>
      </c>
      <c r="D7098" s="704" t="s">
        <v>675</v>
      </c>
      <c r="E7098" s="704" t="s">
        <v>824</v>
      </c>
      <c r="F7098" s="706">
        <v>1.1482867118741887E-2</v>
      </c>
      <c r="G7098" s="705">
        <v>51.530379321853275</v>
      </c>
    </row>
    <row r="7099" spans="2:7" ht="11.25" hidden="1" customHeight="1" outlineLevel="2" x14ac:dyDescent="0.25">
      <c r="B7099" s="704" t="s">
        <v>691</v>
      </c>
      <c r="C7099" s="704" t="s">
        <v>829</v>
      </c>
      <c r="D7099" s="704" t="s">
        <v>675</v>
      </c>
      <c r="E7099" s="704" t="s">
        <v>824</v>
      </c>
      <c r="F7099" s="706">
        <v>1.3113800447251059E-2</v>
      </c>
      <c r="G7099" s="705">
        <v>58.849315100366567</v>
      </c>
    </row>
    <row r="7100" spans="2:7" ht="11.25" hidden="1" customHeight="1" outlineLevel="2" x14ac:dyDescent="0.25">
      <c r="B7100" s="704" t="s">
        <v>692</v>
      </c>
      <c r="C7100" s="704" t="s">
        <v>829</v>
      </c>
      <c r="D7100" s="704" t="s">
        <v>675</v>
      </c>
      <c r="E7100" s="704" t="s">
        <v>824</v>
      </c>
      <c r="F7100" s="706">
        <v>7.6686204388195687E-4</v>
      </c>
      <c r="G7100" s="705">
        <v>3.4413602633579008</v>
      </c>
    </row>
    <row r="7101" spans="2:7" ht="11.25" hidden="1" customHeight="1" outlineLevel="2" x14ac:dyDescent="0.25">
      <c r="B7101" s="704" t="s">
        <v>693</v>
      </c>
      <c r="C7101" s="704" t="s">
        <v>829</v>
      </c>
      <c r="D7101" s="704" t="s">
        <v>675</v>
      </c>
      <c r="E7101" s="704" t="s">
        <v>824</v>
      </c>
      <c r="F7101" s="706">
        <v>1.9142394976093644E-3</v>
      </c>
      <c r="G7101" s="705">
        <v>8.5903207259974508</v>
      </c>
    </row>
    <row r="7102" spans="2:7" ht="11.25" hidden="1" customHeight="1" outlineLevel="2" x14ac:dyDescent="0.25">
      <c r="B7102" s="704" t="s">
        <v>694</v>
      </c>
      <c r="C7102" s="704" t="s">
        <v>829</v>
      </c>
      <c r="D7102" s="704" t="s">
        <v>675</v>
      </c>
      <c r="E7102" s="704" t="s">
        <v>824</v>
      </c>
      <c r="F7102" s="706">
        <v>2.1460868245343009E-4</v>
      </c>
      <c r="G7102" s="705">
        <v>0.96307553958602587</v>
      </c>
    </row>
    <row r="7103" spans="2:7" ht="11.25" hidden="1" customHeight="1" outlineLevel="2" x14ac:dyDescent="0.25">
      <c r="B7103" s="704" t="s">
        <v>695</v>
      </c>
      <c r="C7103" s="704" t="s">
        <v>829</v>
      </c>
      <c r="D7103" s="704" t="s">
        <v>675</v>
      </c>
      <c r="E7103" s="704" t="s">
        <v>824</v>
      </c>
      <c r="F7103" s="706">
        <v>1.0179541769035736E-3</v>
      </c>
      <c r="G7103" s="705">
        <v>4.5681591980850049</v>
      </c>
    </row>
    <row r="7104" spans="2:7" ht="11.25" hidden="1" customHeight="1" outlineLevel="2" x14ac:dyDescent="0.25">
      <c r="B7104" s="704" t="s">
        <v>696</v>
      </c>
      <c r="C7104" s="704" t="s">
        <v>829</v>
      </c>
      <c r="D7104" s="704" t="s">
        <v>675</v>
      </c>
      <c r="E7104" s="704" t="s">
        <v>824</v>
      </c>
      <c r="F7104" s="706">
        <v>2.543401335560005E-3</v>
      </c>
      <c r="G7104" s="705">
        <v>11.413736252394688</v>
      </c>
    </row>
    <row r="7105" spans="2:7" ht="11.25" hidden="1" customHeight="1" outlineLevel="2" x14ac:dyDescent="0.25">
      <c r="B7105" s="704" t="s">
        <v>697</v>
      </c>
      <c r="C7105" s="704" t="s">
        <v>829</v>
      </c>
      <c r="D7105" s="704" t="s">
        <v>675</v>
      </c>
      <c r="E7105" s="704" t="s">
        <v>824</v>
      </c>
      <c r="F7105" s="706">
        <v>1.3915694299473211E-3</v>
      </c>
      <c r="G7105" s="705">
        <v>6.244789903577443</v>
      </c>
    </row>
    <row r="7106" spans="2:7" ht="11.25" hidden="1" customHeight="1" outlineLevel="2" x14ac:dyDescent="0.25">
      <c r="B7106" s="704" t="s">
        <v>698</v>
      </c>
      <c r="C7106" s="704" t="s">
        <v>829</v>
      </c>
      <c r="D7106" s="704" t="s">
        <v>675</v>
      </c>
      <c r="E7106" s="704" t="s">
        <v>824</v>
      </c>
      <c r="F7106" s="706">
        <v>1.5280645764433991E-3</v>
      </c>
      <c r="G7106" s="705">
        <v>6.8573264204614732</v>
      </c>
    </row>
    <row r="7107" spans="2:7" ht="11.25" hidden="1" customHeight="1" outlineLevel="2" x14ac:dyDescent="0.25">
      <c r="B7107" s="704" t="s">
        <v>699</v>
      </c>
      <c r="C7107" s="704" t="s">
        <v>829</v>
      </c>
      <c r="D7107" s="704" t="s">
        <v>675</v>
      </c>
      <c r="E7107" s="704" t="s">
        <v>824</v>
      </c>
      <c r="F7107" s="706">
        <v>1.5455633489338472E-34</v>
      </c>
      <c r="G7107" s="705">
        <v>2.4976966426871716E-30</v>
      </c>
    </row>
    <row r="7108" spans="2:7" ht="11.25" hidden="1" customHeight="1" outlineLevel="2" x14ac:dyDescent="0.25">
      <c r="B7108" s="704" t="s">
        <v>673</v>
      </c>
      <c r="C7108" s="704" t="s">
        <v>830</v>
      </c>
      <c r="D7108" s="704" t="s">
        <v>675</v>
      </c>
      <c r="E7108" s="704" t="s">
        <v>824</v>
      </c>
      <c r="F7108" s="706">
        <v>4.3390917736020151E-4</v>
      </c>
      <c r="G7108" s="705">
        <v>0.77279812565908512</v>
      </c>
    </row>
    <row r="7109" spans="2:7" ht="11.25" hidden="1" customHeight="1" outlineLevel="2" x14ac:dyDescent="0.25">
      <c r="B7109" s="704" t="s">
        <v>677</v>
      </c>
      <c r="C7109" s="704" t="s">
        <v>830</v>
      </c>
      <c r="D7109" s="704" t="s">
        <v>675</v>
      </c>
      <c r="E7109" s="704" t="s">
        <v>824</v>
      </c>
      <c r="F7109" s="705">
        <v>7.2006534639395521E-3</v>
      </c>
      <c r="G7109" s="705">
        <v>12.824461713536497</v>
      </c>
    </row>
    <row r="7110" spans="2:7" ht="11.25" hidden="1" customHeight="1" outlineLevel="2" x14ac:dyDescent="0.25">
      <c r="B7110" s="704" t="s">
        <v>678</v>
      </c>
      <c r="C7110" s="704" t="s">
        <v>830</v>
      </c>
      <c r="D7110" s="704" t="s">
        <v>675</v>
      </c>
      <c r="E7110" s="704" t="s">
        <v>824</v>
      </c>
      <c r="F7110" s="705">
        <v>1.6678981022697353E-2</v>
      </c>
      <c r="G7110" s="705">
        <v>29.705481581034668</v>
      </c>
    </row>
    <row r="7111" spans="2:7" ht="11.25" hidden="1" customHeight="1" outlineLevel="2" x14ac:dyDescent="0.25">
      <c r="B7111" s="704" t="s">
        <v>679</v>
      </c>
      <c r="C7111" s="704" t="s">
        <v>830</v>
      </c>
      <c r="D7111" s="704" t="s">
        <v>675</v>
      </c>
      <c r="E7111" s="704" t="s">
        <v>824</v>
      </c>
      <c r="F7111" s="705">
        <v>1.3535349013253069E-3</v>
      </c>
      <c r="G7111" s="705">
        <v>2.4106643013359346</v>
      </c>
    </row>
    <row r="7112" spans="2:7" ht="11.25" hidden="1" customHeight="1" outlineLevel="2" x14ac:dyDescent="0.25">
      <c r="B7112" s="704" t="s">
        <v>680</v>
      </c>
      <c r="C7112" s="704" t="s">
        <v>830</v>
      </c>
      <c r="D7112" s="704" t="s">
        <v>675</v>
      </c>
      <c r="E7112" s="704" t="s">
        <v>824</v>
      </c>
      <c r="F7112" s="705">
        <v>2.5087372210056059E-4</v>
      </c>
      <c r="G7112" s="705">
        <v>0.44680961155282217</v>
      </c>
    </row>
    <row r="7113" spans="2:7" ht="11.25" hidden="1" customHeight="1" outlineLevel="2" x14ac:dyDescent="0.25">
      <c r="B7113" s="704" t="s">
        <v>681</v>
      </c>
      <c r="C7113" s="704" t="s">
        <v>830</v>
      </c>
      <c r="D7113" s="704" t="s">
        <v>675</v>
      </c>
      <c r="E7113" s="704" t="s">
        <v>824</v>
      </c>
      <c r="F7113" s="705">
        <v>2.1160414205367824E-3</v>
      </c>
      <c r="G7113" s="705">
        <v>3.7686975915218905</v>
      </c>
    </row>
    <row r="7114" spans="2:7" ht="11.25" hidden="1" customHeight="1" outlineLevel="2" x14ac:dyDescent="0.25">
      <c r="B7114" s="704" t="s">
        <v>682</v>
      </c>
      <c r="C7114" s="704" t="s">
        <v>830</v>
      </c>
      <c r="D7114" s="704" t="s">
        <v>675</v>
      </c>
      <c r="E7114" s="704" t="s">
        <v>824</v>
      </c>
      <c r="F7114" s="705">
        <v>1.857560090550146E-3</v>
      </c>
      <c r="G7114" s="705">
        <v>3.3083396339472642</v>
      </c>
    </row>
    <row r="7115" spans="2:7" ht="11.25" hidden="1" customHeight="1" outlineLevel="2" x14ac:dyDescent="0.25">
      <c r="B7115" s="704" t="s">
        <v>683</v>
      </c>
      <c r="C7115" s="704" t="s">
        <v>830</v>
      </c>
      <c r="D7115" s="704" t="s">
        <v>675</v>
      </c>
      <c r="E7115" s="704" t="s">
        <v>824</v>
      </c>
      <c r="F7115" s="705">
        <v>3.0849679718256071E-3</v>
      </c>
      <c r="G7115" s="705">
        <v>5.4943682702634584</v>
      </c>
    </row>
    <row r="7116" spans="2:7" ht="11.25" hidden="1" customHeight="1" outlineLevel="2" x14ac:dyDescent="0.25">
      <c r="B7116" s="704" t="s">
        <v>684</v>
      </c>
      <c r="C7116" s="704" t="s">
        <v>830</v>
      </c>
      <c r="D7116" s="704" t="s">
        <v>675</v>
      </c>
      <c r="E7116" s="704" t="s">
        <v>824</v>
      </c>
      <c r="F7116" s="705">
        <v>4.0267954055890664E-4</v>
      </c>
      <c r="G7116" s="705">
        <v>0.71717783882943131</v>
      </c>
    </row>
    <row r="7117" spans="2:7" ht="11.25" hidden="1" customHeight="1" outlineLevel="2" x14ac:dyDescent="0.25">
      <c r="B7117" s="704" t="s">
        <v>685</v>
      </c>
      <c r="C7117" s="704" t="s">
        <v>830</v>
      </c>
      <c r="D7117" s="704" t="s">
        <v>675</v>
      </c>
      <c r="E7117" s="704" t="s">
        <v>824</v>
      </c>
      <c r="F7117" s="705">
        <v>3.7022471679474221E-3</v>
      </c>
      <c r="G7117" s="705">
        <v>6.5937521591186243</v>
      </c>
    </row>
    <row r="7118" spans="2:7" ht="11.25" hidden="1" customHeight="1" outlineLevel="2" x14ac:dyDescent="0.25">
      <c r="B7118" s="704" t="s">
        <v>686</v>
      </c>
      <c r="C7118" s="704" t="s">
        <v>830</v>
      </c>
      <c r="D7118" s="704" t="s">
        <v>675</v>
      </c>
      <c r="E7118" s="704" t="s">
        <v>824</v>
      </c>
      <c r="F7118" s="705">
        <v>8.7043106745456999E-4</v>
      </c>
      <c r="G7118" s="705">
        <v>1.5502490137128364</v>
      </c>
    </row>
    <row r="7119" spans="2:7" ht="11.25" hidden="1" customHeight="1" outlineLevel="2" x14ac:dyDescent="0.25">
      <c r="B7119" s="704" t="s">
        <v>687</v>
      </c>
      <c r="C7119" s="704" t="s">
        <v>830</v>
      </c>
      <c r="D7119" s="704" t="s">
        <v>675</v>
      </c>
      <c r="E7119" s="704" t="s">
        <v>824</v>
      </c>
      <c r="F7119" s="705">
        <v>4.4586651636066652E-3</v>
      </c>
      <c r="G7119" s="705">
        <v>7.9409400726807311</v>
      </c>
    </row>
    <row r="7120" spans="2:7" ht="11.25" hidden="1" customHeight="1" outlineLevel="2" x14ac:dyDescent="0.25">
      <c r="B7120" s="704" t="s">
        <v>688</v>
      </c>
      <c r="C7120" s="704" t="s">
        <v>830</v>
      </c>
      <c r="D7120" s="704" t="s">
        <v>675</v>
      </c>
      <c r="E7120" s="704" t="s">
        <v>824</v>
      </c>
      <c r="F7120" s="705">
        <v>3.200361539108723E-3</v>
      </c>
      <c r="G7120" s="705">
        <v>5.6998865179857141</v>
      </c>
    </row>
    <row r="7121" spans="2:7" ht="11.25" hidden="1" customHeight="1" outlineLevel="2" x14ac:dyDescent="0.25">
      <c r="B7121" s="704" t="s">
        <v>689</v>
      </c>
      <c r="C7121" s="704" t="s">
        <v>830</v>
      </c>
      <c r="D7121" s="704" t="s">
        <v>675</v>
      </c>
      <c r="E7121" s="704" t="s">
        <v>824</v>
      </c>
      <c r="F7121" s="705">
        <v>4.731692473334139E-4</v>
      </c>
      <c r="G7121" s="705">
        <v>0.84272082199204301</v>
      </c>
    </row>
    <row r="7122" spans="2:7" ht="11.25" hidden="1" customHeight="1" outlineLevel="2" x14ac:dyDescent="0.25">
      <c r="B7122" s="704" t="s">
        <v>690</v>
      </c>
      <c r="C7122" s="704" t="s">
        <v>830</v>
      </c>
      <c r="D7122" s="704" t="s">
        <v>675</v>
      </c>
      <c r="E7122" s="704" t="s">
        <v>824</v>
      </c>
      <c r="F7122" s="705">
        <v>1.0417608015189114E-2</v>
      </c>
      <c r="G7122" s="705">
        <v>18.55390989155298</v>
      </c>
    </row>
    <row r="7123" spans="2:7" ht="11.25" hidden="1" customHeight="1" outlineLevel="2" x14ac:dyDescent="0.25">
      <c r="B7123" s="704" t="s">
        <v>691</v>
      </c>
      <c r="C7123" s="704" t="s">
        <v>830</v>
      </c>
      <c r="D7123" s="704" t="s">
        <v>675</v>
      </c>
      <c r="E7123" s="704" t="s">
        <v>824</v>
      </c>
      <c r="F7123" s="705">
        <v>1.1897238442763206E-2</v>
      </c>
      <c r="G7123" s="705">
        <v>21.189139707261539</v>
      </c>
    </row>
    <row r="7124" spans="2:7" ht="11.25" hidden="1" customHeight="1" outlineLevel="2" x14ac:dyDescent="0.25">
      <c r="B7124" s="704" t="s">
        <v>692</v>
      </c>
      <c r="C7124" s="704" t="s">
        <v>830</v>
      </c>
      <c r="D7124" s="704" t="s">
        <v>675</v>
      </c>
      <c r="E7124" s="704" t="s">
        <v>824</v>
      </c>
      <c r="F7124" s="705">
        <v>6.9572099285788449E-4</v>
      </c>
      <c r="G7124" s="705">
        <v>1.2390878977874078</v>
      </c>
    </row>
    <row r="7125" spans="2:7" ht="11.25" hidden="1" customHeight="1" outlineLevel="2" x14ac:dyDescent="0.25">
      <c r="B7125" s="704" t="s">
        <v>693</v>
      </c>
      <c r="C7125" s="704" t="s">
        <v>830</v>
      </c>
      <c r="D7125" s="704" t="s">
        <v>675</v>
      </c>
      <c r="E7125" s="704" t="s">
        <v>824</v>
      </c>
      <c r="F7125" s="705">
        <v>1.7366575941608012E-3</v>
      </c>
      <c r="G7125" s="705">
        <v>3.0930104515017298</v>
      </c>
    </row>
    <row r="7126" spans="2:7" ht="11.25" hidden="1" customHeight="1" outlineLevel="2" x14ac:dyDescent="0.25">
      <c r="B7126" s="704" t="s">
        <v>694</v>
      </c>
      <c r="C7126" s="704" t="s">
        <v>830</v>
      </c>
      <c r="D7126" s="704" t="s">
        <v>675</v>
      </c>
      <c r="E7126" s="704" t="s">
        <v>824</v>
      </c>
      <c r="F7126" s="705">
        <v>1.9469954952875838E-4</v>
      </c>
      <c r="G7126" s="705">
        <v>0.34676264104854809</v>
      </c>
    </row>
    <row r="7127" spans="2:7" ht="11.25" hidden="1" customHeight="1" outlineLevel="2" x14ac:dyDescent="0.25">
      <c r="B7127" s="704" t="s">
        <v>695</v>
      </c>
      <c r="C7127" s="704" t="s">
        <v>830</v>
      </c>
      <c r="D7127" s="704" t="s">
        <v>675</v>
      </c>
      <c r="E7127" s="704" t="s">
        <v>824</v>
      </c>
      <c r="F7127" s="705">
        <v>9.2351878305848786E-4</v>
      </c>
      <c r="G7127" s="705">
        <v>1.6447999715606909</v>
      </c>
    </row>
    <row r="7128" spans="2:7" ht="11.25" hidden="1" customHeight="1" outlineLevel="2" x14ac:dyDescent="0.25">
      <c r="B7128" s="704" t="s">
        <v>696</v>
      </c>
      <c r="C7128" s="704" t="s">
        <v>830</v>
      </c>
      <c r="D7128" s="704" t="s">
        <v>675</v>
      </c>
      <c r="E7128" s="704" t="s">
        <v>824</v>
      </c>
      <c r="F7128" s="705">
        <v>2.3074505815177219E-3</v>
      </c>
      <c r="G7128" s="705">
        <v>4.109602070530407</v>
      </c>
    </row>
    <row r="7129" spans="2:7" ht="11.25" hidden="1" customHeight="1" outlineLevel="2" x14ac:dyDescent="0.25">
      <c r="B7129" s="704" t="s">
        <v>697</v>
      </c>
      <c r="C7129" s="704" t="s">
        <v>830</v>
      </c>
      <c r="D7129" s="704" t="s">
        <v>675</v>
      </c>
      <c r="E7129" s="704" t="s">
        <v>824</v>
      </c>
      <c r="F7129" s="706">
        <v>1.2624742695856739E-3</v>
      </c>
      <c r="G7129" s="705">
        <v>2.2484836408553095</v>
      </c>
    </row>
    <row r="7130" spans="2:7" ht="11.25" hidden="1" customHeight="1" outlineLevel="2" x14ac:dyDescent="0.25">
      <c r="B7130" s="704" t="s">
        <v>698</v>
      </c>
      <c r="C7130" s="704" t="s">
        <v>830</v>
      </c>
      <c r="D7130" s="704" t="s">
        <v>675</v>
      </c>
      <c r="E7130" s="704" t="s">
        <v>824</v>
      </c>
      <c r="F7130" s="706">
        <v>1.3863074495958877E-3</v>
      </c>
      <c r="G7130" s="705">
        <v>2.4690320022559962</v>
      </c>
    </row>
    <row r="7131" spans="2:7" ht="11.25" hidden="1" customHeight="1" outlineLevel="2" x14ac:dyDescent="0.25">
      <c r="B7131" s="704" t="s">
        <v>699</v>
      </c>
      <c r="C7131" s="704" t="s">
        <v>830</v>
      </c>
      <c r="D7131" s="704" t="s">
        <v>675</v>
      </c>
      <c r="E7131" s="704" t="s">
        <v>824</v>
      </c>
      <c r="F7131" s="706">
        <v>5.1446058839019298E-34</v>
      </c>
      <c r="G7131" s="705">
        <v>8.9750478892751075E-31</v>
      </c>
    </row>
    <row r="7132" spans="2:7" ht="11.25" hidden="1" customHeight="1" outlineLevel="2" x14ac:dyDescent="0.25">
      <c r="B7132" s="704" t="s">
        <v>673</v>
      </c>
      <c r="C7132" s="704" t="s">
        <v>831</v>
      </c>
      <c r="D7132" s="704" t="s">
        <v>675</v>
      </c>
      <c r="E7132" s="704" t="s">
        <v>824</v>
      </c>
      <c r="F7132" s="706">
        <v>1.2038978425747801E-4</v>
      </c>
      <c r="G7132" s="705">
        <v>1.985689365911584</v>
      </c>
    </row>
    <row r="7133" spans="2:7" ht="11.25" hidden="1" customHeight="1" outlineLevel="2" x14ac:dyDescent="0.25">
      <c r="B7133" s="704" t="s">
        <v>677</v>
      </c>
      <c r="C7133" s="704" t="s">
        <v>831</v>
      </c>
      <c r="D7133" s="704" t="s">
        <v>675</v>
      </c>
      <c r="E7133" s="704" t="s">
        <v>824</v>
      </c>
      <c r="F7133" s="706">
        <v>1.997849793368341E-3</v>
      </c>
      <c r="G7133" s="705">
        <v>32.952172705121257</v>
      </c>
    </row>
    <row r="7134" spans="2:7" ht="11.25" hidden="1" customHeight="1" outlineLevel="2" x14ac:dyDescent="0.25">
      <c r="B7134" s="704" t="s">
        <v>678</v>
      </c>
      <c r="C7134" s="704" t="s">
        <v>831</v>
      </c>
      <c r="D7134" s="704" t="s">
        <v>675</v>
      </c>
      <c r="E7134" s="704" t="s">
        <v>824</v>
      </c>
      <c r="F7134" s="706">
        <v>4.6276491021284101E-3</v>
      </c>
      <c r="G7134" s="705">
        <v>76.327631890619003</v>
      </c>
    </row>
    <row r="7135" spans="2:7" ht="11.25" hidden="1" customHeight="1" outlineLevel="2" x14ac:dyDescent="0.25">
      <c r="B7135" s="704" t="s">
        <v>679</v>
      </c>
      <c r="C7135" s="704" t="s">
        <v>831</v>
      </c>
      <c r="D7135" s="704" t="s">
        <v>675</v>
      </c>
      <c r="E7135" s="704" t="s">
        <v>824</v>
      </c>
      <c r="F7135" s="706">
        <v>3.7554367300154039E-4</v>
      </c>
      <c r="G7135" s="705">
        <v>6.1941515531103324</v>
      </c>
    </row>
    <row r="7136" spans="2:7" ht="11.25" hidden="1" customHeight="1" outlineLevel="2" x14ac:dyDescent="0.25">
      <c r="B7136" s="704" t="s">
        <v>680</v>
      </c>
      <c r="C7136" s="704" t="s">
        <v>831</v>
      </c>
      <c r="D7136" s="704" t="s">
        <v>675</v>
      </c>
      <c r="E7136" s="704" t="s">
        <v>824</v>
      </c>
      <c r="F7136" s="705">
        <v>6.9605945154472843E-5</v>
      </c>
      <c r="G7136" s="705">
        <v>1.1480677869131977</v>
      </c>
    </row>
    <row r="7137" spans="2:7" ht="11.25" hidden="1" customHeight="1" outlineLevel="2" x14ac:dyDescent="0.25">
      <c r="B7137" s="704" t="s">
        <v>681</v>
      </c>
      <c r="C7137" s="704" t="s">
        <v>831</v>
      </c>
      <c r="D7137" s="704" t="s">
        <v>675</v>
      </c>
      <c r="E7137" s="704" t="s">
        <v>824</v>
      </c>
      <c r="F7137" s="705">
        <v>5.8710401740726267E-4</v>
      </c>
      <c r="G7137" s="705">
        <v>9.6835872711472959</v>
      </c>
    </row>
    <row r="7138" spans="2:7" ht="11.25" hidden="1" customHeight="1" outlineLevel="2" x14ac:dyDescent="0.25">
      <c r="B7138" s="704" t="s">
        <v>682</v>
      </c>
      <c r="C7138" s="704" t="s">
        <v>831</v>
      </c>
      <c r="D7138" s="704" t="s">
        <v>675</v>
      </c>
      <c r="E7138" s="704" t="s">
        <v>824</v>
      </c>
      <c r="F7138" s="705">
        <v>5.1538724822974618E-4</v>
      </c>
      <c r="G7138" s="705">
        <v>8.5007086479590672</v>
      </c>
    </row>
    <row r="7139" spans="2:7" ht="11.25" hidden="1" customHeight="1" outlineLevel="2" x14ac:dyDescent="0.25">
      <c r="B7139" s="704" t="s">
        <v>683</v>
      </c>
      <c r="C7139" s="704" t="s">
        <v>831</v>
      </c>
      <c r="D7139" s="704" t="s">
        <v>675</v>
      </c>
      <c r="E7139" s="704" t="s">
        <v>824</v>
      </c>
      <c r="F7139" s="705">
        <v>8.5593718360413794E-4</v>
      </c>
      <c r="G7139" s="705">
        <v>14.117667403841851</v>
      </c>
    </row>
    <row r="7140" spans="2:7" ht="11.25" hidden="1" customHeight="1" outlineLevel="2" x14ac:dyDescent="0.25">
      <c r="B7140" s="704" t="s">
        <v>684</v>
      </c>
      <c r="C7140" s="704" t="s">
        <v>831</v>
      </c>
      <c r="D7140" s="704" t="s">
        <v>675</v>
      </c>
      <c r="E7140" s="704" t="s">
        <v>824</v>
      </c>
      <c r="F7140" s="705">
        <v>1.1172508900300163E-4</v>
      </c>
      <c r="G7140" s="705">
        <v>1.842773250616915</v>
      </c>
    </row>
    <row r="7141" spans="2:7" ht="11.25" hidden="1" customHeight="1" outlineLevel="2" x14ac:dyDescent="0.25">
      <c r="B7141" s="704" t="s">
        <v>685</v>
      </c>
      <c r="C7141" s="704" t="s">
        <v>831</v>
      </c>
      <c r="D7141" s="704" t="s">
        <v>675</v>
      </c>
      <c r="E7141" s="704" t="s">
        <v>824</v>
      </c>
      <c r="F7141" s="705">
        <v>1.0272031955651021E-3</v>
      </c>
      <c r="G7141" s="705">
        <v>16.942511363142351</v>
      </c>
    </row>
    <row r="7142" spans="2:7" ht="11.25" hidden="1" customHeight="1" outlineLevel="2" x14ac:dyDescent="0.25">
      <c r="B7142" s="704" t="s">
        <v>686</v>
      </c>
      <c r="C7142" s="704" t="s">
        <v>831</v>
      </c>
      <c r="D7142" s="704" t="s">
        <v>675</v>
      </c>
      <c r="E7142" s="704" t="s">
        <v>824</v>
      </c>
      <c r="F7142" s="705">
        <v>2.4150436061693724E-4</v>
      </c>
      <c r="G7142" s="705">
        <v>3.9833312563131358</v>
      </c>
    </row>
    <row r="7143" spans="2:7" ht="11.25" hidden="1" customHeight="1" outlineLevel="2" x14ac:dyDescent="0.25">
      <c r="B7143" s="704" t="s">
        <v>687</v>
      </c>
      <c r="C7143" s="704" t="s">
        <v>831</v>
      </c>
      <c r="D7143" s="704" t="s">
        <v>675</v>
      </c>
      <c r="E7143" s="704" t="s">
        <v>824</v>
      </c>
      <c r="F7143" s="705">
        <v>1.2370740350387294E-3</v>
      </c>
      <c r="G7143" s="705">
        <v>20.404074122770382</v>
      </c>
    </row>
    <row r="7144" spans="2:7" ht="11.25" hidden="1" customHeight="1" outlineLevel="2" x14ac:dyDescent="0.25">
      <c r="B7144" s="704" t="s">
        <v>688</v>
      </c>
      <c r="C7144" s="704" t="s">
        <v>831</v>
      </c>
      <c r="D7144" s="704" t="s">
        <v>675</v>
      </c>
      <c r="E7144" s="704" t="s">
        <v>824</v>
      </c>
      <c r="F7144" s="705">
        <v>8.8795248524781449E-4</v>
      </c>
      <c r="G7144" s="705">
        <v>14.645735117544724</v>
      </c>
    </row>
    <row r="7145" spans="2:7" ht="11.25" hidden="1" customHeight="1" outlineLevel="2" x14ac:dyDescent="0.25">
      <c r="B7145" s="704" t="s">
        <v>689</v>
      </c>
      <c r="C7145" s="704" t="s">
        <v>831</v>
      </c>
      <c r="D7145" s="704" t="s">
        <v>675</v>
      </c>
      <c r="E7145" s="704" t="s">
        <v>824</v>
      </c>
      <c r="F7145" s="705">
        <v>1.3128263528162134E-4</v>
      </c>
      <c r="G7145" s="705">
        <v>2.165352975601825</v>
      </c>
    </row>
    <row r="7146" spans="2:7" ht="11.25" hidden="1" customHeight="1" outlineLevel="2" x14ac:dyDescent="0.25">
      <c r="B7146" s="704" t="s">
        <v>690</v>
      </c>
      <c r="C7146" s="704" t="s">
        <v>831</v>
      </c>
      <c r="D7146" s="704" t="s">
        <v>675</v>
      </c>
      <c r="E7146" s="704" t="s">
        <v>824</v>
      </c>
      <c r="F7146" s="705">
        <v>2.8904080474766967E-3</v>
      </c>
      <c r="G7146" s="705">
        <v>47.673853612350918</v>
      </c>
    </row>
    <row r="7147" spans="2:7" ht="11.25" hidden="1" customHeight="1" outlineLevel="2" x14ac:dyDescent="0.25">
      <c r="B7147" s="704" t="s">
        <v>691</v>
      </c>
      <c r="C7147" s="704" t="s">
        <v>831</v>
      </c>
      <c r="D7147" s="704" t="s">
        <v>675</v>
      </c>
      <c r="E7147" s="704" t="s">
        <v>824</v>
      </c>
      <c r="F7147" s="705">
        <v>3.3009351290839554E-3</v>
      </c>
      <c r="G7147" s="705">
        <v>54.445051288217073</v>
      </c>
    </row>
    <row r="7148" spans="2:7" ht="11.25" hidden="1" customHeight="1" outlineLevel="2" x14ac:dyDescent="0.25">
      <c r="B7148" s="704" t="s">
        <v>692</v>
      </c>
      <c r="C7148" s="704" t="s">
        <v>831</v>
      </c>
      <c r="D7148" s="704" t="s">
        <v>675</v>
      </c>
      <c r="E7148" s="704" t="s">
        <v>824</v>
      </c>
      <c r="F7148" s="705">
        <v>1.9303048581571325E-4</v>
      </c>
      <c r="G7148" s="705">
        <v>3.1838116406986194</v>
      </c>
    </row>
    <row r="7149" spans="2:7" ht="11.25" hidden="1" customHeight="1" outlineLevel="2" x14ac:dyDescent="0.25">
      <c r="B7149" s="704" t="s">
        <v>693</v>
      </c>
      <c r="C7149" s="704" t="s">
        <v>831</v>
      </c>
      <c r="D7149" s="704" t="s">
        <v>675</v>
      </c>
      <c r="E7149" s="704" t="s">
        <v>824</v>
      </c>
      <c r="F7149" s="705">
        <v>4.8184249121345187E-4</v>
      </c>
      <c r="G7149" s="705">
        <v>7.9474245446040248</v>
      </c>
    </row>
    <row r="7150" spans="2:7" ht="11.25" hidden="1" customHeight="1" outlineLevel="2" x14ac:dyDescent="0.25">
      <c r="B7150" s="704" t="s">
        <v>694</v>
      </c>
      <c r="C7150" s="704" t="s">
        <v>831</v>
      </c>
      <c r="D7150" s="704" t="s">
        <v>675</v>
      </c>
      <c r="E7150" s="704" t="s">
        <v>824</v>
      </c>
      <c r="F7150" s="705">
        <v>5.40201789845248E-5</v>
      </c>
      <c r="G7150" s="705">
        <v>0.8910001013494383</v>
      </c>
    </row>
    <row r="7151" spans="2:7" ht="11.25" hidden="1" customHeight="1" outlineLevel="2" x14ac:dyDescent="0.25">
      <c r="B7151" s="704" t="s">
        <v>695</v>
      </c>
      <c r="C7151" s="704" t="s">
        <v>831</v>
      </c>
      <c r="D7151" s="704" t="s">
        <v>675</v>
      </c>
      <c r="E7151" s="704" t="s">
        <v>824</v>
      </c>
      <c r="F7151" s="705">
        <v>2.562339851851615E-4</v>
      </c>
      <c r="G7151" s="705">
        <v>4.2262795168249143</v>
      </c>
    </row>
    <row r="7152" spans="2:7" ht="11.25" hidden="1" customHeight="1" outlineLevel="2" x14ac:dyDescent="0.25">
      <c r="B7152" s="704" t="s">
        <v>696</v>
      </c>
      <c r="C7152" s="704" t="s">
        <v>831</v>
      </c>
      <c r="D7152" s="704" t="s">
        <v>675</v>
      </c>
      <c r="E7152" s="704" t="s">
        <v>824</v>
      </c>
      <c r="F7152" s="705">
        <v>6.4021142093971788E-4</v>
      </c>
      <c r="G7152" s="705">
        <v>10.559537474261422</v>
      </c>
    </row>
    <row r="7153" spans="2:7" ht="11.25" hidden="1" customHeight="1" outlineLevel="2" x14ac:dyDescent="0.25">
      <c r="B7153" s="704" t="s">
        <v>697</v>
      </c>
      <c r="C7153" s="704" t="s">
        <v>831</v>
      </c>
      <c r="D7153" s="704" t="s">
        <v>675</v>
      </c>
      <c r="E7153" s="704" t="s">
        <v>824</v>
      </c>
      <c r="F7153" s="705">
        <v>3.5027854667896651E-4</v>
      </c>
      <c r="G7153" s="705">
        <v>5.7774329502054016</v>
      </c>
    </row>
    <row r="7154" spans="2:7" ht="11.25" hidden="1" customHeight="1" outlineLevel="2" x14ac:dyDescent="0.25">
      <c r="B7154" s="704" t="s">
        <v>698</v>
      </c>
      <c r="C7154" s="704" t="s">
        <v>831</v>
      </c>
      <c r="D7154" s="704" t="s">
        <v>675</v>
      </c>
      <c r="E7154" s="704" t="s">
        <v>824</v>
      </c>
      <c r="F7154" s="705">
        <v>3.8463640510953657E-4</v>
      </c>
      <c r="G7154" s="705">
        <v>6.3441257662699648</v>
      </c>
    </row>
    <row r="7155" spans="2:7" ht="11.25" hidden="1" customHeight="1" outlineLevel="2" x14ac:dyDescent="0.25">
      <c r="B7155" s="704" t="s">
        <v>699</v>
      </c>
      <c r="C7155" s="704" t="s">
        <v>831</v>
      </c>
      <c r="D7155" s="704" t="s">
        <v>675</v>
      </c>
      <c r="E7155" s="704" t="s">
        <v>824</v>
      </c>
      <c r="F7155" s="705">
        <v>3.4206548151183186E-37</v>
      </c>
      <c r="G7155" s="705">
        <v>6.4615878927369862E-33</v>
      </c>
    </row>
    <row r="7156" spans="2:7" ht="11.25" hidden="1" customHeight="1" outlineLevel="2" x14ac:dyDescent="0.25">
      <c r="B7156" s="704" t="s">
        <v>673</v>
      </c>
      <c r="C7156" s="704" t="s">
        <v>832</v>
      </c>
      <c r="D7156" s="704" t="s">
        <v>675</v>
      </c>
      <c r="E7156" s="704" t="s">
        <v>824</v>
      </c>
      <c r="F7156" s="705">
        <v>3.2908137132080007E-4</v>
      </c>
      <c r="G7156" s="705">
        <v>0.79087859166600727</v>
      </c>
    </row>
    <row r="7157" spans="2:7" ht="11.25" hidden="1" customHeight="1" outlineLevel="2" x14ac:dyDescent="0.25">
      <c r="B7157" s="704" t="s">
        <v>677</v>
      </c>
      <c r="C7157" s="704" t="s">
        <v>832</v>
      </c>
      <c r="D7157" s="704" t="s">
        <v>675</v>
      </c>
      <c r="E7157" s="704" t="s">
        <v>824</v>
      </c>
      <c r="F7157" s="705">
        <v>5.4610541127784358E-3</v>
      </c>
      <c r="G7157" s="705">
        <v>13.124499515856058</v>
      </c>
    </row>
    <row r="7158" spans="2:7" ht="11.25" hidden="1" customHeight="1" outlineLevel="2" x14ac:dyDescent="0.25">
      <c r="B7158" s="704" t="s">
        <v>678</v>
      </c>
      <c r="C7158" s="704" t="s">
        <v>832</v>
      </c>
      <c r="D7158" s="704" t="s">
        <v>675</v>
      </c>
      <c r="E7158" s="704" t="s">
        <v>824</v>
      </c>
      <c r="F7158" s="705">
        <v>1.2649519286572125E-2</v>
      </c>
      <c r="G7158" s="705">
        <v>30.40047111913</v>
      </c>
    </row>
    <row r="7159" spans="2:7" ht="11.25" hidden="1" customHeight="1" outlineLevel="2" x14ac:dyDescent="0.25">
      <c r="B7159" s="704" t="s">
        <v>679</v>
      </c>
      <c r="C7159" s="704" t="s">
        <v>832</v>
      </c>
      <c r="D7159" s="704" t="s">
        <v>675</v>
      </c>
      <c r="E7159" s="704" t="s">
        <v>824</v>
      </c>
      <c r="F7159" s="705">
        <v>1.0265356866156529E-3</v>
      </c>
      <c r="G7159" s="705">
        <v>2.4670635894609112</v>
      </c>
    </row>
    <row r="7160" spans="2:7" ht="11.25" hidden="1" customHeight="1" outlineLevel="2" x14ac:dyDescent="0.25">
      <c r="B7160" s="704" t="s">
        <v>680</v>
      </c>
      <c r="C7160" s="704" t="s">
        <v>832</v>
      </c>
      <c r="D7160" s="704" t="s">
        <v>675</v>
      </c>
      <c r="E7160" s="704" t="s">
        <v>824</v>
      </c>
      <c r="F7160" s="705">
        <v>1.9026528187644505E-4</v>
      </c>
      <c r="G7160" s="705">
        <v>0.45726306868716315</v>
      </c>
    </row>
    <row r="7161" spans="2:7" ht="11.25" hidden="1" customHeight="1" outlineLevel="2" x14ac:dyDescent="0.25">
      <c r="B7161" s="704" t="s">
        <v>681</v>
      </c>
      <c r="C7161" s="704" t="s">
        <v>832</v>
      </c>
      <c r="D7161" s="704" t="s">
        <v>675</v>
      </c>
      <c r="E7161" s="704" t="s">
        <v>824</v>
      </c>
      <c r="F7161" s="705">
        <v>1.6048280847340724E-3</v>
      </c>
      <c r="G7161" s="705">
        <v>3.8568699241875768</v>
      </c>
    </row>
    <row r="7162" spans="2:7" ht="11.25" hidden="1" customHeight="1" outlineLevel="2" x14ac:dyDescent="0.25">
      <c r="B7162" s="704" t="s">
        <v>682</v>
      </c>
      <c r="C7162" s="704" t="s">
        <v>832</v>
      </c>
      <c r="D7162" s="704" t="s">
        <v>675</v>
      </c>
      <c r="E7162" s="704" t="s">
        <v>824</v>
      </c>
      <c r="F7162" s="705">
        <v>1.4087937431657128E-3</v>
      </c>
      <c r="G7162" s="705">
        <v>3.3298057575020943</v>
      </c>
    </row>
    <row r="7163" spans="2:7" ht="11.25" hidden="1" customHeight="1" outlineLevel="2" x14ac:dyDescent="0.25">
      <c r="B7163" s="704" t="s">
        <v>683</v>
      </c>
      <c r="C7163" s="704" t="s">
        <v>832</v>
      </c>
      <c r="D7163" s="704" t="s">
        <v>675</v>
      </c>
      <c r="E7163" s="704" t="s">
        <v>824</v>
      </c>
      <c r="F7163" s="705">
        <v>2.3396731575651719E-3</v>
      </c>
      <c r="G7163" s="705">
        <v>5.6229159543255118</v>
      </c>
    </row>
    <row r="7164" spans="2:7" ht="11.25" hidden="1" customHeight="1" outlineLevel="2" x14ac:dyDescent="0.25">
      <c r="B7164" s="704" t="s">
        <v>684</v>
      </c>
      <c r="C7164" s="704" t="s">
        <v>832</v>
      </c>
      <c r="D7164" s="704" t="s">
        <v>675</v>
      </c>
      <c r="E7164" s="704" t="s">
        <v>824</v>
      </c>
      <c r="F7164" s="705">
        <v>3.0539654689813647E-4</v>
      </c>
      <c r="G7164" s="705">
        <v>0.73395690135890856</v>
      </c>
    </row>
    <row r="7165" spans="2:7" ht="11.25" hidden="1" customHeight="1" outlineLevel="2" x14ac:dyDescent="0.25">
      <c r="B7165" s="704" t="s">
        <v>685</v>
      </c>
      <c r="C7165" s="704" t="s">
        <v>832</v>
      </c>
      <c r="D7165" s="704" t="s">
        <v>675</v>
      </c>
      <c r="E7165" s="704" t="s">
        <v>824</v>
      </c>
      <c r="F7165" s="705">
        <v>2.8078241829473821E-3</v>
      </c>
      <c r="G7165" s="705">
        <v>6.7480209334450594</v>
      </c>
    </row>
    <row r="7166" spans="2:7" ht="11.25" hidden="1" customHeight="1" outlineLevel="2" x14ac:dyDescent="0.25">
      <c r="B7166" s="704" t="s">
        <v>686</v>
      </c>
      <c r="C7166" s="704" t="s">
        <v>832</v>
      </c>
      <c r="D7166" s="704" t="s">
        <v>675</v>
      </c>
      <c r="E7166" s="704" t="s">
        <v>824</v>
      </c>
      <c r="F7166" s="705">
        <v>6.6014365236063922E-4</v>
      </c>
      <c r="G7166" s="705">
        <v>1.5865184614993781</v>
      </c>
    </row>
    <row r="7167" spans="2:7" ht="11.25" hidden="1" customHeight="1" outlineLevel="2" x14ac:dyDescent="0.25">
      <c r="B7167" s="704" t="s">
        <v>687</v>
      </c>
      <c r="C7167" s="704" t="s">
        <v>832</v>
      </c>
      <c r="D7167" s="704" t="s">
        <v>675</v>
      </c>
      <c r="E7167" s="704" t="s">
        <v>824</v>
      </c>
      <c r="F7167" s="705">
        <v>3.3814995732835158E-3</v>
      </c>
      <c r="G7167" s="705">
        <v>8.1267285344898497</v>
      </c>
    </row>
    <row r="7168" spans="2:7" ht="11.25" hidden="1" customHeight="1" outlineLevel="2" x14ac:dyDescent="0.25">
      <c r="B7168" s="704" t="s">
        <v>688</v>
      </c>
      <c r="C7168" s="704" t="s">
        <v>832</v>
      </c>
      <c r="D7168" s="704" t="s">
        <v>675</v>
      </c>
      <c r="E7168" s="704" t="s">
        <v>824</v>
      </c>
      <c r="F7168" s="706">
        <v>2.427188819656007E-3</v>
      </c>
      <c r="G7168" s="705">
        <v>5.8332406334452145</v>
      </c>
    </row>
    <row r="7169" spans="2:7" ht="11.25" hidden="1" customHeight="1" outlineLevel="2" x14ac:dyDescent="0.25">
      <c r="B7169" s="704" t="s">
        <v>689</v>
      </c>
      <c r="C7169" s="704" t="s">
        <v>832</v>
      </c>
      <c r="D7169" s="704" t="s">
        <v>675</v>
      </c>
      <c r="E7169" s="704" t="s">
        <v>824</v>
      </c>
      <c r="F7169" s="706">
        <v>3.5885661935300601E-4</v>
      </c>
      <c r="G7169" s="705">
        <v>0.86243697692195154</v>
      </c>
    </row>
    <row r="7170" spans="2:7" ht="11.25" hidden="1" customHeight="1" outlineLevel="2" x14ac:dyDescent="0.25">
      <c r="B7170" s="704" t="s">
        <v>690</v>
      </c>
      <c r="C7170" s="704" t="s">
        <v>832</v>
      </c>
      <c r="D7170" s="704" t="s">
        <v>675</v>
      </c>
      <c r="E7170" s="704" t="s">
        <v>824</v>
      </c>
      <c r="F7170" s="706">
        <v>7.9008238799975102E-3</v>
      </c>
      <c r="G7170" s="705">
        <v>18.987984992498866</v>
      </c>
    </row>
    <row r="7171" spans="2:7" ht="11.25" hidden="1" customHeight="1" outlineLevel="2" x14ac:dyDescent="0.25">
      <c r="B7171" s="704" t="s">
        <v>691</v>
      </c>
      <c r="C7171" s="704" t="s">
        <v>832</v>
      </c>
      <c r="D7171" s="704" t="s">
        <v>675</v>
      </c>
      <c r="E7171" s="704" t="s">
        <v>824</v>
      </c>
      <c r="F7171" s="706">
        <v>9.0229942582440714E-3</v>
      </c>
      <c r="G7171" s="705">
        <v>21.684878112376325</v>
      </c>
    </row>
    <row r="7172" spans="2:7" ht="11.25" hidden="1" customHeight="1" outlineLevel="2" x14ac:dyDescent="0.25">
      <c r="B7172" s="704" t="s">
        <v>692</v>
      </c>
      <c r="C7172" s="704" t="s">
        <v>832</v>
      </c>
      <c r="D7172" s="704" t="s">
        <v>675</v>
      </c>
      <c r="E7172" s="704" t="s">
        <v>824</v>
      </c>
      <c r="F7172" s="706">
        <v>5.2764218091916272E-4</v>
      </c>
      <c r="G7172" s="705">
        <v>1.2680786430598392</v>
      </c>
    </row>
    <row r="7173" spans="2:7" ht="11.25" hidden="1" customHeight="1" outlineLevel="2" x14ac:dyDescent="0.25">
      <c r="B7173" s="704" t="s">
        <v>693</v>
      </c>
      <c r="C7173" s="704" t="s">
        <v>832</v>
      </c>
      <c r="D7173" s="704" t="s">
        <v>675</v>
      </c>
      <c r="E7173" s="704" t="s">
        <v>824</v>
      </c>
      <c r="F7173" s="706">
        <v>1.3170996808128761E-3</v>
      </c>
      <c r="G7173" s="705">
        <v>3.16537477112389</v>
      </c>
    </row>
    <row r="7174" spans="2:7" ht="11.25" hidden="1" customHeight="1" outlineLevel="2" x14ac:dyDescent="0.25">
      <c r="B7174" s="704" t="s">
        <v>694</v>
      </c>
      <c r="C7174" s="704" t="s">
        <v>832</v>
      </c>
      <c r="D7174" s="704" t="s">
        <v>675</v>
      </c>
      <c r="E7174" s="704" t="s">
        <v>824</v>
      </c>
      <c r="F7174" s="706">
        <v>1.4766236869622162E-4</v>
      </c>
      <c r="G7174" s="705">
        <v>0.35487559685357623</v>
      </c>
    </row>
    <row r="7175" spans="2:7" ht="11.25" hidden="1" customHeight="1" outlineLevel="2" x14ac:dyDescent="0.25">
      <c r="B7175" s="704" t="s">
        <v>695</v>
      </c>
      <c r="C7175" s="704" t="s">
        <v>832</v>
      </c>
      <c r="D7175" s="704" t="s">
        <v>675</v>
      </c>
      <c r="E7175" s="704" t="s">
        <v>824</v>
      </c>
      <c r="F7175" s="705">
        <v>7.0040717728497089E-4</v>
      </c>
      <c r="G7175" s="705">
        <v>1.6832824419443024</v>
      </c>
    </row>
    <row r="7176" spans="2:7" ht="11.25" hidden="1" customHeight="1" outlineLevel="2" x14ac:dyDescent="0.25">
      <c r="B7176" s="704" t="s">
        <v>696</v>
      </c>
      <c r="C7176" s="704" t="s">
        <v>832</v>
      </c>
      <c r="D7176" s="704" t="s">
        <v>675</v>
      </c>
      <c r="E7176" s="704" t="s">
        <v>824</v>
      </c>
      <c r="F7176" s="705">
        <v>1.7499964131050399E-3</v>
      </c>
      <c r="G7176" s="705">
        <v>4.2057504991155881</v>
      </c>
    </row>
    <row r="7177" spans="2:7" ht="11.25" hidden="1" customHeight="1" outlineLevel="2" x14ac:dyDescent="0.25">
      <c r="B7177" s="704" t="s">
        <v>697</v>
      </c>
      <c r="C7177" s="704" t="s">
        <v>832</v>
      </c>
      <c r="D7177" s="704" t="s">
        <v>675</v>
      </c>
      <c r="E7177" s="704" t="s">
        <v>824</v>
      </c>
      <c r="F7177" s="705">
        <v>9.5747414047953354E-4</v>
      </c>
      <c r="G7177" s="705">
        <v>2.3010895943824243</v>
      </c>
    </row>
    <row r="7178" spans="2:7" ht="11.25" hidden="1" customHeight="1" outlineLevel="2" x14ac:dyDescent="0.25">
      <c r="B7178" s="704" t="s">
        <v>698</v>
      </c>
      <c r="C7178" s="704" t="s">
        <v>832</v>
      </c>
      <c r="D7178" s="704" t="s">
        <v>675</v>
      </c>
      <c r="E7178" s="704" t="s">
        <v>824</v>
      </c>
      <c r="F7178" s="706">
        <v>1.0513905312791662E-3</v>
      </c>
      <c r="G7178" s="705">
        <v>2.6920039620918246</v>
      </c>
    </row>
    <row r="7179" spans="2:7" ht="11.25" hidden="1" customHeight="1" outlineLevel="2" x14ac:dyDescent="0.25">
      <c r="B7179" s="704" t="s">
        <v>699</v>
      </c>
      <c r="C7179" s="704" t="s">
        <v>832</v>
      </c>
      <c r="D7179" s="704" t="s">
        <v>675</v>
      </c>
      <c r="E7179" s="704" t="s">
        <v>824</v>
      </c>
      <c r="F7179" s="705">
        <v>8.9880013977959222E-35</v>
      </c>
      <c r="G7179" s="705">
        <v>2.1532901516339633E-31</v>
      </c>
    </row>
    <row r="7180" spans="2:7" ht="11.25" hidden="1" customHeight="1" outlineLevel="2" x14ac:dyDescent="0.25">
      <c r="B7180" s="704" t="s">
        <v>673</v>
      </c>
      <c r="C7180" s="704" t="s">
        <v>833</v>
      </c>
      <c r="D7180" s="704" t="s">
        <v>675</v>
      </c>
      <c r="E7180" s="704" t="s">
        <v>824</v>
      </c>
      <c r="F7180" s="705">
        <v>5.0259717809454929E-5</v>
      </c>
      <c r="G7180" s="705">
        <v>0.12726389617623471</v>
      </c>
    </row>
    <row r="7181" spans="2:7" ht="11.25" hidden="1" customHeight="1" outlineLevel="2" x14ac:dyDescent="0.25">
      <c r="B7181" s="704" t="s">
        <v>677</v>
      </c>
      <c r="C7181" s="704" t="s">
        <v>833</v>
      </c>
      <c r="D7181" s="704" t="s">
        <v>675</v>
      </c>
      <c r="E7181" s="704" t="s">
        <v>824</v>
      </c>
      <c r="F7181" s="706">
        <v>8.3405253239465251E-4</v>
      </c>
      <c r="G7181" s="705">
        <v>2.1119246133467899</v>
      </c>
    </row>
    <row r="7182" spans="2:7" ht="11.25" hidden="1" customHeight="1" outlineLevel="2" x14ac:dyDescent="0.25">
      <c r="B7182" s="704" t="s">
        <v>678</v>
      </c>
      <c r="C7182" s="704" t="s">
        <v>833</v>
      </c>
      <c r="D7182" s="704" t="s">
        <v>675</v>
      </c>
      <c r="E7182" s="704" t="s">
        <v>824</v>
      </c>
      <c r="F7182" s="705">
        <v>1.9319274794825964E-3</v>
      </c>
      <c r="G7182" s="705">
        <v>4.8918821258522911</v>
      </c>
    </row>
    <row r="7183" spans="2:7" ht="11.25" hidden="1" customHeight="1" outlineLevel="2" x14ac:dyDescent="0.25">
      <c r="B7183" s="704" t="s">
        <v>679</v>
      </c>
      <c r="C7183" s="704" t="s">
        <v>833</v>
      </c>
      <c r="D7183" s="704" t="s">
        <v>675</v>
      </c>
      <c r="E7183" s="704" t="s">
        <v>824</v>
      </c>
      <c r="F7183" s="705">
        <v>1.567800138920246E-4</v>
      </c>
      <c r="G7183" s="705">
        <v>0.39698658345554466</v>
      </c>
    </row>
    <row r="7184" spans="2:7" ht="11.25" hidden="1" customHeight="1" outlineLevel="2" x14ac:dyDescent="0.25">
      <c r="B7184" s="704" t="s">
        <v>680</v>
      </c>
      <c r="C7184" s="704" t="s">
        <v>833</v>
      </c>
      <c r="D7184" s="704" t="s">
        <v>675</v>
      </c>
      <c r="E7184" s="704" t="s">
        <v>824</v>
      </c>
      <c r="F7184" s="705">
        <v>2.9058739266679836E-5</v>
      </c>
      <c r="G7184" s="705">
        <v>7.3580342063450876E-2</v>
      </c>
    </row>
    <row r="7185" spans="2:7" ht="11.25" hidden="1" customHeight="1" outlineLevel="2" x14ac:dyDescent="0.25">
      <c r="B7185" s="704" t="s">
        <v>681</v>
      </c>
      <c r="C7185" s="704" t="s">
        <v>833</v>
      </c>
      <c r="D7185" s="704" t="s">
        <v>675</v>
      </c>
      <c r="E7185" s="704" t="s">
        <v>824</v>
      </c>
      <c r="F7185" s="706">
        <v>2.4510130434040353E-4</v>
      </c>
      <c r="G7185" s="705">
        <v>0.62062671928165292</v>
      </c>
    </row>
    <row r="7186" spans="2:7" ht="11.25" hidden="1" customHeight="1" outlineLevel="2" x14ac:dyDescent="0.25">
      <c r="B7186" s="704" t="s">
        <v>682</v>
      </c>
      <c r="C7186" s="704" t="s">
        <v>833</v>
      </c>
      <c r="D7186" s="704" t="s">
        <v>675</v>
      </c>
      <c r="E7186" s="704" t="s">
        <v>824</v>
      </c>
      <c r="F7186" s="706">
        <v>2.1160673362665279E-4</v>
      </c>
      <c r="G7186" s="705">
        <v>0.54481524858311581</v>
      </c>
    </row>
    <row r="7187" spans="2:7" ht="11.25" hidden="1" customHeight="1" outlineLevel="2" x14ac:dyDescent="0.25">
      <c r="B7187" s="704" t="s">
        <v>683</v>
      </c>
      <c r="C7187" s="704" t="s">
        <v>833</v>
      </c>
      <c r="D7187" s="704" t="s">
        <v>675</v>
      </c>
      <c r="E7187" s="704" t="s">
        <v>824</v>
      </c>
      <c r="F7187" s="706">
        <v>3.5733217891199641E-4</v>
      </c>
      <c r="G7187" s="705">
        <v>0.90480919734597931</v>
      </c>
    </row>
    <row r="7188" spans="2:7" ht="11.25" hidden="1" customHeight="1" outlineLevel="2" x14ac:dyDescent="0.25">
      <c r="B7188" s="704" t="s">
        <v>684</v>
      </c>
      <c r="C7188" s="704" t="s">
        <v>833</v>
      </c>
      <c r="D7188" s="704" t="s">
        <v>675</v>
      </c>
      <c r="E7188" s="704" t="s">
        <v>824</v>
      </c>
      <c r="F7188" s="705">
        <v>4.6642425040518683E-5</v>
      </c>
      <c r="G7188" s="705">
        <v>0.11810441694945482</v>
      </c>
    </row>
    <row r="7189" spans="2:7" ht="11.25" hidden="1" customHeight="1" outlineLevel="2" x14ac:dyDescent="0.25">
      <c r="B7189" s="704" t="s">
        <v>685</v>
      </c>
      <c r="C7189" s="704" t="s">
        <v>833</v>
      </c>
      <c r="D7189" s="704" t="s">
        <v>675</v>
      </c>
      <c r="E7189" s="704" t="s">
        <v>824</v>
      </c>
      <c r="F7189" s="705">
        <v>4.2883166759629223E-4</v>
      </c>
      <c r="G7189" s="705">
        <v>1.0858552198073586</v>
      </c>
    </row>
    <row r="7190" spans="2:7" ht="11.25" hidden="1" customHeight="1" outlineLevel="2" x14ac:dyDescent="0.25">
      <c r="B7190" s="704" t="s">
        <v>686</v>
      </c>
      <c r="C7190" s="704" t="s">
        <v>833</v>
      </c>
      <c r="D7190" s="704" t="s">
        <v>675</v>
      </c>
      <c r="E7190" s="704" t="s">
        <v>824</v>
      </c>
      <c r="F7190" s="705">
        <v>1.0082198689260377E-4</v>
      </c>
      <c r="G7190" s="705">
        <v>0.25529393872532447</v>
      </c>
    </row>
    <row r="7191" spans="2:7" ht="11.25" hidden="1" customHeight="1" outlineLevel="2" x14ac:dyDescent="0.25">
      <c r="B7191" s="704" t="s">
        <v>687</v>
      </c>
      <c r="C7191" s="704" t="s">
        <v>833</v>
      </c>
      <c r="D7191" s="704" t="s">
        <v>675</v>
      </c>
      <c r="E7191" s="704" t="s">
        <v>824</v>
      </c>
      <c r="F7191" s="705">
        <v>5.1644756675154897E-4</v>
      </c>
      <c r="G7191" s="705">
        <v>1.307709499402848</v>
      </c>
    </row>
    <row r="7192" spans="2:7" ht="11.25" hidden="1" customHeight="1" outlineLevel="2" x14ac:dyDescent="0.25">
      <c r="B7192" s="704" t="s">
        <v>688</v>
      </c>
      <c r="C7192" s="704" t="s">
        <v>833</v>
      </c>
      <c r="D7192" s="704" t="s">
        <v>675</v>
      </c>
      <c r="E7192" s="704" t="s">
        <v>824</v>
      </c>
      <c r="F7192" s="705">
        <v>3.7069818280237348E-4</v>
      </c>
      <c r="G7192" s="705">
        <v>0.93865392355230381</v>
      </c>
    </row>
    <row r="7193" spans="2:7" ht="11.25" hidden="1" customHeight="1" outlineLevel="2" x14ac:dyDescent="0.25">
      <c r="B7193" s="704" t="s">
        <v>689</v>
      </c>
      <c r="C7193" s="704" t="s">
        <v>833</v>
      </c>
      <c r="D7193" s="704" t="s">
        <v>675</v>
      </c>
      <c r="E7193" s="704" t="s">
        <v>824</v>
      </c>
      <c r="F7193" s="705">
        <v>5.4807239287307334E-5</v>
      </c>
      <c r="G7193" s="705">
        <v>0.13877874142979385</v>
      </c>
    </row>
    <row r="7194" spans="2:7" ht="11.25" hidden="1" customHeight="1" outlineLevel="2" x14ac:dyDescent="0.25">
      <c r="B7194" s="704" t="s">
        <v>690</v>
      </c>
      <c r="C7194" s="704" t="s">
        <v>833</v>
      </c>
      <c r="D7194" s="704" t="s">
        <v>675</v>
      </c>
      <c r="E7194" s="704" t="s">
        <v>824</v>
      </c>
      <c r="F7194" s="705">
        <v>1.2066723080553126E-3</v>
      </c>
      <c r="G7194" s="705">
        <v>3.0554459384701942</v>
      </c>
    </row>
    <row r="7195" spans="2:7" ht="11.25" hidden="1" customHeight="1" outlineLevel="2" x14ac:dyDescent="0.25">
      <c r="B7195" s="704" t="s">
        <v>691</v>
      </c>
      <c r="C7195" s="704" t="s">
        <v>833</v>
      </c>
      <c r="D7195" s="704" t="s">
        <v>675</v>
      </c>
      <c r="E7195" s="704" t="s">
        <v>824</v>
      </c>
      <c r="F7195" s="705">
        <v>1.3780582172519438E-3</v>
      </c>
      <c r="G7195" s="705">
        <v>3.4894153374824302</v>
      </c>
    </row>
    <row r="7196" spans="2:7" ht="11.25" hidden="1" customHeight="1" outlineLevel="2" x14ac:dyDescent="0.25">
      <c r="B7196" s="704" t="s">
        <v>692</v>
      </c>
      <c r="C7196" s="704" t="s">
        <v>833</v>
      </c>
      <c r="D7196" s="704" t="s">
        <v>675</v>
      </c>
      <c r="E7196" s="704" t="s">
        <v>824</v>
      </c>
      <c r="F7196" s="705">
        <v>8.0585429639697329E-5</v>
      </c>
      <c r="G7196" s="705">
        <v>0.20405229643734488</v>
      </c>
    </row>
    <row r="7197" spans="2:7" ht="11.25" hidden="1" customHeight="1" outlineLevel="2" x14ac:dyDescent="0.25">
      <c r="B7197" s="704" t="s">
        <v>693</v>
      </c>
      <c r="C7197" s="704" t="s">
        <v>833</v>
      </c>
      <c r="D7197" s="704" t="s">
        <v>675</v>
      </c>
      <c r="E7197" s="704" t="s">
        <v>824</v>
      </c>
      <c r="F7197" s="705">
        <v>2.0115715894421227E-4</v>
      </c>
      <c r="G7197" s="705">
        <v>0.50935495185648827</v>
      </c>
    </row>
    <row r="7198" spans="2:7" ht="11.25" hidden="1" customHeight="1" outlineLevel="2" x14ac:dyDescent="0.25">
      <c r="B7198" s="704" t="s">
        <v>694</v>
      </c>
      <c r="C7198" s="704" t="s">
        <v>833</v>
      </c>
      <c r="D7198" s="704" t="s">
        <v>675</v>
      </c>
      <c r="E7198" s="704" t="s">
        <v>824</v>
      </c>
      <c r="F7198" s="705">
        <v>2.2552066001132985E-5</v>
      </c>
      <c r="G7198" s="705">
        <v>5.710465302195035E-2</v>
      </c>
    </row>
    <row r="7199" spans="2:7" ht="11.25" hidden="1" customHeight="1" outlineLevel="2" x14ac:dyDescent="0.25">
      <c r="B7199" s="704" t="s">
        <v>695</v>
      </c>
      <c r="C7199" s="704" t="s">
        <v>833</v>
      </c>
      <c r="D7199" s="704" t="s">
        <v>675</v>
      </c>
      <c r="E7199" s="704" t="s">
        <v>824</v>
      </c>
      <c r="F7199" s="706">
        <v>1.0697128766543203E-4</v>
      </c>
      <c r="G7199" s="705">
        <v>0.27086460026297643</v>
      </c>
    </row>
    <row r="7200" spans="2:7" ht="11.25" hidden="1" customHeight="1" outlineLevel="2" x14ac:dyDescent="0.25">
      <c r="B7200" s="704" t="s">
        <v>696</v>
      </c>
      <c r="C7200" s="704" t="s">
        <v>833</v>
      </c>
      <c r="D7200" s="704" t="s">
        <v>675</v>
      </c>
      <c r="E7200" s="704" t="s">
        <v>824</v>
      </c>
      <c r="F7200" s="706">
        <v>2.6727222534427757E-4</v>
      </c>
      <c r="G7200" s="705">
        <v>0.67676683962131667</v>
      </c>
    </row>
    <row r="7201" spans="2:7" ht="11.25" hidden="1" customHeight="1" outlineLevel="2" x14ac:dyDescent="0.25">
      <c r="B7201" s="704" t="s">
        <v>697</v>
      </c>
      <c r="C7201" s="704" t="s">
        <v>833</v>
      </c>
      <c r="D7201" s="704" t="s">
        <v>675</v>
      </c>
      <c r="E7201" s="704" t="s">
        <v>824</v>
      </c>
      <c r="F7201" s="705">
        <v>1.462325070447592E-4</v>
      </c>
      <c r="G7201" s="705">
        <v>0.37027893154606556</v>
      </c>
    </row>
    <row r="7202" spans="2:7" ht="11.25" hidden="1" customHeight="1" outlineLevel="2" x14ac:dyDescent="0.25">
      <c r="B7202" s="704" t="s">
        <v>698</v>
      </c>
      <c r="C7202" s="704" t="s">
        <v>833</v>
      </c>
      <c r="D7202" s="704" t="s">
        <v>675</v>
      </c>
      <c r="E7202" s="704" t="s">
        <v>824</v>
      </c>
      <c r="F7202" s="705">
        <v>1.7107484498610846E-4</v>
      </c>
      <c r="G7202" s="705">
        <v>0.43318263392723899</v>
      </c>
    </row>
    <row r="7203" spans="2:7" ht="11.25" hidden="1" customHeight="1" outlineLevel="2" x14ac:dyDescent="0.25">
      <c r="B7203" s="704" t="s">
        <v>699</v>
      </c>
      <c r="C7203" s="704" t="s">
        <v>833</v>
      </c>
      <c r="D7203" s="704" t="s">
        <v>675</v>
      </c>
      <c r="E7203" s="704" t="s">
        <v>824</v>
      </c>
      <c r="F7203" s="705">
        <v>6.8279870837335869E-38</v>
      </c>
      <c r="G7203" s="705">
        <v>1.7289290835431349E-34</v>
      </c>
    </row>
    <row r="7204" spans="2:7" ht="11.25" hidden="1" customHeight="1" outlineLevel="2" x14ac:dyDescent="0.25">
      <c r="B7204" s="704" t="s">
        <v>673</v>
      </c>
      <c r="C7204" s="704" t="s">
        <v>834</v>
      </c>
      <c r="D7204" s="704" t="s">
        <v>675</v>
      </c>
      <c r="E7204" s="704" t="s">
        <v>824</v>
      </c>
      <c r="F7204" s="705">
        <v>3.6404105112430103E-4</v>
      </c>
      <c r="G7204" s="705">
        <v>1.3767187810923898</v>
      </c>
    </row>
    <row r="7205" spans="2:7" ht="11.25" hidden="1" customHeight="1" outlineLevel="2" x14ac:dyDescent="0.25">
      <c r="B7205" s="704" t="s">
        <v>677</v>
      </c>
      <c r="C7205" s="704" t="s">
        <v>834</v>
      </c>
      <c r="D7205" s="704" t="s">
        <v>675</v>
      </c>
      <c r="E7205" s="704" t="s">
        <v>824</v>
      </c>
      <c r="F7205" s="705">
        <v>6.0412024094079501E-3</v>
      </c>
      <c r="G7205" s="705">
        <v>22.846420749796103</v>
      </c>
    </row>
    <row r="7206" spans="2:7" ht="11.25" hidden="1" customHeight="1" outlineLevel="2" x14ac:dyDescent="0.25">
      <c r="B7206" s="704" t="s">
        <v>678</v>
      </c>
      <c r="C7206" s="704" t="s">
        <v>834</v>
      </c>
      <c r="D7206" s="704" t="s">
        <v>675</v>
      </c>
      <c r="E7206" s="704" t="s">
        <v>824</v>
      </c>
      <c r="F7206" s="705">
        <v>1.3993331017006306E-2</v>
      </c>
      <c r="G7206" s="705">
        <v>52.919499204101001</v>
      </c>
    </row>
    <row r="7207" spans="2:7" ht="11.25" hidden="1" customHeight="1" outlineLevel="2" x14ac:dyDescent="0.25">
      <c r="B7207" s="704" t="s">
        <v>679</v>
      </c>
      <c r="C7207" s="704" t="s">
        <v>834</v>
      </c>
      <c r="D7207" s="704" t="s">
        <v>675</v>
      </c>
      <c r="E7207" s="704" t="s">
        <v>824</v>
      </c>
      <c r="F7207" s="705">
        <v>1.1355888048201503E-3</v>
      </c>
      <c r="G7207" s="705">
        <v>4.2945296749417174</v>
      </c>
    </row>
    <row r="7208" spans="2:7" ht="11.25" hidden="1" customHeight="1" outlineLevel="2" x14ac:dyDescent="0.25">
      <c r="B7208" s="704" t="s">
        <v>680</v>
      </c>
      <c r="C7208" s="704" t="s">
        <v>834</v>
      </c>
      <c r="D7208" s="704" t="s">
        <v>675</v>
      </c>
      <c r="E7208" s="704" t="s">
        <v>824</v>
      </c>
      <c r="F7208" s="705">
        <v>2.1047807196368826E-4</v>
      </c>
      <c r="G7208" s="705">
        <v>0.79597937712849631</v>
      </c>
    </row>
    <row r="7209" spans="2:7" ht="11.25" hidden="1" customHeight="1" outlineLevel="2" x14ac:dyDescent="0.25">
      <c r="B7209" s="704" t="s">
        <v>681</v>
      </c>
      <c r="C7209" s="704" t="s">
        <v>834</v>
      </c>
      <c r="D7209" s="704" t="s">
        <v>675</v>
      </c>
      <c r="E7209" s="704" t="s">
        <v>824</v>
      </c>
      <c r="F7209" s="705">
        <v>1.7753156980772492E-3</v>
      </c>
      <c r="G7209" s="705">
        <v>6.7138275554230757</v>
      </c>
    </row>
    <row r="7210" spans="2:7" ht="11.25" hidden="1" customHeight="1" outlineLevel="2" x14ac:dyDescent="0.25">
      <c r="B7210" s="704" t="s">
        <v>682</v>
      </c>
      <c r="C7210" s="704" t="s">
        <v>834</v>
      </c>
      <c r="D7210" s="704" t="s">
        <v>675</v>
      </c>
      <c r="E7210" s="704" t="s">
        <v>824</v>
      </c>
      <c r="F7210" s="705">
        <v>1.5584547704402592E-3</v>
      </c>
      <c r="G7210" s="705">
        <v>5.8937138081063516</v>
      </c>
    </row>
    <row r="7211" spans="2:7" ht="11.25" hidden="1" customHeight="1" outlineLevel="2" x14ac:dyDescent="0.25">
      <c r="B7211" s="704" t="s">
        <v>683</v>
      </c>
      <c r="C7211" s="704" t="s">
        <v>834</v>
      </c>
      <c r="D7211" s="704" t="s">
        <v>675</v>
      </c>
      <c r="E7211" s="704" t="s">
        <v>824</v>
      </c>
      <c r="F7211" s="705">
        <v>2.5882255354278214E-3</v>
      </c>
      <c r="G7211" s="705">
        <v>9.7880655307719273</v>
      </c>
    </row>
    <row r="7212" spans="2:7" ht="11.25" hidden="1" customHeight="1" outlineLevel="2" x14ac:dyDescent="0.25">
      <c r="B7212" s="704" t="s">
        <v>684</v>
      </c>
      <c r="C7212" s="704" t="s">
        <v>834</v>
      </c>
      <c r="D7212" s="704" t="s">
        <v>675</v>
      </c>
      <c r="E7212" s="704" t="s">
        <v>824</v>
      </c>
      <c r="F7212" s="705">
        <v>3.3784004127753256E-4</v>
      </c>
      <c r="G7212" s="705">
        <v>1.2776323886423049</v>
      </c>
    </row>
    <row r="7213" spans="2:7" ht="11.25" hidden="1" customHeight="1" outlineLevel="2" x14ac:dyDescent="0.25">
      <c r="B7213" s="704" t="s">
        <v>685</v>
      </c>
      <c r="C7213" s="704" t="s">
        <v>834</v>
      </c>
      <c r="D7213" s="704" t="s">
        <v>675</v>
      </c>
      <c r="E7213" s="704" t="s">
        <v>824</v>
      </c>
      <c r="F7213" s="705">
        <v>3.106110388361053E-3</v>
      </c>
      <c r="G7213" s="705">
        <v>11.746587015665447</v>
      </c>
    </row>
    <row r="7214" spans="2:7" ht="11.25" hidden="1" customHeight="1" outlineLevel="2" x14ac:dyDescent="0.25">
      <c r="B7214" s="704" t="s">
        <v>686</v>
      </c>
      <c r="C7214" s="704" t="s">
        <v>834</v>
      </c>
      <c r="D7214" s="704" t="s">
        <v>675</v>
      </c>
      <c r="E7214" s="704" t="s">
        <v>824</v>
      </c>
      <c r="F7214" s="705">
        <v>7.3027389725954979E-4</v>
      </c>
      <c r="G7214" s="705">
        <v>2.7617234846437051</v>
      </c>
    </row>
    <row r="7215" spans="2:7" ht="11.25" hidden="1" customHeight="1" outlineLevel="2" x14ac:dyDescent="0.25">
      <c r="B7215" s="704" t="s">
        <v>687</v>
      </c>
      <c r="C7215" s="704" t="s">
        <v>834</v>
      </c>
      <c r="D7215" s="704" t="s">
        <v>675</v>
      </c>
      <c r="E7215" s="704" t="s">
        <v>824</v>
      </c>
      <c r="F7215" s="705">
        <v>3.7407303370075124E-3</v>
      </c>
      <c r="G7215" s="705">
        <v>14.146565452900001</v>
      </c>
    </row>
    <row r="7216" spans="2:7" ht="11.25" hidden="1" customHeight="1" outlineLevel="2" x14ac:dyDescent="0.25">
      <c r="B7216" s="704" t="s">
        <v>688</v>
      </c>
      <c r="C7216" s="704" t="s">
        <v>834</v>
      </c>
      <c r="D7216" s="704" t="s">
        <v>675</v>
      </c>
      <c r="E7216" s="704" t="s">
        <v>824</v>
      </c>
      <c r="F7216" s="706">
        <v>2.6850381020046498E-3</v>
      </c>
      <c r="G7216" s="705">
        <v>10.154186140490271</v>
      </c>
    </row>
    <row r="7217" spans="2:7" ht="11.25" hidden="1" customHeight="1" outlineLevel="2" x14ac:dyDescent="0.25">
      <c r="B7217" s="704" t="s">
        <v>689</v>
      </c>
      <c r="C7217" s="704" t="s">
        <v>834</v>
      </c>
      <c r="D7217" s="704" t="s">
        <v>675</v>
      </c>
      <c r="E7217" s="704" t="s">
        <v>824</v>
      </c>
      <c r="F7217" s="706">
        <v>3.9697934003714741E-4</v>
      </c>
      <c r="G7217" s="705">
        <v>1.5012830079229338</v>
      </c>
    </row>
    <row r="7218" spans="2:7" ht="11.25" hidden="1" customHeight="1" outlineLevel="2" x14ac:dyDescent="0.25">
      <c r="B7218" s="704" t="s">
        <v>690</v>
      </c>
      <c r="C7218" s="704" t="s">
        <v>834</v>
      </c>
      <c r="D7218" s="704" t="s">
        <v>675</v>
      </c>
      <c r="E7218" s="704" t="s">
        <v>824</v>
      </c>
      <c r="F7218" s="706">
        <v>8.7401652128789222E-3</v>
      </c>
      <c r="G7218" s="705">
        <v>33.053253711468102</v>
      </c>
    </row>
    <row r="7219" spans="2:7" ht="11.25" hidden="1" customHeight="1" outlineLevel="2" x14ac:dyDescent="0.25">
      <c r="B7219" s="704" t="s">
        <v>691</v>
      </c>
      <c r="C7219" s="704" t="s">
        <v>834</v>
      </c>
      <c r="D7219" s="704" t="s">
        <v>675</v>
      </c>
      <c r="E7219" s="704" t="s">
        <v>824</v>
      </c>
      <c r="F7219" s="706">
        <v>9.9815440061412943E-3</v>
      </c>
      <c r="G7219" s="705">
        <v>37.747868040945349</v>
      </c>
    </row>
    <row r="7220" spans="2:7" ht="11.25" hidden="1" customHeight="1" outlineLevel="2" x14ac:dyDescent="0.25">
      <c r="B7220" s="704" t="s">
        <v>692</v>
      </c>
      <c r="C7220" s="704" t="s">
        <v>834</v>
      </c>
      <c r="D7220" s="704" t="s">
        <v>675</v>
      </c>
      <c r="E7220" s="704" t="s">
        <v>824</v>
      </c>
      <c r="F7220" s="706">
        <v>5.8369579392739319E-4</v>
      </c>
      <c r="G7220" s="705">
        <v>2.2074004973738268</v>
      </c>
    </row>
    <row r="7221" spans="2:7" ht="11.25" hidden="1" customHeight="1" outlineLevel="2" x14ac:dyDescent="0.25">
      <c r="B7221" s="704" t="s">
        <v>693</v>
      </c>
      <c r="C7221" s="704" t="s">
        <v>834</v>
      </c>
      <c r="D7221" s="704" t="s">
        <v>675</v>
      </c>
      <c r="E7221" s="704" t="s">
        <v>824</v>
      </c>
      <c r="F7221" s="706">
        <v>1.4570204596389416E-3</v>
      </c>
      <c r="G7221" s="705">
        <v>5.5101098572289331</v>
      </c>
    </row>
    <row r="7222" spans="2:7" ht="11.25" hidden="1" customHeight="1" outlineLevel="2" x14ac:dyDescent="0.25">
      <c r="B7222" s="704" t="s">
        <v>694</v>
      </c>
      <c r="C7222" s="704" t="s">
        <v>834</v>
      </c>
      <c r="D7222" s="704" t="s">
        <v>675</v>
      </c>
      <c r="E7222" s="704" t="s">
        <v>824</v>
      </c>
      <c r="F7222" s="706">
        <v>1.6334897825841179E-4</v>
      </c>
      <c r="G7222" s="705">
        <v>0.61774738012124719</v>
      </c>
    </row>
    <row r="7223" spans="2:7" ht="11.25" hidden="1" customHeight="1" outlineLevel="2" x14ac:dyDescent="0.25">
      <c r="B7223" s="704" t="s">
        <v>695</v>
      </c>
      <c r="C7223" s="704" t="s">
        <v>834</v>
      </c>
      <c r="D7223" s="704" t="s">
        <v>675</v>
      </c>
      <c r="E7223" s="704" t="s">
        <v>824</v>
      </c>
      <c r="F7223" s="706">
        <v>7.7481424533937075E-4</v>
      </c>
      <c r="G7223" s="705">
        <v>2.9301650864013449</v>
      </c>
    </row>
    <row r="7224" spans="2:7" ht="11.25" hidden="1" customHeight="1" outlineLevel="2" x14ac:dyDescent="0.25">
      <c r="B7224" s="704" t="s">
        <v>696</v>
      </c>
      <c r="C7224" s="704" t="s">
        <v>834</v>
      </c>
      <c r="D7224" s="704" t="s">
        <v>675</v>
      </c>
      <c r="E7224" s="704" t="s">
        <v>824</v>
      </c>
      <c r="F7224" s="706">
        <v>1.935905482471439E-3</v>
      </c>
      <c r="G7224" s="705">
        <v>7.3211354359169372</v>
      </c>
    </row>
    <row r="7225" spans="2:7" ht="11.25" hidden="1" customHeight="1" outlineLevel="2" x14ac:dyDescent="0.25">
      <c r="B7225" s="704" t="s">
        <v>697</v>
      </c>
      <c r="C7225" s="704" t="s">
        <v>834</v>
      </c>
      <c r="D7225" s="704" t="s">
        <v>675</v>
      </c>
      <c r="E7225" s="704" t="s">
        <v>824</v>
      </c>
      <c r="F7225" s="706">
        <v>1.0591903452740585E-3</v>
      </c>
      <c r="G7225" s="705">
        <v>4.0056111393972351</v>
      </c>
    </row>
    <row r="7226" spans="2:7" ht="11.25" hidden="1" customHeight="1" outlineLevel="2" x14ac:dyDescent="0.25">
      <c r="B7226" s="704" t="s">
        <v>698</v>
      </c>
      <c r="C7226" s="704" t="s">
        <v>834</v>
      </c>
      <c r="D7226" s="704" t="s">
        <v>675</v>
      </c>
      <c r="E7226" s="704" t="s">
        <v>824</v>
      </c>
      <c r="F7226" s="705">
        <v>1.2391286123747283E-3</v>
      </c>
      <c r="G7226" s="705">
        <v>4.3985117104174858</v>
      </c>
    </row>
    <row r="7227" spans="2:7" ht="11.25" hidden="1" customHeight="1" outlineLevel="2" x14ac:dyDescent="0.25">
      <c r="B7227" s="704" t="s">
        <v>699</v>
      </c>
      <c r="C7227" s="704" t="s">
        <v>834</v>
      </c>
      <c r="D7227" s="704" t="s">
        <v>675</v>
      </c>
      <c r="E7227" s="704" t="s">
        <v>824</v>
      </c>
      <c r="F7227" s="705">
        <v>3.4244957661155564E-35</v>
      </c>
      <c r="G7227" s="705">
        <v>1.2469494268793718E-31</v>
      </c>
    </row>
    <row r="7228" spans="2:7" ht="11.25" hidden="1" customHeight="1" outlineLevel="2" x14ac:dyDescent="0.25">
      <c r="B7228" s="704" t="s">
        <v>673</v>
      </c>
      <c r="C7228" s="704" t="s">
        <v>835</v>
      </c>
      <c r="D7228" s="704" t="s">
        <v>675</v>
      </c>
      <c r="E7228" s="704" t="s">
        <v>824</v>
      </c>
      <c r="F7228" s="706">
        <v>4.5658662558795338E-4</v>
      </c>
      <c r="G7228" s="705">
        <v>3.3523799833484489</v>
      </c>
    </row>
    <row r="7229" spans="2:7" ht="11.25" hidden="1" customHeight="1" outlineLevel="2" x14ac:dyDescent="0.25">
      <c r="B7229" s="704" t="s">
        <v>677</v>
      </c>
      <c r="C7229" s="704" t="s">
        <v>835</v>
      </c>
      <c r="D7229" s="704" t="s">
        <v>675</v>
      </c>
      <c r="E7229" s="704" t="s">
        <v>824</v>
      </c>
      <c r="F7229" s="705">
        <v>7.5769772877128973E-3</v>
      </c>
      <c r="G7229" s="705">
        <v>55.632209370459151</v>
      </c>
    </row>
    <row r="7230" spans="2:7" ht="11.25" hidden="1" customHeight="1" outlineLevel="2" x14ac:dyDescent="0.25">
      <c r="B7230" s="704" t="s">
        <v>678</v>
      </c>
      <c r="C7230" s="704" t="s">
        <v>835</v>
      </c>
      <c r="D7230" s="704" t="s">
        <v>675</v>
      </c>
      <c r="E7230" s="704" t="s">
        <v>824</v>
      </c>
      <c r="F7230" s="705">
        <v>1.7550667659350542E-2</v>
      </c>
      <c r="G7230" s="705">
        <v>128.86175975732479</v>
      </c>
    </row>
    <row r="7231" spans="2:7" ht="11.25" hidden="1" customHeight="1" outlineLevel="2" x14ac:dyDescent="0.25">
      <c r="B7231" s="704" t="s">
        <v>679</v>
      </c>
      <c r="C7231" s="704" t="s">
        <v>835</v>
      </c>
      <c r="D7231" s="704" t="s">
        <v>675</v>
      </c>
      <c r="E7231" s="704" t="s">
        <v>824</v>
      </c>
      <c r="F7231" s="705">
        <v>1.42427452557231E-3</v>
      </c>
      <c r="G7231" s="705">
        <v>10.457401306292217</v>
      </c>
    </row>
    <row r="7232" spans="2:7" ht="11.25" hidden="1" customHeight="1" outlineLevel="2" x14ac:dyDescent="0.25">
      <c r="B7232" s="704" t="s">
        <v>680</v>
      </c>
      <c r="C7232" s="704" t="s">
        <v>835</v>
      </c>
      <c r="D7232" s="704" t="s">
        <v>675</v>
      </c>
      <c r="E7232" s="704" t="s">
        <v>824</v>
      </c>
      <c r="F7232" s="705">
        <v>2.6398519366642957E-4</v>
      </c>
      <c r="G7232" s="705">
        <v>1.9382490063988145</v>
      </c>
    </row>
    <row r="7233" spans="2:7" ht="11.25" hidden="1" customHeight="1" outlineLevel="2" x14ac:dyDescent="0.25">
      <c r="B7233" s="704" t="s">
        <v>681</v>
      </c>
      <c r="C7233" s="704" t="s">
        <v>835</v>
      </c>
      <c r="D7233" s="704" t="s">
        <v>675</v>
      </c>
      <c r="E7233" s="704" t="s">
        <v>824</v>
      </c>
      <c r="F7233" s="705">
        <v>2.2266302933148115E-3</v>
      </c>
      <c r="G7233" s="705">
        <v>16.348522726070037</v>
      </c>
    </row>
    <row r="7234" spans="2:7" ht="11.25" hidden="1" customHeight="1" outlineLevel="2" x14ac:dyDescent="0.25">
      <c r="B7234" s="704" t="s">
        <v>682</v>
      </c>
      <c r="C7234" s="704" t="s">
        <v>835</v>
      </c>
      <c r="D7234" s="704" t="s">
        <v>675</v>
      </c>
      <c r="E7234" s="704" t="s">
        <v>824</v>
      </c>
      <c r="F7234" s="705">
        <v>1.9546397217534875E-3</v>
      </c>
      <c r="G7234" s="705">
        <v>14.351503685548487</v>
      </c>
    </row>
    <row r="7235" spans="2:7" ht="11.25" hidden="1" customHeight="1" outlineLevel="2" x14ac:dyDescent="0.25">
      <c r="B7235" s="704" t="s">
        <v>683</v>
      </c>
      <c r="C7235" s="704" t="s">
        <v>835</v>
      </c>
      <c r="D7235" s="704" t="s">
        <v>675</v>
      </c>
      <c r="E7235" s="704" t="s">
        <v>824</v>
      </c>
      <c r="F7235" s="705">
        <v>3.2461958749929595E-3</v>
      </c>
      <c r="G7235" s="705">
        <v>23.834447922980527</v>
      </c>
    </row>
    <row r="7236" spans="2:7" ht="11.25" hidden="1" customHeight="1" outlineLevel="2" x14ac:dyDescent="0.25">
      <c r="B7236" s="704" t="s">
        <v>684</v>
      </c>
      <c r="C7236" s="704" t="s">
        <v>835</v>
      </c>
      <c r="D7236" s="704" t="s">
        <v>675</v>
      </c>
      <c r="E7236" s="704" t="s">
        <v>824</v>
      </c>
      <c r="F7236" s="705">
        <v>4.2372463146505911E-4</v>
      </c>
      <c r="G7236" s="705">
        <v>3.111100461850655</v>
      </c>
    </row>
    <row r="7237" spans="2:7" ht="11.25" hidden="1" customHeight="1" outlineLevel="2" x14ac:dyDescent="0.25">
      <c r="B7237" s="704" t="s">
        <v>685</v>
      </c>
      <c r="C7237" s="704" t="s">
        <v>835</v>
      </c>
      <c r="D7237" s="704" t="s">
        <v>675</v>
      </c>
      <c r="E7237" s="704" t="s">
        <v>824</v>
      </c>
      <c r="F7237" s="705">
        <v>3.8957360662861765E-3</v>
      </c>
      <c r="G7237" s="705">
        <v>28.603542226911873</v>
      </c>
    </row>
    <row r="7238" spans="2:7" ht="11.25" hidden="1" customHeight="1" outlineLevel="2" x14ac:dyDescent="0.25">
      <c r="B7238" s="704" t="s">
        <v>686</v>
      </c>
      <c r="C7238" s="704" t="s">
        <v>835</v>
      </c>
      <c r="D7238" s="704" t="s">
        <v>675</v>
      </c>
      <c r="E7238" s="704" t="s">
        <v>824</v>
      </c>
      <c r="F7238" s="705">
        <v>9.1592141229117493E-4</v>
      </c>
      <c r="G7238" s="705">
        <v>6.7249405773358175</v>
      </c>
    </row>
    <row r="7239" spans="2:7" ht="11.25" hidden="1" customHeight="1" outlineLevel="2" x14ac:dyDescent="0.25">
      <c r="B7239" s="704" t="s">
        <v>687</v>
      </c>
      <c r="C7239" s="704" t="s">
        <v>835</v>
      </c>
      <c r="D7239" s="704" t="s">
        <v>675</v>
      </c>
      <c r="E7239" s="704" t="s">
        <v>824</v>
      </c>
      <c r="F7239" s="705">
        <v>4.6916856699225134E-3</v>
      </c>
      <c r="G7239" s="705">
        <v>34.447614323168551</v>
      </c>
    </row>
    <row r="7240" spans="2:7" ht="11.25" hidden="1" customHeight="1" outlineLevel="2" x14ac:dyDescent="0.25">
      <c r="B7240" s="704" t="s">
        <v>688</v>
      </c>
      <c r="C7240" s="704" t="s">
        <v>835</v>
      </c>
      <c r="D7240" s="704" t="s">
        <v>675</v>
      </c>
      <c r="E7240" s="704" t="s">
        <v>824</v>
      </c>
      <c r="F7240" s="705">
        <v>3.3676192295026049E-3</v>
      </c>
      <c r="G7240" s="705">
        <v>24.725970665304938</v>
      </c>
    </row>
    <row r="7241" spans="2:7" ht="11.25" hidden="1" customHeight="1" outlineLevel="2" x14ac:dyDescent="0.25">
      <c r="B7241" s="704" t="s">
        <v>689</v>
      </c>
      <c r="C7241" s="704" t="s">
        <v>835</v>
      </c>
      <c r="D7241" s="704" t="s">
        <v>675</v>
      </c>
      <c r="E7241" s="704" t="s">
        <v>824</v>
      </c>
      <c r="F7241" s="705">
        <v>4.9789813030910637E-4</v>
      </c>
      <c r="G7241" s="705">
        <v>3.6557021231478997</v>
      </c>
    </row>
    <row r="7242" spans="2:7" ht="11.25" hidden="1" customHeight="1" outlineLevel="2" x14ac:dyDescent="0.25">
      <c r="B7242" s="704" t="s">
        <v>690</v>
      </c>
      <c r="C7242" s="704" t="s">
        <v>835</v>
      </c>
      <c r="D7242" s="704" t="s">
        <v>675</v>
      </c>
      <c r="E7242" s="704" t="s">
        <v>824</v>
      </c>
      <c r="F7242" s="705">
        <v>1.0962060272839259E-2</v>
      </c>
      <c r="G7242" s="705">
        <v>80.486413875279922</v>
      </c>
    </row>
    <row r="7243" spans="2:7" ht="11.25" hidden="1" customHeight="1" outlineLevel="2" x14ac:dyDescent="0.25">
      <c r="B7243" s="704" t="s">
        <v>691</v>
      </c>
      <c r="C7243" s="704" t="s">
        <v>835</v>
      </c>
      <c r="D7243" s="704" t="s">
        <v>675</v>
      </c>
      <c r="E7243" s="704" t="s">
        <v>824</v>
      </c>
      <c r="F7243" s="705">
        <v>1.25190193133778E-2</v>
      </c>
      <c r="G7243" s="705">
        <v>91.917947081502746</v>
      </c>
    </row>
    <row r="7244" spans="2:7" ht="11.25" hidden="1" customHeight="1" outlineLevel="2" x14ac:dyDescent="0.25">
      <c r="B7244" s="704" t="s">
        <v>692</v>
      </c>
      <c r="C7244" s="704" t="s">
        <v>835</v>
      </c>
      <c r="D7244" s="704" t="s">
        <v>675</v>
      </c>
      <c r="E7244" s="704" t="s">
        <v>824</v>
      </c>
      <c r="F7244" s="705">
        <v>7.3208080467443968E-4</v>
      </c>
      <c r="G7244" s="705">
        <v>5.3751369460617378</v>
      </c>
    </row>
    <row r="7245" spans="2:7" ht="11.25" hidden="1" customHeight="1" outlineLevel="2" x14ac:dyDescent="0.25">
      <c r="B7245" s="704" t="s">
        <v>693</v>
      </c>
      <c r="C7245" s="704" t="s">
        <v>835</v>
      </c>
      <c r="D7245" s="704" t="s">
        <v>675</v>
      </c>
      <c r="E7245" s="704" t="s">
        <v>824</v>
      </c>
      <c r="F7245" s="705">
        <v>1.82741995925798E-3</v>
      </c>
      <c r="G7245" s="705">
        <v>13.417398739980204</v>
      </c>
    </row>
    <row r="7246" spans="2:7" ht="11.25" hidden="1" customHeight="1" outlineLevel="2" x14ac:dyDescent="0.25">
      <c r="B7246" s="704" t="s">
        <v>694</v>
      </c>
      <c r="C7246" s="704" t="s">
        <v>835</v>
      </c>
      <c r="D7246" s="704" t="s">
        <v>675</v>
      </c>
      <c r="E7246" s="704" t="s">
        <v>824</v>
      </c>
      <c r="F7246" s="705">
        <v>2.0487516742625676E-4</v>
      </c>
      <c r="G7246" s="705">
        <v>1.5042479826206698</v>
      </c>
    </row>
    <row r="7247" spans="2:7" ht="11.25" hidden="1" customHeight="1" outlineLevel="2" x14ac:dyDescent="0.25">
      <c r="B7247" s="704" t="s">
        <v>695</v>
      </c>
      <c r="C7247" s="704" t="s">
        <v>835</v>
      </c>
      <c r="D7247" s="704" t="s">
        <v>675</v>
      </c>
      <c r="E7247" s="704" t="s">
        <v>824</v>
      </c>
      <c r="F7247" s="705">
        <v>9.7178477804968279E-4</v>
      </c>
      <c r="G7247" s="705">
        <v>7.1351043069035081</v>
      </c>
    </row>
    <row r="7248" spans="2:7" ht="11.25" hidden="1" customHeight="1" outlineLevel="2" x14ac:dyDescent="0.25">
      <c r="B7248" s="704" t="s">
        <v>696</v>
      </c>
      <c r="C7248" s="704" t="s">
        <v>835</v>
      </c>
      <c r="D7248" s="704" t="s">
        <v>675</v>
      </c>
      <c r="E7248" s="704" t="s">
        <v>824</v>
      </c>
      <c r="F7248" s="705">
        <v>2.4280452171224483E-3</v>
      </c>
      <c r="G7248" s="705">
        <v>17.827356479308854</v>
      </c>
    </row>
    <row r="7249" spans="2:7" ht="11.25" hidden="1" customHeight="1" outlineLevel="2" x14ac:dyDescent="0.25">
      <c r="B7249" s="704" t="s">
        <v>697</v>
      </c>
      <c r="C7249" s="704" t="s">
        <v>835</v>
      </c>
      <c r="D7249" s="704" t="s">
        <v>675</v>
      </c>
      <c r="E7249" s="704" t="s">
        <v>824</v>
      </c>
      <c r="F7249" s="706">
        <v>1.3284539190730003E-3</v>
      </c>
      <c r="G7249" s="705">
        <v>9.7538638907069615</v>
      </c>
    </row>
    <row r="7250" spans="2:7" ht="11.25" hidden="1" customHeight="1" outlineLevel="2" x14ac:dyDescent="0.25">
      <c r="B7250" s="704" t="s">
        <v>698</v>
      </c>
      <c r="C7250" s="704" t="s">
        <v>835</v>
      </c>
      <c r="D7250" s="704" t="s">
        <v>675</v>
      </c>
      <c r="E7250" s="704" t="s">
        <v>824</v>
      </c>
      <c r="F7250" s="706">
        <v>1.4587596367087524E-3</v>
      </c>
      <c r="G7250" s="705">
        <v>10.710602175802613</v>
      </c>
    </row>
    <row r="7251" spans="2:7" ht="11.25" hidden="1" customHeight="1" outlineLevel="2" x14ac:dyDescent="0.25">
      <c r="B7251" s="704" t="s">
        <v>699</v>
      </c>
      <c r="C7251" s="704" t="s">
        <v>835</v>
      </c>
      <c r="D7251" s="704" t="s">
        <v>675</v>
      </c>
      <c r="E7251" s="704" t="s">
        <v>824</v>
      </c>
      <c r="F7251" s="706">
        <v>2.9678452413219394E-36</v>
      </c>
      <c r="G7251" s="705">
        <v>5.3996220933115452E-32</v>
      </c>
    </row>
    <row r="7252" spans="2:7" ht="11.25" hidden="1" customHeight="1" outlineLevel="2" x14ac:dyDescent="0.25">
      <c r="B7252" s="704" t="s">
        <v>673</v>
      </c>
      <c r="C7252" s="704" t="s">
        <v>836</v>
      </c>
      <c r="D7252" s="704" t="s">
        <v>675</v>
      </c>
      <c r="E7252" s="704" t="s">
        <v>824</v>
      </c>
      <c r="F7252" s="706">
        <v>3.1858397912640682E-5</v>
      </c>
      <c r="G7252" s="705">
        <v>0.35019436064044152</v>
      </c>
    </row>
    <row r="7253" spans="2:7" ht="11.25" hidden="1" customHeight="1" outlineLevel="2" x14ac:dyDescent="0.25">
      <c r="B7253" s="704" t="s">
        <v>677</v>
      </c>
      <c r="C7253" s="704" t="s">
        <v>836</v>
      </c>
      <c r="D7253" s="704" t="s">
        <v>675</v>
      </c>
      <c r="E7253" s="704" t="s">
        <v>824</v>
      </c>
      <c r="F7253" s="706">
        <v>5.2868502714368756E-4</v>
      </c>
      <c r="G7253" s="705">
        <v>5.8114202908787949</v>
      </c>
    </row>
    <row r="7254" spans="2:7" ht="11.25" hidden="1" customHeight="1" outlineLevel="2" x14ac:dyDescent="0.25">
      <c r="B7254" s="704" t="s">
        <v>678</v>
      </c>
      <c r="C7254" s="704" t="s">
        <v>836</v>
      </c>
      <c r="D7254" s="704" t="s">
        <v>675</v>
      </c>
      <c r="E7254" s="704" t="s">
        <v>824</v>
      </c>
      <c r="F7254" s="706">
        <v>1.2246009446005386E-3</v>
      </c>
      <c r="G7254" s="705">
        <v>13.461075001237262</v>
      </c>
    </row>
    <row r="7255" spans="2:7" ht="11.25" hidden="1" customHeight="1" outlineLevel="2" x14ac:dyDescent="0.25">
      <c r="B7255" s="704" t="s">
        <v>679</v>
      </c>
      <c r="C7255" s="704" t="s">
        <v>836</v>
      </c>
      <c r="D7255" s="704" t="s">
        <v>675</v>
      </c>
      <c r="E7255" s="704" t="s">
        <v>824</v>
      </c>
      <c r="F7255" s="705">
        <v>9.9378969178009504E-5</v>
      </c>
      <c r="G7255" s="705">
        <v>1.0923949375813187</v>
      </c>
    </row>
    <row r="7256" spans="2:7" ht="11.25" hidden="1" customHeight="1" outlineLevel="2" x14ac:dyDescent="0.25">
      <c r="B7256" s="704" t="s">
        <v>680</v>
      </c>
      <c r="C7256" s="704" t="s">
        <v>836</v>
      </c>
      <c r="D7256" s="704" t="s">
        <v>675</v>
      </c>
      <c r="E7256" s="704" t="s">
        <v>824</v>
      </c>
      <c r="F7256" s="705">
        <v>1.8419613563257453E-5</v>
      </c>
      <c r="G7256" s="705">
        <v>0.20247225907005181</v>
      </c>
    </row>
    <row r="7257" spans="2:7" ht="11.25" hidden="1" customHeight="1" outlineLevel="2" x14ac:dyDescent="0.25">
      <c r="B7257" s="704" t="s">
        <v>681</v>
      </c>
      <c r="C7257" s="704" t="s">
        <v>836</v>
      </c>
      <c r="D7257" s="704" t="s">
        <v>675</v>
      </c>
      <c r="E7257" s="704" t="s">
        <v>824</v>
      </c>
      <c r="F7257" s="705">
        <v>1.5536360707432535E-4</v>
      </c>
      <c r="G7257" s="705">
        <v>1.7077889604604892</v>
      </c>
    </row>
    <row r="7258" spans="2:7" ht="11.25" hidden="1" customHeight="1" outlineLevel="2" x14ac:dyDescent="0.25">
      <c r="B7258" s="704" t="s">
        <v>682</v>
      </c>
      <c r="C7258" s="704" t="s">
        <v>836</v>
      </c>
      <c r="D7258" s="704" t="s">
        <v>675</v>
      </c>
      <c r="E7258" s="704" t="s">
        <v>824</v>
      </c>
      <c r="F7258" s="705">
        <v>1.3638538311997505E-4</v>
      </c>
      <c r="G7258" s="705">
        <v>1.4991777156190711</v>
      </c>
    </row>
    <row r="7259" spans="2:7" ht="11.25" hidden="1" customHeight="1" outlineLevel="2" x14ac:dyDescent="0.25">
      <c r="B7259" s="704" t="s">
        <v>683</v>
      </c>
      <c r="C7259" s="704" t="s">
        <v>836</v>
      </c>
      <c r="D7259" s="704" t="s">
        <v>675</v>
      </c>
      <c r="E7259" s="704" t="s">
        <v>824</v>
      </c>
      <c r="F7259" s="705">
        <v>2.2650394227638056E-4</v>
      </c>
      <c r="G7259" s="705">
        <v>2.489780213601521</v>
      </c>
    </row>
    <row r="7260" spans="2:7" ht="11.25" hidden="1" customHeight="1" outlineLevel="2" x14ac:dyDescent="0.25">
      <c r="B7260" s="704" t="s">
        <v>684</v>
      </c>
      <c r="C7260" s="704" t="s">
        <v>836</v>
      </c>
      <c r="D7260" s="704" t="s">
        <v>675</v>
      </c>
      <c r="E7260" s="704" t="s">
        <v>824</v>
      </c>
      <c r="F7260" s="705">
        <v>2.9565467424393095E-5</v>
      </c>
      <c r="G7260" s="705">
        <v>0.32498986067897845</v>
      </c>
    </row>
    <row r="7261" spans="2:7" ht="11.25" hidden="1" customHeight="1" outlineLevel="2" x14ac:dyDescent="0.25">
      <c r="B7261" s="704" t="s">
        <v>685</v>
      </c>
      <c r="C7261" s="704" t="s">
        <v>836</v>
      </c>
      <c r="D7261" s="704" t="s">
        <v>675</v>
      </c>
      <c r="E7261" s="704" t="s">
        <v>824</v>
      </c>
      <c r="F7261" s="705">
        <v>2.7182573988675305E-4</v>
      </c>
      <c r="G7261" s="705">
        <v>2.9879665168966354</v>
      </c>
    </row>
    <row r="7262" spans="2:7" ht="11.25" hidden="1" customHeight="1" outlineLevel="2" x14ac:dyDescent="0.25">
      <c r="B7262" s="704" t="s">
        <v>686</v>
      </c>
      <c r="C7262" s="704" t="s">
        <v>836</v>
      </c>
      <c r="D7262" s="704" t="s">
        <v>675</v>
      </c>
      <c r="E7262" s="704" t="s">
        <v>824</v>
      </c>
      <c r="F7262" s="705">
        <v>6.3908601644696789E-5</v>
      </c>
      <c r="G7262" s="705">
        <v>0.70249692597257596</v>
      </c>
    </row>
    <row r="7263" spans="2:7" ht="11.25" hidden="1" customHeight="1" outlineLevel="2" x14ac:dyDescent="0.25">
      <c r="B7263" s="704" t="s">
        <v>687</v>
      </c>
      <c r="C7263" s="704" t="s">
        <v>836</v>
      </c>
      <c r="D7263" s="704" t="s">
        <v>675</v>
      </c>
      <c r="E7263" s="704" t="s">
        <v>824</v>
      </c>
      <c r="F7263" s="705">
        <v>3.2736315883036997E-4</v>
      </c>
      <c r="G7263" s="705">
        <v>3.5984452966113158</v>
      </c>
    </row>
    <row r="7264" spans="2:7" ht="11.25" hidden="1" customHeight="1" outlineLevel="2" x14ac:dyDescent="0.25">
      <c r="B7264" s="704" t="s">
        <v>688</v>
      </c>
      <c r="C7264" s="704" t="s">
        <v>836</v>
      </c>
      <c r="D7264" s="704" t="s">
        <v>675</v>
      </c>
      <c r="E7264" s="704" t="s">
        <v>824</v>
      </c>
      <c r="F7264" s="705">
        <v>2.3497622658381412E-4</v>
      </c>
      <c r="G7264" s="705">
        <v>2.5829094474643943</v>
      </c>
    </row>
    <row r="7265" spans="2:7" ht="11.25" hidden="1" customHeight="1" outlineLevel="2" x14ac:dyDescent="0.25">
      <c r="B7265" s="704" t="s">
        <v>689</v>
      </c>
      <c r="C7265" s="704" t="s">
        <v>836</v>
      </c>
      <c r="D7265" s="704" t="s">
        <v>675</v>
      </c>
      <c r="E7265" s="704" t="s">
        <v>824</v>
      </c>
      <c r="F7265" s="705">
        <v>3.4740957858142842E-5</v>
      </c>
      <c r="G7265" s="705">
        <v>0.38187981544007316</v>
      </c>
    </row>
    <row r="7266" spans="2:7" ht="11.25" hidden="1" customHeight="1" outlineLevel="2" x14ac:dyDescent="0.25">
      <c r="B7266" s="704" t="s">
        <v>690</v>
      </c>
      <c r="C7266" s="704" t="s">
        <v>836</v>
      </c>
      <c r="D7266" s="704" t="s">
        <v>675</v>
      </c>
      <c r="E7266" s="704" t="s">
        <v>824</v>
      </c>
      <c r="F7266" s="705">
        <v>7.6487970531827969E-4</v>
      </c>
      <c r="G7266" s="705">
        <v>8.4077184017403539</v>
      </c>
    </row>
    <row r="7267" spans="2:7" ht="11.25" hidden="1" customHeight="1" outlineLevel="2" x14ac:dyDescent="0.25">
      <c r="B7267" s="704" t="s">
        <v>691</v>
      </c>
      <c r="C7267" s="704" t="s">
        <v>836</v>
      </c>
      <c r="D7267" s="704" t="s">
        <v>675</v>
      </c>
      <c r="E7267" s="704" t="s">
        <v>824</v>
      </c>
      <c r="F7267" s="705">
        <v>8.7351680582700936E-4</v>
      </c>
      <c r="G7267" s="705">
        <v>9.6018810944133115</v>
      </c>
    </row>
    <row r="7268" spans="2:7" ht="11.25" hidden="1" customHeight="1" outlineLevel="2" x14ac:dyDescent="0.25">
      <c r="B7268" s="704" t="s">
        <v>692</v>
      </c>
      <c r="C7268" s="704" t="s">
        <v>836</v>
      </c>
      <c r="D7268" s="704" t="s">
        <v>675</v>
      </c>
      <c r="E7268" s="704" t="s">
        <v>824</v>
      </c>
      <c r="F7268" s="705">
        <v>5.1081081904668311E-5</v>
      </c>
      <c r="G7268" s="705">
        <v>0.56149434600610026</v>
      </c>
    </row>
    <row r="7269" spans="2:7" ht="11.25" hidden="1" customHeight="1" outlineLevel="2" x14ac:dyDescent="0.25">
      <c r="B7269" s="704" t="s">
        <v>693</v>
      </c>
      <c r="C7269" s="704" t="s">
        <v>836</v>
      </c>
      <c r="D7269" s="704" t="s">
        <v>675</v>
      </c>
      <c r="E7269" s="704" t="s">
        <v>824</v>
      </c>
      <c r="F7269" s="705">
        <v>1.2750850668305036E-4</v>
      </c>
      <c r="G7269" s="705">
        <v>1.4016000847357786</v>
      </c>
    </row>
    <row r="7270" spans="2:7" ht="11.25" hidden="1" customHeight="1" outlineLevel="2" x14ac:dyDescent="0.25">
      <c r="B7270" s="704" t="s">
        <v>694</v>
      </c>
      <c r="C7270" s="704" t="s">
        <v>836</v>
      </c>
      <c r="D7270" s="704" t="s">
        <v>675</v>
      </c>
      <c r="E7270" s="704" t="s">
        <v>824</v>
      </c>
      <c r="F7270" s="705">
        <v>1.4295194322069257E-5</v>
      </c>
      <c r="G7270" s="705">
        <v>0.15713582052495223</v>
      </c>
    </row>
    <row r="7271" spans="2:7" ht="11.25" hidden="1" customHeight="1" outlineLevel="2" x14ac:dyDescent="0.25">
      <c r="B7271" s="704" t="s">
        <v>695</v>
      </c>
      <c r="C7271" s="704" t="s">
        <v>836</v>
      </c>
      <c r="D7271" s="704" t="s">
        <v>675</v>
      </c>
      <c r="E7271" s="704" t="s">
        <v>824</v>
      </c>
      <c r="F7271" s="705">
        <v>6.7806459282625421E-5</v>
      </c>
      <c r="G7271" s="705">
        <v>0.74534304171379406</v>
      </c>
    </row>
    <row r="7272" spans="2:7" ht="11.25" hidden="1" customHeight="1" outlineLevel="2" x14ac:dyDescent="0.25">
      <c r="B7272" s="704" t="s">
        <v>696</v>
      </c>
      <c r="C7272" s="704" t="s">
        <v>836</v>
      </c>
      <c r="D7272" s="704" t="s">
        <v>675</v>
      </c>
      <c r="E7272" s="704" t="s">
        <v>824</v>
      </c>
      <c r="F7272" s="705">
        <v>1.6941724517277005E-4</v>
      </c>
      <c r="G7272" s="705">
        <v>1.8622701917411764</v>
      </c>
    </row>
    <row r="7273" spans="2:7" ht="11.25" hidden="1" customHeight="1" outlineLevel="2" x14ac:dyDescent="0.25">
      <c r="B7273" s="704" t="s">
        <v>697</v>
      </c>
      <c r="C7273" s="704" t="s">
        <v>836</v>
      </c>
      <c r="D7273" s="704" t="s">
        <v>675</v>
      </c>
      <c r="E7273" s="704" t="s">
        <v>824</v>
      </c>
      <c r="F7273" s="705">
        <v>9.2693154642369373E-5</v>
      </c>
      <c r="G7273" s="705">
        <v>1.0189024248582901</v>
      </c>
    </row>
    <row r="7274" spans="2:7" ht="11.25" hidden="1" customHeight="1" outlineLevel="2" x14ac:dyDescent="0.25">
      <c r="B7274" s="704" t="s">
        <v>698</v>
      </c>
      <c r="C7274" s="704" t="s">
        <v>836</v>
      </c>
      <c r="D7274" s="704" t="s">
        <v>675</v>
      </c>
      <c r="E7274" s="704" t="s">
        <v>824</v>
      </c>
      <c r="F7274" s="705">
        <v>1.017852299817551E-4</v>
      </c>
      <c r="G7274" s="705">
        <v>1.1188445865047394</v>
      </c>
    </row>
    <row r="7275" spans="2:7" ht="11.25" hidden="1" customHeight="1" outlineLevel="2" x14ac:dyDescent="0.25">
      <c r="B7275" s="704" t="s">
        <v>699</v>
      </c>
      <c r="C7275" s="704" t="s">
        <v>836</v>
      </c>
      <c r="D7275" s="704" t="s">
        <v>675</v>
      </c>
      <c r="E7275" s="704" t="s">
        <v>824</v>
      </c>
      <c r="F7275" s="705">
        <v>6.1973739076226069E-36</v>
      </c>
      <c r="G7275" s="705">
        <v>6.5262886993729976E-32</v>
      </c>
    </row>
    <row r="7276" spans="2:7" ht="11.25" hidden="1" customHeight="1" outlineLevel="2" x14ac:dyDescent="0.25">
      <c r="B7276" s="704" t="s">
        <v>673</v>
      </c>
      <c r="C7276" s="704" t="s">
        <v>837</v>
      </c>
      <c r="D7276" s="704" t="s">
        <v>675</v>
      </c>
      <c r="E7276" s="704" t="s">
        <v>824</v>
      </c>
      <c r="F7276" s="705">
        <v>1.0506606430807563E-3</v>
      </c>
      <c r="G7276" s="705">
        <v>2.9008818485955983</v>
      </c>
    </row>
    <row r="7277" spans="2:7" ht="11.25" hidden="1" customHeight="1" outlineLevel="2" x14ac:dyDescent="0.25">
      <c r="B7277" s="704" t="s">
        <v>677</v>
      </c>
      <c r="C7277" s="704" t="s">
        <v>837</v>
      </c>
      <c r="D7277" s="704" t="s">
        <v>675</v>
      </c>
      <c r="E7277" s="704" t="s">
        <v>824</v>
      </c>
      <c r="F7277" s="705">
        <v>1.7435543102257797E-2</v>
      </c>
      <c r="G7277" s="705">
        <v>48.139681210220779</v>
      </c>
    </row>
    <row r="7278" spans="2:7" ht="11.25" hidden="1" customHeight="1" outlineLevel="2" x14ac:dyDescent="0.25">
      <c r="B7278" s="704" t="s">
        <v>678</v>
      </c>
      <c r="C7278" s="704" t="s">
        <v>837</v>
      </c>
      <c r="D7278" s="704" t="s">
        <v>675</v>
      </c>
      <c r="E7278" s="704" t="s">
        <v>824</v>
      </c>
      <c r="F7278" s="705">
        <v>4.0386219545652649E-2</v>
      </c>
      <c r="G7278" s="705">
        <v>111.50667410764954</v>
      </c>
    </row>
    <row r="7279" spans="2:7" ht="11.25" hidden="1" customHeight="1" outlineLevel="2" x14ac:dyDescent="0.25">
      <c r="B7279" s="704" t="s">
        <v>679</v>
      </c>
      <c r="C7279" s="704" t="s">
        <v>837</v>
      </c>
      <c r="D7279" s="704" t="s">
        <v>675</v>
      </c>
      <c r="E7279" s="704" t="s">
        <v>824</v>
      </c>
      <c r="F7279" s="705">
        <v>3.2774270429408738E-3</v>
      </c>
      <c r="G7279" s="705">
        <v>9.0490032501563018</v>
      </c>
    </row>
    <row r="7280" spans="2:7" ht="11.25" hidden="1" customHeight="1" outlineLevel="2" x14ac:dyDescent="0.25">
      <c r="B7280" s="704" t="s">
        <v>680</v>
      </c>
      <c r="C7280" s="704" t="s">
        <v>837</v>
      </c>
      <c r="D7280" s="704" t="s">
        <v>675</v>
      </c>
      <c r="E7280" s="704" t="s">
        <v>824</v>
      </c>
      <c r="F7280" s="705">
        <v>6.0746175875626258E-4</v>
      </c>
      <c r="G7280" s="705">
        <v>1.6772065555300562</v>
      </c>
    </row>
    <row r="7281" spans="2:7" ht="11.25" hidden="1" customHeight="1" outlineLevel="2" x14ac:dyDescent="0.25">
      <c r="B7281" s="704" t="s">
        <v>681</v>
      </c>
      <c r="C7281" s="704" t="s">
        <v>837</v>
      </c>
      <c r="D7281" s="704" t="s">
        <v>675</v>
      </c>
      <c r="E7281" s="704" t="s">
        <v>824</v>
      </c>
      <c r="F7281" s="705">
        <v>5.1237465869072886E-3</v>
      </c>
      <c r="G7281" s="705">
        <v>14.146704860029178</v>
      </c>
    </row>
    <row r="7282" spans="2:7" ht="11.25" hidden="1" customHeight="1" outlineLevel="2" x14ac:dyDescent="0.25">
      <c r="B7282" s="704" t="s">
        <v>682</v>
      </c>
      <c r="C7282" s="704" t="s">
        <v>837</v>
      </c>
      <c r="D7282" s="704" t="s">
        <v>675</v>
      </c>
      <c r="E7282" s="704" t="s">
        <v>824</v>
      </c>
      <c r="F7282" s="705">
        <v>4.4978654958864623E-3</v>
      </c>
      <c r="G7282" s="705">
        <v>12.418642371629225</v>
      </c>
    </row>
    <row r="7283" spans="2:7" ht="11.25" hidden="1" customHeight="1" outlineLevel="2" x14ac:dyDescent="0.25">
      <c r="B7283" s="704" t="s">
        <v>683</v>
      </c>
      <c r="C7283" s="704" t="s">
        <v>837</v>
      </c>
      <c r="D7283" s="704" t="s">
        <v>675</v>
      </c>
      <c r="E7283" s="704" t="s">
        <v>824</v>
      </c>
      <c r="F7283" s="705">
        <v>7.4698920924879024E-3</v>
      </c>
      <c r="G7283" s="705">
        <v>20.62442563688138</v>
      </c>
    </row>
    <row r="7284" spans="2:7" ht="11.25" hidden="1" customHeight="1" outlineLevel="2" x14ac:dyDescent="0.25">
      <c r="B7284" s="704" t="s">
        <v>684</v>
      </c>
      <c r="C7284" s="704" t="s">
        <v>837</v>
      </c>
      <c r="D7284" s="704" t="s">
        <v>675</v>
      </c>
      <c r="E7284" s="704" t="s">
        <v>824</v>
      </c>
      <c r="F7284" s="705">
        <v>9.7504183512891194E-4</v>
      </c>
      <c r="G7284" s="705">
        <v>2.6920984114286202</v>
      </c>
    </row>
    <row r="7285" spans="2:7" ht="11.25" hidden="1" customHeight="1" outlineLevel="2" x14ac:dyDescent="0.25">
      <c r="B7285" s="704" t="s">
        <v>685</v>
      </c>
      <c r="C7285" s="704" t="s">
        <v>837</v>
      </c>
      <c r="D7285" s="704" t="s">
        <v>675</v>
      </c>
      <c r="E7285" s="704" t="s">
        <v>824</v>
      </c>
      <c r="F7285" s="705">
        <v>8.9645614501096867E-3</v>
      </c>
      <c r="G7285" s="705">
        <v>24.751223381194901</v>
      </c>
    </row>
    <row r="7286" spans="2:7" ht="11.25" hidden="1" customHeight="1" outlineLevel="2" x14ac:dyDescent="0.25">
      <c r="B7286" s="704" t="s">
        <v>686</v>
      </c>
      <c r="C7286" s="704" t="s">
        <v>837</v>
      </c>
      <c r="D7286" s="704" t="s">
        <v>675</v>
      </c>
      <c r="E7286" s="704" t="s">
        <v>824</v>
      </c>
      <c r="F7286" s="705">
        <v>2.1076457417873347E-3</v>
      </c>
      <c r="G7286" s="705">
        <v>5.8192276201211088</v>
      </c>
    </row>
    <row r="7287" spans="2:7" ht="11.25" hidden="1" customHeight="1" outlineLevel="2" x14ac:dyDescent="0.25">
      <c r="B7287" s="704" t="s">
        <v>687</v>
      </c>
      <c r="C7287" s="704" t="s">
        <v>837</v>
      </c>
      <c r="D7287" s="704" t="s">
        <v>675</v>
      </c>
      <c r="E7287" s="704" t="s">
        <v>824</v>
      </c>
      <c r="F7287" s="705">
        <v>1.0796137447477575E-2</v>
      </c>
      <c r="G7287" s="705">
        <v>29.808220795102628</v>
      </c>
    </row>
    <row r="7288" spans="2:7" ht="11.25" hidden="1" customHeight="1" outlineLevel="2" x14ac:dyDescent="0.25">
      <c r="B7288" s="704" t="s">
        <v>688</v>
      </c>
      <c r="C7288" s="704" t="s">
        <v>837</v>
      </c>
      <c r="D7288" s="704" t="s">
        <v>675</v>
      </c>
      <c r="E7288" s="704" t="s">
        <v>824</v>
      </c>
      <c r="F7288" s="705">
        <v>7.7493027594397173E-3</v>
      </c>
      <c r="G7288" s="705">
        <v>21.39588338591885</v>
      </c>
    </row>
    <row r="7289" spans="2:7" ht="11.25" hidden="1" customHeight="1" outlineLevel="2" x14ac:dyDescent="0.25">
      <c r="B7289" s="704" t="s">
        <v>689</v>
      </c>
      <c r="C7289" s="704" t="s">
        <v>837</v>
      </c>
      <c r="D7289" s="704" t="s">
        <v>675</v>
      </c>
      <c r="E7289" s="704" t="s">
        <v>824</v>
      </c>
      <c r="F7289" s="705">
        <v>1.1457240018577634E-3</v>
      </c>
      <c r="G7289" s="705">
        <v>3.1633539043877423</v>
      </c>
    </row>
    <row r="7290" spans="2:7" ht="11.25" hidden="1" customHeight="1" outlineLevel="2" x14ac:dyDescent="0.25">
      <c r="B7290" s="704" t="s">
        <v>690</v>
      </c>
      <c r="C7290" s="704" t="s">
        <v>837</v>
      </c>
      <c r="D7290" s="704" t="s">
        <v>675</v>
      </c>
      <c r="E7290" s="704" t="s">
        <v>824</v>
      </c>
      <c r="F7290" s="705">
        <v>2.5225029580156974E-2</v>
      </c>
      <c r="G7290" s="705">
        <v>69.646510712822348</v>
      </c>
    </row>
    <row r="7291" spans="2:7" ht="11.25" hidden="1" customHeight="1" outlineLevel="2" x14ac:dyDescent="0.25">
      <c r="B7291" s="704" t="s">
        <v>691</v>
      </c>
      <c r="C7291" s="704" t="s">
        <v>837</v>
      </c>
      <c r="D7291" s="704" t="s">
        <v>675</v>
      </c>
      <c r="E7291" s="704" t="s">
        <v>824</v>
      </c>
      <c r="F7291" s="705">
        <v>2.8807789416624648E-2</v>
      </c>
      <c r="G7291" s="705">
        <v>79.538491945031438</v>
      </c>
    </row>
    <row r="7292" spans="2:7" ht="11.25" hidden="1" customHeight="1" outlineLevel="2" x14ac:dyDescent="0.25">
      <c r="B7292" s="704" t="s">
        <v>692</v>
      </c>
      <c r="C7292" s="704" t="s">
        <v>837</v>
      </c>
      <c r="D7292" s="704" t="s">
        <v>675</v>
      </c>
      <c r="E7292" s="704" t="s">
        <v>824</v>
      </c>
      <c r="F7292" s="705">
        <v>1.6846074023102822E-3</v>
      </c>
      <c r="G7292" s="705">
        <v>4.6512135284501657</v>
      </c>
    </row>
    <row r="7293" spans="2:7" ht="11.25" hidden="1" customHeight="1" outlineLevel="2" x14ac:dyDescent="0.25">
      <c r="B7293" s="704" t="s">
        <v>693</v>
      </c>
      <c r="C7293" s="704" t="s">
        <v>837</v>
      </c>
      <c r="D7293" s="704" t="s">
        <v>675</v>
      </c>
      <c r="E7293" s="704" t="s">
        <v>824</v>
      </c>
      <c r="F7293" s="705">
        <v>4.2051133819282988E-3</v>
      </c>
      <c r="G7293" s="705">
        <v>11.610352354417277</v>
      </c>
    </row>
    <row r="7294" spans="2:7" ht="11.25" hidden="1" customHeight="1" outlineLevel="2" x14ac:dyDescent="0.25">
      <c r="B7294" s="704" t="s">
        <v>694</v>
      </c>
      <c r="C7294" s="704" t="s">
        <v>837</v>
      </c>
      <c r="D7294" s="704" t="s">
        <v>675</v>
      </c>
      <c r="E7294" s="704" t="s">
        <v>824</v>
      </c>
      <c r="F7294" s="705">
        <v>4.7144251071071805E-4</v>
      </c>
      <c r="G7294" s="705">
        <v>1.3016564443123093</v>
      </c>
    </row>
    <row r="7295" spans="2:7" ht="11.25" hidden="1" customHeight="1" outlineLevel="2" x14ac:dyDescent="0.25">
      <c r="B7295" s="704" t="s">
        <v>695</v>
      </c>
      <c r="C7295" s="704" t="s">
        <v>837</v>
      </c>
      <c r="D7295" s="704" t="s">
        <v>675</v>
      </c>
      <c r="E7295" s="704" t="s">
        <v>824</v>
      </c>
      <c r="F7295" s="706">
        <v>2.2361952610810082E-3</v>
      </c>
      <c r="G7295" s="705">
        <v>6.1741503179400006</v>
      </c>
    </row>
    <row r="7296" spans="2:7" ht="11.25" hidden="1" customHeight="1" outlineLevel="2" x14ac:dyDescent="0.25">
      <c r="B7296" s="704" t="s">
        <v>696</v>
      </c>
      <c r="C7296" s="704" t="s">
        <v>837</v>
      </c>
      <c r="D7296" s="704" t="s">
        <v>675</v>
      </c>
      <c r="E7296" s="704" t="s">
        <v>824</v>
      </c>
      <c r="F7296" s="706">
        <v>5.58722544955204E-3</v>
      </c>
      <c r="G7296" s="705">
        <v>15.42637097715399</v>
      </c>
    </row>
    <row r="7297" spans="2:7" ht="11.25" hidden="1" customHeight="1" outlineLevel="2" x14ac:dyDescent="0.25">
      <c r="B7297" s="704" t="s">
        <v>697</v>
      </c>
      <c r="C7297" s="704" t="s">
        <v>837</v>
      </c>
      <c r="D7297" s="704" t="s">
        <v>675</v>
      </c>
      <c r="E7297" s="704" t="s">
        <v>824</v>
      </c>
      <c r="F7297" s="706">
        <v>3.0569346889818289E-3</v>
      </c>
      <c r="G7297" s="705">
        <v>8.4402226135949192</v>
      </c>
    </row>
    <row r="7298" spans="2:7" ht="11.25" hidden="1" customHeight="1" outlineLevel="2" x14ac:dyDescent="0.25">
      <c r="B7298" s="704" t="s">
        <v>698</v>
      </c>
      <c r="C7298" s="704" t="s">
        <v>837</v>
      </c>
      <c r="D7298" s="704" t="s">
        <v>675</v>
      </c>
      <c r="E7298" s="704" t="s">
        <v>824</v>
      </c>
      <c r="F7298" s="706">
        <v>3.3567827987697934E-3</v>
      </c>
      <c r="G7298" s="705">
        <v>9.2681039280145487</v>
      </c>
    </row>
    <row r="7299" spans="2:7" ht="11.25" hidden="1" customHeight="1" outlineLevel="2" x14ac:dyDescent="0.25">
      <c r="B7299" s="704" t="s">
        <v>699</v>
      </c>
      <c r="C7299" s="704" t="s">
        <v>837</v>
      </c>
      <c r="D7299" s="704" t="s">
        <v>675</v>
      </c>
      <c r="E7299" s="704" t="s">
        <v>824</v>
      </c>
      <c r="F7299" s="706">
        <v>1.2247076726416674E-35</v>
      </c>
      <c r="G7299" s="705">
        <v>2.7481169934555332E-32</v>
      </c>
    </row>
    <row r="7300" spans="2:7" ht="11.25" hidden="1" customHeight="1" outlineLevel="2" x14ac:dyDescent="0.25">
      <c r="B7300" s="704" t="s">
        <v>673</v>
      </c>
      <c r="C7300" s="704" t="s">
        <v>838</v>
      </c>
      <c r="D7300" s="704" t="s">
        <v>675</v>
      </c>
      <c r="E7300" s="704" t="s">
        <v>824</v>
      </c>
      <c r="F7300" s="706">
        <v>5.419616215420781E-4</v>
      </c>
      <c r="G7300" s="705">
        <v>1.1996342157668611</v>
      </c>
    </row>
    <row r="7301" spans="2:7" ht="11.25" hidden="1" customHeight="1" outlineLevel="2" x14ac:dyDescent="0.25">
      <c r="B7301" s="704" t="s">
        <v>677</v>
      </c>
      <c r="C7301" s="704" t="s">
        <v>838</v>
      </c>
      <c r="D7301" s="704" t="s">
        <v>675</v>
      </c>
      <c r="E7301" s="704" t="s">
        <v>824</v>
      </c>
      <c r="F7301" s="706">
        <v>8.9937562856983125E-3</v>
      </c>
      <c r="G7301" s="705">
        <v>19.907754856203077</v>
      </c>
    </row>
    <row r="7302" spans="2:7" ht="11.25" hidden="1" customHeight="1" outlineLevel="2" x14ac:dyDescent="0.25">
      <c r="B7302" s="704" t="s">
        <v>678</v>
      </c>
      <c r="C7302" s="704" t="s">
        <v>838</v>
      </c>
      <c r="D7302" s="704" t="s">
        <v>675</v>
      </c>
      <c r="E7302" s="704" t="s">
        <v>824</v>
      </c>
      <c r="F7302" s="706">
        <v>2.0832367998534444E-2</v>
      </c>
      <c r="G7302" s="705">
        <v>46.112633988313753</v>
      </c>
    </row>
    <row r="7303" spans="2:7" ht="11.25" hidden="1" customHeight="1" outlineLevel="2" x14ac:dyDescent="0.25">
      <c r="B7303" s="704" t="s">
        <v>679</v>
      </c>
      <c r="C7303" s="704" t="s">
        <v>838</v>
      </c>
      <c r="D7303" s="704" t="s">
        <v>675</v>
      </c>
      <c r="E7303" s="704" t="s">
        <v>824</v>
      </c>
      <c r="F7303" s="706">
        <v>1.690591369785885E-3</v>
      </c>
      <c r="G7303" s="705">
        <v>3.7421391875076311</v>
      </c>
    </row>
    <row r="7304" spans="2:7" ht="11.25" hidden="1" customHeight="1" outlineLevel="2" x14ac:dyDescent="0.25">
      <c r="B7304" s="704" t="s">
        <v>680</v>
      </c>
      <c r="C7304" s="704" t="s">
        <v>838</v>
      </c>
      <c r="D7304" s="704" t="s">
        <v>675</v>
      </c>
      <c r="E7304" s="704" t="s">
        <v>824</v>
      </c>
      <c r="F7304" s="706">
        <v>3.1334633674544619E-4</v>
      </c>
      <c r="G7304" s="705">
        <v>0.69359496764939677</v>
      </c>
    </row>
    <row r="7305" spans="2:7" ht="11.25" hidden="1" customHeight="1" outlineLevel="2" x14ac:dyDescent="0.25">
      <c r="B7305" s="704" t="s">
        <v>681</v>
      </c>
      <c r="C7305" s="704" t="s">
        <v>838</v>
      </c>
      <c r="D7305" s="704" t="s">
        <v>675</v>
      </c>
      <c r="E7305" s="704" t="s">
        <v>824</v>
      </c>
      <c r="F7305" s="706">
        <v>2.6429767665317842E-3</v>
      </c>
      <c r="G7305" s="705">
        <v>5.8502511801540313</v>
      </c>
    </row>
    <row r="7306" spans="2:7" ht="11.25" hidden="1" customHeight="1" outlineLevel="2" x14ac:dyDescent="0.25">
      <c r="B7306" s="704" t="s">
        <v>682</v>
      </c>
      <c r="C7306" s="704" t="s">
        <v>838</v>
      </c>
      <c r="D7306" s="704" t="s">
        <v>675</v>
      </c>
      <c r="E7306" s="704" t="s">
        <v>824</v>
      </c>
      <c r="F7306" s="706">
        <v>2.3201289246222228E-3</v>
      </c>
      <c r="G7306" s="705">
        <v>5.1356241463332513</v>
      </c>
    </row>
    <row r="7307" spans="2:7" ht="11.25" hidden="1" customHeight="1" outlineLevel="2" x14ac:dyDescent="0.25">
      <c r="B7307" s="704" t="s">
        <v>683</v>
      </c>
      <c r="C7307" s="704" t="s">
        <v>838</v>
      </c>
      <c r="D7307" s="704" t="s">
        <v>675</v>
      </c>
      <c r="E7307" s="704" t="s">
        <v>824</v>
      </c>
      <c r="F7307" s="706">
        <v>3.8531867722628277E-3</v>
      </c>
      <c r="G7307" s="705">
        <v>8.5290622387662811</v>
      </c>
    </row>
    <row r="7308" spans="2:7" ht="11.25" hidden="1" customHeight="1" outlineLevel="2" x14ac:dyDescent="0.25">
      <c r="B7308" s="704" t="s">
        <v>684</v>
      </c>
      <c r="C7308" s="704" t="s">
        <v>838</v>
      </c>
      <c r="D7308" s="704" t="s">
        <v>675</v>
      </c>
      <c r="E7308" s="704" t="s">
        <v>824</v>
      </c>
      <c r="F7308" s="706">
        <v>5.0295461325746934E-4</v>
      </c>
      <c r="G7308" s="705">
        <v>1.1132944830208209</v>
      </c>
    </row>
    <row r="7309" spans="2:7" ht="11.25" hidden="1" customHeight="1" outlineLevel="2" x14ac:dyDescent="0.25">
      <c r="B7309" s="704" t="s">
        <v>685</v>
      </c>
      <c r="C7309" s="704" t="s">
        <v>838</v>
      </c>
      <c r="D7309" s="704" t="s">
        <v>675</v>
      </c>
      <c r="E7309" s="704" t="s">
        <v>824</v>
      </c>
      <c r="F7309" s="706">
        <v>4.6241793579882796E-3</v>
      </c>
      <c r="G7309" s="705">
        <v>10.235659276976234</v>
      </c>
    </row>
    <row r="7310" spans="2:7" ht="11.25" hidden="1" customHeight="1" outlineLevel="2" x14ac:dyDescent="0.25">
      <c r="B7310" s="704" t="s">
        <v>686</v>
      </c>
      <c r="C7310" s="704" t="s">
        <v>838</v>
      </c>
      <c r="D7310" s="704" t="s">
        <v>675</v>
      </c>
      <c r="E7310" s="704" t="s">
        <v>824</v>
      </c>
      <c r="F7310" s="706">
        <v>1.0871847357242694E-3</v>
      </c>
      <c r="G7310" s="705">
        <v>2.406493336467733</v>
      </c>
    </row>
    <row r="7311" spans="2:7" ht="11.25" hidden="1" customHeight="1" outlineLevel="2" x14ac:dyDescent="0.25">
      <c r="B7311" s="704" t="s">
        <v>687</v>
      </c>
      <c r="C7311" s="704" t="s">
        <v>838</v>
      </c>
      <c r="D7311" s="704" t="s">
        <v>675</v>
      </c>
      <c r="E7311" s="704" t="s">
        <v>824</v>
      </c>
      <c r="F7311" s="706">
        <v>5.5689581247559423E-3</v>
      </c>
      <c r="G7311" s="705">
        <v>12.326947350576637</v>
      </c>
    </row>
    <row r="7312" spans="2:7" ht="11.25" hidden="1" customHeight="1" outlineLevel="2" x14ac:dyDescent="0.25">
      <c r="B7312" s="704" t="s">
        <v>688</v>
      </c>
      <c r="C7312" s="704" t="s">
        <v>838</v>
      </c>
      <c r="D7312" s="704" t="s">
        <v>675</v>
      </c>
      <c r="E7312" s="704" t="s">
        <v>824</v>
      </c>
      <c r="F7312" s="706">
        <v>3.9973129307513833E-3</v>
      </c>
      <c r="G7312" s="705">
        <v>8.8480900073985023</v>
      </c>
    </row>
    <row r="7313" spans="2:7" ht="11.25" hidden="1" customHeight="1" outlineLevel="2" x14ac:dyDescent="0.25">
      <c r="B7313" s="704" t="s">
        <v>689</v>
      </c>
      <c r="C7313" s="704" t="s">
        <v>838</v>
      </c>
      <c r="D7313" s="704" t="s">
        <v>675</v>
      </c>
      <c r="E7313" s="704" t="s">
        <v>824</v>
      </c>
      <c r="F7313" s="706">
        <v>5.9099733279262289E-4</v>
      </c>
      <c r="G7313" s="705">
        <v>1.3081784705955768</v>
      </c>
    </row>
    <row r="7314" spans="2:7" ht="11.25" hidden="1" customHeight="1" outlineLevel="2" x14ac:dyDescent="0.25">
      <c r="B7314" s="704" t="s">
        <v>690</v>
      </c>
      <c r="C7314" s="704" t="s">
        <v>838</v>
      </c>
      <c r="D7314" s="704" t="s">
        <v>675</v>
      </c>
      <c r="E7314" s="704" t="s">
        <v>824</v>
      </c>
      <c r="F7314" s="706">
        <v>1.3011802293871118E-2</v>
      </c>
      <c r="G7314" s="705">
        <v>28.801723640383369</v>
      </c>
    </row>
    <row r="7315" spans="2:7" ht="11.25" hidden="1" customHeight="1" outlineLevel="2" x14ac:dyDescent="0.25">
      <c r="B7315" s="704" t="s">
        <v>691</v>
      </c>
      <c r="C7315" s="704" t="s">
        <v>838</v>
      </c>
      <c r="D7315" s="704" t="s">
        <v>675</v>
      </c>
      <c r="E7315" s="704" t="s">
        <v>824</v>
      </c>
      <c r="F7315" s="706">
        <v>1.4859883754257378E-2</v>
      </c>
      <c r="G7315" s="705">
        <v>32.892469063302165</v>
      </c>
    </row>
    <row r="7316" spans="2:7" ht="11.25" hidden="1" customHeight="1" outlineLevel="2" x14ac:dyDescent="0.25">
      <c r="B7316" s="704" t="s">
        <v>692</v>
      </c>
      <c r="C7316" s="704" t="s">
        <v>838</v>
      </c>
      <c r="D7316" s="704" t="s">
        <v>675</v>
      </c>
      <c r="E7316" s="704" t="s">
        <v>824</v>
      </c>
      <c r="F7316" s="706">
        <v>8.6896885393872411E-4</v>
      </c>
      <c r="G7316" s="705">
        <v>1.9234701997945758</v>
      </c>
    </row>
    <row r="7317" spans="2:7" ht="11.25" hidden="1" customHeight="1" outlineLevel="2" x14ac:dyDescent="0.25">
      <c r="B7317" s="704" t="s">
        <v>693</v>
      </c>
      <c r="C7317" s="704" t="s">
        <v>838</v>
      </c>
      <c r="D7317" s="704" t="s">
        <v>675</v>
      </c>
      <c r="E7317" s="704" t="s">
        <v>824</v>
      </c>
      <c r="F7317" s="706">
        <v>2.1691192027921409E-3</v>
      </c>
      <c r="G7317" s="705">
        <v>4.8013626000361374</v>
      </c>
    </row>
    <row r="7318" spans="2:7" ht="11.25" hidden="1" customHeight="1" outlineLevel="2" x14ac:dyDescent="0.25">
      <c r="B7318" s="704" t="s">
        <v>694</v>
      </c>
      <c r="C7318" s="704" t="s">
        <v>838</v>
      </c>
      <c r="D7318" s="704" t="s">
        <v>675</v>
      </c>
      <c r="E7318" s="704" t="s">
        <v>824</v>
      </c>
      <c r="F7318" s="706">
        <v>2.4318361933864369E-4</v>
      </c>
      <c r="G7318" s="705">
        <v>0.53828894085336332</v>
      </c>
    </row>
    <row r="7319" spans="2:7" ht="11.25" hidden="1" customHeight="1" outlineLevel="2" x14ac:dyDescent="0.25">
      <c r="B7319" s="704" t="s">
        <v>695</v>
      </c>
      <c r="C7319" s="704" t="s">
        <v>838</v>
      </c>
      <c r="D7319" s="704" t="s">
        <v>675</v>
      </c>
      <c r="E7319" s="704" t="s">
        <v>824</v>
      </c>
      <c r="F7319" s="706">
        <v>1.153494114234136E-3</v>
      </c>
      <c r="G7319" s="705">
        <v>2.5532688866615625</v>
      </c>
    </row>
    <row r="7320" spans="2:7" ht="11.25" hidden="1" customHeight="1" outlineLevel="2" x14ac:dyDescent="0.25">
      <c r="B7320" s="704" t="s">
        <v>696</v>
      </c>
      <c r="C7320" s="704" t="s">
        <v>838</v>
      </c>
      <c r="D7320" s="704" t="s">
        <v>675</v>
      </c>
      <c r="E7320" s="704" t="s">
        <v>824</v>
      </c>
      <c r="F7320" s="705">
        <v>2.882051126998574E-3</v>
      </c>
      <c r="G7320" s="705">
        <v>6.3794454850704918</v>
      </c>
    </row>
    <row r="7321" spans="2:7" ht="11.25" hidden="1" customHeight="1" outlineLevel="2" x14ac:dyDescent="0.25">
      <c r="B7321" s="704" t="s">
        <v>697</v>
      </c>
      <c r="C7321" s="704" t="s">
        <v>838</v>
      </c>
      <c r="D7321" s="704" t="s">
        <v>675</v>
      </c>
      <c r="E7321" s="704" t="s">
        <v>824</v>
      </c>
      <c r="F7321" s="705">
        <v>1.5768547756311142E-3</v>
      </c>
      <c r="G7321" s="705">
        <v>3.4903824005292177</v>
      </c>
    </row>
    <row r="7322" spans="2:7" ht="11.25" hidden="1" customHeight="1" outlineLevel="2" x14ac:dyDescent="0.25">
      <c r="B7322" s="704" t="s">
        <v>698</v>
      </c>
      <c r="C7322" s="704" t="s">
        <v>838</v>
      </c>
      <c r="D7322" s="704" t="s">
        <v>675</v>
      </c>
      <c r="E7322" s="704" t="s">
        <v>824</v>
      </c>
      <c r="F7322" s="705">
        <v>1.7315242288392547E-3</v>
      </c>
      <c r="G7322" s="705">
        <v>3.832745449839702</v>
      </c>
    </row>
    <row r="7323" spans="2:7" ht="11.25" hidden="1" customHeight="1" outlineLevel="2" x14ac:dyDescent="0.25">
      <c r="B7323" s="704" t="s">
        <v>699</v>
      </c>
      <c r="C7323" s="704" t="s">
        <v>838</v>
      </c>
      <c r="D7323" s="704" t="s">
        <v>675</v>
      </c>
      <c r="E7323" s="704" t="s">
        <v>824</v>
      </c>
      <c r="F7323" s="705">
        <v>7.4995456310312559E-34</v>
      </c>
      <c r="G7323" s="705">
        <v>1.6600302959676247E-30</v>
      </c>
    </row>
    <row r="7324" spans="2:7" ht="11.25" hidden="1" customHeight="1" outlineLevel="2" x14ac:dyDescent="0.25">
      <c r="B7324" s="704" t="s">
        <v>673</v>
      </c>
      <c r="C7324" s="704" t="s">
        <v>674</v>
      </c>
      <c r="D7324" s="704" t="s">
        <v>675</v>
      </c>
      <c r="E7324" s="704" t="s">
        <v>676</v>
      </c>
      <c r="F7324" s="705">
        <v>1.536882996822734E-3</v>
      </c>
      <c r="G7324" s="705">
        <v>3.8034520024112894E-2</v>
      </c>
    </row>
    <row r="7325" spans="2:7" ht="11.25" hidden="1" customHeight="1" outlineLevel="2" x14ac:dyDescent="0.25">
      <c r="B7325" s="704" t="s">
        <v>677</v>
      </c>
      <c r="C7325" s="704" t="s">
        <v>674</v>
      </c>
      <c r="D7325" s="704" t="s">
        <v>675</v>
      </c>
      <c r="E7325" s="704" t="s">
        <v>676</v>
      </c>
      <c r="F7325" s="705">
        <v>2.5504325386466391E-2</v>
      </c>
      <c r="G7325" s="705">
        <v>0.63117670345983867</v>
      </c>
    </row>
    <row r="7326" spans="2:7" ht="11.25" hidden="1" customHeight="1" outlineLevel="2" x14ac:dyDescent="0.25">
      <c r="B7326" s="704" t="s">
        <v>678</v>
      </c>
      <c r="C7326" s="704" t="s">
        <v>674</v>
      </c>
      <c r="D7326" s="704" t="s">
        <v>675</v>
      </c>
      <c r="E7326" s="704" t="s">
        <v>676</v>
      </c>
      <c r="F7326" s="705">
        <v>5.9076043619418366E-2</v>
      </c>
      <c r="G7326" s="705">
        <v>1.4620046933460145</v>
      </c>
    </row>
    <row r="7327" spans="2:7" ht="11.25" hidden="1" customHeight="1" outlineLevel="2" x14ac:dyDescent="0.25">
      <c r="B7327" s="704" t="s">
        <v>679</v>
      </c>
      <c r="C7327" s="704" t="s">
        <v>674</v>
      </c>
      <c r="D7327" s="704" t="s">
        <v>675</v>
      </c>
      <c r="E7327" s="704" t="s">
        <v>676</v>
      </c>
      <c r="F7327" s="705">
        <v>4.7941488509969368E-3</v>
      </c>
      <c r="G7327" s="705">
        <v>0.11864478474667108</v>
      </c>
    </row>
    <row r="7328" spans="2:7" ht="11.25" hidden="1" customHeight="1" outlineLevel="2" x14ac:dyDescent="0.25">
      <c r="B7328" s="704" t="s">
        <v>680</v>
      </c>
      <c r="C7328" s="704" t="s">
        <v>674</v>
      </c>
      <c r="D7328" s="704" t="s">
        <v>675</v>
      </c>
      <c r="E7328" s="704" t="s">
        <v>676</v>
      </c>
      <c r="F7328" s="705">
        <v>8.8858136616269104E-4</v>
      </c>
      <c r="G7328" s="705">
        <v>2.1990466408568322E-2</v>
      </c>
    </row>
    <row r="7329" spans="2:7" ht="11.25" hidden="1" customHeight="1" outlineLevel="2" x14ac:dyDescent="0.25">
      <c r="B7329" s="704" t="s">
        <v>681</v>
      </c>
      <c r="C7329" s="704" t="s">
        <v>674</v>
      </c>
      <c r="D7329" s="704" t="s">
        <v>675</v>
      </c>
      <c r="E7329" s="704" t="s">
        <v>676</v>
      </c>
      <c r="F7329" s="705">
        <v>7.4949082658301138E-3</v>
      </c>
      <c r="G7329" s="705">
        <v>0.18548264520015595</v>
      </c>
    </row>
    <row r="7330" spans="2:7" ht="11.25" hidden="1" customHeight="1" outlineLevel="2" x14ac:dyDescent="0.25">
      <c r="B7330" s="704" t="s">
        <v>682</v>
      </c>
      <c r="C7330" s="704" t="s">
        <v>674</v>
      </c>
      <c r="D7330" s="704" t="s">
        <v>675</v>
      </c>
      <c r="E7330" s="704" t="s">
        <v>676</v>
      </c>
      <c r="F7330" s="705">
        <v>6.5793774874574424E-3</v>
      </c>
      <c r="G7330" s="705">
        <v>0.1628252796547337</v>
      </c>
    </row>
    <row r="7331" spans="2:7" ht="11.25" hidden="1" customHeight="1" outlineLevel="2" x14ac:dyDescent="0.25">
      <c r="B7331" s="704" t="s">
        <v>683</v>
      </c>
      <c r="C7331" s="704" t="s">
        <v>674</v>
      </c>
      <c r="D7331" s="704" t="s">
        <v>675</v>
      </c>
      <c r="E7331" s="704" t="s">
        <v>676</v>
      </c>
      <c r="F7331" s="705">
        <v>1.0926796589862158E-2</v>
      </c>
      <c r="G7331" s="705">
        <v>0.27041438970995041</v>
      </c>
    </row>
    <row r="7332" spans="2:7" ht="11.25" hidden="1" customHeight="1" outlineLevel="2" x14ac:dyDescent="0.25">
      <c r="B7332" s="704" t="s">
        <v>684</v>
      </c>
      <c r="C7332" s="704" t="s">
        <v>674</v>
      </c>
      <c r="D7332" s="704" t="s">
        <v>675</v>
      </c>
      <c r="E7332" s="704" t="s">
        <v>676</v>
      </c>
      <c r="F7332" s="705">
        <v>1.4262689421798693E-3</v>
      </c>
      <c r="G7332" s="705">
        <v>3.52970905472434E-2</v>
      </c>
    </row>
    <row r="7333" spans="2:7" ht="11.25" hidden="1" customHeight="1" outlineLevel="2" x14ac:dyDescent="0.25">
      <c r="B7333" s="704" t="s">
        <v>685</v>
      </c>
      <c r="C7333" s="704" t="s">
        <v>674</v>
      </c>
      <c r="D7333" s="704" t="s">
        <v>675</v>
      </c>
      <c r="E7333" s="704" t="s">
        <v>676</v>
      </c>
      <c r="F7333" s="705">
        <v>1.3113157268405772E-2</v>
      </c>
      <c r="G7333" s="705">
        <v>0.32452230721329678</v>
      </c>
    </row>
    <row r="7334" spans="2:7" ht="11.25" hidden="1" customHeight="1" outlineLevel="2" x14ac:dyDescent="0.25">
      <c r="B7334" s="704" t="s">
        <v>686</v>
      </c>
      <c r="C7334" s="704" t="s">
        <v>674</v>
      </c>
      <c r="D7334" s="704" t="s">
        <v>675</v>
      </c>
      <c r="E7334" s="704" t="s">
        <v>676</v>
      </c>
      <c r="F7334" s="705">
        <v>3.0830178309566867E-3</v>
      </c>
      <c r="G7334" s="705">
        <v>7.6298037165207291E-2</v>
      </c>
    </row>
    <row r="7335" spans="2:7" ht="11.25" hidden="1" customHeight="1" outlineLevel="2" x14ac:dyDescent="0.25">
      <c r="B7335" s="704" t="s">
        <v>687</v>
      </c>
      <c r="C7335" s="704" t="s">
        <v>674</v>
      </c>
      <c r="D7335" s="704" t="s">
        <v>675</v>
      </c>
      <c r="E7335" s="704" t="s">
        <v>676</v>
      </c>
      <c r="F7335" s="705">
        <v>1.5792349637501455E-2</v>
      </c>
      <c r="G7335" s="705">
        <v>0.39082648490303912</v>
      </c>
    </row>
    <row r="7336" spans="2:7" ht="11.25" hidden="1" customHeight="1" outlineLevel="2" x14ac:dyDescent="0.25">
      <c r="B7336" s="704" t="s">
        <v>688</v>
      </c>
      <c r="C7336" s="704" t="s">
        <v>674</v>
      </c>
      <c r="D7336" s="704" t="s">
        <v>675</v>
      </c>
      <c r="E7336" s="704" t="s">
        <v>676</v>
      </c>
      <c r="F7336" s="705">
        <v>1.1335508399852772E-2</v>
      </c>
      <c r="G7336" s="705">
        <v>0.28052916827264052</v>
      </c>
    </row>
    <row r="7337" spans="2:7" ht="11.25" hidden="1" customHeight="1" outlineLevel="2" x14ac:dyDescent="0.25">
      <c r="B7337" s="704" t="s">
        <v>689</v>
      </c>
      <c r="C7337" s="704" t="s">
        <v>674</v>
      </c>
      <c r="D7337" s="704" t="s">
        <v>675</v>
      </c>
      <c r="E7337" s="704" t="s">
        <v>676</v>
      </c>
      <c r="F7337" s="705">
        <v>1.6759397143499147E-3</v>
      </c>
      <c r="G7337" s="705">
        <v>4.1475881852695101E-2</v>
      </c>
    </row>
    <row r="7338" spans="2:7" ht="11.25" hidden="1" customHeight="1" outlineLevel="2" x14ac:dyDescent="0.25">
      <c r="B7338" s="704" t="s">
        <v>690</v>
      </c>
      <c r="C7338" s="704" t="s">
        <v>674</v>
      </c>
      <c r="D7338" s="704" t="s">
        <v>675</v>
      </c>
      <c r="E7338" s="704" t="s">
        <v>676</v>
      </c>
      <c r="F7338" s="705">
        <v>3.6898614004771145E-2</v>
      </c>
      <c r="G7338" s="705">
        <v>0.91315991552201425</v>
      </c>
    </row>
    <row r="7339" spans="2:7" ht="11.25" hidden="1" customHeight="1" outlineLevel="2" x14ac:dyDescent="0.25">
      <c r="B7339" s="704" t="s">
        <v>691</v>
      </c>
      <c r="C7339" s="704" t="s">
        <v>674</v>
      </c>
      <c r="D7339" s="704" t="s">
        <v>675</v>
      </c>
      <c r="E7339" s="704" t="s">
        <v>676</v>
      </c>
      <c r="F7339" s="705">
        <v>4.2139372298977934E-2</v>
      </c>
      <c r="G7339" s="705">
        <v>1.0428584449083387</v>
      </c>
    </row>
    <row r="7340" spans="2:7" ht="11.25" hidden="1" customHeight="1" outlineLevel="2" x14ac:dyDescent="0.25">
      <c r="B7340" s="704" t="s">
        <v>692</v>
      </c>
      <c r="C7340" s="704" t="s">
        <v>674</v>
      </c>
      <c r="D7340" s="704" t="s">
        <v>675</v>
      </c>
      <c r="E7340" s="704" t="s">
        <v>676</v>
      </c>
      <c r="F7340" s="706">
        <v>2.4642046781924443E-3</v>
      </c>
      <c r="G7340" s="705">
        <v>6.0983751720908128E-2</v>
      </c>
    </row>
    <row r="7341" spans="2:7" ht="11.25" hidden="1" customHeight="1" outlineLevel="2" x14ac:dyDescent="0.25">
      <c r="B7341" s="704" t="s">
        <v>693</v>
      </c>
      <c r="C7341" s="704" t="s">
        <v>674</v>
      </c>
      <c r="D7341" s="704" t="s">
        <v>675</v>
      </c>
      <c r="E7341" s="704" t="s">
        <v>676</v>
      </c>
      <c r="F7341" s="706">
        <v>6.1511459337759223E-3</v>
      </c>
      <c r="G7341" s="705">
        <v>0.15222757326723971</v>
      </c>
    </row>
    <row r="7342" spans="2:7" ht="11.25" hidden="1" customHeight="1" outlineLevel="2" x14ac:dyDescent="0.25">
      <c r="B7342" s="704" t="s">
        <v>694</v>
      </c>
      <c r="C7342" s="704" t="s">
        <v>674</v>
      </c>
      <c r="D7342" s="704" t="s">
        <v>675</v>
      </c>
      <c r="E7342" s="704" t="s">
        <v>676</v>
      </c>
      <c r="F7342" s="706">
        <v>6.8961494940410185E-4</v>
      </c>
      <c r="G7342" s="705">
        <v>1.7066500942458269E-2</v>
      </c>
    </row>
    <row r="7343" spans="2:7" ht="11.25" hidden="1" customHeight="1" outlineLevel="2" x14ac:dyDescent="0.25">
      <c r="B7343" s="704" t="s">
        <v>695</v>
      </c>
      <c r="C7343" s="704" t="s">
        <v>674</v>
      </c>
      <c r="D7343" s="704" t="s">
        <v>675</v>
      </c>
      <c r="E7343" s="704" t="s">
        <v>676</v>
      </c>
      <c r="F7343" s="706">
        <v>3.2710550834010154E-3</v>
      </c>
      <c r="G7343" s="705">
        <v>8.0951514053075588E-2</v>
      </c>
    </row>
    <row r="7344" spans="2:7" ht="11.25" hidden="1" customHeight="1" outlineLevel="2" x14ac:dyDescent="0.25">
      <c r="B7344" s="704" t="s">
        <v>696</v>
      </c>
      <c r="C7344" s="704" t="s">
        <v>674</v>
      </c>
      <c r="D7344" s="704" t="s">
        <v>675</v>
      </c>
      <c r="E7344" s="704" t="s">
        <v>676</v>
      </c>
      <c r="F7344" s="706">
        <v>8.1728673325834403E-3</v>
      </c>
      <c r="G7344" s="705">
        <v>0.20226076880445151</v>
      </c>
    </row>
    <row r="7345" spans="2:7" ht="11.25" hidden="1" customHeight="1" outlineLevel="2" x14ac:dyDescent="0.25">
      <c r="B7345" s="704" t="s">
        <v>697</v>
      </c>
      <c r="C7345" s="704" t="s">
        <v>674</v>
      </c>
      <c r="D7345" s="704" t="s">
        <v>675</v>
      </c>
      <c r="E7345" s="704" t="s">
        <v>676</v>
      </c>
      <c r="F7345" s="706">
        <v>4.4716165448079933E-3</v>
      </c>
      <c r="G7345" s="705">
        <v>0.11066290061093272</v>
      </c>
    </row>
    <row r="7346" spans="2:7" ht="11.25" hidden="1" customHeight="1" outlineLevel="2" x14ac:dyDescent="0.25">
      <c r="B7346" s="704" t="s">
        <v>698</v>
      </c>
      <c r="C7346" s="704" t="s">
        <v>674</v>
      </c>
      <c r="D7346" s="704" t="s">
        <v>675</v>
      </c>
      <c r="E7346" s="704" t="s">
        <v>676</v>
      </c>
      <c r="F7346" s="706">
        <v>4.9102281469096121E-3</v>
      </c>
      <c r="G7346" s="705">
        <v>0.1215174373328049</v>
      </c>
    </row>
    <row r="7347" spans="2:7" ht="11.25" hidden="1" customHeight="1" outlineLevel="2" x14ac:dyDescent="0.25">
      <c r="B7347" s="704" t="s">
        <v>699</v>
      </c>
      <c r="C7347" s="704" t="s">
        <v>674</v>
      </c>
      <c r="D7347" s="704" t="s">
        <v>675</v>
      </c>
      <c r="E7347" s="704" t="s">
        <v>676</v>
      </c>
      <c r="F7347" s="705">
        <v>2.1032574139291268E-33</v>
      </c>
      <c r="G7347" s="705">
        <v>5.2051066912620041E-32</v>
      </c>
    </row>
    <row r="7348" spans="2:7" ht="11.25" hidden="1" customHeight="1" outlineLevel="2" x14ac:dyDescent="0.25">
      <c r="B7348" s="704" t="s">
        <v>673</v>
      </c>
      <c r="C7348" s="704" t="s">
        <v>862</v>
      </c>
      <c r="D7348" s="704" t="s">
        <v>675</v>
      </c>
      <c r="E7348" s="704" t="s">
        <v>861</v>
      </c>
      <c r="F7348" s="708"/>
      <c r="G7348" s="705">
        <v>112.92892940228325</v>
      </c>
    </row>
    <row r="7349" spans="2:7" ht="11.25" hidden="1" customHeight="1" outlineLevel="2" x14ac:dyDescent="0.25">
      <c r="B7349" s="704" t="s">
        <v>677</v>
      </c>
      <c r="C7349" s="704" t="s">
        <v>862</v>
      </c>
      <c r="D7349" s="704" t="s">
        <v>675</v>
      </c>
      <c r="E7349" s="704" t="s">
        <v>861</v>
      </c>
      <c r="F7349" s="705">
        <v>6.2063333535991375E-2</v>
      </c>
      <c r="G7349" s="705">
        <v>1874.0373568088044</v>
      </c>
    </row>
    <row r="7350" spans="2:7" ht="11.25" hidden="1" customHeight="1" outlineLevel="2" x14ac:dyDescent="0.25">
      <c r="B7350" s="704" t="s">
        <v>678</v>
      </c>
      <c r="C7350" s="704" t="s">
        <v>862</v>
      </c>
      <c r="D7350" s="704" t="s">
        <v>675</v>
      </c>
      <c r="E7350" s="704" t="s">
        <v>861</v>
      </c>
      <c r="F7350" s="708"/>
      <c r="G7350" s="705">
        <v>4340.8615878848386</v>
      </c>
    </row>
    <row r="7351" spans="2:7" ht="11.25" hidden="1" customHeight="1" outlineLevel="2" x14ac:dyDescent="0.25">
      <c r="B7351" s="704" t="s">
        <v>679</v>
      </c>
      <c r="C7351" s="704" t="s">
        <v>862</v>
      </c>
      <c r="D7351" s="704" t="s">
        <v>675</v>
      </c>
      <c r="E7351" s="704" t="s">
        <v>861</v>
      </c>
      <c r="F7351" s="708"/>
      <c r="G7351" s="705">
        <v>352.2702525046123</v>
      </c>
    </row>
    <row r="7352" spans="2:7" ht="11.25" hidden="1" customHeight="1" outlineLevel="2" x14ac:dyDescent="0.25">
      <c r="B7352" s="704" t="s">
        <v>680</v>
      </c>
      <c r="C7352" s="704" t="s">
        <v>862</v>
      </c>
      <c r="D7352" s="704" t="s">
        <v>675</v>
      </c>
      <c r="E7352" s="704" t="s">
        <v>861</v>
      </c>
      <c r="F7352" s="708"/>
      <c r="G7352" s="705">
        <v>65.292257428933468</v>
      </c>
    </row>
    <row r="7353" spans="2:7" ht="11.25" hidden="1" customHeight="1" outlineLevel="2" x14ac:dyDescent="0.25">
      <c r="B7353" s="704" t="s">
        <v>681</v>
      </c>
      <c r="C7353" s="704" t="s">
        <v>862</v>
      </c>
      <c r="D7353" s="704" t="s">
        <v>675</v>
      </c>
      <c r="E7353" s="704" t="s">
        <v>861</v>
      </c>
      <c r="F7353" s="708"/>
      <c r="G7353" s="705">
        <v>550.71955907221923</v>
      </c>
    </row>
    <row r="7354" spans="2:7" ht="11.25" hidden="1" customHeight="1" outlineLevel="2" x14ac:dyDescent="0.25">
      <c r="B7354" s="704" t="s">
        <v>682</v>
      </c>
      <c r="C7354" s="704" t="s">
        <v>862</v>
      </c>
      <c r="D7354" s="704" t="s">
        <v>675</v>
      </c>
      <c r="E7354" s="704" t="s">
        <v>861</v>
      </c>
      <c r="F7354" s="708"/>
      <c r="G7354" s="705">
        <v>483.44729608395437</v>
      </c>
    </row>
    <row r="7355" spans="2:7" ht="11.25" hidden="1" customHeight="1" outlineLevel="2" x14ac:dyDescent="0.25">
      <c r="B7355" s="704" t="s">
        <v>683</v>
      </c>
      <c r="C7355" s="704" t="s">
        <v>862</v>
      </c>
      <c r="D7355" s="704" t="s">
        <v>675</v>
      </c>
      <c r="E7355" s="704" t="s">
        <v>861</v>
      </c>
      <c r="F7355" s="708"/>
      <c r="G7355" s="705">
        <v>802.89173118326619</v>
      </c>
    </row>
    <row r="7356" spans="2:7" ht="11.25" hidden="1" customHeight="1" outlineLevel="2" x14ac:dyDescent="0.25">
      <c r="B7356" s="704" t="s">
        <v>684</v>
      </c>
      <c r="C7356" s="704" t="s">
        <v>862</v>
      </c>
      <c r="D7356" s="704" t="s">
        <v>675</v>
      </c>
      <c r="E7356" s="704" t="s">
        <v>861</v>
      </c>
      <c r="F7356" s="708"/>
      <c r="G7356" s="705">
        <v>104.8011144571137</v>
      </c>
    </row>
    <row r="7357" spans="2:7" ht="11.25" hidden="1" customHeight="1" outlineLevel="2" x14ac:dyDescent="0.25">
      <c r="B7357" s="704" t="s">
        <v>685</v>
      </c>
      <c r="C7357" s="704" t="s">
        <v>862</v>
      </c>
      <c r="D7357" s="704" t="s">
        <v>675</v>
      </c>
      <c r="E7357" s="704" t="s">
        <v>861</v>
      </c>
      <c r="F7357" s="708"/>
      <c r="G7357" s="705">
        <v>963.54446895641991</v>
      </c>
    </row>
    <row r="7358" spans="2:7" ht="11.25" hidden="1" customHeight="1" outlineLevel="2" x14ac:dyDescent="0.25">
      <c r="B7358" s="704" t="s">
        <v>686</v>
      </c>
      <c r="C7358" s="704" t="s">
        <v>862</v>
      </c>
      <c r="D7358" s="704" t="s">
        <v>675</v>
      </c>
      <c r="E7358" s="704" t="s">
        <v>861</v>
      </c>
      <c r="F7358" s="708"/>
      <c r="G7358" s="705">
        <v>226.53770376503471</v>
      </c>
    </row>
    <row r="7359" spans="2:7" ht="11.25" hidden="1" customHeight="1" outlineLevel="2" x14ac:dyDescent="0.25">
      <c r="B7359" s="704" t="s">
        <v>687</v>
      </c>
      <c r="C7359" s="704" t="s">
        <v>862</v>
      </c>
      <c r="D7359" s="704" t="s">
        <v>675</v>
      </c>
      <c r="E7359" s="704" t="s">
        <v>861</v>
      </c>
      <c r="F7359" s="708"/>
      <c r="G7359" s="705">
        <v>1160.40916776105</v>
      </c>
    </row>
    <row r="7360" spans="2:7" ht="11.25" hidden="1" customHeight="1" outlineLevel="2" x14ac:dyDescent="0.25">
      <c r="B7360" s="704" t="s">
        <v>688</v>
      </c>
      <c r="C7360" s="704" t="s">
        <v>862</v>
      </c>
      <c r="D7360" s="704" t="s">
        <v>675</v>
      </c>
      <c r="E7360" s="704" t="s">
        <v>861</v>
      </c>
      <c r="F7360" s="708"/>
      <c r="G7360" s="705">
        <v>832.92381542593853</v>
      </c>
    </row>
    <row r="7361" spans="2:7" ht="11.25" hidden="1" customHeight="1" outlineLevel="2" x14ac:dyDescent="0.25">
      <c r="B7361" s="704" t="s">
        <v>689</v>
      </c>
      <c r="C7361" s="704" t="s">
        <v>862</v>
      </c>
      <c r="D7361" s="704" t="s">
        <v>675</v>
      </c>
      <c r="E7361" s="704" t="s">
        <v>861</v>
      </c>
      <c r="F7361" s="708"/>
      <c r="G7361" s="705">
        <v>123.14668351426195</v>
      </c>
    </row>
    <row r="7362" spans="2:7" ht="11.25" hidden="1" customHeight="1" outlineLevel="2" x14ac:dyDescent="0.25">
      <c r="B7362" s="704" t="s">
        <v>690</v>
      </c>
      <c r="C7362" s="704" t="s">
        <v>862</v>
      </c>
      <c r="D7362" s="704" t="s">
        <v>675</v>
      </c>
      <c r="E7362" s="704" t="s">
        <v>861</v>
      </c>
      <c r="F7362" s="708"/>
      <c r="G7362" s="705">
        <v>2711.2806585827957</v>
      </c>
    </row>
    <row r="7363" spans="2:7" ht="11.25" hidden="1" customHeight="1" outlineLevel="2" x14ac:dyDescent="0.25">
      <c r="B7363" s="704" t="s">
        <v>691</v>
      </c>
      <c r="C7363" s="704" t="s">
        <v>862</v>
      </c>
      <c r="D7363" s="704" t="s">
        <v>675</v>
      </c>
      <c r="E7363" s="704" t="s">
        <v>861</v>
      </c>
      <c r="F7363" s="708"/>
      <c r="G7363" s="705">
        <v>3096.3665845338423</v>
      </c>
    </row>
    <row r="7364" spans="2:7" ht="11.25" hidden="1" customHeight="1" outlineLevel="2" x14ac:dyDescent="0.25">
      <c r="B7364" s="704" t="s">
        <v>692</v>
      </c>
      <c r="C7364" s="704" t="s">
        <v>862</v>
      </c>
      <c r="D7364" s="704" t="s">
        <v>675</v>
      </c>
      <c r="E7364" s="704" t="s">
        <v>861</v>
      </c>
      <c r="F7364" s="708"/>
      <c r="G7364" s="705">
        <v>181.06783786850019</v>
      </c>
    </row>
    <row r="7365" spans="2:7" ht="11.25" hidden="1" customHeight="1" outlineLevel="2" x14ac:dyDescent="0.25">
      <c r="B7365" s="704" t="s">
        <v>693</v>
      </c>
      <c r="C7365" s="704" t="s">
        <v>862</v>
      </c>
      <c r="D7365" s="704" t="s">
        <v>675</v>
      </c>
      <c r="E7365" s="704" t="s">
        <v>861</v>
      </c>
      <c r="F7365" s="708"/>
      <c r="G7365" s="705">
        <v>451.98119250186147</v>
      </c>
    </row>
    <row r="7366" spans="2:7" ht="11.25" hidden="1" customHeight="1" outlineLevel="2" x14ac:dyDescent="0.25">
      <c r="B7366" s="704" t="s">
        <v>694</v>
      </c>
      <c r="C7366" s="704" t="s">
        <v>862</v>
      </c>
      <c r="D7366" s="704" t="s">
        <v>675</v>
      </c>
      <c r="E7366" s="704" t="s">
        <v>861</v>
      </c>
      <c r="F7366" s="708"/>
      <c r="G7366" s="705">
        <v>50.672404110038215</v>
      </c>
    </row>
    <row r="7367" spans="2:7" ht="11.25" hidden="1" customHeight="1" outlineLevel="2" x14ac:dyDescent="0.25">
      <c r="B7367" s="704" t="s">
        <v>695</v>
      </c>
      <c r="C7367" s="704" t="s">
        <v>862</v>
      </c>
      <c r="D7367" s="704" t="s">
        <v>675</v>
      </c>
      <c r="E7367" s="704" t="s">
        <v>861</v>
      </c>
      <c r="F7367" s="708"/>
      <c r="G7367" s="705">
        <v>240.35448158654685</v>
      </c>
    </row>
    <row r="7368" spans="2:7" ht="11.25" hidden="1" customHeight="1" outlineLevel="2" x14ac:dyDescent="0.25">
      <c r="B7368" s="704" t="s">
        <v>696</v>
      </c>
      <c r="C7368" s="704" t="s">
        <v>862</v>
      </c>
      <c r="D7368" s="704" t="s">
        <v>675</v>
      </c>
      <c r="E7368" s="704" t="s">
        <v>861</v>
      </c>
      <c r="F7368" s="708"/>
      <c r="G7368" s="705">
        <v>600.53571992976708</v>
      </c>
    </row>
    <row r="7369" spans="2:7" ht="11.25" hidden="1" customHeight="1" outlineLevel="2" x14ac:dyDescent="0.25">
      <c r="B7369" s="704" t="s">
        <v>697</v>
      </c>
      <c r="C7369" s="704" t="s">
        <v>862</v>
      </c>
      <c r="D7369" s="704" t="s">
        <v>675</v>
      </c>
      <c r="E7369" s="704" t="s">
        <v>861</v>
      </c>
      <c r="F7369" s="708"/>
      <c r="G7369" s="705">
        <v>328.57067439068271</v>
      </c>
    </row>
    <row r="7370" spans="2:7" ht="11.25" hidden="1" customHeight="1" outlineLevel="2" x14ac:dyDescent="0.25">
      <c r="B7370" s="704" t="s">
        <v>698</v>
      </c>
      <c r="C7370" s="704" t="s">
        <v>862</v>
      </c>
      <c r="D7370" s="704" t="s">
        <v>675</v>
      </c>
      <c r="E7370" s="704" t="s">
        <v>861</v>
      </c>
      <c r="F7370" s="708"/>
      <c r="G7370" s="705">
        <v>360.79948700723946</v>
      </c>
    </row>
    <row r="7371" spans="2:7" ht="11.25" hidden="1" customHeight="1" outlineLevel="2" x14ac:dyDescent="0.25">
      <c r="B7371" s="704" t="s">
        <v>699</v>
      </c>
      <c r="C7371" s="704" t="s">
        <v>862</v>
      </c>
      <c r="D7371" s="704" t="s">
        <v>675</v>
      </c>
      <c r="E7371" s="704" t="s">
        <v>861</v>
      </c>
      <c r="F7371" s="708"/>
      <c r="G7371" s="705">
        <v>2.1125038966377829E-29</v>
      </c>
    </row>
    <row r="7372" spans="2:7" ht="11.25" hidden="1" customHeight="1" outlineLevel="2" x14ac:dyDescent="0.25">
      <c r="B7372" s="704" t="s">
        <v>673</v>
      </c>
      <c r="C7372" s="704" t="s">
        <v>863</v>
      </c>
      <c r="D7372" s="704" t="s">
        <v>675</v>
      </c>
      <c r="E7372" s="704" t="s">
        <v>861</v>
      </c>
      <c r="F7372" s="708"/>
      <c r="G7372" s="705">
        <v>0.18408181297184548</v>
      </c>
    </row>
    <row r="7373" spans="2:7" ht="11.25" hidden="1" customHeight="1" outlineLevel="2" x14ac:dyDescent="0.25">
      <c r="B7373" s="704" t="s">
        <v>677</v>
      </c>
      <c r="C7373" s="704" t="s">
        <v>863</v>
      </c>
      <c r="D7373" s="704" t="s">
        <v>675</v>
      </c>
      <c r="E7373" s="704" t="s">
        <v>861</v>
      </c>
      <c r="F7373" s="705">
        <v>2.2922326966446803E-4</v>
      </c>
      <c r="G7373" s="705">
        <v>3.0548081027743423</v>
      </c>
    </row>
    <row r="7374" spans="2:7" ht="11.25" hidden="1" customHeight="1" outlineLevel="2" x14ac:dyDescent="0.25">
      <c r="B7374" s="704" t="s">
        <v>678</v>
      </c>
      <c r="C7374" s="704" t="s">
        <v>863</v>
      </c>
      <c r="D7374" s="704" t="s">
        <v>675</v>
      </c>
      <c r="E7374" s="704" t="s">
        <v>861</v>
      </c>
      <c r="F7374" s="708"/>
      <c r="G7374" s="705">
        <v>7.075898716159438</v>
      </c>
    </row>
    <row r="7375" spans="2:7" ht="11.25" hidden="1" customHeight="1" outlineLevel="2" x14ac:dyDescent="0.25">
      <c r="B7375" s="704" t="s">
        <v>679</v>
      </c>
      <c r="C7375" s="704" t="s">
        <v>863</v>
      </c>
      <c r="D7375" s="704" t="s">
        <v>675</v>
      </c>
      <c r="E7375" s="704" t="s">
        <v>861</v>
      </c>
      <c r="F7375" s="708"/>
      <c r="G7375" s="705">
        <v>0.57422432591537742</v>
      </c>
    </row>
    <row r="7376" spans="2:7" ht="11.25" hidden="1" customHeight="1" outlineLevel="2" x14ac:dyDescent="0.25">
      <c r="B7376" s="704" t="s">
        <v>680</v>
      </c>
      <c r="C7376" s="704" t="s">
        <v>863</v>
      </c>
      <c r="D7376" s="704" t="s">
        <v>675</v>
      </c>
      <c r="E7376" s="704" t="s">
        <v>861</v>
      </c>
      <c r="F7376" s="708"/>
      <c r="G7376" s="705">
        <v>0.10643078236226711</v>
      </c>
    </row>
    <row r="7377" spans="2:7" ht="11.25" hidden="1" customHeight="1" outlineLevel="2" x14ac:dyDescent="0.25">
      <c r="B7377" s="704" t="s">
        <v>681</v>
      </c>
      <c r="C7377" s="704" t="s">
        <v>863</v>
      </c>
      <c r="D7377" s="704" t="s">
        <v>675</v>
      </c>
      <c r="E7377" s="704" t="s">
        <v>861</v>
      </c>
      <c r="F7377" s="708"/>
      <c r="G7377" s="705">
        <v>0.89771046763246454</v>
      </c>
    </row>
    <row r="7378" spans="2:7" ht="11.25" hidden="1" customHeight="1" outlineLevel="2" x14ac:dyDescent="0.25">
      <c r="B7378" s="704" t="s">
        <v>682</v>
      </c>
      <c r="C7378" s="704" t="s">
        <v>863</v>
      </c>
      <c r="D7378" s="704" t="s">
        <v>675</v>
      </c>
      <c r="E7378" s="704" t="s">
        <v>861</v>
      </c>
      <c r="F7378" s="708"/>
      <c r="G7378" s="705">
        <v>0.7880521867316288</v>
      </c>
    </row>
    <row r="7379" spans="2:7" ht="11.25" hidden="1" customHeight="1" outlineLevel="2" x14ac:dyDescent="0.25">
      <c r="B7379" s="704" t="s">
        <v>683</v>
      </c>
      <c r="C7379" s="704" t="s">
        <v>863</v>
      </c>
      <c r="D7379" s="704" t="s">
        <v>675</v>
      </c>
      <c r="E7379" s="704" t="s">
        <v>861</v>
      </c>
      <c r="F7379" s="709"/>
      <c r="G7379" s="705">
        <v>1.3087685247288434</v>
      </c>
    </row>
    <row r="7380" spans="2:7" ht="11.25" hidden="1" customHeight="1" outlineLevel="2" x14ac:dyDescent="0.25">
      <c r="B7380" s="704" t="s">
        <v>684</v>
      </c>
      <c r="C7380" s="704" t="s">
        <v>863</v>
      </c>
      <c r="D7380" s="704" t="s">
        <v>675</v>
      </c>
      <c r="E7380" s="704" t="s">
        <v>861</v>
      </c>
      <c r="F7380" s="709"/>
      <c r="G7380" s="705">
        <v>0.1708329668738004</v>
      </c>
    </row>
    <row r="7381" spans="2:7" ht="11.25" hidden="1" customHeight="1" outlineLevel="2" x14ac:dyDescent="0.25">
      <c r="B7381" s="704" t="s">
        <v>685</v>
      </c>
      <c r="C7381" s="704" t="s">
        <v>863</v>
      </c>
      <c r="D7381" s="704" t="s">
        <v>675</v>
      </c>
      <c r="E7381" s="704" t="s">
        <v>861</v>
      </c>
      <c r="F7381" s="709"/>
      <c r="G7381" s="705">
        <v>1.5706431951414932</v>
      </c>
    </row>
    <row r="7382" spans="2:7" ht="11.25" hidden="1" customHeight="1" outlineLevel="2" x14ac:dyDescent="0.25">
      <c r="B7382" s="704" t="s">
        <v>686</v>
      </c>
      <c r="C7382" s="704" t="s">
        <v>863</v>
      </c>
      <c r="D7382" s="704" t="s">
        <v>675</v>
      </c>
      <c r="E7382" s="704" t="s">
        <v>861</v>
      </c>
      <c r="F7382" s="709"/>
      <c r="G7382" s="705">
        <v>0.36927186949696766</v>
      </c>
    </row>
    <row r="7383" spans="2:7" ht="11.25" hidden="1" customHeight="1" outlineLevel="2" x14ac:dyDescent="0.25">
      <c r="B7383" s="704" t="s">
        <v>687</v>
      </c>
      <c r="C7383" s="704" t="s">
        <v>863</v>
      </c>
      <c r="D7383" s="704" t="s">
        <v>675</v>
      </c>
      <c r="E7383" s="704" t="s">
        <v>861</v>
      </c>
      <c r="F7383" s="709"/>
      <c r="G7383" s="705">
        <v>1.8915456825712469</v>
      </c>
    </row>
    <row r="7384" spans="2:7" ht="11.25" hidden="1" customHeight="1" outlineLevel="2" x14ac:dyDescent="0.25">
      <c r="B7384" s="704" t="s">
        <v>688</v>
      </c>
      <c r="C7384" s="704" t="s">
        <v>863</v>
      </c>
      <c r="D7384" s="704" t="s">
        <v>675</v>
      </c>
      <c r="E7384" s="704" t="s">
        <v>861</v>
      </c>
      <c r="F7384" s="709"/>
      <c r="G7384" s="705">
        <v>1.357722794414665</v>
      </c>
    </row>
    <row r="7385" spans="2:7" ht="11.25" hidden="1" customHeight="1" outlineLevel="2" x14ac:dyDescent="0.25">
      <c r="B7385" s="704" t="s">
        <v>689</v>
      </c>
      <c r="C7385" s="704" t="s">
        <v>863</v>
      </c>
      <c r="D7385" s="704" t="s">
        <v>675</v>
      </c>
      <c r="E7385" s="704" t="s">
        <v>861</v>
      </c>
      <c r="F7385" s="709"/>
      <c r="G7385" s="705">
        <v>0.20073750014539174</v>
      </c>
    </row>
    <row r="7386" spans="2:7" ht="11.25" hidden="1" customHeight="1" outlineLevel="2" x14ac:dyDescent="0.25">
      <c r="B7386" s="704" t="s">
        <v>690</v>
      </c>
      <c r="C7386" s="704" t="s">
        <v>863</v>
      </c>
      <c r="D7386" s="704" t="s">
        <v>675</v>
      </c>
      <c r="E7386" s="704" t="s">
        <v>861</v>
      </c>
      <c r="F7386" s="708"/>
      <c r="G7386" s="705">
        <v>4.4195705235518714</v>
      </c>
    </row>
    <row r="7387" spans="2:7" ht="11.25" hidden="1" customHeight="1" outlineLevel="2" x14ac:dyDescent="0.25">
      <c r="B7387" s="704" t="s">
        <v>691</v>
      </c>
      <c r="C7387" s="704" t="s">
        <v>863</v>
      </c>
      <c r="D7387" s="704" t="s">
        <v>675</v>
      </c>
      <c r="E7387" s="704" t="s">
        <v>861</v>
      </c>
      <c r="F7387" s="708"/>
      <c r="G7387" s="705">
        <v>5.0472903490246139</v>
      </c>
    </row>
    <row r="7388" spans="2:7" ht="11.25" hidden="1" customHeight="1" outlineLevel="2" x14ac:dyDescent="0.25">
      <c r="B7388" s="704" t="s">
        <v>692</v>
      </c>
      <c r="C7388" s="704" t="s">
        <v>863</v>
      </c>
      <c r="D7388" s="704" t="s">
        <v>675</v>
      </c>
      <c r="E7388" s="704" t="s">
        <v>861</v>
      </c>
      <c r="F7388" s="708"/>
      <c r="G7388" s="705">
        <v>0.29515285363729743</v>
      </c>
    </row>
    <row r="7389" spans="2:7" ht="11.25" hidden="1" customHeight="1" outlineLevel="2" x14ac:dyDescent="0.25">
      <c r="B7389" s="704" t="s">
        <v>693</v>
      </c>
      <c r="C7389" s="704" t="s">
        <v>863</v>
      </c>
      <c r="D7389" s="704" t="s">
        <v>675</v>
      </c>
      <c r="E7389" s="704" t="s">
        <v>861</v>
      </c>
      <c r="F7389" s="709"/>
      <c r="G7389" s="705">
        <v>0.73676032264347846</v>
      </c>
    </row>
    <row r="7390" spans="2:7" ht="11.25" hidden="1" customHeight="1" outlineLevel="2" x14ac:dyDescent="0.25">
      <c r="B7390" s="704" t="s">
        <v>694</v>
      </c>
      <c r="C7390" s="704" t="s">
        <v>863</v>
      </c>
      <c r="D7390" s="704" t="s">
        <v>675</v>
      </c>
      <c r="E7390" s="704" t="s">
        <v>861</v>
      </c>
      <c r="F7390" s="708"/>
      <c r="G7390" s="705">
        <v>8.2599461990348177E-2</v>
      </c>
    </row>
    <row r="7391" spans="2:7" ht="11.25" hidden="1" customHeight="1" outlineLevel="2" x14ac:dyDescent="0.25">
      <c r="B7391" s="704" t="s">
        <v>695</v>
      </c>
      <c r="C7391" s="704" t="s">
        <v>863</v>
      </c>
      <c r="D7391" s="704" t="s">
        <v>675</v>
      </c>
      <c r="E7391" s="704" t="s">
        <v>861</v>
      </c>
      <c r="F7391" s="708"/>
      <c r="G7391" s="705">
        <v>0.39179421689414573</v>
      </c>
    </row>
    <row r="7392" spans="2:7" ht="11.25" hidden="1" customHeight="1" outlineLevel="2" x14ac:dyDescent="0.25">
      <c r="B7392" s="704" t="s">
        <v>696</v>
      </c>
      <c r="C7392" s="704" t="s">
        <v>863</v>
      </c>
      <c r="D7392" s="704" t="s">
        <v>675</v>
      </c>
      <c r="E7392" s="704" t="s">
        <v>861</v>
      </c>
      <c r="F7392" s="709"/>
      <c r="G7392" s="705">
        <v>0.97891415816024718</v>
      </c>
    </row>
    <row r="7393" spans="2:7" ht="11.25" hidden="1" customHeight="1" outlineLevel="2" x14ac:dyDescent="0.25">
      <c r="B7393" s="704" t="s">
        <v>697</v>
      </c>
      <c r="C7393" s="704" t="s">
        <v>863</v>
      </c>
      <c r="D7393" s="704" t="s">
        <v>675</v>
      </c>
      <c r="E7393" s="704" t="s">
        <v>861</v>
      </c>
      <c r="F7393" s="708"/>
      <c r="G7393" s="705">
        <v>0.53559275834672404</v>
      </c>
    </row>
    <row r="7394" spans="2:7" ht="11.25" hidden="1" customHeight="1" outlineLevel="2" x14ac:dyDescent="0.25">
      <c r="B7394" s="704" t="s">
        <v>698</v>
      </c>
      <c r="C7394" s="704" t="s">
        <v>863</v>
      </c>
      <c r="D7394" s="704" t="s">
        <v>675</v>
      </c>
      <c r="E7394" s="704" t="s">
        <v>861</v>
      </c>
      <c r="F7394" s="708"/>
      <c r="G7394" s="705">
        <v>0.58812755851015364</v>
      </c>
    </row>
    <row r="7395" spans="2:7" ht="11.25" hidden="1" customHeight="1" outlineLevel="2" x14ac:dyDescent="0.25">
      <c r="B7395" s="704" t="s">
        <v>699</v>
      </c>
      <c r="C7395" s="704" t="s">
        <v>863</v>
      </c>
      <c r="D7395" s="704" t="s">
        <v>675</v>
      </c>
      <c r="E7395" s="704" t="s">
        <v>861</v>
      </c>
      <c r="F7395" s="708"/>
      <c r="G7395" s="705">
        <v>2.5468520671224045E-31</v>
      </c>
    </row>
    <row r="7396" spans="2:7" ht="11.25" hidden="1" customHeight="1" outlineLevel="2" x14ac:dyDescent="0.25">
      <c r="B7396" s="704" t="s">
        <v>673</v>
      </c>
      <c r="C7396" s="704" t="s">
        <v>864</v>
      </c>
      <c r="D7396" s="704" t="s">
        <v>675</v>
      </c>
      <c r="E7396" s="704" t="s">
        <v>861</v>
      </c>
      <c r="F7396" s="709"/>
      <c r="G7396" s="705">
        <v>3.0326834664232796</v>
      </c>
    </row>
    <row r="7397" spans="2:7" ht="11.25" hidden="1" customHeight="1" outlineLevel="2" x14ac:dyDescent="0.25">
      <c r="B7397" s="704" t="s">
        <v>677</v>
      </c>
      <c r="C7397" s="704" t="s">
        <v>864</v>
      </c>
      <c r="D7397" s="704" t="s">
        <v>675</v>
      </c>
      <c r="E7397" s="704" t="s">
        <v>861</v>
      </c>
      <c r="F7397" s="706">
        <v>3.590689941708095E-3</v>
      </c>
      <c r="G7397" s="705">
        <v>50.326874473500737</v>
      </c>
    </row>
    <row r="7398" spans="2:7" ht="11.25" hidden="1" customHeight="1" outlineLevel="2" x14ac:dyDescent="0.25">
      <c r="B7398" s="704" t="s">
        <v>678</v>
      </c>
      <c r="C7398" s="704" t="s">
        <v>864</v>
      </c>
      <c r="D7398" s="704" t="s">
        <v>675</v>
      </c>
      <c r="E7398" s="704" t="s">
        <v>861</v>
      </c>
      <c r="F7398" s="709"/>
      <c r="G7398" s="705">
        <v>116.57292280712215</v>
      </c>
    </row>
    <row r="7399" spans="2:7" ht="11.25" hidden="1" customHeight="1" outlineLevel="2" x14ac:dyDescent="0.25">
      <c r="B7399" s="704" t="s">
        <v>679</v>
      </c>
      <c r="C7399" s="704" t="s">
        <v>864</v>
      </c>
      <c r="D7399" s="704" t="s">
        <v>675</v>
      </c>
      <c r="E7399" s="704" t="s">
        <v>861</v>
      </c>
      <c r="F7399" s="708"/>
      <c r="G7399" s="705">
        <v>9.4601418637078716</v>
      </c>
    </row>
    <row r="7400" spans="2:7" ht="11.25" hidden="1" customHeight="1" outlineLevel="2" x14ac:dyDescent="0.25">
      <c r="B7400" s="704" t="s">
        <v>680</v>
      </c>
      <c r="C7400" s="704" t="s">
        <v>864</v>
      </c>
      <c r="D7400" s="704" t="s">
        <v>675</v>
      </c>
      <c r="E7400" s="704" t="s">
        <v>861</v>
      </c>
      <c r="F7400" s="708"/>
      <c r="G7400" s="705">
        <v>1.7534099732987725</v>
      </c>
    </row>
    <row r="7401" spans="2:7" ht="11.25" hidden="1" customHeight="1" outlineLevel="2" x14ac:dyDescent="0.25">
      <c r="B7401" s="704" t="s">
        <v>681</v>
      </c>
      <c r="C7401" s="704" t="s">
        <v>864</v>
      </c>
      <c r="D7401" s="704" t="s">
        <v>675</v>
      </c>
      <c r="E7401" s="704" t="s">
        <v>861</v>
      </c>
      <c r="F7401" s="708"/>
      <c r="G7401" s="705">
        <v>14.789460675878855</v>
      </c>
    </row>
    <row r="7402" spans="2:7" ht="11.25" hidden="1" customHeight="1" outlineLevel="2" x14ac:dyDescent="0.25">
      <c r="B7402" s="704" t="s">
        <v>682</v>
      </c>
      <c r="C7402" s="704" t="s">
        <v>864</v>
      </c>
      <c r="D7402" s="704" t="s">
        <v>675</v>
      </c>
      <c r="E7402" s="704" t="s">
        <v>861</v>
      </c>
      <c r="F7402" s="708"/>
      <c r="G7402" s="705">
        <v>12.982880868184967</v>
      </c>
    </row>
    <row r="7403" spans="2:7" ht="11.25" hidden="1" customHeight="1" outlineLevel="2" x14ac:dyDescent="0.25">
      <c r="B7403" s="704" t="s">
        <v>683</v>
      </c>
      <c r="C7403" s="704" t="s">
        <v>864</v>
      </c>
      <c r="D7403" s="704" t="s">
        <v>675</v>
      </c>
      <c r="E7403" s="704" t="s">
        <v>861</v>
      </c>
      <c r="F7403" s="708"/>
      <c r="G7403" s="705">
        <v>21.561494429427956</v>
      </c>
    </row>
    <row r="7404" spans="2:7" ht="11.25" hidden="1" customHeight="1" outlineLevel="2" x14ac:dyDescent="0.25">
      <c r="B7404" s="704" t="s">
        <v>684</v>
      </c>
      <c r="C7404" s="704" t="s">
        <v>864</v>
      </c>
      <c r="D7404" s="704" t="s">
        <v>675</v>
      </c>
      <c r="E7404" s="704" t="s">
        <v>861</v>
      </c>
      <c r="F7404" s="708"/>
      <c r="G7404" s="705">
        <v>2.8144126943632424</v>
      </c>
    </row>
    <row r="7405" spans="2:7" ht="11.25" hidden="1" customHeight="1" outlineLevel="2" x14ac:dyDescent="0.25">
      <c r="B7405" s="704" t="s">
        <v>685</v>
      </c>
      <c r="C7405" s="704" t="s">
        <v>864</v>
      </c>
      <c r="D7405" s="704" t="s">
        <v>675</v>
      </c>
      <c r="E7405" s="704" t="s">
        <v>861</v>
      </c>
      <c r="F7405" s="708"/>
      <c r="G7405" s="705">
        <v>25.875793057513835</v>
      </c>
    </row>
    <row r="7406" spans="2:7" ht="11.25" hidden="1" customHeight="1" outlineLevel="2" x14ac:dyDescent="0.25">
      <c r="B7406" s="704" t="s">
        <v>686</v>
      </c>
      <c r="C7406" s="704" t="s">
        <v>864</v>
      </c>
      <c r="D7406" s="704" t="s">
        <v>675</v>
      </c>
      <c r="E7406" s="704" t="s">
        <v>861</v>
      </c>
      <c r="F7406" s="708"/>
      <c r="G7406" s="705">
        <v>6.0836219398820734</v>
      </c>
    </row>
    <row r="7407" spans="2:7" ht="11.25" hidden="1" customHeight="1" outlineLevel="2" x14ac:dyDescent="0.25">
      <c r="B7407" s="704" t="s">
        <v>687</v>
      </c>
      <c r="C7407" s="704" t="s">
        <v>864</v>
      </c>
      <c r="D7407" s="704" t="s">
        <v>675</v>
      </c>
      <c r="E7407" s="704" t="s">
        <v>861</v>
      </c>
      <c r="F7407" s="708"/>
      <c r="G7407" s="705">
        <v>31.162552686777417</v>
      </c>
    </row>
    <row r="7408" spans="2:7" ht="11.25" hidden="1" customHeight="1" outlineLevel="2" x14ac:dyDescent="0.25">
      <c r="B7408" s="704" t="s">
        <v>688</v>
      </c>
      <c r="C7408" s="704" t="s">
        <v>864</v>
      </c>
      <c r="D7408" s="704" t="s">
        <v>675</v>
      </c>
      <c r="E7408" s="704" t="s">
        <v>861</v>
      </c>
      <c r="F7408" s="708"/>
      <c r="G7408" s="705">
        <v>22.36800184520596</v>
      </c>
    </row>
    <row r="7409" spans="2:7" ht="11.25" hidden="1" customHeight="1" outlineLevel="2" x14ac:dyDescent="0.25">
      <c r="B7409" s="704" t="s">
        <v>689</v>
      </c>
      <c r="C7409" s="704" t="s">
        <v>864</v>
      </c>
      <c r="D7409" s="704" t="s">
        <v>675</v>
      </c>
      <c r="E7409" s="704" t="s">
        <v>861</v>
      </c>
      <c r="F7409" s="708"/>
      <c r="G7409" s="705">
        <v>3.3070795667856387</v>
      </c>
    </row>
    <row r="7410" spans="2:7" ht="11.25" hidden="1" customHeight="1" outlineLevel="2" x14ac:dyDescent="0.25">
      <c r="B7410" s="704" t="s">
        <v>690</v>
      </c>
      <c r="C7410" s="704" t="s">
        <v>864</v>
      </c>
      <c r="D7410" s="704" t="s">
        <v>675</v>
      </c>
      <c r="E7410" s="704" t="s">
        <v>861</v>
      </c>
      <c r="F7410" s="709"/>
      <c r="G7410" s="705">
        <v>72.810882868562473</v>
      </c>
    </row>
    <row r="7411" spans="2:7" ht="11.25" hidden="1" customHeight="1" outlineLevel="2" x14ac:dyDescent="0.25">
      <c r="B7411" s="704" t="s">
        <v>691</v>
      </c>
      <c r="C7411" s="704" t="s">
        <v>864</v>
      </c>
      <c r="D7411" s="704" t="s">
        <v>675</v>
      </c>
      <c r="E7411" s="704" t="s">
        <v>861</v>
      </c>
      <c r="F7411" s="709"/>
      <c r="G7411" s="705">
        <v>83.152305028815064</v>
      </c>
    </row>
    <row r="7412" spans="2:7" ht="11.25" hidden="1" customHeight="1" outlineLevel="2" x14ac:dyDescent="0.25">
      <c r="B7412" s="704" t="s">
        <v>692</v>
      </c>
      <c r="C7412" s="704" t="s">
        <v>864</v>
      </c>
      <c r="D7412" s="704" t="s">
        <v>675</v>
      </c>
      <c r="E7412" s="704" t="s">
        <v>861</v>
      </c>
      <c r="F7412" s="708"/>
      <c r="G7412" s="705">
        <v>4.8625395398210305</v>
      </c>
    </row>
    <row r="7413" spans="2:7" ht="11.25" hidden="1" customHeight="1" outlineLevel="2" x14ac:dyDescent="0.25">
      <c r="B7413" s="704" t="s">
        <v>693</v>
      </c>
      <c r="C7413" s="704" t="s">
        <v>864</v>
      </c>
      <c r="D7413" s="704" t="s">
        <v>675</v>
      </c>
      <c r="E7413" s="704" t="s">
        <v>861</v>
      </c>
      <c r="F7413" s="708"/>
      <c r="G7413" s="705">
        <v>12.137865491772672</v>
      </c>
    </row>
    <row r="7414" spans="2:7" ht="11.25" hidden="1" customHeight="1" outlineLevel="2" x14ac:dyDescent="0.25">
      <c r="B7414" s="704" t="s">
        <v>694</v>
      </c>
      <c r="C7414" s="704" t="s">
        <v>864</v>
      </c>
      <c r="D7414" s="704" t="s">
        <v>675</v>
      </c>
      <c r="E7414" s="704" t="s">
        <v>861</v>
      </c>
      <c r="F7414" s="708"/>
      <c r="G7414" s="705">
        <v>1.3607966960553299</v>
      </c>
    </row>
    <row r="7415" spans="2:7" ht="11.25" hidden="1" customHeight="1" outlineLevel="2" x14ac:dyDescent="0.25">
      <c r="B7415" s="704" t="s">
        <v>695</v>
      </c>
      <c r="C7415" s="704" t="s">
        <v>864</v>
      </c>
      <c r="D7415" s="704" t="s">
        <v>675</v>
      </c>
      <c r="E7415" s="704" t="s">
        <v>861</v>
      </c>
      <c r="F7415" s="708"/>
      <c r="G7415" s="705">
        <v>6.4546701951434704</v>
      </c>
    </row>
    <row r="7416" spans="2:7" ht="11.25" hidden="1" customHeight="1" outlineLevel="2" x14ac:dyDescent="0.25">
      <c r="B7416" s="704" t="s">
        <v>696</v>
      </c>
      <c r="C7416" s="704" t="s">
        <v>864</v>
      </c>
      <c r="D7416" s="704" t="s">
        <v>675</v>
      </c>
      <c r="E7416" s="704" t="s">
        <v>861</v>
      </c>
      <c r="F7416" s="708"/>
      <c r="G7416" s="705">
        <v>16.12726511964815</v>
      </c>
    </row>
    <row r="7417" spans="2:7" ht="11.25" hidden="1" customHeight="1" outlineLevel="2" x14ac:dyDescent="0.25">
      <c r="B7417" s="704" t="s">
        <v>697</v>
      </c>
      <c r="C7417" s="704" t="s">
        <v>864</v>
      </c>
      <c r="D7417" s="704" t="s">
        <v>675</v>
      </c>
      <c r="E7417" s="704" t="s">
        <v>861</v>
      </c>
      <c r="F7417" s="708"/>
      <c r="G7417" s="705">
        <v>8.823699840115987</v>
      </c>
    </row>
    <row r="7418" spans="2:7" ht="11.25" hidden="1" customHeight="1" outlineLevel="2" x14ac:dyDescent="0.25">
      <c r="B7418" s="704" t="s">
        <v>698</v>
      </c>
      <c r="C7418" s="704" t="s">
        <v>864</v>
      </c>
      <c r="D7418" s="704" t="s">
        <v>675</v>
      </c>
      <c r="E7418" s="704" t="s">
        <v>861</v>
      </c>
      <c r="F7418" s="708"/>
      <c r="G7418" s="705">
        <v>9.6891965780686427</v>
      </c>
    </row>
    <row r="7419" spans="2:7" ht="11.25" hidden="1" customHeight="1" outlineLevel="2" x14ac:dyDescent="0.25">
      <c r="B7419" s="704" t="s">
        <v>699</v>
      </c>
      <c r="C7419" s="704" t="s">
        <v>864</v>
      </c>
      <c r="D7419" s="704" t="s">
        <v>675</v>
      </c>
      <c r="E7419" s="704" t="s">
        <v>861</v>
      </c>
      <c r="F7419" s="708"/>
      <c r="G7419" s="705">
        <v>5.6807384089217021E-32</v>
      </c>
    </row>
    <row r="7420" spans="2:7" ht="11.25" hidden="1" customHeight="1" outlineLevel="2" x14ac:dyDescent="0.25">
      <c r="B7420" s="704" t="s">
        <v>673</v>
      </c>
      <c r="C7420" s="704" t="s">
        <v>865</v>
      </c>
      <c r="D7420" s="704" t="s">
        <v>675</v>
      </c>
      <c r="E7420" s="704" t="s">
        <v>861</v>
      </c>
      <c r="F7420" s="708"/>
      <c r="G7420" s="705">
        <v>282.67437396437674</v>
      </c>
    </row>
    <row r="7421" spans="2:7" ht="11.25" hidden="1" customHeight="1" outlineLevel="2" x14ac:dyDescent="0.25">
      <c r="B7421" s="704" t="s">
        <v>677</v>
      </c>
      <c r="C7421" s="704" t="s">
        <v>865</v>
      </c>
      <c r="D7421" s="704" t="s">
        <v>675</v>
      </c>
      <c r="E7421" s="704" t="s">
        <v>861</v>
      </c>
      <c r="F7421" s="705">
        <v>0.16404737994373894</v>
      </c>
      <c r="G7421" s="705">
        <v>4690.9365503674626</v>
      </c>
    </row>
    <row r="7422" spans="2:7" ht="11.25" hidden="1" customHeight="1" outlineLevel="2" x14ac:dyDescent="0.25">
      <c r="B7422" s="704" t="s">
        <v>678</v>
      </c>
      <c r="C7422" s="704" t="s">
        <v>865</v>
      </c>
      <c r="D7422" s="704" t="s">
        <v>675</v>
      </c>
      <c r="E7422" s="704" t="s">
        <v>861</v>
      </c>
      <c r="F7422" s="708"/>
      <c r="G7422" s="705">
        <v>10865.686254759386</v>
      </c>
    </row>
    <row r="7423" spans="2:7" ht="11.25" hidden="1" customHeight="1" outlineLevel="2" x14ac:dyDescent="0.25">
      <c r="B7423" s="704" t="s">
        <v>679</v>
      </c>
      <c r="C7423" s="704" t="s">
        <v>865</v>
      </c>
      <c r="D7423" s="704" t="s">
        <v>675</v>
      </c>
      <c r="E7423" s="704" t="s">
        <v>861</v>
      </c>
      <c r="F7423" s="708"/>
      <c r="G7423" s="705">
        <v>881.77355995995629</v>
      </c>
    </row>
    <row r="7424" spans="2:7" ht="11.25" hidden="1" customHeight="1" outlineLevel="2" x14ac:dyDescent="0.25">
      <c r="B7424" s="704" t="s">
        <v>680</v>
      </c>
      <c r="C7424" s="704" t="s">
        <v>865</v>
      </c>
      <c r="D7424" s="704" t="s">
        <v>675</v>
      </c>
      <c r="E7424" s="704" t="s">
        <v>861</v>
      </c>
      <c r="F7424" s="708"/>
      <c r="G7424" s="705">
        <v>163.43420550267908</v>
      </c>
    </row>
    <row r="7425" spans="2:7" ht="11.25" hidden="1" customHeight="1" outlineLevel="2" x14ac:dyDescent="0.25">
      <c r="B7425" s="704" t="s">
        <v>681</v>
      </c>
      <c r="C7425" s="704" t="s">
        <v>865</v>
      </c>
      <c r="D7425" s="704" t="s">
        <v>675</v>
      </c>
      <c r="E7425" s="704" t="s">
        <v>861</v>
      </c>
      <c r="F7425" s="708"/>
      <c r="G7425" s="705">
        <v>1378.5157803827847</v>
      </c>
    </row>
    <row r="7426" spans="2:7" ht="11.25" hidden="1" customHeight="1" outlineLevel="2" x14ac:dyDescent="0.25">
      <c r="B7426" s="704" t="s">
        <v>682</v>
      </c>
      <c r="C7426" s="704" t="s">
        <v>865</v>
      </c>
      <c r="D7426" s="704" t="s">
        <v>675</v>
      </c>
      <c r="E7426" s="704" t="s">
        <v>861</v>
      </c>
      <c r="F7426" s="708"/>
      <c r="G7426" s="705">
        <v>1210.1257431736922</v>
      </c>
    </row>
    <row r="7427" spans="2:7" ht="11.25" hidden="1" customHeight="1" outlineLevel="2" x14ac:dyDescent="0.25">
      <c r="B7427" s="704" t="s">
        <v>683</v>
      </c>
      <c r="C7427" s="704" t="s">
        <v>865</v>
      </c>
      <c r="D7427" s="704" t="s">
        <v>675</v>
      </c>
      <c r="E7427" s="704" t="s">
        <v>861</v>
      </c>
      <c r="F7427" s="709"/>
      <c r="G7427" s="705">
        <v>2009.7327424342986</v>
      </c>
    </row>
    <row r="7428" spans="2:7" ht="11.25" hidden="1" customHeight="1" outlineLevel="2" x14ac:dyDescent="0.25">
      <c r="B7428" s="704" t="s">
        <v>684</v>
      </c>
      <c r="C7428" s="704" t="s">
        <v>865</v>
      </c>
      <c r="D7428" s="704" t="s">
        <v>675</v>
      </c>
      <c r="E7428" s="704" t="s">
        <v>861</v>
      </c>
      <c r="F7428" s="709"/>
      <c r="G7428" s="705">
        <v>262.32954611814</v>
      </c>
    </row>
    <row r="7429" spans="2:7" ht="11.25" hidden="1" customHeight="1" outlineLevel="2" x14ac:dyDescent="0.25">
      <c r="B7429" s="704" t="s">
        <v>685</v>
      </c>
      <c r="C7429" s="704" t="s">
        <v>865</v>
      </c>
      <c r="D7429" s="704" t="s">
        <v>675</v>
      </c>
      <c r="E7429" s="704" t="s">
        <v>861</v>
      </c>
      <c r="F7429" s="709"/>
      <c r="G7429" s="705">
        <v>2411.8658127272233</v>
      </c>
    </row>
    <row r="7430" spans="2:7" ht="11.25" hidden="1" customHeight="1" outlineLevel="2" x14ac:dyDescent="0.25">
      <c r="B7430" s="704" t="s">
        <v>686</v>
      </c>
      <c r="C7430" s="704" t="s">
        <v>865</v>
      </c>
      <c r="D7430" s="704" t="s">
        <v>675</v>
      </c>
      <c r="E7430" s="704" t="s">
        <v>861</v>
      </c>
      <c r="F7430" s="709"/>
      <c r="G7430" s="705">
        <v>567.05042575436164</v>
      </c>
    </row>
    <row r="7431" spans="2:7" ht="11.25" hidden="1" customHeight="1" outlineLevel="2" x14ac:dyDescent="0.25">
      <c r="B7431" s="704" t="s">
        <v>687</v>
      </c>
      <c r="C7431" s="704" t="s">
        <v>865</v>
      </c>
      <c r="D7431" s="704" t="s">
        <v>675</v>
      </c>
      <c r="E7431" s="704" t="s">
        <v>861</v>
      </c>
      <c r="F7431" s="709"/>
      <c r="G7431" s="705">
        <v>2904.640285784425</v>
      </c>
    </row>
    <row r="7432" spans="2:7" ht="11.25" hidden="1" customHeight="1" outlineLevel="2" x14ac:dyDescent="0.25">
      <c r="B7432" s="704" t="s">
        <v>688</v>
      </c>
      <c r="C7432" s="704" t="s">
        <v>865</v>
      </c>
      <c r="D7432" s="704" t="s">
        <v>675</v>
      </c>
      <c r="E7432" s="704" t="s">
        <v>861</v>
      </c>
      <c r="F7432" s="709"/>
      <c r="G7432" s="705">
        <v>2084.9066631256774</v>
      </c>
    </row>
    <row r="7433" spans="2:7" ht="11.25" hidden="1" customHeight="1" outlineLevel="2" x14ac:dyDescent="0.25">
      <c r="B7433" s="704" t="s">
        <v>689</v>
      </c>
      <c r="C7433" s="704" t="s">
        <v>865</v>
      </c>
      <c r="D7433" s="704" t="s">
        <v>675</v>
      </c>
      <c r="E7433" s="704" t="s">
        <v>861</v>
      </c>
      <c r="F7433" s="709"/>
      <c r="G7433" s="705">
        <v>308.25072502330681</v>
      </c>
    </row>
    <row r="7434" spans="2:7" ht="11.25" hidden="1" customHeight="1" outlineLevel="2" x14ac:dyDescent="0.25">
      <c r="B7434" s="704" t="s">
        <v>690</v>
      </c>
      <c r="C7434" s="704" t="s">
        <v>865</v>
      </c>
      <c r="D7434" s="704" t="s">
        <v>675</v>
      </c>
      <c r="E7434" s="704" t="s">
        <v>861</v>
      </c>
      <c r="F7434" s="709"/>
      <c r="G7434" s="705">
        <v>6786.6515097111951</v>
      </c>
    </row>
    <row r="7435" spans="2:7" ht="11.25" hidden="1" customHeight="1" outlineLevel="2" x14ac:dyDescent="0.25">
      <c r="B7435" s="704" t="s">
        <v>691</v>
      </c>
      <c r="C7435" s="704" t="s">
        <v>865</v>
      </c>
      <c r="D7435" s="704" t="s">
        <v>675</v>
      </c>
      <c r="E7435" s="704" t="s">
        <v>861</v>
      </c>
      <c r="F7435" s="709"/>
      <c r="G7435" s="705">
        <v>7750.5724765012646</v>
      </c>
    </row>
    <row r="7436" spans="2:7" ht="11.25" hidden="1" customHeight="1" outlineLevel="2" x14ac:dyDescent="0.25">
      <c r="B7436" s="704" t="s">
        <v>692</v>
      </c>
      <c r="C7436" s="704" t="s">
        <v>865</v>
      </c>
      <c r="D7436" s="704" t="s">
        <v>675</v>
      </c>
      <c r="E7436" s="704" t="s">
        <v>861</v>
      </c>
      <c r="F7436" s="709"/>
      <c r="G7436" s="705">
        <v>453.23406519921525</v>
      </c>
    </row>
    <row r="7437" spans="2:7" ht="11.25" hidden="1" customHeight="1" outlineLevel="2" x14ac:dyDescent="0.25">
      <c r="B7437" s="704" t="s">
        <v>693</v>
      </c>
      <c r="C7437" s="704" t="s">
        <v>865</v>
      </c>
      <c r="D7437" s="704" t="s">
        <v>675</v>
      </c>
      <c r="E7437" s="704" t="s">
        <v>861</v>
      </c>
      <c r="F7437" s="708"/>
      <c r="G7437" s="705">
        <v>1131.3624267435302</v>
      </c>
    </row>
    <row r="7438" spans="2:7" ht="11.25" hidden="1" customHeight="1" outlineLevel="2" x14ac:dyDescent="0.25">
      <c r="B7438" s="704" t="s">
        <v>694</v>
      </c>
      <c r="C7438" s="704" t="s">
        <v>865</v>
      </c>
      <c r="D7438" s="704" t="s">
        <v>675</v>
      </c>
      <c r="E7438" s="704" t="s">
        <v>861</v>
      </c>
      <c r="F7438" s="708"/>
      <c r="G7438" s="705">
        <v>126.83896547960863</v>
      </c>
    </row>
    <row r="7439" spans="2:7" ht="11.25" hidden="1" customHeight="1" outlineLevel="2" x14ac:dyDescent="0.25">
      <c r="B7439" s="704" t="s">
        <v>695</v>
      </c>
      <c r="C7439" s="704" t="s">
        <v>865</v>
      </c>
      <c r="D7439" s="704" t="s">
        <v>675</v>
      </c>
      <c r="E7439" s="704" t="s">
        <v>861</v>
      </c>
      <c r="F7439" s="709"/>
      <c r="G7439" s="705">
        <v>601.63573311262144</v>
      </c>
    </row>
    <row r="7440" spans="2:7" ht="11.25" hidden="1" customHeight="1" outlineLevel="2" x14ac:dyDescent="0.25">
      <c r="B7440" s="704" t="s">
        <v>696</v>
      </c>
      <c r="C7440" s="704" t="s">
        <v>865</v>
      </c>
      <c r="D7440" s="704" t="s">
        <v>675</v>
      </c>
      <c r="E7440" s="704" t="s">
        <v>861</v>
      </c>
      <c r="F7440" s="708"/>
      <c r="G7440" s="705">
        <v>1503.2119196789545</v>
      </c>
    </row>
    <row r="7441" spans="2:7" ht="11.25" hidden="1" customHeight="1" outlineLevel="2" x14ac:dyDescent="0.25">
      <c r="B7441" s="704" t="s">
        <v>697</v>
      </c>
      <c r="C7441" s="704" t="s">
        <v>865</v>
      </c>
      <c r="D7441" s="704" t="s">
        <v>675</v>
      </c>
      <c r="E7441" s="704" t="s">
        <v>861</v>
      </c>
      <c r="F7441" s="708"/>
      <c r="G7441" s="705">
        <v>822.45128173444971</v>
      </c>
    </row>
    <row r="7442" spans="2:7" ht="11.25" hidden="1" customHeight="1" outlineLevel="2" x14ac:dyDescent="0.25">
      <c r="B7442" s="704" t="s">
        <v>698</v>
      </c>
      <c r="C7442" s="704" t="s">
        <v>865</v>
      </c>
      <c r="D7442" s="704" t="s">
        <v>675</v>
      </c>
      <c r="E7442" s="704" t="s">
        <v>861</v>
      </c>
      <c r="F7442" s="708"/>
      <c r="G7442" s="705">
        <v>903.12340345594691</v>
      </c>
    </row>
    <row r="7443" spans="2:7" ht="11.25" hidden="1" customHeight="1" outlineLevel="2" x14ac:dyDescent="0.25">
      <c r="B7443" s="704" t="s">
        <v>699</v>
      </c>
      <c r="C7443" s="704" t="s">
        <v>865</v>
      </c>
      <c r="D7443" s="704" t="s">
        <v>675</v>
      </c>
      <c r="E7443" s="704" t="s">
        <v>861</v>
      </c>
      <c r="F7443" s="708"/>
      <c r="G7443" s="705">
        <v>2.1908390456812876E-29</v>
      </c>
    </row>
    <row r="7444" spans="2:7" ht="11.25" hidden="1" customHeight="1" outlineLevel="2" x14ac:dyDescent="0.25">
      <c r="B7444" s="704" t="s">
        <v>673</v>
      </c>
      <c r="C7444" s="704" t="s">
        <v>866</v>
      </c>
      <c r="D7444" s="704" t="s">
        <v>675</v>
      </c>
      <c r="E7444" s="704" t="s">
        <v>861</v>
      </c>
      <c r="F7444" s="708"/>
      <c r="G7444" s="705">
        <v>307.49028747185116</v>
      </c>
    </row>
    <row r="7445" spans="2:7" ht="11.25" hidden="1" customHeight="1" outlineLevel="2" x14ac:dyDescent="0.25">
      <c r="B7445" s="704" t="s">
        <v>677</v>
      </c>
      <c r="C7445" s="704" t="s">
        <v>866</v>
      </c>
      <c r="D7445" s="704" t="s">
        <v>675</v>
      </c>
      <c r="E7445" s="704" t="s">
        <v>861</v>
      </c>
      <c r="F7445" s="705">
        <v>0.13850505320868839</v>
      </c>
      <c r="G7445" s="705">
        <v>5102.7528402799371</v>
      </c>
    </row>
    <row r="7446" spans="2:7" ht="11.25" hidden="1" customHeight="1" outlineLevel="2" x14ac:dyDescent="0.25">
      <c r="B7446" s="704" t="s">
        <v>678</v>
      </c>
      <c r="C7446" s="704" t="s">
        <v>866</v>
      </c>
      <c r="D7446" s="704" t="s">
        <v>675</v>
      </c>
      <c r="E7446" s="704" t="s">
        <v>861</v>
      </c>
      <c r="F7446" s="708"/>
      <c r="G7446" s="705">
        <v>11819.579543334396</v>
      </c>
    </row>
    <row r="7447" spans="2:7" ht="11.25" hidden="1" customHeight="1" outlineLevel="2" x14ac:dyDescent="0.25">
      <c r="B7447" s="704" t="s">
        <v>679</v>
      </c>
      <c r="C7447" s="704" t="s">
        <v>866</v>
      </c>
      <c r="D7447" s="704" t="s">
        <v>675</v>
      </c>
      <c r="E7447" s="704" t="s">
        <v>861</v>
      </c>
      <c r="F7447" s="708"/>
      <c r="G7447" s="705">
        <v>959.18422030798592</v>
      </c>
    </row>
    <row r="7448" spans="2:7" ht="11.25" hidden="1" customHeight="1" outlineLevel="2" x14ac:dyDescent="0.25">
      <c r="B7448" s="704" t="s">
        <v>680</v>
      </c>
      <c r="C7448" s="704" t="s">
        <v>866</v>
      </c>
      <c r="D7448" s="704" t="s">
        <v>675</v>
      </c>
      <c r="E7448" s="704" t="s">
        <v>861</v>
      </c>
      <c r="F7448" s="708"/>
      <c r="G7448" s="705">
        <v>177.78200492789742</v>
      </c>
    </row>
    <row r="7449" spans="2:7" ht="11.25" hidden="1" customHeight="1" outlineLevel="2" x14ac:dyDescent="0.25">
      <c r="B7449" s="704" t="s">
        <v>681</v>
      </c>
      <c r="C7449" s="704" t="s">
        <v>866</v>
      </c>
      <c r="D7449" s="704" t="s">
        <v>675</v>
      </c>
      <c r="E7449" s="704" t="s">
        <v>861</v>
      </c>
      <c r="F7449" s="708"/>
      <c r="G7449" s="705">
        <v>1499.534816964331</v>
      </c>
    </row>
    <row r="7450" spans="2:7" ht="11.25" hidden="1" customHeight="1" outlineLevel="2" x14ac:dyDescent="0.25">
      <c r="B7450" s="704" t="s">
        <v>682</v>
      </c>
      <c r="C7450" s="704" t="s">
        <v>866</v>
      </c>
      <c r="D7450" s="704" t="s">
        <v>675</v>
      </c>
      <c r="E7450" s="704" t="s">
        <v>861</v>
      </c>
      <c r="F7450" s="708"/>
      <c r="G7450" s="705">
        <v>1316.3619082542227</v>
      </c>
    </row>
    <row r="7451" spans="2:7" ht="11.25" hidden="1" customHeight="1" outlineLevel="2" x14ac:dyDescent="0.25">
      <c r="B7451" s="704" t="s">
        <v>683</v>
      </c>
      <c r="C7451" s="704" t="s">
        <v>866</v>
      </c>
      <c r="D7451" s="704" t="s">
        <v>675</v>
      </c>
      <c r="E7451" s="704" t="s">
        <v>861</v>
      </c>
      <c r="F7451" s="708"/>
      <c r="G7451" s="705">
        <v>2186.1666266778593</v>
      </c>
    </row>
    <row r="7452" spans="2:7" ht="11.25" hidden="1" customHeight="1" outlineLevel="2" x14ac:dyDescent="0.25">
      <c r="B7452" s="704" t="s">
        <v>684</v>
      </c>
      <c r="C7452" s="704" t="s">
        <v>866</v>
      </c>
      <c r="D7452" s="704" t="s">
        <v>675</v>
      </c>
      <c r="E7452" s="704" t="s">
        <v>861</v>
      </c>
      <c r="F7452" s="708"/>
      <c r="G7452" s="705">
        <v>285.35936805910882</v>
      </c>
    </row>
    <row r="7453" spans="2:7" ht="11.25" hidden="1" customHeight="1" outlineLevel="2" x14ac:dyDescent="0.25">
      <c r="B7453" s="704" t="s">
        <v>685</v>
      </c>
      <c r="C7453" s="704" t="s">
        <v>866</v>
      </c>
      <c r="D7453" s="704" t="s">
        <v>675</v>
      </c>
      <c r="E7453" s="704" t="s">
        <v>861</v>
      </c>
      <c r="F7453" s="708"/>
      <c r="G7453" s="705">
        <v>2623.6022907252782</v>
      </c>
    </row>
    <row r="7454" spans="2:7" ht="11.25" hidden="1" customHeight="1" outlineLevel="2" x14ac:dyDescent="0.25">
      <c r="B7454" s="704" t="s">
        <v>686</v>
      </c>
      <c r="C7454" s="704" t="s">
        <v>866</v>
      </c>
      <c r="D7454" s="704" t="s">
        <v>675</v>
      </c>
      <c r="E7454" s="704" t="s">
        <v>861</v>
      </c>
      <c r="F7454" s="708"/>
      <c r="G7454" s="705">
        <v>616.8317315608117</v>
      </c>
    </row>
    <row r="7455" spans="2:7" ht="11.25" hidden="1" customHeight="1" outlineLevel="2" x14ac:dyDescent="0.25">
      <c r="B7455" s="704" t="s">
        <v>687</v>
      </c>
      <c r="C7455" s="704" t="s">
        <v>866</v>
      </c>
      <c r="D7455" s="704" t="s">
        <v>675</v>
      </c>
      <c r="E7455" s="704" t="s">
        <v>861</v>
      </c>
      <c r="F7455" s="708"/>
      <c r="G7455" s="705">
        <v>3159.6383806230751</v>
      </c>
    </row>
    <row r="7456" spans="2:7" ht="11.25" hidden="1" customHeight="1" outlineLevel="2" x14ac:dyDescent="0.25">
      <c r="B7456" s="704" t="s">
        <v>688</v>
      </c>
      <c r="C7456" s="704" t="s">
        <v>866</v>
      </c>
      <c r="D7456" s="704" t="s">
        <v>675</v>
      </c>
      <c r="E7456" s="704" t="s">
        <v>861</v>
      </c>
      <c r="F7456" s="708"/>
      <c r="G7456" s="705">
        <v>2267.9394626048952</v>
      </c>
    </row>
    <row r="7457" spans="2:7" ht="11.25" hidden="1" customHeight="1" outlineLevel="2" x14ac:dyDescent="0.25">
      <c r="B7457" s="704" t="s">
        <v>689</v>
      </c>
      <c r="C7457" s="704" t="s">
        <v>866</v>
      </c>
      <c r="D7457" s="704" t="s">
        <v>675</v>
      </c>
      <c r="E7457" s="704" t="s">
        <v>861</v>
      </c>
      <c r="F7457" s="708"/>
      <c r="G7457" s="705">
        <v>335.31198947510609</v>
      </c>
    </row>
    <row r="7458" spans="2:7" ht="11.25" hidden="1" customHeight="1" outlineLevel="2" x14ac:dyDescent="0.25">
      <c r="B7458" s="704" t="s">
        <v>690</v>
      </c>
      <c r="C7458" s="704" t="s">
        <v>866</v>
      </c>
      <c r="D7458" s="704" t="s">
        <v>675</v>
      </c>
      <c r="E7458" s="704" t="s">
        <v>861</v>
      </c>
      <c r="F7458" s="708"/>
      <c r="G7458" s="705">
        <v>7382.4523179520675</v>
      </c>
    </row>
    <row r="7459" spans="2:7" ht="11.25" hidden="1" customHeight="1" outlineLevel="2" x14ac:dyDescent="0.25">
      <c r="B7459" s="704" t="s">
        <v>691</v>
      </c>
      <c r="C7459" s="704" t="s">
        <v>866</v>
      </c>
      <c r="D7459" s="704" t="s">
        <v>675</v>
      </c>
      <c r="E7459" s="704" t="s">
        <v>861</v>
      </c>
      <c r="F7459" s="708"/>
      <c r="G7459" s="705">
        <v>8430.9901174119241</v>
      </c>
    </row>
    <row r="7460" spans="2:7" ht="11.25" hidden="1" customHeight="1" outlineLevel="2" x14ac:dyDescent="0.25">
      <c r="B7460" s="704" t="s">
        <v>692</v>
      </c>
      <c r="C7460" s="704" t="s">
        <v>866</v>
      </c>
      <c r="D7460" s="704" t="s">
        <v>675</v>
      </c>
      <c r="E7460" s="704" t="s">
        <v>861</v>
      </c>
      <c r="F7460" s="709"/>
      <c r="G7460" s="705">
        <v>493.02326910069604</v>
      </c>
    </row>
    <row r="7461" spans="2:7" ht="11.25" hidden="1" customHeight="1" outlineLevel="2" x14ac:dyDescent="0.25">
      <c r="B7461" s="704" t="s">
        <v>693</v>
      </c>
      <c r="C7461" s="704" t="s">
        <v>866</v>
      </c>
      <c r="D7461" s="704" t="s">
        <v>675</v>
      </c>
      <c r="E7461" s="704" t="s">
        <v>861</v>
      </c>
      <c r="F7461" s="709"/>
      <c r="G7461" s="705">
        <v>1230.6844237356636</v>
      </c>
    </row>
    <row r="7462" spans="2:7" ht="11.25" hidden="1" customHeight="1" outlineLevel="2" x14ac:dyDescent="0.25">
      <c r="B7462" s="704" t="s">
        <v>694</v>
      </c>
      <c r="C7462" s="704" t="s">
        <v>866</v>
      </c>
      <c r="D7462" s="704" t="s">
        <v>675</v>
      </c>
      <c r="E7462" s="704" t="s">
        <v>861</v>
      </c>
      <c r="F7462" s="709"/>
      <c r="G7462" s="705">
        <v>137.974104709226</v>
      </c>
    </row>
    <row r="7463" spans="2:7" ht="11.25" hidden="1" customHeight="1" outlineLevel="2" x14ac:dyDescent="0.25">
      <c r="B7463" s="704" t="s">
        <v>695</v>
      </c>
      <c r="C7463" s="704" t="s">
        <v>866</v>
      </c>
      <c r="D7463" s="704" t="s">
        <v>675</v>
      </c>
      <c r="E7463" s="704" t="s">
        <v>861</v>
      </c>
      <c r="F7463" s="709"/>
      <c r="G7463" s="705">
        <v>654.45304507844173</v>
      </c>
    </row>
    <row r="7464" spans="2:7" ht="11.25" hidden="1" customHeight="1" outlineLevel="2" x14ac:dyDescent="0.25">
      <c r="B7464" s="704" t="s">
        <v>696</v>
      </c>
      <c r="C7464" s="704" t="s">
        <v>866</v>
      </c>
      <c r="D7464" s="704" t="s">
        <v>675</v>
      </c>
      <c r="E7464" s="704" t="s">
        <v>861</v>
      </c>
      <c r="F7464" s="709"/>
      <c r="G7464" s="705">
        <v>1635.178080931471</v>
      </c>
    </row>
    <row r="7465" spans="2:7" ht="11.25" hidden="1" customHeight="1" outlineLevel="2" x14ac:dyDescent="0.25">
      <c r="B7465" s="704" t="s">
        <v>697</v>
      </c>
      <c r="C7465" s="704" t="s">
        <v>866</v>
      </c>
      <c r="D7465" s="704" t="s">
        <v>675</v>
      </c>
      <c r="E7465" s="704" t="s">
        <v>861</v>
      </c>
      <c r="F7465" s="709"/>
      <c r="G7465" s="705">
        <v>894.6541402717412</v>
      </c>
    </row>
    <row r="7466" spans="2:7" ht="11.25" hidden="1" customHeight="1" outlineLevel="2" x14ac:dyDescent="0.25">
      <c r="B7466" s="704" t="s">
        <v>698</v>
      </c>
      <c r="C7466" s="704" t="s">
        <v>866</v>
      </c>
      <c r="D7466" s="704" t="s">
        <v>675</v>
      </c>
      <c r="E7466" s="704" t="s">
        <v>861</v>
      </c>
      <c r="F7466" s="708"/>
      <c r="G7466" s="705">
        <v>982.40833087962574</v>
      </c>
    </row>
    <row r="7467" spans="2:7" ht="11.25" hidden="1" customHeight="1" outlineLevel="2" x14ac:dyDescent="0.25">
      <c r="B7467" s="704" t="s">
        <v>699</v>
      </c>
      <c r="C7467" s="704" t="s">
        <v>866</v>
      </c>
      <c r="D7467" s="704" t="s">
        <v>675</v>
      </c>
      <c r="E7467" s="704" t="s">
        <v>861</v>
      </c>
      <c r="F7467" s="708"/>
      <c r="G7467" s="705">
        <v>7.2473938761866715E-31</v>
      </c>
    </row>
    <row r="7468" spans="2:7" ht="11.25" hidden="1" customHeight="1" outlineLevel="2" x14ac:dyDescent="0.25">
      <c r="B7468" s="704" t="s">
        <v>673</v>
      </c>
      <c r="C7468" s="704" t="s">
        <v>867</v>
      </c>
      <c r="D7468" s="704" t="s">
        <v>675</v>
      </c>
      <c r="E7468" s="704" t="s">
        <v>861</v>
      </c>
      <c r="F7468" s="708"/>
      <c r="G7468" s="705">
        <v>16.940687290986229</v>
      </c>
    </row>
    <row r="7469" spans="2:7" ht="11.25" hidden="1" customHeight="1" outlineLevel="2" x14ac:dyDescent="0.25">
      <c r="B7469" s="704" t="s">
        <v>677</v>
      </c>
      <c r="C7469" s="704" t="s">
        <v>867</v>
      </c>
      <c r="D7469" s="704" t="s">
        <v>675</v>
      </c>
      <c r="E7469" s="704" t="s">
        <v>861</v>
      </c>
      <c r="F7469" s="705">
        <v>1.0146753052866888E-2</v>
      </c>
      <c r="G7469" s="705">
        <v>281.12797347091413</v>
      </c>
    </row>
    <row r="7470" spans="2:7" ht="11.25" hidden="1" customHeight="1" outlineLevel="2" x14ac:dyDescent="0.25">
      <c r="B7470" s="704" t="s">
        <v>678</v>
      </c>
      <c r="C7470" s="704" t="s">
        <v>867</v>
      </c>
      <c r="D7470" s="704" t="s">
        <v>675</v>
      </c>
      <c r="E7470" s="704" t="s">
        <v>861</v>
      </c>
      <c r="F7470" s="708"/>
      <c r="G7470" s="705">
        <v>651.18100201690174</v>
      </c>
    </row>
    <row r="7471" spans="2:7" ht="11.25" hidden="1" customHeight="1" outlineLevel="2" x14ac:dyDescent="0.25">
      <c r="B7471" s="704" t="s">
        <v>679</v>
      </c>
      <c r="C7471" s="704" t="s">
        <v>867</v>
      </c>
      <c r="D7471" s="704" t="s">
        <v>675</v>
      </c>
      <c r="E7471" s="704" t="s">
        <v>861</v>
      </c>
      <c r="F7471" s="708"/>
      <c r="G7471" s="705">
        <v>52.844742956522367</v>
      </c>
    </row>
    <row r="7472" spans="2:7" ht="11.25" hidden="1" customHeight="1" outlineLevel="2" x14ac:dyDescent="0.25">
      <c r="B7472" s="704" t="s">
        <v>680</v>
      </c>
      <c r="C7472" s="704" t="s">
        <v>867</v>
      </c>
      <c r="D7472" s="704" t="s">
        <v>675</v>
      </c>
      <c r="E7472" s="704" t="s">
        <v>861</v>
      </c>
      <c r="F7472" s="708"/>
      <c r="G7472" s="705">
        <v>9.7946175974308716</v>
      </c>
    </row>
    <row r="7473" spans="2:7" ht="11.25" hidden="1" customHeight="1" outlineLevel="2" x14ac:dyDescent="0.25">
      <c r="B7473" s="704" t="s">
        <v>681</v>
      </c>
      <c r="C7473" s="704" t="s">
        <v>867</v>
      </c>
      <c r="D7473" s="704" t="s">
        <v>675</v>
      </c>
      <c r="E7473" s="704" t="s">
        <v>861</v>
      </c>
      <c r="F7473" s="708"/>
      <c r="G7473" s="705">
        <v>82.614500395464063</v>
      </c>
    </row>
    <row r="7474" spans="2:7" ht="11.25" hidden="1" customHeight="1" outlineLevel="2" x14ac:dyDescent="0.25">
      <c r="B7474" s="704" t="s">
        <v>682</v>
      </c>
      <c r="C7474" s="704" t="s">
        <v>867</v>
      </c>
      <c r="D7474" s="704" t="s">
        <v>675</v>
      </c>
      <c r="E7474" s="704" t="s">
        <v>861</v>
      </c>
      <c r="F7474" s="708"/>
      <c r="G7474" s="705">
        <v>72.522878778626378</v>
      </c>
    </row>
    <row r="7475" spans="2:7" ht="11.25" hidden="1" customHeight="1" outlineLevel="2" x14ac:dyDescent="0.25">
      <c r="B7475" s="704" t="s">
        <v>683</v>
      </c>
      <c r="C7475" s="704" t="s">
        <v>867</v>
      </c>
      <c r="D7475" s="704" t="s">
        <v>675</v>
      </c>
      <c r="E7475" s="704" t="s">
        <v>861</v>
      </c>
      <c r="F7475" s="708"/>
      <c r="G7475" s="705">
        <v>120.4433514679905</v>
      </c>
    </row>
    <row r="7476" spans="2:7" ht="11.25" hidden="1" customHeight="1" outlineLevel="2" x14ac:dyDescent="0.25">
      <c r="B7476" s="704" t="s">
        <v>684</v>
      </c>
      <c r="C7476" s="704" t="s">
        <v>867</v>
      </c>
      <c r="D7476" s="704" t="s">
        <v>675</v>
      </c>
      <c r="E7476" s="704" t="s">
        <v>861</v>
      </c>
      <c r="F7476" s="708"/>
      <c r="G7476" s="705">
        <v>15.721421172273477</v>
      </c>
    </row>
    <row r="7477" spans="2:7" ht="11.25" hidden="1" customHeight="1" outlineLevel="2" x14ac:dyDescent="0.25">
      <c r="B7477" s="704" t="s">
        <v>685</v>
      </c>
      <c r="C7477" s="704" t="s">
        <v>867</v>
      </c>
      <c r="D7477" s="704" t="s">
        <v>675</v>
      </c>
      <c r="E7477" s="704" t="s">
        <v>861</v>
      </c>
      <c r="F7477" s="708"/>
      <c r="G7477" s="705">
        <v>144.54318271372466</v>
      </c>
    </row>
    <row r="7478" spans="2:7" ht="11.25" hidden="1" customHeight="1" outlineLevel="2" x14ac:dyDescent="0.25">
      <c r="B7478" s="704" t="s">
        <v>686</v>
      </c>
      <c r="C7478" s="704" t="s">
        <v>867</v>
      </c>
      <c r="D7478" s="704" t="s">
        <v>675</v>
      </c>
      <c r="E7478" s="704" t="s">
        <v>861</v>
      </c>
      <c r="F7478" s="708"/>
      <c r="G7478" s="705">
        <v>33.983356105972206</v>
      </c>
    </row>
    <row r="7479" spans="2:7" ht="11.25" hidden="1" customHeight="1" outlineLevel="2" x14ac:dyDescent="0.25">
      <c r="B7479" s="704" t="s">
        <v>687</v>
      </c>
      <c r="C7479" s="704" t="s">
        <v>867</v>
      </c>
      <c r="D7479" s="704" t="s">
        <v>675</v>
      </c>
      <c r="E7479" s="704" t="s">
        <v>861</v>
      </c>
      <c r="F7479" s="708"/>
      <c r="G7479" s="705">
        <v>174.07522543603619</v>
      </c>
    </row>
    <row r="7480" spans="2:7" ht="11.25" hidden="1" customHeight="1" outlineLevel="2" x14ac:dyDescent="0.25">
      <c r="B7480" s="704" t="s">
        <v>688</v>
      </c>
      <c r="C7480" s="704" t="s">
        <v>867</v>
      </c>
      <c r="D7480" s="704" t="s">
        <v>675</v>
      </c>
      <c r="E7480" s="704" t="s">
        <v>861</v>
      </c>
      <c r="F7480" s="708"/>
      <c r="G7480" s="705">
        <v>124.9485137819272</v>
      </c>
    </row>
    <row r="7481" spans="2:7" ht="11.25" hidden="1" customHeight="1" outlineLevel="2" x14ac:dyDescent="0.25">
      <c r="B7481" s="704" t="s">
        <v>689</v>
      </c>
      <c r="C7481" s="704" t="s">
        <v>867</v>
      </c>
      <c r="D7481" s="704" t="s">
        <v>675</v>
      </c>
      <c r="E7481" s="704" t="s">
        <v>861</v>
      </c>
      <c r="F7481" s="708"/>
      <c r="G7481" s="705">
        <v>18.473477013615259</v>
      </c>
    </row>
    <row r="7482" spans="2:7" ht="11.25" hidden="1" customHeight="1" outlineLevel="2" x14ac:dyDescent="0.25">
      <c r="B7482" s="704" t="s">
        <v>690</v>
      </c>
      <c r="C7482" s="704" t="s">
        <v>867</v>
      </c>
      <c r="D7482" s="704" t="s">
        <v>675</v>
      </c>
      <c r="E7482" s="704" t="s">
        <v>861</v>
      </c>
      <c r="F7482" s="708"/>
      <c r="G7482" s="705">
        <v>406.72443807191718</v>
      </c>
    </row>
    <row r="7483" spans="2:7" ht="11.25" hidden="1" customHeight="1" outlineLevel="2" x14ac:dyDescent="0.25">
      <c r="B7483" s="704" t="s">
        <v>691</v>
      </c>
      <c r="C7483" s="704" t="s">
        <v>867</v>
      </c>
      <c r="D7483" s="704" t="s">
        <v>675</v>
      </c>
      <c r="E7483" s="704" t="s">
        <v>861</v>
      </c>
      <c r="F7483" s="708"/>
      <c r="G7483" s="705">
        <v>464.49204120692912</v>
      </c>
    </row>
    <row r="7484" spans="2:7" ht="11.25" hidden="1" customHeight="1" outlineLevel="2" x14ac:dyDescent="0.25">
      <c r="B7484" s="704" t="s">
        <v>692</v>
      </c>
      <c r="C7484" s="704" t="s">
        <v>867</v>
      </c>
      <c r="D7484" s="704" t="s">
        <v>675</v>
      </c>
      <c r="E7484" s="704" t="s">
        <v>861</v>
      </c>
      <c r="F7484" s="708"/>
      <c r="G7484" s="705">
        <v>27.162338682803796</v>
      </c>
    </row>
    <row r="7485" spans="2:7" ht="11.25" hidden="1" customHeight="1" outlineLevel="2" x14ac:dyDescent="0.25">
      <c r="B7485" s="704" t="s">
        <v>693</v>
      </c>
      <c r="C7485" s="704" t="s">
        <v>867</v>
      </c>
      <c r="D7485" s="704" t="s">
        <v>675</v>
      </c>
      <c r="E7485" s="704" t="s">
        <v>861</v>
      </c>
      <c r="F7485" s="708"/>
      <c r="G7485" s="705">
        <v>67.802591668293076</v>
      </c>
    </row>
    <row r="7486" spans="2:7" ht="11.25" hidden="1" customHeight="1" outlineLevel="2" x14ac:dyDescent="0.25">
      <c r="B7486" s="704" t="s">
        <v>694</v>
      </c>
      <c r="C7486" s="704" t="s">
        <v>867</v>
      </c>
      <c r="D7486" s="704" t="s">
        <v>675</v>
      </c>
      <c r="E7486" s="704" t="s">
        <v>861</v>
      </c>
      <c r="F7486" s="708"/>
      <c r="G7486" s="705">
        <v>7.6014656051805343</v>
      </c>
    </row>
    <row r="7487" spans="2:7" ht="11.25" hidden="1" customHeight="1" outlineLevel="2" x14ac:dyDescent="0.25">
      <c r="B7487" s="704" t="s">
        <v>695</v>
      </c>
      <c r="C7487" s="704" t="s">
        <v>867</v>
      </c>
      <c r="D7487" s="704" t="s">
        <v>675</v>
      </c>
      <c r="E7487" s="704" t="s">
        <v>861</v>
      </c>
      <c r="F7487" s="708"/>
      <c r="G7487" s="705">
        <v>36.056047656655529</v>
      </c>
    </row>
    <row r="7488" spans="2:7" ht="11.25" hidden="1" customHeight="1" outlineLevel="2" x14ac:dyDescent="0.25">
      <c r="B7488" s="704" t="s">
        <v>696</v>
      </c>
      <c r="C7488" s="704" t="s">
        <v>867</v>
      </c>
      <c r="D7488" s="704" t="s">
        <v>675</v>
      </c>
      <c r="E7488" s="704" t="s">
        <v>861</v>
      </c>
      <c r="F7488" s="708"/>
      <c r="G7488" s="705">
        <v>90.087534528183909</v>
      </c>
    </row>
    <row r="7489" spans="2:7" ht="11.25" hidden="1" customHeight="1" outlineLevel="2" x14ac:dyDescent="0.25">
      <c r="B7489" s="704" t="s">
        <v>697</v>
      </c>
      <c r="C7489" s="704" t="s">
        <v>867</v>
      </c>
      <c r="D7489" s="704" t="s">
        <v>675</v>
      </c>
      <c r="E7489" s="704" t="s">
        <v>861</v>
      </c>
      <c r="F7489" s="708"/>
      <c r="G7489" s="705">
        <v>49.289541480635279</v>
      </c>
    </row>
    <row r="7490" spans="2:7" ht="11.25" hidden="1" customHeight="1" outlineLevel="2" x14ac:dyDescent="0.25">
      <c r="B7490" s="704" t="s">
        <v>698</v>
      </c>
      <c r="C7490" s="704" t="s">
        <v>867</v>
      </c>
      <c r="D7490" s="704" t="s">
        <v>675</v>
      </c>
      <c r="E7490" s="704" t="s">
        <v>861</v>
      </c>
      <c r="F7490" s="708"/>
      <c r="G7490" s="705">
        <v>54.124237331466603</v>
      </c>
    </row>
    <row r="7491" spans="2:7" ht="11.25" hidden="1" customHeight="1" outlineLevel="2" x14ac:dyDescent="0.25">
      <c r="B7491" s="704" t="s">
        <v>699</v>
      </c>
      <c r="C7491" s="704" t="s">
        <v>867</v>
      </c>
      <c r="D7491" s="704" t="s">
        <v>675</v>
      </c>
      <c r="E7491" s="704" t="s">
        <v>861</v>
      </c>
      <c r="F7491" s="708"/>
      <c r="G7491" s="705">
        <v>6.469651473654982E-31</v>
      </c>
    </row>
    <row r="7492" spans="2:7" ht="11.25" hidden="1" customHeight="1" outlineLevel="2" x14ac:dyDescent="0.25">
      <c r="B7492" s="704" t="s">
        <v>673</v>
      </c>
      <c r="C7492" s="704" t="s">
        <v>868</v>
      </c>
      <c r="D7492" s="704" t="s">
        <v>675</v>
      </c>
      <c r="E7492" s="704" t="s">
        <v>861</v>
      </c>
      <c r="F7492" s="708"/>
      <c r="G7492" s="705">
        <v>10.456299590518821</v>
      </c>
    </row>
    <row r="7493" spans="2:7" ht="11.25" hidden="1" customHeight="1" outlineLevel="2" x14ac:dyDescent="0.25">
      <c r="B7493" s="704" t="s">
        <v>677</v>
      </c>
      <c r="C7493" s="704" t="s">
        <v>868</v>
      </c>
      <c r="D7493" s="704" t="s">
        <v>675</v>
      </c>
      <c r="E7493" s="704" t="s">
        <v>861</v>
      </c>
      <c r="F7493" s="705">
        <v>5.0830889194446362E-3</v>
      </c>
      <c r="G7493" s="705">
        <v>173.52055990953764</v>
      </c>
    </row>
    <row r="7494" spans="2:7" ht="11.25" hidden="1" customHeight="1" outlineLevel="2" x14ac:dyDescent="0.25">
      <c r="B7494" s="704" t="s">
        <v>678</v>
      </c>
      <c r="C7494" s="704" t="s">
        <v>868</v>
      </c>
      <c r="D7494" s="704" t="s">
        <v>675</v>
      </c>
      <c r="E7494" s="704" t="s">
        <v>861</v>
      </c>
      <c r="F7494" s="708"/>
      <c r="G7494" s="705">
        <v>401.92830682243039</v>
      </c>
    </row>
    <row r="7495" spans="2:7" ht="11.25" hidden="1" customHeight="1" outlineLevel="2" x14ac:dyDescent="0.25">
      <c r="B7495" s="704" t="s">
        <v>679</v>
      </c>
      <c r="C7495" s="704" t="s">
        <v>868</v>
      </c>
      <c r="D7495" s="704" t="s">
        <v>675</v>
      </c>
      <c r="E7495" s="704" t="s">
        <v>861</v>
      </c>
      <c r="F7495" s="708"/>
      <c r="G7495" s="705">
        <v>32.617341235493107</v>
      </c>
    </row>
    <row r="7496" spans="2:7" ht="11.25" hidden="1" customHeight="1" outlineLevel="2" x14ac:dyDescent="0.25">
      <c r="B7496" s="704" t="s">
        <v>680</v>
      </c>
      <c r="C7496" s="704" t="s">
        <v>868</v>
      </c>
      <c r="D7496" s="704" t="s">
        <v>675</v>
      </c>
      <c r="E7496" s="704" t="s">
        <v>861</v>
      </c>
      <c r="F7496" s="708"/>
      <c r="G7496" s="705">
        <v>6.0455305156030983</v>
      </c>
    </row>
    <row r="7497" spans="2:7" ht="11.25" hidden="1" customHeight="1" outlineLevel="2" x14ac:dyDescent="0.25">
      <c r="B7497" s="704" t="s">
        <v>681</v>
      </c>
      <c r="C7497" s="704" t="s">
        <v>868</v>
      </c>
      <c r="D7497" s="704" t="s">
        <v>675</v>
      </c>
      <c r="E7497" s="704" t="s">
        <v>861</v>
      </c>
      <c r="F7497" s="708"/>
      <c r="G7497" s="705">
        <v>50.992131232133978</v>
      </c>
    </row>
    <row r="7498" spans="2:7" ht="11.25" hidden="1" customHeight="1" outlineLevel="2" x14ac:dyDescent="0.25">
      <c r="B7498" s="704" t="s">
        <v>682</v>
      </c>
      <c r="C7498" s="704" t="s">
        <v>868</v>
      </c>
      <c r="D7498" s="704" t="s">
        <v>675</v>
      </c>
      <c r="E7498" s="704" t="s">
        <v>861</v>
      </c>
      <c r="F7498" s="708"/>
      <c r="G7498" s="705">
        <v>44.763280068272543</v>
      </c>
    </row>
    <row r="7499" spans="2:7" ht="11.25" hidden="1" customHeight="1" outlineLevel="2" x14ac:dyDescent="0.25">
      <c r="B7499" s="704" t="s">
        <v>683</v>
      </c>
      <c r="C7499" s="704" t="s">
        <v>868</v>
      </c>
      <c r="D7499" s="704" t="s">
        <v>675</v>
      </c>
      <c r="E7499" s="704" t="s">
        <v>861</v>
      </c>
      <c r="F7499" s="708"/>
      <c r="G7499" s="705">
        <v>74.341238947279678</v>
      </c>
    </row>
    <row r="7500" spans="2:7" ht="11.25" hidden="1" customHeight="1" outlineLevel="2" x14ac:dyDescent="0.25">
      <c r="B7500" s="704" t="s">
        <v>684</v>
      </c>
      <c r="C7500" s="704" t="s">
        <v>868</v>
      </c>
      <c r="D7500" s="704" t="s">
        <v>675</v>
      </c>
      <c r="E7500" s="704" t="s">
        <v>861</v>
      </c>
      <c r="F7500" s="708"/>
      <c r="G7500" s="705">
        <v>9.8229266689795338</v>
      </c>
    </row>
    <row r="7501" spans="2:7" ht="11.25" hidden="1" customHeight="1" outlineLevel="2" x14ac:dyDescent="0.25">
      <c r="B7501" s="704" t="s">
        <v>685</v>
      </c>
      <c r="C7501" s="704" t="s">
        <v>868</v>
      </c>
      <c r="D7501" s="704" t="s">
        <v>675</v>
      </c>
      <c r="E7501" s="704" t="s">
        <v>861</v>
      </c>
      <c r="F7501" s="708"/>
      <c r="G7501" s="705">
        <v>89.216370446838951</v>
      </c>
    </row>
    <row r="7502" spans="2:7" ht="11.25" hidden="1" customHeight="1" outlineLevel="2" x14ac:dyDescent="0.25">
      <c r="B7502" s="704" t="s">
        <v>686</v>
      </c>
      <c r="C7502" s="704" t="s">
        <v>868</v>
      </c>
      <c r="D7502" s="704" t="s">
        <v>675</v>
      </c>
      <c r="E7502" s="704" t="s">
        <v>861</v>
      </c>
      <c r="F7502" s="708"/>
      <c r="G7502" s="705">
        <v>20.975539936122637</v>
      </c>
    </row>
    <row r="7503" spans="2:7" ht="11.25" hidden="1" customHeight="1" outlineLevel="2" x14ac:dyDescent="0.25">
      <c r="B7503" s="704" t="s">
        <v>687</v>
      </c>
      <c r="C7503" s="704" t="s">
        <v>868</v>
      </c>
      <c r="D7503" s="704" t="s">
        <v>675</v>
      </c>
      <c r="E7503" s="704" t="s">
        <v>861</v>
      </c>
      <c r="F7503" s="708"/>
      <c r="G7503" s="705">
        <v>107.44442346760717</v>
      </c>
    </row>
    <row r="7504" spans="2:7" ht="11.25" hidden="1" customHeight="1" outlineLevel="2" x14ac:dyDescent="0.25">
      <c r="B7504" s="704" t="s">
        <v>688</v>
      </c>
      <c r="C7504" s="704" t="s">
        <v>868</v>
      </c>
      <c r="D7504" s="704" t="s">
        <v>675</v>
      </c>
      <c r="E7504" s="704" t="s">
        <v>861</v>
      </c>
      <c r="F7504" s="708"/>
      <c r="G7504" s="705">
        <v>77.121963701916073</v>
      </c>
    </row>
    <row r="7505" spans="2:7" ht="11.25" hidden="1" customHeight="1" outlineLevel="2" x14ac:dyDescent="0.25">
      <c r="B7505" s="704" t="s">
        <v>689</v>
      </c>
      <c r="C7505" s="704" t="s">
        <v>868</v>
      </c>
      <c r="D7505" s="704" t="s">
        <v>675</v>
      </c>
      <c r="E7505" s="704" t="s">
        <v>861</v>
      </c>
      <c r="F7505" s="708"/>
      <c r="G7505" s="705">
        <v>11.40238065142087</v>
      </c>
    </row>
    <row r="7506" spans="2:7" ht="11.25" hidden="1" customHeight="1" outlineLevel="2" x14ac:dyDescent="0.25">
      <c r="B7506" s="704" t="s">
        <v>690</v>
      </c>
      <c r="C7506" s="704" t="s">
        <v>868</v>
      </c>
      <c r="D7506" s="704" t="s">
        <v>675</v>
      </c>
      <c r="E7506" s="704" t="s">
        <v>861</v>
      </c>
      <c r="F7506" s="709"/>
      <c r="G7506" s="705">
        <v>251.04245700371214</v>
      </c>
    </row>
    <row r="7507" spans="2:7" ht="11.25" hidden="1" customHeight="1" outlineLevel="2" x14ac:dyDescent="0.25">
      <c r="B7507" s="704" t="s">
        <v>691</v>
      </c>
      <c r="C7507" s="704" t="s">
        <v>868</v>
      </c>
      <c r="D7507" s="704" t="s">
        <v>675</v>
      </c>
      <c r="E7507" s="704" t="s">
        <v>861</v>
      </c>
      <c r="F7507" s="709"/>
      <c r="G7507" s="705">
        <v>286.69836751273556</v>
      </c>
    </row>
    <row r="7508" spans="2:7" ht="11.25" hidden="1" customHeight="1" outlineLevel="2" x14ac:dyDescent="0.25">
      <c r="B7508" s="704" t="s">
        <v>692</v>
      </c>
      <c r="C7508" s="704" t="s">
        <v>868</v>
      </c>
      <c r="D7508" s="704" t="s">
        <v>675</v>
      </c>
      <c r="E7508" s="704" t="s">
        <v>861</v>
      </c>
      <c r="F7508" s="709"/>
      <c r="G7508" s="705">
        <v>16.765403730806362</v>
      </c>
    </row>
    <row r="7509" spans="2:7" ht="11.25" hidden="1" customHeight="1" outlineLevel="2" x14ac:dyDescent="0.25">
      <c r="B7509" s="704" t="s">
        <v>693</v>
      </c>
      <c r="C7509" s="704" t="s">
        <v>868</v>
      </c>
      <c r="D7509" s="704" t="s">
        <v>675</v>
      </c>
      <c r="E7509" s="704" t="s">
        <v>861</v>
      </c>
      <c r="F7509" s="709"/>
      <c r="G7509" s="705">
        <v>41.849780217737319</v>
      </c>
    </row>
    <row r="7510" spans="2:7" ht="11.25" hidden="1" customHeight="1" outlineLevel="2" x14ac:dyDescent="0.25">
      <c r="B7510" s="704" t="s">
        <v>694</v>
      </c>
      <c r="C7510" s="704" t="s">
        <v>868</v>
      </c>
      <c r="D7510" s="704" t="s">
        <v>675</v>
      </c>
      <c r="E7510" s="704" t="s">
        <v>861</v>
      </c>
      <c r="F7510" s="709"/>
      <c r="G7510" s="705">
        <v>4.6918508446314764</v>
      </c>
    </row>
    <row r="7511" spans="2:7" ht="11.25" hidden="1" customHeight="1" outlineLevel="2" x14ac:dyDescent="0.25">
      <c r="B7511" s="704" t="s">
        <v>695</v>
      </c>
      <c r="C7511" s="704" t="s">
        <v>868</v>
      </c>
      <c r="D7511" s="704" t="s">
        <v>675</v>
      </c>
      <c r="E7511" s="704" t="s">
        <v>861</v>
      </c>
      <c r="F7511" s="709"/>
      <c r="G7511" s="705">
        <v>22.254863428397258</v>
      </c>
    </row>
    <row r="7512" spans="2:7" ht="11.25" hidden="1" customHeight="1" outlineLevel="2" x14ac:dyDescent="0.25">
      <c r="B7512" s="704" t="s">
        <v>696</v>
      </c>
      <c r="C7512" s="704" t="s">
        <v>868</v>
      </c>
      <c r="D7512" s="704" t="s">
        <v>675</v>
      </c>
      <c r="E7512" s="704" t="s">
        <v>861</v>
      </c>
      <c r="F7512" s="709"/>
      <c r="G7512" s="705">
        <v>55.604707933701746</v>
      </c>
    </row>
    <row r="7513" spans="2:7" ht="11.25" hidden="1" customHeight="1" outlineLevel="2" x14ac:dyDescent="0.25">
      <c r="B7513" s="704" t="s">
        <v>697</v>
      </c>
      <c r="C7513" s="704" t="s">
        <v>868</v>
      </c>
      <c r="D7513" s="704" t="s">
        <v>675</v>
      </c>
      <c r="E7513" s="704" t="s">
        <v>861</v>
      </c>
      <c r="F7513" s="709"/>
      <c r="G7513" s="705">
        <v>30.422973709045671</v>
      </c>
    </row>
    <row r="7514" spans="2:7" ht="11.25" hidden="1" customHeight="1" outlineLevel="2" x14ac:dyDescent="0.25">
      <c r="B7514" s="704" t="s">
        <v>698</v>
      </c>
      <c r="C7514" s="704" t="s">
        <v>868</v>
      </c>
      <c r="D7514" s="704" t="s">
        <v>675</v>
      </c>
      <c r="E7514" s="704" t="s">
        <v>861</v>
      </c>
      <c r="F7514" s="709"/>
      <c r="G7514" s="705">
        <v>33.40708843956277</v>
      </c>
    </row>
    <row r="7515" spans="2:7" ht="11.25" hidden="1" customHeight="1" outlineLevel="2" x14ac:dyDescent="0.25">
      <c r="B7515" s="704" t="s">
        <v>699</v>
      </c>
      <c r="C7515" s="704" t="s">
        <v>868</v>
      </c>
      <c r="D7515" s="704" t="s">
        <v>675</v>
      </c>
      <c r="E7515" s="704" t="s">
        <v>861</v>
      </c>
      <c r="F7515" s="709"/>
      <c r="G7515" s="705">
        <v>2.7786197671643139E-30</v>
      </c>
    </row>
    <row r="7516" spans="2:7" ht="11.25" hidden="1" customHeight="1" outlineLevel="2" x14ac:dyDescent="0.25">
      <c r="B7516" s="704" t="s">
        <v>673</v>
      </c>
      <c r="C7516" s="704" t="s">
        <v>869</v>
      </c>
      <c r="D7516" s="704" t="s">
        <v>675</v>
      </c>
      <c r="E7516" s="704" t="s">
        <v>861</v>
      </c>
      <c r="F7516" s="709"/>
      <c r="G7516" s="705">
        <v>31.221973803910892</v>
      </c>
    </row>
    <row r="7517" spans="2:7" ht="11.25" hidden="1" customHeight="1" outlineLevel="2" x14ac:dyDescent="0.25">
      <c r="B7517" s="704" t="s">
        <v>677</v>
      </c>
      <c r="C7517" s="704" t="s">
        <v>869</v>
      </c>
      <c r="D7517" s="704" t="s">
        <v>675</v>
      </c>
      <c r="E7517" s="704" t="s">
        <v>861</v>
      </c>
      <c r="F7517" s="706">
        <v>2.8102835609977304E-2</v>
      </c>
      <c r="G7517" s="705">
        <v>518.12367756493836</v>
      </c>
    </row>
    <row r="7518" spans="2:7" ht="11.25" hidden="1" customHeight="1" outlineLevel="2" x14ac:dyDescent="0.25">
      <c r="B7518" s="704" t="s">
        <v>678</v>
      </c>
      <c r="C7518" s="704" t="s">
        <v>869</v>
      </c>
      <c r="D7518" s="704" t="s">
        <v>675</v>
      </c>
      <c r="E7518" s="704" t="s">
        <v>861</v>
      </c>
      <c r="F7518" s="709"/>
      <c r="G7518" s="705">
        <v>1200.1375095642529</v>
      </c>
    </row>
    <row r="7519" spans="2:7" ht="11.25" hidden="1" customHeight="1" outlineLevel="2" x14ac:dyDescent="0.25">
      <c r="B7519" s="704" t="s">
        <v>679</v>
      </c>
      <c r="C7519" s="704" t="s">
        <v>869</v>
      </c>
      <c r="D7519" s="704" t="s">
        <v>675</v>
      </c>
      <c r="E7519" s="704" t="s">
        <v>861</v>
      </c>
      <c r="F7519" s="709"/>
      <c r="G7519" s="705">
        <v>97.393726055923537</v>
      </c>
    </row>
    <row r="7520" spans="2:7" ht="11.25" hidden="1" customHeight="1" outlineLevel="2" x14ac:dyDescent="0.25">
      <c r="B7520" s="704" t="s">
        <v>680</v>
      </c>
      <c r="C7520" s="704" t="s">
        <v>869</v>
      </c>
      <c r="D7520" s="704" t="s">
        <v>675</v>
      </c>
      <c r="E7520" s="704" t="s">
        <v>861</v>
      </c>
      <c r="F7520" s="709"/>
      <c r="G7520" s="705">
        <v>18.051650541280768</v>
      </c>
    </row>
    <row r="7521" spans="2:7" ht="11.25" hidden="1" customHeight="1" outlineLevel="2" x14ac:dyDescent="0.25">
      <c r="B7521" s="704" t="s">
        <v>681</v>
      </c>
      <c r="C7521" s="704" t="s">
        <v>869</v>
      </c>
      <c r="D7521" s="704" t="s">
        <v>675</v>
      </c>
      <c r="E7521" s="704" t="s">
        <v>861</v>
      </c>
      <c r="F7521" s="709"/>
      <c r="G7521" s="705">
        <v>152.25996813750803</v>
      </c>
    </row>
    <row r="7522" spans="2:7" ht="11.25" hidden="1" customHeight="1" outlineLevel="2" x14ac:dyDescent="0.25">
      <c r="B7522" s="704" t="s">
        <v>682</v>
      </c>
      <c r="C7522" s="704" t="s">
        <v>869</v>
      </c>
      <c r="D7522" s="704" t="s">
        <v>675</v>
      </c>
      <c r="E7522" s="704" t="s">
        <v>861</v>
      </c>
      <c r="F7522" s="709"/>
      <c r="G7522" s="705">
        <v>133.66089985389405</v>
      </c>
    </row>
    <row r="7523" spans="2:7" ht="11.25" hidden="1" customHeight="1" outlineLevel="2" x14ac:dyDescent="0.25">
      <c r="B7523" s="704" t="s">
        <v>683</v>
      </c>
      <c r="C7523" s="704" t="s">
        <v>869</v>
      </c>
      <c r="D7523" s="704" t="s">
        <v>675</v>
      </c>
      <c r="E7523" s="704" t="s">
        <v>861</v>
      </c>
      <c r="F7523" s="709"/>
      <c r="G7523" s="705">
        <v>221.97917186101347</v>
      </c>
    </row>
    <row r="7524" spans="2:7" ht="11.25" hidden="1" customHeight="1" outlineLevel="2" x14ac:dyDescent="0.25">
      <c r="B7524" s="704" t="s">
        <v>684</v>
      </c>
      <c r="C7524" s="704" t="s">
        <v>869</v>
      </c>
      <c r="D7524" s="704" t="s">
        <v>675</v>
      </c>
      <c r="E7524" s="704" t="s">
        <v>861</v>
      </c>
      <c r="F7524" s="709"/>
      <c r="G7524" s="705">
        <v>29.330773858277432</v>
      </c>
    </row>
    <row r="7525" spans="2:7" ht="11.25" hidden="1" customHeight="1" outlineLevel="2" x14ac:dyDescent="0.25">
      <c r="B7525" s="704" t="s">
        <v>685</v>
      </c>
      <c r="C7525" s="704" t="s">
        <v>869</v>
      </c>
      <c r="D7525" s="704" t="s">
        <v>675</v>
      </c>
      <c r="E7525" s="704" t="s">
        <v>861</v>
      </c>
      <c r="F7525" s="709"/>
      <c r="G7525" s="705">
        <v>266.39555730348502</v>
      </c>
    </row>
    <row r="7526" spans="2:7" ht="11.25" hidden="1" customHeight="1" outlineLevel="2" x14ac:dyDescent="0.25">
      <c r="B7526" s="704" t="s">
        <v>686</v>
      </c>
      <c r="C7526" s="704" t="s">
        <v>869</v>
      </c>
      <c r="D7526" s="704" t="s">
        <v>675</v>
      </c>
      <c r="E7526" s="704" t="s">
        <v>861</v>
      </c>
      <c r="F7526" s="709"/>
      <c r="G7526" s="705">
        <v>62.631890164390526</v>
      </c>
    </row>
    <row r="7527" spans="2:7" ht="11.25" hidden="1" customHeight="1" outlineLevel="2" x14ac:dyDescent="0.25">
      <c r="B7527" s="704" t="s">
        <v>687</v>
      </c>
      <c r="C7527" s="704" t="s">
        <v>869</v>
      </c>
      <c r="D7527" s="704" t="s">
        <v>675</v>
      </c>
      <c r="E7527" s="704" t="s">
        <v>861</v>
      </c>
      <c r="F7527" s="709"/>
      <c r="G7527" s="705">
        <v>320.82367647194184</v>
      </c>
    </row>
    <row r="7528" spans="2:7" ht="11.25" hidden="1" customHeight="1" outlineLevel="2" x14ac:dyDescent="0.25">
      <c r="B7528" s="704" t="s">
        <v>688</v>
      </c>
      <c r="C7528" s="704" t="s">
        <v>869</v>
      </c>
      <c r="D7528" s="704" t="s">
        <v>675</v>
      </c>
      <c r="E7528" s="704" t="s">
        <v>861</v>
      </c>
      <c r="F7528" s="709"/>
      <c r="G7528" s="705">
        <v>230.2822464098368</v>
      </c>
    </row>
    <row r="7529" spans="2:7" ht="11.25" hidden="1" customHeight="1" outlineLevel="2" x14ac:dyDescent="0.25">
      <c r="B7529" s="704" t="s">
        <v>689</v>
      </c>
      <c r="C7529" s="704" t="s">
        <v>869</v>
      </c>
      <c r="D7529" s="704" t="s">
        <v>675</v>
      </c>
      <c r="E7529" s="704" t="s">
        <v>861</v>
      </c>
      <c r="F7529" s="709"/>
      <c r="G7529" s="705">
        <v>34.046934780157393</v>
      </c>
    </row>
    <row r="7530" spans="2:7" ht="11.25" hidden="1" customHeight="1" outlineLevel="2" x14ac:dyDescent="0.25">
      <c r="B7530" s="704" t="s">
        <v>690</v>
      </c>
      <c r="C7530" s="704" t="s">
        <v>869</v>
      </c>
      <c r="D7530" s="704" t="s">
        <v>675</v>
      </c>
      <c r="E7530" s="704" t="s">
        <v>861</v>
      </c>
      <c r="F7530" s="709"/>
      <c r="G7530" s="705">
        <v>749.60011428577025</v>
      </c>
    </row>
    <row r="7531" spans="2:7" ht="11.25" hidden="1" customHeight="1" outlineLevel="2" x14ac:dyDescent="0.25">
      <c r="B7531" s="704" t="s">
        <v>691</v>
      </c>
      <c r="C7531" s="704" t="s">
        <v>869</v>
      </c>
      <c r="D7531" s="704" t="s">
        <v>675</v>
      </c>
      <c r="E7531" s="704" t="s">
        <v>861</v>
      </c>
      <c r="F7531" s="708"/>
      <c r="G7531" s="705">
        <v>856.06689677784027</v>
      </c>
    </row>
    <row r="7532" spans="2:7" ht="11.25" hidden="1" customHeight="1" outlineLevel="2" x14ac:dyDescent="0.25">
      <c r="B7532" s="704" t="s">
        <v>692</v>
      </c>
      <c r="C7532" s="704" t="s">
        <v>869</v>
      </c>
      <c r="D7532" s="704" t="s">
        <v>675</v>
      </c>
      <c r="E7532" s="704" t="s">
        <v>861</v>
      </c>
      <c r="F7532" s="708"/>
      <c r="G7532" s="705">
        <v>50.060648739364822</v>
      </c>
    </row>
    <row r="7533" spans="2:7" ht="11.25" hidden="1" customHeight="1" outlineLevel="2" x14ac:dyDescent="0.25">
      <c r="B7533" s="704" t="s">
        <v>693</v>
      </c>
      <c r="C7533" s="704" t="s">
        <v>869</v>
      </c>
      <c r="D7533" s="704" t="s">
        <v>675</v>
      </c>
      <c r="E7533" s="704" t="s">
        <v>861</v>
      </c>
      <c r="F7533" s="708"/>
      <c r="G7533" s="705">
        <v>124.96130499749989</v>
      </c>
    </row>
    <row r="7534" spans="2:7" ht="11.25" hidden="1" customHeight="1" outlineLevel="2" x14ac:dyDescent="0.25">
      <c r="B7534" s="704" t="s">
        <v>694</v>
      </c>
      <c r="C7534" s="704" t="s">
        <v>869</v>
      </c>
      <c r="D7534" s="704" t="s">
        <v>675</v>
      </c>
      <c r="E7534" s="704" t="s">
        <v>861</v>
      </c>
      <c r="F7534" s="708"/>
      <c r="G7534" s="705">
        <v>14.009626703456695</v>
      </c>
    </row>
    <row r="7535" spans="2:7" ht="11.25" hidden="1" customHeight="1" outlineLevel="2" x14ac:dyDescent="0.25">
      <c r="B7535" s="704" t="s">
        <v>695</v>
      </c>
      <c r="C7535" s="704" t="s">
        <v>869</v>
      </c>
      <c r="D7535" s="704" t="s">
        <v>675</v>
      </c>
      <c r="E7535" s="704" t="s">
        <v>861</v>
      </c>
      <c r="F7535" s="708"/>
      <c r="G7535" s="705">
        <v>66.451922526603866</v>
      </c>
    </row>
    <row r="7536" spans="2:7" ht="11.25" hidden="1" customHeight="1" outlineLevel="2" x14ac:dyDescent="0.25">
      <c r="B7536" s="704" t="s">
        <v>696</v>
      </c>
      <c r="C7536" s="704" t="s">
        <v>869</v>
      </c>
      <c r="D7536" s="704" t="s">
        <v>675</v>
      </c>
      <c r="E7536" s="704" t="s">
        <v>861</v>
      </c>
      <c r="F7536" s="708"/>
      <c r="G7536" s="705">
        <v>166.03286075580235</v>
      </c>
    </row>
    <row r="7537" spans="2:7" ht="11.25" hidden="1" customHeight="1" outlineLevel="2" x14ac:dyDescent="0.25">
      <c r="B7537" s="704" t="s">
        <v>697</v>
      </c>
      <c r="C7537" s="704" t="s">
        <v>869</v>
      </c>
      <c r="D7537" s="704" t="s">
        <v>675</v>
      </c>
      <c r="E7537" s="704" t="s">
        <v>861</v>
      </c>
      <c r="F7537" s="708"/>
      <c r="G7537" s="705">
        <v>90.841460488144136</v>
      </c>
    </row>
    <row r="7538" spans="2:7" ht="11.25" hidden="1" customHeight="1" outlineLevel="2" x14ac:dyDescent="0.25">
      <c r="B7538" s="704" t="s">
        <v>698</v>
      </c>
      <c r="C7538" s="704" t="s">
        <v>869</v>
      </c>
      <c r="D7538" s="704" t="s">
        <v>675</v>
      </c>
      <c r="E7538" s="704" t="s">
        <v>861</v>
      </c>
      <c r="F7538" s="708"/>
      <c r="G7538" s="705">
        <v>99.751861662577539</v>
      </c>
    </row>
    <row r="7539" spans="2:7" ht="11.25" hidden="1" customHeight="1" outlineLevel="2" x14ac:dyDescent="0.25">
      <c r="B7539" s="704" t="s">
        <v>699</v>
      </c>
      <c r="C7539" s="704" t="s">
        <v>869</v>
      </c>
      <c r="D7539" s="704" t="s">
        <v>675</v>
      </c>
      <c r="E7539" s="704" t="s">
        <v>861</v>
      </c>
      <c r="F7539" s="708"/>
      <c r="G7539" s="705">
        <v>3.2943024353921524E-30</v>
      </c>
    </row>
    <row r="7540" spans="2:7" ht="11.25" hidden="1" customHeight="1" outlineLevel="2" x14ac:dyDescent="0.25">
      <c r="B7540" s="704" t="s">
        <v>673</v>
      </c>
      <c r="C7540" s="704" t="s">
        <v>870</v>
      </c>
      <c r="D7540" s="704" t="s">
        <v>675</v>
      </c>
      <c r="E7540" s="704" t="s">
        <v>861</v>
      </c>
      <c r="F7540" s="708"/>
      <c r="G7540" s="705">
        <v>134.10446074404604</v>
      </c>
    </row>
    <row r="7541" spans="2:7" ht="11.25" hidden="1" customHeight="1" outlineLevel="2" x14ac:dyDescent="0.25">
      <c r="B7541" s="704" t="s">
        <v>677</v>
      </c>
      <c r="C7541" s="704" t="s">
        <v>870</v>
      </c>
      <c r="D7541" s="704" t="s">
        <v>675</v>
      </c>
      <c r="E7541" s="704" t="s">
        <v>861</v>
      </c>
      <c r="F7541" s="705">
        <v>7.3184321258552329E-2</v>
      </c>
      <c r="G7541" s="705">
        <v>2225.4420124042695</v>
      </c>
    </row>
    <row r="7542" spans="2:7" ht="11.25" hidden="1" customHeight="1" outlineLevel="2" x14ac:dyDescent="0.25">
      <c r="B7542" s="704" t="s">
        <v>678</v>
      </c>
      <c r="C7542" s="704" t="s">
        <v>870</v>
      </c>
      <c r="D7542" s="704" t="s">
        <v>675</v>
      </c>
      <c r="E7542" s="704" t="s">
        <v>861</v>
      </c>
      <c r="F7542" s="708"/>
      <c r="G7542" s="705">
        <v>5154.8242571513438</v>
      </c>
    </row>
    <row r="7543" spans="2:7" ht="11.25" hidden="1" customHeight="1" outlineLevel="2" x14ac:dyDescent="0.25">
      <c r="B7543" s="704" t="s">
        <v>679</v>
      </c>
      <c r="C7543" s="704" t="s">
        <v>870</v>
      </c>
      <c r="D7543" s="704" t="s">
        <v>675</v>
      </c>
      <c r="E7543" s="704" t="s">
        <v>861</v>
      </c>
      <c r="F7543" s="708"/>
      <c r="G7543" s="705">
        <v>418.32504797581595</v>
      </c>
    </row>
    <row r="7544" spans="2:7" ht="11.25" hidden="1" customHeight="1" outlineLevel="2" x14ac:dyDescent="0.25">
      <c r="B7544" s="704" t="s">
        <v>680</v>
      </c>
      <c r="C7544" s="704" t="s">
        <v>870</v>
      </c>
      <c r="D7544" s="704" t="s">
        <v>675</v>
      </c>
      <c r="E7544" s="704" t="s">
        <v>861</v>
      </c>
      <c r="F7544" s="708"/>
      <c r="G7544" s="705">
        <v>77.535347406392361</v>
      </c>
    </row>
    <row r="7545" spans="2:7" ht="11.25" hidden="1" customHeight="1" outlineLevel="2" x14ac:dyDescent="0.25">
      <c r="B7545" s="704" t="s">
        <v>681</v>
      </c>
      <c r="C7545" s="704" t="s">
        <v>870</v>
      </c>
      <c r="D7545" s="704" t="s">
        <v>675</v>
      </c>
      <c r="E7545" s="704" t="s">
        <v>861</v>
      </c>
      <c r="F7545" s="708"/>
      <c r="G7545" s="705">
        <v>653.98603693894279</v>
      </c>
    </row>
    <row r="7546" spans="2:7" ht="11.25" hidden="1" customHeight="1" outlineLevel="2" x14ac:dyDescent="0.25">
      <c r="B7546" s="704" t="s">
        <v>682</v>
      </c>
      <c r="C7546" s="704" t="s">
        <v>870</v>
      </c>
      <c r="D7546" s="704" t="s">
        <v>675</v>
      </c>
      <c r="E7546" s="704" t="s">
        <v>861</v>
      </c>
      <c r="F7546" s="708"/>
      <c r="G7546" s="705">
        <v>574.0996435655037</v>
      </c>
    </row>
    <row r="7547" spans="2:7" ht="11.25" hidden="1" customHeight="1" outlineLevel="2" x14ac:dyDescent="0.25">
      <c r="B7547" s="704" t="s">
        <v>683</v>
      </c>
      <c r="C7547" s="704" t="s">
        <v>870</v>
      </c>
      <c r="D7547" s="704" t="s">
        <v>675</v>
      </c>
      <c r="E7547" s="704" t="s">
        <v>861</v>
      </c>
      <c r="F7547" s="708"/>
      <c r="G7547" s="705">
        <v>953.44394057660077</v>
      </c>
    </row>
    <row r="7548" spans="2:7" ht="11.25" hidden="1" customHeight="1" outlineLevel="2" x14ac:dyDescent="0.25">
      <c r="B7548" s="704" t="s">
        <v>684</v>
      </c>
      <c r="C7548" s="704" t="s">
        <v>870</v>
      </c>
      <c r="D7548" s="704" t="s">
        <v>675</v>
      </c>
      <c r="E7548" s="704" t="s">
        <v>861</v>
      </c>
      <c r="F7548" s="708"/>
      <c r="G7548" s="705">
        <v>125.98137069606663</v>
      </c>
    </row>
    <row r="7549" spans="2:7" ht="11.25" hidden="1" customHeight="1" outlineLevel="2" x14ac:dyDescent="0.25">
      <c r="B7549" s="704" t="s">
        <v>685</v>
      </c>
      <c r="C7549" s="704" t="s">
        <v>870</v>
      </c>
      <c r="D7549" s="704" t="s">
        <v>675</v>
      </c>
      <c r="E7549" s="704" t="s">
        <v>861</v>
      </c>
      <c r="F7549" s="708"/>
      <c r="G7549" s="705">
        <v>1144.2207892246702</v>
      </c>
    </row>
    <row r="7550" spans="2:7" ht="11.25" hidden="1" customHeight="1" outlineLevel="2" x14ac:dyDescent="0.25">
      <c r="B7550" s="704" t="s">
        <v>686</v>
      </c>
      <c r="C7550" s="704" t="s">
        <v>870</v>
      </c>
      <c r="D7550" s="704" t="s">
        <v>675</v>
      </c>
      <c r="E7550" s="704" t="s">
        <v>861</v>
      </c>
      <c r="F7550" s="708"/>
      <c r="G7550" s="705">
        <v>269.01621623863792</v>
      </c>
    </row>
    <row r="7551" spans="2:7" ht="11.25" hidden="1" customHeight="1" outlineLevel="2" x14ac:dyDescent="0.25">
      <c r="B7551" s="704" t="s">
        <v>687</v>
      </c>
      <c r="C7551" s="704" t="s">
        <v>870</v>
      </c>
      <c r="D7551" s="704" t="s">
        <v>675</v>
      </c>
      <c r="E7551" s="704" t="s">
        <v>861</v>
      </c>
      <c r="F7551" s="709"/>
      <c r="G7551" s="705">
        <v>1377.9998850884388</v>
      </c>
    </row>
    <row r="7552" spans="2:7" ht="11.25" hidden="1" customHeight="1" outlineLevel="2" x14ac:dyDescent="0.25">
      <c r="B7552" s="704" t="s">
        <v>688</v>
      </c>
      <c r="C7552" s="704" t="s">
        <v>870</v>
      </c>
      <c r="D7552" s="704" t="s">
        <v>675</v>
      </c>
      <c r="E7552" s="704" t="s">
        <v>861</v>
      </c>
      <c r="F7552" s="709"/>
      <c r="G7552" s="705">
        <v>989.10738658671119</v>
      </c>
    </row>
    <row r="7553" spans="2:7" ht="11.25" hidden="1" customHeight="1" outlineLevel="2" x14ac:dyDescent="0.25">
      <c r="B7553" s="704" t="s">
        <v>689</v>
      </c>
      <c r="C7553" s="704" t="s">
        <v>870</v>
      </c>
      <c r="D7553" s="704" t="s">
        <v>675</v>
      </c>
      <c r="E7553" s="704" t="s">
        <v>861</v>
      </c>
      <c r="F7553" s="709"/>
      <c r="G7553" s="705">
        <v>146.23819682231999</v>
      </c>
    </row>
    <row r="7554" spans="2:7" ht="11.25" hidden="1" customHeight="1" outlineLevel="2" x14ac:dyDescent="0.25">
      <c r="B7554" s="704" t="s">
        <v>690</v>
      </c>
      <c r="C7554" s="704" t="s">
        <v>870</v>
      </c>
      <c r="D7554" s="704" t="s">
        <v>675</v>
      </c>
      <c r="E7554" s="704" t="s">
        <v>861</v>
      </c>
      <c r="F7554" s="709"/>
      <c r="G7554" s="705">
        <v>3219.678087879387</v>
      </c>
    </row>
    <row r="7555" spans="2:7" ht="11.25" hidden="1" customHeight="1" outlineLevel="2" x14ac:dyDescent="0.25">
      <c r="B7555" s="704" t="s">
        <v>691</v>
      </c>
      <c r="C7555" s="704" t="s">
        <v>870</v>
      </c>
      <c r="D7555" s="704" t="s">
        <v>675</v>
      </c>
      <c r="E7555" s="704" t="s">
        <v>861</v>
      </c>
      <c r="F7555" s="709"/>
      <c r="G7555" s="705">
        <v>3676.9739966893185</v>
      </c>
    </row>
    <row r="7556" spans="2:7" ht="11.25" hidden="1" customHeight="1" outlineLevel="2" x14ac:dyDescent="0.25">
      <c r="B7556" s="704" t="s">
        <v>692</v>
      </c>
      <c r="C7556" s="704" t="s">
        <v>870</v>
      </c>
      <c r="D7556" s="704" t="s">
        <v>675</v>
      </c>
      <c r="E7556" s="704" t="s">
        <v>861</v>
      </c>
      <c r="F7556" s="709"/>
      <c r="G7556" s="705">
        <v>215.02023481796104</v>
      </c>
    </row>
    <row r="7557" spans="2:7" ht="11.25" hidden="1" customHeight="1" outlineLevel="2" x14ac:dyDescent="0.25">
      <c r="B7557" s="704" t="s">
        <v>693</v>
      </c>
      <c r="C7557" s="704" t="s">
        <v>870</v>
      </c>
      <c r="D7557" s="704" t="s">
        <v>675</v>
      </c>
      <c r="E7557" s="704" t="s">
        <v>861</v>
      </c>
      <c r="F7557" s="709"/>
      <c r="G7557" s="705">
        <v>536.7332881851529</v>
      </c>
    </row>
    <row r="7558" spans="2:7" ht="11.25" hidden="1" customHeight="1" outlineLevel="2" x14ac:dyDescent="0.25">
      <c r="B7558" s="704" t="s">
        <v>694</v>
      </c>
      <c r="C7558" s="704" t="s">
        <v>870</v>
      </c>
      <c r="D7558" s="704" t="s">
        <v>675</v>
      </c>
      <c r="E7558" s="704" t="s">
        <v>861</v>
      </c>
      <c r="F7558" s="708"/>
      <c r="G7558" s="705">
        <v>60.174087620923061</v>
      </c>
    </row>
    <row r="7559" spans="2:7" ht="11.25" hidden="1" customHeight="1" outlineLevel="2" x14ac:dyDescent="0.25">
      <c r="B7559" s="704" t="s">
        <v>695</v>
      </c>
      <c r="C7559" s="704" t="s">
        <v>870</v>
      </c>
      <c r="D7559" s="704" t="s">
        <v>675</v>
      </c>
      <c r="E7559" s="704" t="s">
        <v>861</v>
      </c>
      <c r="F7559" s="708"/>
      <c r="G7559" s="705">
        <v>285.4238644728643</v>
      </c>
    </row>
    <row r="7560" spans="2:7" ht="11.25" hidden="1" customHeight="1" outlineLevel="2" x14ac:dyDescent="0.25">
      <c r="B7560" s="704" t="s">
        <v>696</v>
      </c>
      <c r="C7560" s="704" t="s">
        <v>870</v>
      </c>
      <c r="D7560" s="704" t="s">
        <v>675</v>
      </c>
      <c r="E7560" s="704" t="s">
        <v>861</v>
      </c>
      <c r="F7560" s="708"/>
      <c r="G7560" s="705">
        <v>713.1434470910275</v>
      </c>
    </row>
    <row r="7561" spans="2:7" ht="11.25" hidden="1" customHeight="1" outlineLevel="2" x14ac:dyDescent="0.25">
      <c r="B7561" s="704" t="s">
        <v>697</v>
      </c>
      <c r="C7561" s="704" t="s">
        <v>870</v>
      </c>
      <c r="D7561" s="704" t="s">
        <v>675</v>
      </c>
      <c r="E7561" s="704" t="s">
        <v>861</v>
      </c>
      <c r="F7561" s="708"/>
      <c r="G7561" s="705">
        <v>390.1817632172714</v>
      </c>
    </row>
    <row r="7562" spans="2:7" ht="11.25" hidden="1" customHeight="1" outlineLevel="2" x14ac:dyDescent="0.25">
      <c r="B7562" s="704" t="s">
        <v>698</v>
      </c>
      <c r="C7562" s="704" t="s">
        <v>870</v>
      </c>
      <c r="D7562" s="704" t="s">
        <v>675</v>
      </c>
      <c r="E7562" s="704" t="s">
        <v>861</v>
      </c>
      <c r="F7562" s="708"/>
      <c r="G7562" s="705">
        <v>428.45367027728065</v>
      </c>
    </row>
    <row r="7563" spans="2:7" ht="11.25" hidden="1" customHeight="1" outlineLevel="2" x14ac:dyDescent="0.25">
      <c r="B7563" s="704" t="s">
        <v>699</v>
      </c>
      <c r="C7563" s="704" t="s">
        <v>870</v>
      </c>
      <c r="D7563" s="704" t="s">
        <v>675</v>
      </c>
      <c r="E7563" s="704" t="s">
        <v>861</v>
      </c>
      <c r="F7563" s="708"/>
      <c r="G7563" s="705">
        <v>6.6305868479862841E-29</v>
      </c>
    </row>
    <row r="7564" spans="2:7" ht="11.25" hidden="1" customHeight="1" outlineLevel="2" x14ac:dyDescent="0.25">
      <c r="B7564" s="704" t="s">
        <v>673</v>
      </c>
      <c r="C7564" s="704" t="s">
        <v>871</v>
      </c>
      <c r="D7564" s="704" t="s">
        <v>675</v>
      </c>
      <c r="E7564" s="704" t="s">
        <v>861</v>
      </c>
      <c r="F7564" s="708"/>
      <c r="G7564" s="705">
        <v>115.31415754520516</v>
      </c>
    </row>
    <row r="7565" spans="2:7" ht="11.25" hidden="1" customHeight="1" outlineLevel="2" x14ac:dyDescent="0.25">
      <c r="B7565" s="704" t="s">
        <v>677</v>
      </c>
      <c r="C7565" s="704" t="s">
        <v>871</v>
      </c>
      <c r="D7565" s="704" t="s">
        <v>675</v>
      </c>
      <c r="E7565" s="704" t="s">
        <v>861</v>
      </c>
      <c r="F7565" s="705">
        <v>4.4731628140244881E-2</v>
      </c>
      <c r="G7565" s="705">
        <v>1913.6195586632939</v>
      </c>
    </row>
    <row r="7566" spans="2:7" ht="11.25" hidden="1" customHeight="1" outlineLevel="2" x14ac:dyDescent="0.25">
      <c r="B7566" s="704" t="s">
        <v>678</v>
      </c>
      <c r="C7566" s="704" t="s">
        <v>871</v>
      </c>
      <c r="D7566" s="704" t="s">
        <v>675</v>
      </c>
      <c r="E7566" s="704" t="s">
        <v>861</v>
      </c>
      <c r="F7566" s="708"/>
      <c r="G7566" s="705">
        <v>4432.5462912108806</v>
      </c>
    </row>
    <row r="7567" spans="2:7" ht="11.25" hidden="1" customHeight="1" outlineLevel="2" x14ac:dyDescent="0.25">
      <c r="B7567" s="704" t="s">
        <v>679</v>
      </c>
      <c r="C7567" s="704" t="s">
        <v>871</v>
      </c>
      <c r="D7567" s="704" t="s">
        <v>675</v>
      </c>
      <c r="E7567" s="704" t="s">
        <v>861</v>
      </c>
      <c r="F7567" s="708"/>
      <c r="G7567" s="705">
        <v>359.71059900055684</v>
      </c>
    </row>
    <row r="7568" spans="2:7" ht="11.25" hidden="1" customHeight="1" outlineLevel="2" x14ac:dyDescent="0.25">
      <c r="B7568" s="704" t="s">
        <v>680</v>
      </c>
      <c r="C7568" s="704" t="s">
        <v>871</v>
      </c>
      <c r="D7568" s="704" t="s">
        <v>675</v>
      </c>
      <c r="E7568" s="704" t="s">
        <v>861</v>
      </c>
      <c r="F7568" s="708"/>
      <c r="G7568" s="705">
        <v>66.671316165798729</v>
      </c>
    </row>
    <row r="7569" spans="2:7" ht="11.25" hidden="1" customHeight="1" outlineLevel="2" x14ac:dyDescent="0.25">
      <c r="B7569" s="704" t="s">
        <v>681</v>
      </c>
      <c r="C7569" s="704" t="s">
        <v>871</v>
      </c>
      <c r="D7569" s="704" t="s">
        <v>675</v>
      </c>
      <c r="E7569" s="704" t="s">
        <v>861</v>
      </c>
      <c r="F7569" s="708"/>
      <c r="G7569" s="705">
        <v>562.35150828496489</v>
      </c>
    </row>
    <row r="7570" spans="2:7" ht="11.25" hidden="1" customHeight="1" outlineLevel="2" x14ac:dyDescent="0.25">
      <c r="B7570" s="704" t="s">
        <v>682</v>
      </c>
      <c r="C7570" s="704" t="s">
        <v>871</v>
      </c>
      <c r="D7570" s="704" t="s">
        <v>675</v>
      </c>
      <c r="E7570" s="704" t="s">
        <v>861</v>
      </c>
      <c r="F7570" s="708"/>
      <c r="G7570" s="705">
        <v>493.6584463804046</v>
      </c>
    </row>
    <row r="7571" spans="2:7" ht="11.25" hidden="1" customHeight="1" outlineLevel="2" x14ac:dyDescent="0.25">
      <c r="B7571" s="704" t="s">
        <v>683</v>
      </c>
      <c r="C7571" s="704" t="s">
        <v>871</v>
      </c>
      <c r="D7571" s="704" t="s">
        <v>675</v>
      </c>
      <c r="E7571" s="704" t="s">
        <v>861</v>
      </c>
      <c r="F7571" s="708"/>
      <c r="G7571" s="705">
        <v>819.84991414170076</v>
      </c>
    </row>
    <row r="7572" spans="2:7" ht="11.25" hidden="1" customHeight="1" outlineLevel="2" x14ac:dyDescent="0.25">
      <c r="B7572" s="704" t="s">
        <v>684</v>
      </c>
      <c r="C7572" s="704" t="s">
        <v>871</v>
      </c>
      <c r="D7572" s="704" t="s">
        <v>675</v>
      </c>
      <c r="E7572" s="704" t="s">
        <v>861</v>
      </c>
      <c r="F7572" s="708"/>
      <c r="G7572" s="705">
        <v>108.32920486335803</v>
      </c>
    </row>
    <row r="7573" spans="2:7" ht="11.25" hidden="1" customHeight="1" outlineLevel="2" x14ac:dyDescent="0.25">
      <c r="B7573" s="704" t="s">
        <v>685</v>
      </c>
      <c r="C7573" s="704" t="s">
        <v>871</v>
      </c>
      <c r="D7573" s="704" t="s">
        <v>675</v>
      </c>
      <c r="E7573" s="704" t="s">
        <v>861</v>
      </c>
      <c r="F7573" s="708"/>
      <c r="G7573" s="705">
        <v>983.89595584660606</v>
      </c>
    </row>
    <row r="7574" spans="2:7" ht="11.25" hidden="1" customHeight="1" outlineLevel="2" x14ac:dyDescent="0.25">
      <c r="B7574" s="704" t="s">
        <v>686</v>
      </c>
      <c r="C7574" s="704" t="s">
        <v>871</v>
      </c>
      <c r="D7574" s="704" t="s">
        <v>675</v>
      </c>
      <c r="E7574" s="704" t="s">
        <v>861</v>
      </c>
      <c r="F7574" s="708"/>
      <c r="G7574" s="705">
        <v>231.32246617037765</v>
      </c>
    </row>
    <row r="7575" spans="2:7" ht="11.25" hidden="1" customHeight="1" outlineLevel="2" x14ac:dyDescent="0.25">
      <c r="B7575" s="704" t="s">
        <v>687</v>
      </c>
      <c r="C7575" s="704" t="s">
        <v>871</v>
      </c>
      <c r="D7575" s="704" t="s">
        <v>675</v>
      </c>
      <c r="E7575" s="704" t="s">
        <v>861</v>
      </c>
      <c r="F7575" s="708"/>
      <c r="G7575" s="705">
        <v>1184.9186179475223</v>
      </c>
    </row>
    <row r="7576" spans="2:7" ht="11.25" hidden="1" customHeight="1" outlineLevel="2" x14ac:dyDescent="0.25">
      <c r="B7576" s="704" t="s">
        <v>688</v>
      </c>
      <c r="C7576" s="704" t="s">
        <v>871</v>
      </c>
      <c r="D7576" s="704" t="s">
        <v>675</v>
      </c>
      <c r="E7576" s="704" t="s">
        <v>861</v>
      </c>
      <c r="F7576" s="708"/>
      <c r="G7576" s="705">
        <v>850.51635841913765</v>
      </c>
    </row>
    <row r="7577" spans="2:7" ht="11.25" hidden="1" customHeight="1" outlineLevel="2" x14ac:dyDescent="0.25">
      <c r="B7577" s="704" t="s">
        <v>689</v>
      </c>
      <c r="C7577" s="704" t="s">
        <v>871</v>
      </c>
      <c r="D7577" s="704" t="s">
        <v>675</v>
      </c>
      <c r="E7577" s="704" t="s">
        <v>861</v>
      </c>
      <c r="F7577" s="708"/>
      <c r="G7577" s="705">
        <v>125.74774326195214</v>
      </c>
    </row>
    <row r="7578" spans="2:7" ht="11.25" hidden="1" customHeight="1" outlineLevel="2" x14ac:dyDescent="0.25">
      <c r="B7578" s="704" t="s">
        <v>690</v>
      </c>
      <c r="C7578" s="704" t="s">
        <v>871</v>
      </c>
      <c r="D7578" s="704" t="s">
        <v>675</v>
      </c>
      <c r="E7578" s="704" t="s">
        <v>861</v>
      </c>
      <c r="F7578" s="708"/>
      <c r="G7578" s="705">
        <v>2768.546050500845</v>
      </c>
    </row>
    <row r="7579" spans="2:7" ht="11.25" hidden="1" customHeight="1" outlineLevel="2" x14ac:dyDescent="0.25">
      <c r="B7579" s="704" t="s">
        <v>691</v>
      </c>
      <c r="C7579" s="704" t="s">
        <v>871</v>
      </c>
      <c r="D7579" s="704" t="s">
        <v>675</v>
      </c>
      <c r="E7579" s="704" t="s">
        <v>861</v>
      </c>
      <c r="F7579" s="708"/>
      <c r="G7579" s="705">
        <v>3161.7667972816766</v>
      </c>
    </row>
    <row r="7580" spans="2:7" ht="11.25" hidden="1" customHeight="1" outlineLevel="2" x14ac:dyDescent="0.25">
      <c r="B7580" s="704" t="s">
        <v>692</v>
      </c>
      <c r="C7580" s="704" t="s">
        <v>871</v>
      </c>
      <c r="D7580" s="704" t="s">
        <v>675</v>
      </c>
      <c r="E7580" s="704" t="s">
        <v>861</v>
      </c>
      <c r="F7580" s="708"/>
      <c r="G7580" s="705">
        <v>184.89225734669745</v>
      </c>
    </row>
    <row r="7581" spans="2:7" ht="11.25" hidden="1" customHeight="1" outlineLevel="2" x14ac:dyDescent="0.25">
      <c r="B7581" s="704" t="s">
        <v>693</v>
      </c>
      <c r="C7581" s="704" t="s">
        <v>871</v>
      </c>
      <c r="D7581" s="704" t="s">
        <v>675</v>
      </c>
      <c r="E7581" s="704" t="s">
        <v>861</v>
      </c>
      <c r="F7581" s="708"/>
      <c r="G7581" s="705">
        <v>461.52776884512173</v>
      </c>
    </row>
    <row r="7582" spans="2:7" ht="11.25" hidden="1" customHeight="1" outlineLevel="2" x14ac:dyDescent="0.25">
      <c r="B7582" s="704" t="s">
        <v>694</v>
      </c>
      <c r="C7582" s="704" t="s">
        <v>871</v>
      </c>
      <c r="D7582" s="704" t="s">
        <v>675</v>
      </c>
      <c r="E7582" s="704" t="s">
        <v>861</v>
      </c>
      <c r="F7582" s="708"/>
      <c r="G7582" s="705">
        <v>51.742666327029411</v>
      </c>
    </row>
    <row r="7583" spans="2:7" ht="11.25" hidden="1" customHeight="1" outlineLevel="2" x14ac:dyDescent="0.25">
      <c r="B7583" s="704" t="s">
        <v>695</v>
      </c>
      <c r="C7583" s="704" t="s">
        <v>871</v>
      </c>
      <c r="D7583" s="704" t="s">
        <v>675</v>
      </c>
      <c r="E7583" s="704" t="s">
        <v>861</v>
      </c>
      <c r="F7583" s="708"/>
      <c r="G7583" s="705">
        <v>245.4311490539427</v>
      </c>
    </row>
    <row r="7584" spans="2:7" ht="11.25" hidden="1" customHeight="1" outlineLevel="2" x14ac:dyDescent="0.25">
      <c r="B7584" s="704" t="s">
        <v>696</v>
      </c>
      <c r="C7584" s="704" t="s">
        <v>871</v>
      </c>
      <c r="D7584" s="704" t="s">
        <v>675</v>
      </c>
      <c r="E7584" s="704" t="s">
        <v>861</v>
      </c>
      <c r="F7584" s="708"/>
      <c r="G7584" s="705">
        <v>613.21996247334357</v>
      </c>
    </row>
    <row r="7585" spans="2:7" ht="11.25" hidden="1" customHeight="1" outlineLevel="2" x14ac:dyDescent="0.25">
      <c r="B7585" s="704" t="s">
        <v>697</v>
      </c>
      <c r="C7585" s="704" t="s">
        <v>871</v>
      </c>
      <c r="D7585" s="704" t="s">
        <v>675</v>
      </c>
      <c r="E7585" s="704" t="s">
        <v>861</v>
      </c>
      <c r="F7585" s="708"/>
      <c r="G7585" s="705">
        <v>335.51065547882769</v>
      </c>
    </row>
    <row r="7586" spans="2:7" ht="11.25" hidden="1" customHeight="1" outlineLevel="2" x14ac:dyDescent="0.25">
      <c r="B7586" s="704" t="s">
        <v>698</v>
      </c>
      <c r="C7586" s="704" t="s">
        <v>871</v>
      </c>
      <c r="D7586" s="704" t="s">
        <v>675</v>
      </c>
      <c r="E7586" s="704" t="s">
        <v>861</v>
      </c>
      <c r="F7586" s="708"/>
      <c r="G7586" s="705">
        <v>368.41998537933858</v>
      </c>
    </row>
    <row r="7587" spans="2:7" ht="11.25" hidden="1" customHeight="1" outlineLevel="2" x14ac:dyDescent="0.25">
      <c r="B7587" s="704" t="s">
        <v>699</v>
      </c>
      <c r="C7587" s="704" t="s">
        <v>871</v>
      </c>
      <c r="D7587" s="704" t="s">
        <v>675</v>
      </c>
      <c r="E7587" s="704" t="s">
        <v>861</v>
      </c>
      <c r="F7587" s="708"/>
      <c r="G7587" s="705">
        <v>1.6942062932964157E-29</v>
      </c>
    </row>
    <row r="7588" spans="2:7" ht="11.25" hidden="1" customHeight="1" outlineLevel="2" x14ac:dyDescent="0.25">
      <c r="B7588" s="704" t="s">
        <v>673</v>
      </c>
      <c r="C7588" s="704" t="s">
        <v>872</v>
      </c>
      <c r="D7588" s="704" t="s">
        <v>675</v>
      </c>
      <c r="E7588" s="704" t="s">
        <v>861</v>
      </c>
      <c r="F7588" s="708"/>
      <c r="G7588" s="705">
        <v>1145.5710764301989</v>
      </c>
    </row>
    <row r="7589" spans="2:7" ht="11.25" hidden="1" customHeight="1" outlineLevel="2" x14ac:dyDescent="0.25">
      <c r="B7589" s="704" t="s">
        <v>677</v>
      </c>
      <c r="C7589" s="704" t="s">
        <v>872</v>
      </c>
      <c r="D7589" s="704" t="s">
        <v>675</v>
      </c>
      <c r="E7589" s="704" t="s">
        <v>861</v>
      </c>
      <c r="F7589" s="705">
        <v>0.58626737043763022</v>
      </c>
      <c r="G7589" s="705">
        <v>19010.568858304807</v>
      </c>
    </row>
    <row r="7590" spans="2:7" ht="11.25" hidden="1" customHeight="1" outlineLevel="2" x14ac:dyDescent="0.25">
      <c r="B7590" s="704" t="s">
        <v>678</v>
      </c>
      <c r="C7590" s="704" t="s">
        <v>872</v>
      </c>
      <c r="D7590" s="704" t="s">
        <v>675</v>
      </c>
      <c r="E7590" s="704" t="s">
        <v>861</v>
      </c>
      <c r="F7590" s="709"/>
      <c r="G7590" s="705">
        <v>44034.451121293561</v>
      </c>
    </row>
    <row r="7591" spans="2:7" ht="11.25" hidden="1" customHeight="1" outlineLevel="2" x14ac:dyDescent="0.25">
      <c r="B7591" s="704" t="s">
        <v>679</v>
      </c>
      <c r="C7591" s="704" t="s">
        <v>872</v>
      </c>
      <c r="D7591" s="704" t="s">
        <v>675</v>
      </c>
      <c r="E7591" s="704" t="s">
        <v>861</v>
      </c>
      <c r="F7591" s="709"/>
      <c r="G7591" s="705">
        <v>3573.490855089271</v>
      </c>
    </row>
    <row r="7592" spans="2:7" ht="11.25" hidden="1" customHeight="1" outlineLevel="2" x14ac:dyDescent="0.25">
      <c r="B7592" s="704" t="s">
        <v>680</v>
      </c>
      <c r="C7592" s="704" t="s">
        <v>872</v>
      </c>
      <c r="D7592" s="704" t="s">
        <v>675</v>
      </c>
      <c r="E7592" s="704" t="s">
        <v>861</v>
      </c>
      <c r="F7592" s="709"/>
      <c r="G7592" s="705">
        <v>662.33640365525071</v>
      </c>
    </row>
    <row r="7593" spans="2:7" ht="11.25" hidden="1" customHeight="1" outlineLevel="2" x14ac:dyDescent="0.25">
      <c r="B7593" s="704" t="s">
        <v>681</v>
      </c>
      <c r="C7593" s="704" t="s">
        <v>872</v>
      </c>
      <c r="D7593" s="704" t="s">
        <v>675</v>
      </c>
      <c r="E7593" s="704" t="s">
        <v>861</v>
      </c>
      <c r="F7593" s="709"/>
      <c r="G7593" s="705">
        <v>5586.5969260331603</v>
      </c>
    </row>
    <row r="7594" spans="2:7" ht="11.25" hidden="1" customHeight="1" outlineLevel="2" x14ac:dyDescent="0.25">
      <c r="B7594" s="704" t="s">
        <v>682</v>
      </c>
      <c r="C7594" s="704" t="s">
        <v>872</v>
      </c>
      <c r="D7594" s="704" t="s">
        <v>675</v>
      </c>
      <c r="E7594" s="704" t="s">
        <v>861</v>
      </c>
      <c r="F7594" s="709"/>
      <c r="G7594" s="705">
        <v>4904.1746474850752</v>
      </c>
    </row>
    <row r="7595" spans="2:7" ht="11.25" hidden="1" customHeight="1" outlineLevel="2" x14ac:dyDescent="0.25">
      <c r="B7595" s="704" t="s">
        <v>683</v>
      </c>
      <c r="C7595" s="704" t="s">
        <v>872</v>
      </c>
      <c r="D7595" s="704" t="s">
        <v>675</v>
      </c>
      <c r="E7595" s="704" t="s">
        <v>861</v>
      </c>
      <c r="F7595" s="709"/>
      <c r="G7595" s="705">
        <v>8144.6762145989469</v>
      </c>
    </row>
    <row r="7596" spans="2:7" ht="11.25" hidden="1" customHeight="1" outlineLevel="2" x14ac:dyDescent="0.25">
      <c r="B7596" s="704" t="s">
        <v>684</v>
      </c>
      <c r="C7596" s="704" t="s">
        <v>872</v>
      </c>
      <c r="D7596" s="704" t="s">
        <v>675</v>
      </c>
      <c r="E7596" s="704" t="s">
        <v>861</v>
      </c>
      <c r="F7596" s="709"/>
      <c r="G7596" s="705">
        <v>1076.1805032918564</v>
      </c>
    </row>
    <row r="7597" spans="2:7" ht="11.25" hidden="1" customHeight="1" outlineLevel="2" x14ac:dyDescent="0.25">
      <c r="B7597" s="704" t="s">
        <v>685</v>
      </c>
      <c r="C7597" s="704" t="s">
        <v>872</v>
      </c>
      <c r="D7597" s="704" t="s">
        <v>675</v>
      </c>
      <c r="E7597" s="704" t="s">
        <v>861</v>
      </c>
      <c r="F7597" s="708"/>
      <c r="G7597" s="705">
        <v>9774.3651755865849</v>
      </c>
    </row>
    <row r="7598" spans="2:7" ht="11.25" hidden="1" customHeight="1" outlineLevel="2" x14ac:dyDescent="0.25">
      <c r="B7598" s="704" t="s">
        <v>686</v>
      </c>
      <c r="C7598" s="704" t="s">
        <v>872</v>
      </c>
      <c r="D7598" s="704" t="s">
        <v>675</v>
      </c>
      <c r="E7598" s="704" t="s">
        <v>861</v>
      </c>
      <c r="F7598" s="708"/>
      <c r="G7598" s="705">
        <v>2298.0382541926901</v>
      </c>
    </row>
    <row r="7599" spans="2:7" ht="11.25" hidden="1" customHeight="1" outlineLevel="2" x14ac:dyDescent="0.25">
      <c r="B7599" s="704" t="s">
        <v>687</v>
      </c>
      <c r="C7599" s="704" t="s">
        <v>872</v>
      </c>
      <c r="D7599" s="704" t="s">
        <v>675</v>
      </c>
      <c r="E7599" s="704" t="s">
        <v>861</v>
      </c>
      <c r="F7599" s="708"/>
      <c r="G7599" s="705">
        <v>11771.397969823965</v>
      </c>
    </row>
    <row r="7600" spans="2:7" ht="11.25" hidden="1" customHeight="1" outlineLevel="2" x14ac:dyDescent="0.25">
      <c r="B7600" s="704" t="s">
        <v>688</v>
      </c>
      <c r="C7600" s="704" t="s">
        <v>872</v>
      </c>
      <c r="D7600" s="704" t="s">
        <v>675</v>
      </c>
      <c r="E7600" s="704" t="s">
        <v>861</v>
      </c>
      <c r="F7600" s="709"/>
      <c r="G7600" s="705">
        <v>8449.328541456136</v>
      </c>
    </row>
    <row r="7601" spans="2:7" ht="11.25" hidden="1" customHeight="1" outlineLevel="2" x14ac:dyDescent="0.25">
      <c r="B7601" s="704" t="s">
        <v>689</v>
      </c>
      <c r="C7601" s="704" t="s">
        <v>872</v>
      </c>
      <c r="D7601" s="704" t="s">
        <v>675</v>
      </c>
      <c r="E7601" s="704" t="s">
        <v>861</v>
      </c>
      <c r="F7601" s="708"/>
      <c r="G7601" s="705">
        <v>1249.2222593527281</v>
      </c>
    </row>
    <row r="7602" spans="2:7" ht="11.25" hidden="1" customHeight="1" outlineLevel="2" x14ac:dyDescent="0.25">
      <c r="B7602" s="704" t="s">
        <v>690</v>
      </c>
      <c r="C7602" s="704" t="s">
        <v>872</v>
      </c>
      <c r="D7602" s="704" t="s">
        <v>675</v>
      </c>
      <c r="E7602" s="704" t="s">
        <v>861</v>
      </c>
      <c r="F7602" s="708"/>
      <c r="G7602" s="705">
        <v>27503.711653381306</v>
      </c>
    </row>
    <row r="7603" spans="2:7" ht="11.25" hidden="1" customHeight="1" outlineLevel="2" x14ac:dyDescent="0.25">
      <c r="B7603" s="704" t="s">
        <v>691</v>
      </c>
      <c r="C7603" s="704" t="s">
        <v>872</v>
      </c>
      <c r="D7603" s="704" t="s">
        <v>675</v>
      </c>
      <c r="E7603" s="704" t="s">
        <v>861</v>
      </c>
      <c r="F7603" s="709"/>
      <c r="G7603" s="705">
        <v>31410.101341556714</v>
      </c>
    </row>
    <row r="7604" spans="2:7" ht="11.25" hidden="1" customHeight="1" outlineLevel="2" x14ac:dyDescent="0.25">
      <c r="B7604" s="704" t="s">
        <v>692</v>
      </c>
      <c r="C7604" s="704" t="s">
        <v>872</v>
      </c>
      <c r="D7604" s="704" t="s">
        <v>675</v>
      </c>
      <c r="E7604" s="704" t="s">
        <v>861</v>
      </c>
      <c r="F7604" s="708"/>
      <c r="G7604" s="705">
        <v>1836.7843482009732</v>
      </c>
    </row>
    <row r="7605" spans="2:7" ht="11.25" hidden="1" customHeight="1" outlineLevel="2" x14ac:dyDescent="0.25">
      <c r="B7605" s="704" t="s">
        <v>693</v>
      </c>
      <c r="C7605" s="704" t="s">
        <v>872</v>
      </c>
      <c r="D7605" s="704" t="s">
        <v>675</v>
      </c>
      <c r="E7605" s="704" t="s">
        <v>861</v>
      </c>
      <c r="F7605" s="708"/>
      <c r="G7605" s="705">
        <v>4584.9781955629087</v>
      </c>
    </row>
    <row r="7606" spans="2:7" ht="11.25" hidden="1" customHeight="1" outlineLevel="2" x14ac:dyDescent="0.25">
      <c r="B7606" s="704" t="s">
        <v>694</v>
      </c>
      <c r="C7606" s="704" t="s">
        <v>872</v>
      </c>
      <c r="D7606" s="704" t="s">
        <v>675</v>
      </c>
      <c r="E7606" s="704" t="s">
        <v>861</v>
      </c>
      <c r="F7606" s="708"/>
      <c r="G7606" s="705">
        <v>514.029737204497</v>
      </c>
    </row>
    <row r="7607" spans="2:7" ht="11.25" hidden="1" customHeight="1" outlineLevel="2" x14ac:dyDescent="0.25">
      <c r="B7607" s="704" t="s">
        <v>695</v>
      </c>
      <c r="C7607" s="704" t="s">
        <v>872</v>
      </c>
      <c r="D7607" s="704" t="s">
        <v>675</v>
      </c>
      <c r="E7607" s="704" t="s">
        <v>861</v>
      </c>
      <c r="F7607" s="709"/>
      <c r="G7607" s="705">
        <v>2438.1986968134579</v>
      </c>
    </row>
    <row r="7608" spans="2:7" ht="11.25" hidden="1" customHeight="1" outlineLevel="2" x14ac:dyDescent="0.25">
      <c r="B7608" s="704" t="s">
        <v>696</v>
      </c>
      <c r="C7608" s="704" t="s">
        <v>872</v>
      </c>
      <c r="D7608" s="704" t="s">
        <v>675</v>
      </c>
      <c r="E7608" s="704" t="s">
        <v>861</v>
      </c>
      <c r="F7608" s="709"/>
      <c r="G7608" s="705">
        <v>6091.9430475665868</v>
      </c>
    </row>
    <row r="7609" spans="2:7" ht="11.25" hidden="1" customHeight="1" outlineLevel="2" x14ac:dyDescent="0.25">
      <c r="B7609" s="704" t="s">
        <v>697</v>
      </c>
      <c r="C7609" s="704" t="s">
        <v>872</v>
      </c>
      <c r="D7609" s="704" t="s">
        <v>675</v>
      </c>
      <c r="E7609" s="704" t="s">
        <v>861</v>
      </c>
      <c r="F7609" s="709"/>
      <c r="G7609" s="705">
        <v>3333.0800469534629</v>
      </c>
    </row>
    <row r="7610" spans="2:7" ht="11.25" hidden="1" customHeight="1" outlineLevel="2" x14ac:dyDescent="0.25">
      <c r="B7610" s="704" t="s">
        <v>698</v>
      </c>
      <c r="C7610" s="704" t="s">
        <v>872</v>
      </c>
      <c r="D7610" s="704" t="s">
        <v>675</v>
      </c>
      <c r="E7610" s="704" t="s">
        <v>861</v>
      </c>
      <c r="F7610" s="708"/>
      <c r="G7610" s="705">
        <v>3660.0136359352846</v>
      </c>
    </row>
    <row r="7611" spans="2:7" ht="11.25" hidden="1" customHeight="1" outlineLevel="2" x14ac:dyDescent="0.25">
      <c r="B7611" s="704" t="s">
        <v>699</v>
      </c>
      <c r="C7611" s="704" t="s">
        <v>872</v>
      </c>
      <c r="D7611" s="704" t="s">
        <v>675</v>
      </c>
      <c r="E7611" s="704" t="s">
        <v>861</v>
      </c>
      <c r="F7611" s="708"/>
      <c r="G7611" s="705">
        <v>1.2678898311801315E-28</v>
      </c>
    </row>
    <row r="7612" spans="2:7" ht="11.25" hidden="1" customHeight="1" outlineLevel="2" x14ac:dyDescent="0.25">
      <c r="B7612" s="704" t="s">
        <v>673</v>
      </c>
      <c r="C7612" s="704" t="s">
        <v>873</v>
      </c>
      <c r="D7612" s="704" t="s">
        <v>675</v>
      </c>
      <c r="E7612" s="704" t="s">
        <v>861</v>
      </c>
      <c r="F7612" s="708"/>
      <c r="G7612" s="705">
        <v>9.5024559023550985</v>
      </c>
    </row>
    <row r="7613" spans="2:7" ht="11.25" hidden="1" customHeight="1" outlineLevel="2" x14ac:dyDescent="0.25">
      <c r="B7613" s="704" t="s">
        <v>677</v>
      </c>
      <c r="C7613" s="704" t="s">
        <v>873</v>
      </c>
      <c r="D7613" s="704" t="s">
        <v>675</v>
      </c>
      <c r="E7613" s="704" t="s">
        <v>861</v>
      </c>
      <c r="F7613" s="705">
        <v>5.8336617882605076E-3</v>
      </c>
      <c r="G7613" s="705">
        <v>157.69175639036578</v>
      </c>
    </row>
    <row r="7614" spans="2:7" ht="11.25" hidden="1" customHeight="1" outlineLevel="2" x14ac:dyDescent="0.25">
      <c r="B7614" s="704" t="s">
        <v>678</v>
      </c>
      <c r="C7614" s="704" t="s">
        <v>873</v>
      </c>
      <c r="D7614" s="704" t="s">
        <v>675</v>
      </c>
      <c r="E7614" s="704" t="s">
        <v>861</v>
      </c>
      <c r="F7614" s="708"/>
      <c r="G7614" s="705">
        <v>365.26378802437659</v>
      </c>
    </row>
    <row r="7615" spans="2:7" ht="11.25" hidden="1" customHeight="1" outlineLevel="2" x14ac:dyDescent="0.25">
      <c r="B7615" s="704" t="s">
        <v>679</v>
      </c>
      <c r="C7615" s="704" t="s">
        <v>873</v>
      </c>
      <c r="D7615" s="704" t="s">
        <v>675</v>
      </c>
      <c r="E7615" s="704" t="s">
        <v>861</v>
      </c>
      <c r="F7615" s="708"/>
      <c r="G7615" s="705">
        <v>29.64194152035277</v>
      </c>
    </row>
    <row r="7616" spans="2:7" ht="11.25" hidden="1" customHeight="1" outlineLevel="2" x14ac:dyDescent="0.25">
      <c r="B7616" s="704" t="s">
        <v>680</v>
      </c>
      <c r="C7616" s="704" t="s">
        <v>873</v>
      </c>
      <c r="D7616" s="704" t="s">
        <v>675</v>
      </c>
      <c r="E7616" s="704" t="s">
        <v>861</v>
      </c>
      <c r="F7616" s="708"/>
      <c r="G7616" s="705">
        <v>5.4940487819034933</v>
      </c>
    </row>
    <row r="7617" spans="2:7" ht="11.25" hidden="1" customHeight="1" outlineLevel="2" x14ac:dyDescent="0.25">
      <c r="B7617" s="704" t="s">
        <v>681</v>
      </c>
      <c r="C7617" s="704" t="s">
        <v>873</v>
      </c>
      <c r="D7617" s="704" t="s">
        <v>675</v>
      </c>
      <c r="E7617" s="704" t="s">
        <v>861</v>
      </c>
      <c r="F7617" s="708"/>
      <c r="G7617" s="705">
        <v>46.340557810574488</v>
      </c>
    </row>
    <row r="7618" spans="2:7" ht="11.25" hidden="1" customHeight="1" outlineLevel="2" x14ac:dyDescent="0.25">
      <c r="B7618" s="704" t="s">
        <v>682</v>
      </c>
      <c r="C7618" s="704" t="s">
        <v>873</v>
      </c>
      <c r="D7618" s="704" t="s">
        <v>675</v>
      </c>
      <c r="E7618" s="704" t="s">
        <v>861</v>
      </c>
      <c r="F7618" s="708"/>
      <c r="G7618" s="705">
        <v>40.679903894916407</v>
      </c>
    </row>
    <row r="7619" spans="2:7" ht="11.25" hidden="1" customHeight="1" outlineLevel="2" x14ac:dyDescent="0.25">
      <c r="B7619" s="704" t="s">
        <v>683</v>
      </c>
      <c r="C7619" s="704" t="s">
        <v>873</v>
      </c>
      <c r="D7619" s="704" t="s">
        <v>675</v>
      </c>
      <c r="E7619" s="704" t="s">
        <v>861</v>
      </c>
      <c r="F7619" s="708"/>
      <c r="G7619" s="705">
        <v>67.559722174654482</v>
      </c>
    </row>
    <row r="7620" spans="2:7" ht="11.25" hidden="1" customHeight="1" outlineLevel="2" x14ac:dyDescent="0.25">
      <c r="B7620" s="704" t="s">
        <v>684</v>
      </c>
      <c r="C7620" s="704" t="s">
        <v>873</v>
      </c>
      <c r="D7620" s="704" t="s">
        <v>675</v>
      </c>
      <c r="E7620" s="704" t="s">
        <v>861</v>
      </c>
      <c r="F7620" s="708"/>
      <c r="G7620" s="705">
        <v>8.9268667098563004</v>
      </c>
    </row>
    <row r="7621" spans="2:7" ht="11.25" hidden="1" customHeight="1" outlineLevel="2" x14ac:dyDescent="0.25">
      <c r="B7621" s="704" t="s">
        <v>685</v>
      </c>
      <c r="C7621" s="704" t="s">
        <v>873</v>
      </c>
      <c r="D7621" s="704" t="s">
        <v>675</v>
      </c>
      <c r="E7621" s="704" t="s">
        <v>861</v>
      </c>
      <c r="F7621" s="709"/>
      <c r="G7621" s="705">
        <v>81.077906605157622</v>
      </c>
    </row>
    <row r="7622" spans="2:7" ht="11.25" hidden="1" customHeight="1" outlineLevel="2" x14ac:dyDescent="0.25">
      <c r="B7622" s="704" t="s">
        <v>686</v>
      </c>
      <c r="C7622" s="704" t="s">
        <v>873</v>
      </c>
      <c r="D7622" s="704" t="s">
        <v>675</v>
      </c>
      <c r="E7622" s="704" t="s">
        <v>861</v>
      </c>
      <c r="F7622" s="709"/>
      <c r="G7622" s="705">
        <v>19.062123356059161</v>
      </c>
    </row>
    <row r="7623" spans="2:7" ht="11.25" hidden="1" customHeight="1" outlineLevel="2" x14ac:dyDescent="0.25">
      <c r="B7623" s="704" t="s">
        <v>687</v>
      </c>
      <c r="C7623" s="704" t="s">
        <v>873</v>
      </c>
      <c r="D7623" s="704" t="s">
        <v>675</v>
      </c>
      <c r="E7623" s="704" t="s">
        <v>861</v>
      </c>
      <c r="F7623" s="708"/>
      <c r="G7623" s="705">
        <v>97.643179566578894</v>
      </c>
    </row>
    <row r="7624" spans="2:7" ht="11.25" hidden="1" customHeight="1" outlineLevel="2" x14ac:dyDescent="0.25">
      <c r="B7624" s="704" t="s">
        <v>688</v>
      </c>
      <c r="C7624" s="704" t="s">
        <v>873</v>
      </c>
      <c r="D7624" s="704" t="s">
        <v>675</v>
      </c>
      <c r="E7624" s="704" t="s">
        <v>861</v>
      </c>
      <c r="F7624" s="708"/>
      <c r="G7624" s="705">
        <v>70.086751939349625</v>
      </c>
    </row>
    <row r="7625" spans="2:7" ht="11.25" hidden="1" customHeight="1" outlineLevel="2" x14ac:dyDescent="0.25">
      <c r="B7625" s="704" t="s">
        <v>689</v>
      </c>
      <c r="C7625" s="704" t="s">
        <v>873</v>
      </c>
      <c r="D7625" s="704" t="s">
        <v>675</v>
      </c>
      <c r="E7625" s="704" t="s">
        <v>861</v>
      </c>
      <c r="F7625" s="708"/>
      <c r="G7625" s="705">
        <v>10.362237611240655</v>
      </c>
    </row>
    <row r="7626" spans="2:7" ht="11.25" hidden="1" customHeight="1" outlineLevel="2" x14ac:dyDescent="0.25">
      <c r="B7626" s="704" t="s">
        <v>690</v>
      </c>
      <c r="C7626" s="704" t="s">
        <v>873</v>
      </c>
      <c r="D7626" s="704" t="s">
        <v>675</v>
      </c>
      <c r="E7626" s="704" t="s">
        <v>861</v>
      </c>
      <c r="F7626" s="708"/>
      <c r="G7626" s="705">
        <v>228.14194052303674</v>
      </c>
    </row>
    <row r="7627" spans="2:7" ht="11.25" hidden="1" customHeight="1" outlineLevel="2" x14ac:dyDescent="0.25">
      <c r="B7627" s="704" t="s">
        <v>691</v>
      </c>
      <c r="C7627" s="704" t="s">
        <v>873</v>
      </c>
      <c r="D7627" s="704" t="s">
        <v>675</v>
      </c>
      <c r="E7627" s="704" t="s">
        <v>861</v>
      </c>
      <c r="F7627" s="708"/>
      <c r="G7627" s="705">
        <v>260.54534638524541</v>
      </c>
    </row>
    <row r="7628" spans="2:7" ht="11.25" hidden="1" customHeight="1" outlineLevel="2" x14ac:dyDescent="0.25">
      <c r="B7628" s="704" t="s">
        <v>692</v>
      </c>
      <c r="C7628" s="704" t="s">
        <v>873</v>
      </c>
      <c r="D7628" s="704" t="s">
        <v>675</v>
      </c>
      <c r="E7628" s="704" t="s">
        <v>861</v>
      </c>
      <c r="F7628" s="708"/>
      <c r="G7628" s="705">
        <v>15.236038998859803</v>
      </c>
    </row>
    <row r="7629" spans="2:7" ht="11.25" hidden="1" customHeight="1" outlineLevel="2" x14ac:dyDescent="0.25">
      <c r="B7629" s="704" t="s">
        <v>693</v>
      </c>
      <c r="C7629" s="704" t="s">
        <v>873</v>
      </c>
      <c r="D7629" s="704" t="s">
        <v>675</v>
      </c>
      <c r="E7629" s="704" t="s">
        <v>861</v>
      </c>
      <c r="F7629" s="708"/>
      <c r="G7629" s="705">
        <v>38.032175534906429</v>
      </c>
    </row>
    <row r="7630" spans="2:7" ht="11.25" hidden="1" customHeight="1" outlineLevel="2" x14ac:dyDescent="0.25">
      <c r="B7630" s="704" t="s">
        <v>694</v>
      </c>
      <c r="C7630" s="704" t="s">
        <v>873</v>
      </c>
      <c r="D7630" s="704" t="s">
        <v>675</v>
      </c>
      <c r="E7630" s="704" t="s">
        <v>861</v>
      </c>
      <c r="F7630" s="708"/>
      <c r="G7630" s="705">
        <v>4.2638525358427968</v>
      </c>
    </row>
    <row r="7631" spans="2:7" ht="11.25" hidden="1" customHeight="1" outlineLevel="2" x14ac:dyDescent="0.25">
      <c r="B7631" s="704" t="s">
        <v>695</v>
      </c>
      <c r="C7631" s="704" t="s">
        <v>873</v>
      </c>
      <c r="D7631" s="704" t="s">
        <v>675</v>
      </c>
      <c r="E7631" s="704" t="s">
        <v>861</v>
      </c>
      <c r="F7631" s="708"/>
      <c r="G7631" s="705">
        <v>20.224747569215378</v>
      </c>
    </row>
    <row r="7632" spans="2:7" ht="11.25" hidden="1" customHeight="1" outlineLevel="2" x14ac:dyDescent="0.25">
      <c r="B7632" s="704" t="s">
        <v>696</v>
      </c>
      <c r="C7632" s="704" t="s">
        <v>873</v>
      </c>
      <c r="D7632" s="704" t="s">
        <v>675</v>
      </c>
      <c r="E7632" s="704" t="s">
        <v>861</v>
      </c>
      <c r="F7632" s="708"/>
      <c r="G7632" s="705">
        <v>50.532373579067553</v>
      </c>
    </row>
    <row r="7633" spans="2:7" ht="11.25" hidden="1" customHeight="1" outlineLevel="2" x14ac:dyDescent="0.25">
      <c r="B7633" s="704" t="s">
        <v>697</v>
      </c>
      <c r="C7633" s="704" t="s">
        <v>873</v>
      </c>
      <c r="D7633" s="704" t="s">
        <v>675</v>
      </c>
      <c r="E7633" s="704" t="s">
        <v>861</v>
      </c>
      <c r="F7633" s="708"/>
      <c r="G7633" s="705">
        <v>27.647740461977872</v>
      </c>
    </row>
    <row r="7634" spans="2:7" ht="11.25" hidden="1" customHeight="1" outlineLevel="2" x14ac:dyDescent="0.25">
      <c r="B7634" s="704" t="s">
        <v>698</v>
      </c>
      <c r="C7634" s="704" t="s">
        <v>873</v>
      </c>
      <c r="D7634" s="704" t="s">
        <v>675</v>
      </c>
      <c r="E7634" s="704" t="s">
        <v>861</v>
      </c>
      <c r="F7634" s="708"/>
      <c r="G7634" s="705">
        <v>30.359638158009954</v>
      </c>
    </row>
    <row r="7635" spans="2:7" ht="11.25" hidden="1" customHeight="1" outlineLevel="2" x14ac:dyDescent="0.25">
      <c r="B7635" s="704" t="s">
        <v>699</v>
      </c>
      <c r="C7635" s="704" t="s">
        <v>873</v>
      </c>
      <c r="D7635" s="704" t="s">
        <v>675</v>
      </c>
      <c r="E7635" s="704" t="s">
        <v>861</v>
      </c>
      <c r="F7635" s="708"/>
      <c r="G7635" s="705">
        <v>5.7536869703209902E-30</v>
      </c>
    </row>
    <row r="7636" spans="2:7" ht="11.25" hidden="1" customHeight="1" outlineLevel="2" x14ac:dyDescent="0.25">
      <c r="B7636" s="704" t="s">
        <v>673</v>
      </c>
      <c r="C7636" s="704" t="s">
        <v>874</v>
      </c>
      <c r="D7636" s="704" t="s">
        <v>675</v>
      </c>
      <c r="E7636" s="704" t="s">
        <v>861</v>
      </c>
      <c r="F7636" s="708"/>
      <c r="G7636" s="705">
        <v>4.4884455108699131</v>
      </c>
    </row>
    <row r="7637" spans="2:7" ht="11.25" hidden="1" customHeight="1" outlineLevel="2" x14ac:dyDescent="0.25">
      <c r="B7637" s="704" t="s">
        <v>677</v>
      </c>
      <c r="C7637" s="704" t="s">
        <v>874</v>
      </c>
      <c r="D7637" s="704" t="s">
        <v>675</v>
      </c>
      <c r="E7637" s="704" t="s">
        <v>861</v>
      </c>
      <c r="F7637" s="705">
        <v>2.2224104415720664E-3</v>
      </c>
      <c r="G7637" s="705">
        <v>74.485037296919316</v>
      </c>
    </row>
    <row r="7638" spans="2:7" ht="11.25" hidden="1" customHeight="1" outlineLevel="2" x14ac:dyDescent="0.25">
      <c r="B7638" s="704" t="s">
        <v>678</v>
      </c>
      <c r="C7638" s="704" t="s">
        <v>874</v>
      </c>
      <c r="D7638" s="704" t="s">
        <v>675</v>
      </c>
      <c r="E7638" s="704" t="s">
        <v>861</v>
      </c>
      <c r="F7638" s="709"/>
      <c r="G7638" s="705">
        <v>172.53078658474323</v>
      </c>
    </row>
    <row r="7639" spans="2:7" ht="11.25" hidden="1" customHeight="1" outlineLevel="2" x14ac:dyDescent="0.25">
      <c r="B7639" s="704" t="s">
        <v>679</v>
      </c>
      <c r="C7639" s="704" t="s">
        <v>874</v>
      </c>
      <c r="D7639" s="704" t="s">
        <v>675</v>
      </c>
      <c r="E7639" s="704" t="s">
        <v>861</v>
      </c>
      <c r="F7639" s="709"/>
      <c r="G7639" s="705">
        <v>14.001241109190893</v>
      </c>
    </row>
    <row r="7640" spans="2:7" ht="11.25" hidden="1" customHeight="1" outlineLevel="2" x14ac:dyDescent="0.25">
      <c r="B7640" s="704" t="s">
        <v>680</v>
      </c>
      <c r="C7640" s="704" t="s">
        <v>874</v>
      </c>
      <c r="D7640" s="704" t="s">
        <v>675</v>
      </c>
      <c r="E7640" s="704" t="s">
        <v>861</v>
      </c>
      <c r="F7640" s="709"/>
      <c r="G7640" s="705">
        <v>2.5950896296772714</v>
      </c>
    </row>
    <row r="7641" spans="2:7" ht="11.25" hidden="1" customHeight="1" outlineLevel="2" x14ac:dyDescent="0.25">
      <c r="B7641" s="704" t="s">
        <v>681</v>
      </c>
      <c r="C7641" s="704" t="s">
        <v>874</v>
      </c>
      <c r="D7641" s="704" t="s">
        <v>675</v>
      </c>
      <c r="E7641" s="704" t="s">
        <v>861</v>
      </c>
      <c r="F7641" s="709"/>
      <c r="G7641" s="705">
        <v>21.888761031880545</v>
      </c>
    </row>
    <row r="7642" spans="2:7" ht="11.25" hidden="1" customHeight="1" outlineLevel="2" x14ac:dyDescent="0.25">
      <c r="B7642" s="704" t="s">
        <v>682</v>
      </c>
      <c r="C7642" s="704" t="s">
        <v>874</v>
      </c>
      <c r="D7642" s="704" t="s">
        <v>675</v>
      </c>
      <c r="E7642" s="704" t="s">
        <v>861</v>
      </c>
      <c r="F7642" s="709"/>
      <c r="G7642" s="705">
        <v>19.214977570029937</v>
      </c>
    </row>
    <row r="7643" spans="2:7" ht="11.25" hidden="1" customHeight="1" outlineLevel="2" x14ac:dyDescent="0.25">
      <c r="B7643" s="704" t="s">
        <v>683</v>
      </c>
      <c r="C7643" s="704" t="s">
        <v>874</v>
      </c>
      <c r="D7643" s="704" t="s">
        <v>675</v>
      </c>
      <c r="E7643" s="704" t="s">
        <v>861</v>
      </c>
      <c r="F7643" s="709"/>
      <c r="G7643" s="705">
        <v>31.911540982111962</v>
      </c>
    </row>
    <row r="7644" spans="2:7" ht="11.25" hidden="1" customHeight="1" outlineLevel="2" x14ac:dyDescent="0.25">
      <c r="B7644" s="704" t="s">
        <v>684</v>
      </c>
      <c r="C7644" s="704" t="s">
        <v>874</v>
      </c>
      <c r="D7644" s="704" t="s">
        <v>675</v>
      </c>
      <c r="E7644" s="704" t="s">
        <v>861</v>
      </c>
      <c r="F7644" s="709"/>
      <c r="G7644" s="705">
        <v>4.2165663011762788</v>
      </c>
    </row>
    <row r="7645" spans="2:7" ht="11.25" hidden="1" customHeight="1" outlineLevel="2" x14ac:dyDescent="0.25">
      <c r="B7645" s="704" t="s">
        <v>685</v>
      </c>
      <c r="C7645" s="704" t="s">
        <v>874</v>
      </c>
      <c r="D7645" s="704" t="s">
        <v>675</v>
      </c>
      <c r="E7645" s="704" t="s">
        <v>861</v>
      </c>
      <c r="F7645" s="709"/>
      <c r="G7645" s="705">
        <v>38.296799701512882</v>
      </c>
    </row>
    <row r="7646" spans="2:7" ht="11.25" hidden="1" customHeight="1" outlineLevel="2" x14ac:dyDescent="0.25">
      <c r="B7646" s="704" t="s">
        <v>686</v>
      </c>
      <c r="C7646" s="704" t="s">
        <v>874</v>
      </c>
      <c r="D7646" s="704" t="s">
        <v>675</v>
      </c>
      <c r="E7646" s="704" t="s">
        <v>861</v>
      </c>
      <c r="F7646" s="709"/>
      <c r="G7646" s="705">
        <v>9.0039094704240874</v>
      </c>
    </row>
    <row r="7647" spans="2:7" ht="11.25" hidden="1" customHeight="1" outlineLevel="2" x14ac:dyDescent="0.25">
      <c r="B7647" s="704" t="s">
        <v>687</v>
      </c>
      <c r="C7647" s="704" t="s">
        <v>874</v>
      </c>
      <c r="D7647" s="704" t="s">
        <v>675</v>
      </c>
      <c r="E7647" s="704" t="s">
        <v>861</v>
      </c>
      <c r="F7647" s="709"/>
      <c r="G7647" s="705">
        <v>46.121336151582284</v>
      </c>
    </row>
    <row r="7648" spans="2:7" ht="11.25" hidden="1" customHeight="1" outlineLevel="2" x14ac:dyDescent="0.25">
      <c r="B7648" s="704" t="s">
        <v>688</v>
      </c>
      <c r="C7648" s="704" t="s">
        <v>874</v>
      </c>
      <c r="D7648" s="704" t="s">
        <v>675</v>
      </c>
      <c r="E7648" s="704" t="s">
        <v>861</v>
      </c>
      <c r="F7648" s="708"/>
      <c r="G7648" s="705">
        <v>33.105184768443763</v>
      </c>
    </row>
    <row r="7649" spans="2:7" ht="11.25" hidden="1" customHeight="1" outlineLevel="2" x14ac:dyDescent="0.25">
      <c r="B7649" s="704" t="s">
        <v>689</v>
      </c>
      <c r="C7649" s="704" t="s">
        <v>874</v>
      </c>
      <c r="D7649" s="704" t="s">
        <v>675</v>
      </c>
      <c r="E7649" s="704" t="s">
        <v>861</v>
      </c>
      <c r="F7649" s="708"/>
      <c r="G7649" s="705">
        <v>4.894558410469644</v>
      </c>
    </row>
    <row r="7650" spans="2:7" ht="11.25" hidden="1" customHeight="1" outlineLevel="2" x14ac:dyDescent="0.25">
      <c r="B7650" s="704" t="s">
        <v>690</v>
      </c>
      <c r="C7650" s="704" t="s">
        <v>874</v>
      </c>
      <c r="D7650" s="704" t="s">
        <v>675</v>
      </c>
      <c r="E7650" s="704" t="s">
        <v>861</v>
      </c>
      <c r="F7650" s="709"/>
      <c r="G7650" s="705">
        <v>107.76186107276507</v>
      </c>
    </row>
    <row r="7651" spans="2:7" ht="11.25" hidden="1" customHeight="1" outlineLevel="2" x14ac:dyDescent="0.25">
      <c r="B7651" s="704" t="s">
        <v>691</v>
      </c>
      <c r="C7651" s="704" t="s">
        <v>874</v>
      </c>
      <c r="D7651" s="704" t="s">
        <v>675</v>
      </c>
      <c r="E7651" s="704" t="s">
        <v>861</v>
      </c>
      <c r="F7651" s="708"/>
      <c r="G7651" s="705">
        <v>123.0674720858278</v>
      </c>
    </row>
    <row r="7652" spans="2:7" ht="11.25" hidden="1" customHeight="1" outlineLevel="2" x14ac:dyDescent="0.25">
      <c r="B7652" s="704" t="s">
        <v>692</v>
      </c>
      <c r="C7652" s="704" t="s">
        <v>874</v>
      </c>
      <c r="D7652" s="704" t="s">
        <v>675</v>
      </c>
      <c r="E7652" s="704" t="s">
        <v>861</v>
      </c>
      <c r="F7652" s="708"/>
      <c r="G7652" s="705">
        <v>7.196676554716908</v>
      </c>
    </row>
    <row r="7653" spans="2:7" ht="11.25" hidden="1" customHeight="1" outlineLevel="2" x14ac:dyDescent="0.25">
      <c r="B7653" s="704" t="s">
        <v>693</v>
      </c>
      <c r="C7653" s="704" t="s">
        <v>874</v>
      </c>
      <c r="D7653" s="704" t="s">
        <v>675</v>
      </c>
      <c r="E7653" s="704" t="s">
        <v>861</v>
      </c>
      <c r="F7653" s="708"/>
      <c r="G7653" s="705">
        <v>17.964334644500337</v>
      </c>
    </row>
    <row r="7654" spans="2:7" ht="11.25" hidden="1" customHeight="1" outlineLevel="2" x14ac:dyDescent="0.25">
      <c r="B7654" s="704" t="s">
        <v>694</v>
      </c>
      <c r="C7654" s="704" t="s">
        <v>874</v>
      </c>
      <c r="D7654" s="704" t="s">
        <v>675</v>
      </c>
      <c r="E7654" s="704" t="s">
        <v>861</v>
      </c>
      <c r="F7654" s="708"/>
      <c r="G7654" s="705">
        <v>2.0140123065726203</v>
      </c>
    </row>
    <row r="7655" spans="2:7" ht="11.25" hidden="1" customHeight="1" outlineLevel="2" x14ac:dyDescent="0.25">
      <c r="B7655" s="704" t="s">
        <v>695</v>
      </c>
      <c r="C7655" s="704" t="s">
        <v>874</v>
      </c>
      <c r="D7655" s="704" t="s">
        <v>675</v>
      </c>
      <c r="E7655" s="704" t="s">
        <v>861</v>
      </c>
      <c r="F7655" s="708"/>
      <c r="G7655" s="705">
        <v>9.5530715098767551</v>
      </c>
    </row>
    <row r="7656" spans="2:7" ht="11.25" hidden="1" customHeight="1" outlineLevel="2" x14ac:dyDescent="0.25">
      <c r="B7656" s="704" t="s">
        <v>696</v>
      </c>
      <c r="C7656" s="704" t="s">
        <v>874</v>
      </c>
      <c r="D7656" s="704" t="s">
        <v>675</v>
      </c>
      <c r="E7656" s="704" t="s">
        <v>861</v>
      </c>
      <c r="F7656" s="708"/>
      <c r="G7656" s="705">
        <v>23.86874472190113</v>
      </c>
    </row>
    <row r="7657" spans="2:7" ht="11.25" hidden="1" customHeight="1" outlineLevel="2" x14ac:dyDescent="0.25">
      <c r="B7657" s="704" t="s">
        <v>697</v>
      </c>
      <c r="C7657" s="704" t="s">
        <v>874</v>
      </c>
      <c r="D7657" s="704" t="s">
        <v>675</v>
      </c>
      <c r="E7657" s="704" t="s">
        <v>861</v>
      </c>
      <c r="F7657" s="708"/>
      <c r="G7657" s="705">
        <v>13.059291775272998</v>
      </c>
    </row>
    <row r="7658" spans="2:7" ht="11.25" hidden="1" customHeight="1" outlineLevel="2" x14ac:dyDescent="0.25">
      <c r="B7658" s="704" t="s">
        <v>698</v>
      </c>
      <c r="C7658" s="704" t="s">
        <v>874</v>
      </c>
      <c r="D7658" s="704" t="s">
        <v>675</v>
      </c>
      <c r="E7658" s="704" t="s">
        <v>861</v>
      </c>
      <c r="F7658" s="708"/>
      <c r="G7658" s="705">
        <v>14.340243140689884</v>
      </c>
    </row>
    <row r="7659" spans="2:7" ht="11.25" hidden="1" customHeight="1" outlineLevel="2" x14ac:dyDescent="0.25">
      <c r="B7659" s="704" t="s">
        <v>699</v>
      </c>
      <c r="C7659" s="704" t="s">
        <v>874</v>
      </c>
      <c r="D7659" s="704" t="s">
        <v>675</v>
      </c>
      <c r="E7659" s="704" t="s">
        <v>861</v>
      </c>
      <c r="F7659" s="708"/>
      <c r="G7659" s="705">
        <v>2.5688594811403869E-30</v>
      </c>
    </row>
    <row r="7660" spans="2:7" ht="11.25" hidden="1" customHeight="1" outlineLevel="2" x14ac:dyDescent="0.25">
      <c r="B7660" s="704" t="s">
        <v>673</v>
      </c>
      <c r="C7660" s="704" t="s">
        <v>875</v>
      </c>
      <c r="D7660" s="704" t="s">
        <v>675</v>
      </c>
      <c r="E7660" s="704" t="s">
        <v>861</v>
      </c>
      <c r="F7660" s="708"/>
      <c r="G7660" s="705">
        <v>261.6385610994264</v>
      </c>
    </row>
    <row r="7661" spans="2:7" ht="11.25" hidden="1" customHeight="1" outlineLevel="2" x14ac:dyDescent="0.25">
      <c r="B7661" s="704" t="s">
        <v>677</v>
      </c>
      <c r="C7661" s="704" t="s">
        <v>875</v>
      </c>
      <c r="D7661" s="704" t="s">
        <v>675</v>
      </c>
      <c r="E7661" s="704" t="s">
        <v>861</v>
      </c>
      <c r="F7661" s="705">
        <v>0.12760420935217642</v>
      </c>
      <c r="G7661" s="705">
        <v>4341.8496005876941</v>
      </c>
    </row>
    <row r="7662" spans="2:7" ht="11.25" hidden="1" customHeight="1" outlineLevel="2" x14ac:dyDescent="0.25">
      <c r="B7662" s="704" t="s">
        <v>678</v>
      </c>
      <c r="C7662" s="704" t="s">
        <v>875</v>
      </c>
      <c r="D7662" s="704" t="s">
        <v>675</v>
      </c>
      <c r="E7662" s="704" t="s">
        <v>861</v>
      </c>
      <c r="F7662" s="708"/>
      <c r="G7662" s="705">
        <v>10057.089058205491</v>
      </c>
    </row>
    <row r="7663" spans="2:7" ht="11.25" hidden="1" customHeight="1" outlineLevel="2" x14ac:dyDescent="0.25">
      <c r="B7663" s="704" t="s">
        <v>679</v>
      </c>
      <c r="C7663" s="704" t="s">
        <v>875</v>
      </c>
      <c r="D7663" s="704" t="s">
        <v>675</v>
      </c>
      <c r="E7663" s="704" t="s">
        <v>861</v>
      </c>
      <c r="F7663" s="708"/>
      <c r="G7663" s="705">
        <v>816.15438289449071</v>
      </c>
    </row>
    <row r="7664" spans="2:7" ht="11.25" hidden="1" customHeight="1" outlineLevel="2" x14ac:dyDescent="0.25">
      <c r="B7664" s="704" t="s">
        <v>680</v>
      </c>
      <c r="C7664" s="704" t="s">
        <v>875</v>
      </c>
      <c r="D7664" s="704" t="s">
        <v>675</v>
      </c>
      <c r="E7664" s="704" t="s">
        <v>861</v>
      </c>
      <c r="F7664" s="708"/>
      <c r="G7664" s="705">
        <v>151.27185425751756</v>
      </c>
    </row>
    <row r="7665" spans="2:7" ht="11.25" hidden="1" customHeight="1" outlineLevel="2" x14ac:dyDescent="0.25">
      <c r="B7665" s="704" t="s">
        <v>681</v>
      </c>
      <c r="C7665" s="704" t="s">
        <v>875</v>
      </c>
      <c r="D7665" s="704" t="s">
        <v>675</v>
      </c>
      <c r="E7665" s="704" t="s">
        <v>861</v>
      </c>
      <c r="F7665" s="708"/>
      <c r="G7665" s="705">
        <v>1275.9300443663731</v>
      </c>
    </row>
    <row r="7666" spans="2:7" ht="11.25" hidden="1" customHeight="1" outlineLevel="2" x14ac:dyDescent="0.25">
      <c r="B7666" s="704" t="s">
        <v>682</v>
      </c>
      <c r="C7666" s="704" t="s">
        <v>875</v>
      </c>
      <c r="D7666" s="704" t="s">
        <v>675</v>
      </c>
      <c r="E7666" s="704" t="s">
        <v>861</v>
      </c>
      <c r="F7666" s="708"/>
      <c r="G7666" s="705">
        <v>1120.0713702148805</v>
      </c>
    </row>
    <row r="7667" spans="2:7" ht="11.25" hidden="1" customHeight="1" outlineLevel="2" x14ac:dyDescent="0.25">
      <c r="B7667" s="704" t="s">
        <v>683</v>
      </c>
      <c r="C7667" s="704" t="s">
        <v>875</v>
      </c>
      <c r="D7667" s="704" t="s">
        <v>675</v>
      </c>
      <c r="E7667" s="704" t="s">
        <v>861</v>
      </c>
      <c r="F7667" s="708"/>
      <c r="G7667" s="705">
        <v>1860.1735680706904</v>
      </c>
    </row>
    <row r="7668" spans="2:7" ht="11.25" hidden="1" customHeight="1" outlineLevel="2" x14ac:dyDescent="0.25">
      <c r="B7668" s="704" t="s">
        <v>684</v>
      </c>
      <c r="C7668" s="704" t="s">
        <v>875</v>
      </c>
      <c r="D7668" s="704" t="s">
        <v>675</v>
      </c>
      <c r="E7668" s="704" t="s">
        <v>861</v>
      </c>
      <c r="F7668" s="708"/>
      <c r="G7668" s="705">
        <v>245.79025829335535</v>
      </c>
    </row>
    <row r="7669" spans="2:7" ht="11.25" hidden="1" customHeight="1" outlineLevel="2" x14ac:dyDescent="0.25">
      <c r="B7669" s="704" t="s">
        <v>685</v>
      </c>
      <c r="C7669" s="704" t="s">
        <v>875</v>
      </c>
      <c r="D7669" s="704" t="s">
        <v>675</v>
      </c>
      <c r="E7669" s="704" t="s">
        <v>861</v>
      </c>
      <c r="F7669" s="708"/>
      <c r="G7669" s="705">
        <v>2232.3809065374803</v>
      </c>
    </row>
    <row r="7670" spans="2:7" ht="11.25" hidden="1" customHeight="1" outlineLevel="2" x14ac:dyDescent="0.25">
      <c r="B7670" s="704" t="s">
        <v>686</v>
      </c>
      <c r="C7670" s="704" t="s">
        <v>875</v>
      </c>
      <c r="D7670" s="704" t="s">
        <v>675</v>
      </c>
      <c r="E7670" s="704" t="s">
        <v>861</v>
      </c>
      <c r="F7670" s="708"/>
      <c r="G7670" s="705">
        <v>524.85214111391281</v>
      </c>
    </row>
    <row r="7671" spans="2:7" ht="11.25" hidden="1" customHeight="1" outlineLevel="2" x14ac:dyDescent="0.25">
      <c r="B7671" s="704" t="s">
        <v>687</v>
      </c>
      <c r="C7671" s="704" t="s">
        <v>875</v>
      </c>
      <c r="D7671" s="704" t="s">
        <v>675</v>
      </c>
      <c r="E7671" s="704" t="s">
        <v>861</v>
      </c>
      <c r="F7671" s="709"/>
      <c r="G7671" s="705">
        <v>2688.4852431611257</v>
      </c>
    </row>
    <row r="7672" spans="2:7" ht="11.25" hidden="1" customHeight="1" outlineLevel="2" x14ac:dyDescent="0.25">
      <c r="B7672" s="704" t="s">
        <v>688</v>
      </c>
      <c r="C7672" s="704" t="s">
        <v>875</v>
      </c>
      <c r="D7672" s="704" t="s">
        <v>675</v>
      </c>
      <c r="E7672" s="704" t="s">
        <v>861</v>
      </c>
      <c r="F7672" s="709"/>
      <c r="G7672" s="705">
        <v>1929.7533664110438</v>
      </c>
    </row>
    <row r="7673" spans="2:7" ht="11.25" hidden="1" customHeight="1" outlineLevel="2" x14ac:dyDescent="0.25">
      <c r="B7673" s="704" t="s">
        <v>689</v>
      </c>
      <c r="C7673" s="704" t="s">
        <v>875</v>
      </c>
      <c r="D7673" s="704" t="s">
        <v>675</v>
      </c>
      <c r="E7673" s="704" t="s">
        <v>861</v>
      </c>
      <c r="F7673" s="709"/>
      <c r="G7673" s="705">
        <v>285.31150748604671</v>
      </c>
    </row>
    <row r="7674" spans="2:7" ht="11.25" hidden="1" customHeight="1" outlineLevel="2" x14ac:dyDescent="0.25">
      <c r="B7674" s="704" t="s">
        <v>690</v>
      </c>
      <c r="C7674" s="704" t="s">
        <v>875</v>
      </c>
      <c r="D7674" s="704" t="s">
        <v>675</v>
      </c>
      <c r="E7674" s="704" t="s">
        <v>861</v>
      </c>
      <c r="F7674" s="709"/>
      <c r="G7674" s="705">
        <v>6281.6085369711736</v>
      </c>
    </row>
    <row r="7675" spans="2:7" ht="11.25" hidden="1" customHeight="1" outlineLevel="2" x14ac:dyDescent="0.25">
      <c r="B7675" s="704" t="s">
        <v>691</v>
      </c>
      <c r="C7675" s="704" t="s">
        <v>875</v>
      </c>
      <c r="D7675" s="704" t="s">
        <v>675</v>
      </c>
      <c r="E7675" s="704" t="s">
        <v>861</v>
      </c>
      <c r="F7675" s="709"/>
      <c r="G7675" s="705">
        <v>7173.7950866485207</v>
      </c>
    </row>
    <row r="7676" spans="2:7" ht="11.25" hidden="1" customHeight="1" outlineLevel="2" x14ac:dyDescent="0.25">
      <c r="B7676" s="704" t="s">
        <v>692</v>
      </c>
      <c r="C7676" s="704" t="s">
        <v>875</v>
      </c>
      <c r="D7676" s="704" t="s">
        <v>675</v>
      </c>
      <c r="E7676" s="704" t="s">
        <v>861</v>
      </c>
      <c r="F7676" s="709"/>
      <c r="G7676" s="705">
        <v>419.50558772218881</v>
      </c>
    </row>
    <row r="7677" spans="2:7" ht="11.25" hidden="1" customHeight="1" outlineLevel="2" x14ac:dyDescent="0.25">
      <c r="B7677" s="704" t="s">
        <v>693</v>
      </c>
      <c r="C7677" s="704" t="s">
        <v>875</v>
      </c>
      <c r="D7677" s="704" t="s">
        <v>675</v>
      </c>
      <c r="E7677" s="704" t="s">
        <v>861</v>
      </c>
      <c r="F7677" s="708"/>
      <c r="G7677" s="705">
        <v>1047.1694109012644</v>
      </c>
    </row>
    <row r="7678" spans="2:7" ht="11.25" hidden="1" customHeight="1" outlineLevel="2" x14ac:dyDescent="0.25">
      <c r="B7678" s="704" t="s">
        <v>694</v>
      </c>
      <c r="C7678" s="704" t="s">
        <v>875</v>
      </c>
      <c r="D7678" s="704" t="s">
        <v>675</v>
      </c>
      <c r="E7678" s="704" t="s">
        <v>861</v>
      </c>
      <c r="F7678" s="708"/>
      <c r="G7678" s="705">
        <v>117.39994250179079</v>
      </c>
    </row>
    <row r="7679" spans="2:7" ht="11.25" hidden="1" customHeight="1" outlineLevel="2" x14ac:dyDescent="0.25">
      <c r="B7679" s="704" t="s">
        <v>695</v>
      </c>
      <c r="C7679" s="704" t="s">
        <v>875</v>
      </c>
      <c r="D7679" s="704" t="s">
        <v>675</v>
      </c>
      <c r="E7679" s="704" t="s">
        <v>861</v>
      </c>
      <c r="F7679" s="708"/>
      <c r="G7679" s="705">
        <v>556.86352497160033</v>
      </c>
    </row>
    <row r="7680" spans="2:7" ht="11.25" hidden="1" customHeight="1" outlineLevel="2" x14ac:dyDescent="0.25">
      <c r="B7680" s="704" t="s">
        <v>696</v>
      </c>
      <c r="C7680" s="704" t="s">
        <v>875</v>
      </c>
      <c r="D7680" s="704" t="s">
        <v>675</v>
      </c>
      <c r="E7680" s="704" t="s">
        <v>861</v>
      </c>
      <c r="F7680" s="708"/>
      <c r="G7680" s="705">
        <v>1391.3468008460327</v>
      </c>
    </row>
    <row r="7681" spans="2:7" ht="11.25" hidden="1" customHeight="1" outlineLevel="2" x14ac:dyDescent="0.25">
      <c r="B7681" s="704" t="s">
        <v>697</v>
      </c>
      <c r="C7681" s="704" t="s">
        <v>875</v>
      </c>
      <c r="D7681" s="704" t="s">
        <v>675</v>
      </c>
      <c r="E7681" s="704" t="s">
        <v>861</v>
      </c>
      <c r="F7681" s="708"/>
      <c r="G7681" s="705">
        <v>761.24683827976378</v>
      </c>
    </row>
    <row r="7682" spans="2:7" ht="11.25" hidden="1" customHeight="1" outlineLevel="2" x14ac:dyDescent="0.25">
      <c r="B7682" s="704" t="s">
        <v>698</v>
      </c>
      <c r="C7682" s="704" t="s">
        <v>875</v>
      </c>
      <c r="D7682" s="704" t="s">
        <v>675</v>
      </c>
      <c r="E7682" s="704" t="s">
        <v>861</v>
      </c>
      <c r="F7682" s="708"/>
      <c r="G7682" s="705">
        <v>835.91538372316586</v>
      </c>
    </row>
    <row r="7683" spans="2:7" ht="11.25" hidden="1" customHeight="1" outlineLevel="2" x14ac:dyDescent="0.25">
      <c r="B7683" s="704" t="s">
        <v>699</v>
      </c>
      <c r="C7683" s="704" t="s">
        <v>875</v>
      </c>
      <c r="D7683" s="704" t="s">
        <v>675</v>
      </c>
      <c r="E7683" s="704" t="s">
        <v>861</v>
      </c>
      <c r="F7683" s="708"/>
      <c r="G7683" s="705">
        <v>1.2978143078073451E-28</v>
      </c>
    </row>
    <row r="7684" spans="2:7" ht="11.25" hidden="1" customHeight="1" outlineLevel="2" x14ac:dyDescent="0.25">
      <c r="B7684" s="704" t="s">
        <v>673</v>
      </c>
      <c r="C7684" s="704" t="s">
        <v>876</v>
      </c>
      <c r="D7684" s="704" t="s">
        <v>675</v>
      </c>
      <c r="E7684" s="704" t="s">
        <v>861</v>
      </c>
      <c r="F7684" s="708"/>
      <c r="G7684" s="705">
        <v>285.01103413851428</v>
      </c>
    </row>
    <row r="7685" spans="2:7" ht="11.25" hidden="1" customHeight="1" outlineLevel="2" x14ac:dyDescent="0.25">
      <c r="B7685" s="704" t="s">
        <v>677</v>
      </c>
      <c r="C7685" s="704" t="s">
        <v>876</v>
      </c>
      <c r="D7685" s="704" t="s">
        <v>675</v>
      </c>
      <c r="E7685" s="704" t="s">
        <v>861</v>
      </c>
      <c r="F7685" s="705">
        <v>0.14615141355139191</v>
      </c>
      <c r="G7685" s="705">
        <v>4729.7100099539202</v>
      </c>
    </row>
    <row r="7686" spans="2:7" ht="11.25" hidden="1" customHeight="1" outlineLevel="2" x14ac:dyDescent="0.25">
      <c r="B7686" s="704" t="s">
        <v>678</v>
      </c>
      <c r="C7686" s="704" t="s">
        <v>876</v>
      </c>
      <c r="D7686" s="704" t="s">
        <v>675</v>
      </c>
      <c r="E7686" s="704" t="s">
        <v>861</v>
      </c>
      <c r="F7686" s="708"/>
      <c r="G7686" s="705">
        <v>10955.500315579371</v>
      </c>
    </row>
    <row r="7687" spans="2:7" ht="11.25" hidden="1" customHeight="1" outlineLevel="2" x14ac:dyDescent="0.25">
      <c r="B7687" s="704" t="s">
        <v>679</v>
      </c>
      <c r="C7687" s="704" t="s">
        <v>876</v>
      </c>
      <c r="D7687" s="704" t="s">
        <v>675</v>
      </c>
      <c r="E7687" s="704" t="s">
        <v>861</v>
      </c>
      <c r="F7687" s="708"/>
      <c r="G7687" s="705">
        <v>889.06218380009773</v>
      </c>
    </row>
    <row r="7688" spans="2:7" ht="11.25" hidden="1" customHeight="1" outlineLevel="2" x14ac:dyDescent="0.25">
      <c r="B7688" s="704" t="s">
        <v>680</v>
      </c>
      <c r="C7688" s="704" t="s">
        <v>876</v>
      </c>
      <c r="D7688" s="704" t="s">
        <v>675</v>
      </c>
      <c r="E7688" s="704" t="s">
        <v>861</v>
      </c>
      <c r="F7688" s="708"/>
      <c r="G7688" s="705">
        <v>164.78519045818129</v>
      </c>
    </row>
    <row r="7689" spans="2:7" ht="11.25" hidden="1" customHeight="1" outlineLevel="2" x14ac:dyDescent="0.25">
      <c r="B7689" s="704" t="s">
        <v>681</v>
      </c>
      <c r="C7689" s="704" t="s">
        <v>876</v>
      </c>
      <c r="D7689" s="704" t="s">
        <v>675</v>
      </c>
      <c r="E7689" s="704" t="s">
        <v>861</v>
      </c>
      <c r="F7689" s="708"/>
      <c r="G7689" s="705">
        <v>1389.9104597916116</v>
      </c>
    </row>
    <row r="7690" spans="2:7" ht="11.25" hidden="1" customHeight="1" outlineLevel="2" x14ac:dyDescent="0.25">
      <c r="B7690" s="704" t="s">
        <v>682</v>
      </c>
      <c r="C7690" s="704" t="s">
        <v>876</v>
      </c>
      <c r="D7690" s="704" t="s">
        <v>675</v>
      </c>
      <c r="E7690" s="704" t="s">
        <v>861</v>
      </c>
      <c r="F7690" s="708"/>
      <c r="G7690" s="705">
        <v>1220.1281262823866</v>
      </c>
    </row>
    <row r="7691" spans="2:7" ht="11.25" hidden="1" customHeight="1" outlineLevel="2" x14ac:dyDescent="0.25">
      <c r="B7691" s="704" t="s">
        <v>683</v>
      </c>
      <c r="C7691" s="704" t="s">
        <v>876</v>
      </c>
      <c r="D7691" s="704" t="s">
        <v>675</v>
      </c>
      <c r="E7691" s="704" t="s">
        <v>861</v>
      </c>
      <c r="F7691" s="708"/>
      <c r="G7691" s="705">
        <v>2026.3449241715543</v>
      </c>
    </row>
    <row r="7692" spans="2:7" ht="11.25" hidden="1" customHeight="1" outlineLevel="2" x14ac:dyDescent="0.25">
      <c r="B7692" s="704" t="s">
        <v>684</v>
      </c>
      <c r="C7692" s="704" t="s">
        <v>876</v>
      </c>
      <c r="D7692" s="704" t="s">
        <v>675</v>
      </c>
      <c r="E7692" s="704" t="s">
        <v>861</v>
      </c>
      <c r="F7692" s="708"/>
      <c r="G7692" s="705">
        <v>267.74702838063985</v>
      </c>
    </row>
    <row r="7693" spans="2:7" ht="11.25" hidden="1" customHeight="1" outlineLevel="2" x14ac:dyDescent="0.25">
      <c r="B7693" s="704" t="s">
        <v>685</v>
      </c>
      <c r="C7693" s="704" t="s">
        <v>876</v>
      </c>
      <c r="D7693" s="704" t="s">
        <v>675</v>
      </c>
      <c r="E7693" s="704" t="s">
        <v>861</v>
      </c>
      <c r="F7693" s="708"/>
      <c r="G7693" s="705">
        <v>2431.8014225963807</v>
      </c>
    </row>
    <row r="7694" spans="2:7" ht="11.25" hidden="1" customHeight="1" outlineLevel="2" x14ac:dyDescent="0.25">
      <c r="B7694" s="704" t="s">
        <v>686</v>
      </c>
      <c r="C7694" s="704" t="s">
        <v>876</v>
      </c>
      <c r="D7694" s="704" t="s">
        <v>675</v>
      </c>
      <c r="E7694" s="704" t="s">
        <v>861</v>
      </c>
      <c r="F7694" s="708"/>
      <c r="G7694" s="705">
        <v>571.73751750604401</v>
      </c>
    </row>
    <row r="7695" spans="2:7" ht="11.25" hidden="1" customHeight="1" outlineLevel="2" x14ac:dyDescent="0.25">
      <c r="B7695" s="704" t="s">
        <v>687</v>
      </c>
      <c r="C7695" s="704" t="s">
        <v>876</v>
      </c>
      <c r="D7695" s="704" t="s">
        <v>675</v>
      </c>
      <c r="E7695" s="704" t="s">
        <v>861</v>
      </c>
      <c r="F7695" s="708"/>
      <c r="G7695" s="705">
        <v>2928.6491964408356</v>
      </c>
    </row>
    <row r="7696" spans="2:7" ht="11.25" hidden="1" customHeight="1" outlineLevel="2" x14ac:dyDescent="0.25">
      <c r="B7696" s="704" t="s">
        <v>688</v>
      </c>
      <c r="C7696" s="704" t="s">
        <v>876</v>
      </c>
      <c r="D7696" s="704" t="s">
        <v>675</v>
      </c>
      <c r="E7696" s="704" t="s">
        <v>861</v>
      </c>
      <c r="F7696" s="708"/>
      <c r="G7696" s="705">
        <v>2102.1407870954909</v>
      </c>
    </row>
    <row r="7697" spans="2:7" ht="11.25" hidden="1" customHeight="1" outlineLevel="2" x14ac:dyDescent="0.25">
      <c r="B7697" s="704" t="s">
        <v>689</v>
      </c>
      <c r="C7697" s="704" t="s">
        <v>876</v>
      </c>
      <c r="D7697" s="704" t="s">
        <v>675</v>
      </c>
      <c r="E7697" s="704" t="s">
        <v>861</v>
      </c>
      <c r="F7697" s="708"/>
      <c r="G7697" s="705">
        <v>310.79864767796767</v>
      </c>
    </row>
    <row r="7698" spans="2:7" ht="11.25" hidden="1" customHeight="1" outlineLevel="2" x14ac:dyDescent="0.25">
      <c r="B7698" s="704" t="s">
        <v>690</v>
      </c>
      <c r="C7698" s="704" t="s">
        <v>876</v>
      </c>
      <c r="D7698" s="704" t="s">
        <v>675</v>
      </c>
      <c r="E7698" s="704" t="s">
        <v>861</v>
      </c>
      <c r="F7698" s="708"/>
      <c r="G7698" s="705">
        <v>6842.750124300057</v>
      </c>
    </row>
    <row r="7699" spans="2:7" ht="11.25" hidden="1" customHeight="1" outlineLevel="2" x14ac:dyDescent="0.25">
      <c r="B7699" s="704" t="s">
        <v>691</v>
      </c>
      <c r="C7699" s="704" t="s">
        <v>876</v>
      </c>
      <c r="D7699" s="704" t="s">
        <v>675</v>
      </c>
      <c r="E7699" s="704" t="s">
        <v>861</v>
      </c>
      <c r="F7699" s="708"/>
      <c r="G7699" s="705">
        <v>7814.6377280241695</v>
      </c>
    </row>
    <row r="7700" spans="2:7" ht="11.25" hidden="1" customHeight="1" outlineLevel="2" x14ac:dyDescent="0.25">
      <c r="B7700" s="704" t="s">
        <v>692</v>
      </c>
      <c r="C7700" s="704" t="s">
        <v>876</v>
      </c>
      <c r="D7700" s="704" t="s">
        <v>675</v>
      </c>
      <c r="E7700" s="704" t="s">
        <v>861</v>
      </c>
      <c r="F7700" s="708"/>
      <c r="G7700" s="705">
        <v>456.98052691878041</v>
      </c>
    </row>
    <row r="7701" spans="2:7" ht="11.25" hidden="1" customHeight="1" outlineLevel="2" x14ac:dyDescent="0.25">
      <c r="B7701" s="704" t="s">
        <v>693</v>
      </c>
      <c r="C7701" s="704" t="s">
        <v>876</v>
      </c>
      <c r="D7701" s="704" t="s">
        <v>675</v>
      </c>
      <c r="E7701" s="704" t="s">
        <v>861</v>
      </c>
      <c r="F7701" s="708"/>
      <c r="G7701" s="705">
        <v>1140.714073219184</v>
      </c>
    </row>
    <row r="7702" spans="2:7" ht="11.25" hidden="1" customHeight="1" outlineLevel="2" x14ac:dyDescent="0.25">
      <c r="B7702" s="704" t="s">
        <v>694</v>
      </c>
      <c r="C7702" s="704" t="s">
        <v>876</v>
      </c>
      <c r="D7702" s="704" t="s">
        <v>675</v>
      </c>
      <c r="E7702" s="704" t="s">
        <v>861</v>
      </c>
      <c r="F7702" s="708"/>
      <c r="G7702" s="705">
        <v>127.88738734235746</v>
      </c>
    </row>
    <row r="7703" spans="2:7" ht="11.25" hidden="1" customHeight="1" outlineLevel="2" x14ac:dyDescent="0.25">
      <c r="B7703" s="704" t="s">
        <v>695</v>
      </c>
      <c r="C7703" s="704" t="s">
        <v>876</v>
      </c>
      <c r="D7703" s="704" t="s">
        <v>675</v>
      </c>
      <c r="E7703" s="704" t="s">
        <v>861</v>
      </c>
      <c r="F7703" s="708"/>
      <c r="G7703" s="705">
        <v>606.60875580784534</v>
      </c>
    </row>
    <row r="7704" spans="2:7" ht="11.25" hidden="1" customHeight="1" outlineLevel="2" x14ac:dyDescent="0.25">
      <c r="B7704" s="704" t="s">
        <v>696</v>
      </c>
      <c r="C7704" s="704" t="s">
        <v>876</v>
      </c>
      <c r="D7704" s="704" t="s">
        <v>675</v>
      </c>
      <c r="E7704" s="704" t="s">
        <v>861</v>
      </c>
      <c r="F7704" s="708"/>
      <c r="G7704" s="705">
        <v>1515.6372114955652</v>
      </c>
    </row>
    <row r="7705" spans="2:7" ht="11.25" hidden="1" customHeight="1" outlineLevel="2" x14ac:dyDescent="0.25">
      <c r="B7705" s="704" t="s">
        <v>697</v>
      </c>
      <c r="C7705" s="704" t="s">
        <v>876</v>
      </c>
      <c r="D7705" s="704" t="s">
        <v>675</v>
      </c>
      <c r="E7705" s="704" t="s">
        <v>861</v>
      </c>
      <c r="F7705" s="708"/>
      <c r="G7705" s="705">
        <v>829.24942876641398</v>
      </c>
    </row>
    <row r="7706" spans="2:7" ht="11.25" hidden="1" customHeight="1" outlineLevel="2" x14ac:dyDescent="0.25">
      <c r="B7706" s="704" t="s">
        <v>698</v>
      </c>
      <c r="C7706" s="704" t="s">
        <v>876</v>
      </c>
      <c r="D7706" s="704" t="s">
        <v>675</v>
      </c>
      <c r="E7706" s="704" t="s">
        <v>861</v>
      </c>
      <c r="F7706" s="708"/>
      <c r="G7706" s="705">
        <v>910.58856982222267</v>
      </c>
    </row>
    <row r="7707" spans="2:7" ht="11.25" hidden="1" customHeight="1" outlineLevel="2" x14ac:dyDescent="0.25">
      <c r="B7707" s="704" t="s">
        <v>699</v>
      </c>
      <c r="C7707" s="704" t="s">
        <v>876</v>
      </c>
      <c r="D7707" s="704" t="s">
        <v>675</v>
      </c>
      <c r="E7707" s="704" t="s">
        <v>861</v>
      </c>
      <c r="F7707" s="708"/>
      <c r="G7707" s="705">
        <v>4.5319368336702387E-29</v>
      </c>
    </row>
    <row r="7708" spans="2:7" ht="11.25" hidden="1" customHeight="1" outlineLevel="2" x14ac:dyDescent="0.25">
      <c r="B7708" s="704" t="s">
        <v>673</v>
      </c>
      <c r="C7708" s="704" t="s">
        <v>877</v>
      </c>
      <c r="D7708" s="704" t="s">
        <v>675</v>
      </c>
      <c r="E7708" s="704" t="s">
        <v>861</v>
      </c>
      <c r="F7708" s="708"/>
      <c r="G7708" s="705">
        <v>979.79990107837341</v>
      </c>
    </row>
    <row r="7709" spans="2:7" ht="11.25" hidden="1" customHeight="1" outlineLevel="2" x14ac:dyDescent="0.25">
      <c r="B7709" s="704" t="s">
        <v>677</v>
      </c>
      <c r="C7709" s="704" t="s">
        <v>877</v>
      </c>
      <c r="D7709" s="704" t="s">
        <v>675</v>
      </c>
      <c r="E7709" s="704" t="s">
        <v>861</v>
      </c>
      <c r="F7709" s="705">
        <v>0.57197739114006174</v>
      </c>
      <c r="G7709" s="705">
        <v>16259.618370754453</v>
      </c>
    </row>
    <row r="7710" spans="2:7" ht="11.25" hidden="1" customHeight="1" outlineLevel="2" x14ac:dyDescent="0.25">
      <c r="B7710" s="704" t="s">
        <v>678</v>
      </c>
      <c r="C7710" s="704" t="s">
        <v>877</v>
      </c>
      <c r="D7710" s="704" t="s">
        <v>675</v>
      </c>
      <c r="E7710" s="704" t="s">
        <v>861</v>
      </c>
      <c r="F7710" s="708"/>
      <c r="G7710" s="705">
        <v>37662.398357990955</v>
      </c>
    </row>
    <row r="7711" spans="2:7" ht="11.25" hidden="1" customHeight="1" outlineLevel="2" x14ac:dyDescent="0.25">
      <c r="B7711" s="704" t="s">
        <v>679</v>
      </c>
      <c r="C7711" s="704" t="s">
        <v>877</v>
      </c>
      <c r="D7711" s="704" t="s">
        <v>675</v>
      </c>
      <c r="E7711" s="704" t="s">
        <v>861</v>
      </c>
      <c r="F7711" s="708"/>
      <c r="G7711" s="705">
        <v>3056.3836084867844</v>
      </c>
    </row>
    <row r="7712" spans="2:7" ht="11.25" hidden="1" customHeight="1" outlineLevel="2" x14ac:dyDescent="0.25">
      <c r="B7712" s="704" t="s">
        <v>680</v>
      </c>
      <c r="C7712" s="704" t="s">
        <v>877</v>
      </c>
      <c r="D7712" s="704" t="s">
        <v>675</v>
      </c>
      <c r="E7712" s="704" t="s">
        <v>861</v>
      </c>
      <c r="F7712" s="708"/>
      <c r="G7712" s="705">
        <v>566.49196719457814</v>
      </c>
    </row>
    <row r="7713" spans="2:7" ht="11.25" hidden="1" customHeight="1" outlineLevel="2" x14ac:dyDescent="0.25">
      <c r="B7713" s="704" t="s">
        <v>681</v>
      </c>
      <c r="C7713" s="704" t="s">
        <v>877</v>
      </c>
      <c r="D7713" s="704" t="s">
        <v>675</v>
      </c>
      <c r="E7713" s="704" t="s">
        <v>861</v>
      </c>
      <c r="F7713" s="708"/>
      <c r="G7713" s="705">
        <v>4778.1801660420406</v>
      </c>
    </row>
    <row r="7714" spans="2:7" ht="11.25" hidden="1" customHeight="1" outlineLevel="2" x14ac:dyDescent="0.25">
      <c r="B7714" s="704" t="s">
        <v>682</v>
      </c>
      <c r="C7714" s="704" t="s">
        <v>877</v>
      </c>
      <c r="D7714" s="704" t="s">
        <v>675</v>
      </c>
      <c r="E7714" s="704" t="s">
        <v>861</v>
      </c>
      <c r="F7714" s="708"/>
      <c r="G7714" s="705">
        <v>4194.5096453725764</v>
      </c>
    </row>
    <row r="7715" spans="2:7" ht="11.25" hidden="1" customHeight="1" outlineLevel="2" x14ac:dyDescent="0.25">
      <c r="B7715" s="704" t="s">
        <v>683</v>
      </c>
      <c r="C7715" s="704" t="s">
        <v>877</v>
      </c>
      <c r="D7715" s="704" t="s">
        <v>675</v>
      </c>
      <c r="E7715" s="704" t="s">
        <v>861</v>
      </c>
      <c r="F7715" s="708"/>
      <c r="G7715" s="705">
        <v>6966.0907475788317</v>
      </c>
    </row>
    <row r="7716" spans="2:7" ht="11.25" hidden="1" customHeight="1" outlineLevel="2" x14ac:dyDescent="0.25">
      <c r="B7716" s="704" t="s">
        <v>684</v>
      </c>
      <c r="C7716" s="704" t="s">
        <v>877</v>
      </c>
      <c r="D7716" s="704" t="s">
        <v>675</v>
      </c>
      <c r="E7716" s="704" t="s">
        <v>861</v>
      </c>
      <c r="F7716" s="708"/>
      <c r="G7716" s="705">
        <v>920.45028336297241</v>
      </c>
    </row>
    <row r="7717" spans="2:7" ht="11.25" hidden="1" customHeight="1" outlineLevel="2" x14ac:dyDescent="0.25">
      <c r="B7717" s="704" t="s">
        <v>685</v>
      </c>
      <c r="C7717" s="704" t="s">
        <v>877</v>
      </c>
      <c r="D7717" s="704" t="s">
        <v>675</v>
      </c>
      <c r="E7717" s="704" t="s">
        <v>861</v>
      </c>
      <c r="F7717" s="709"/>
      <c r="G7717" s="705">
        <v>8359.9532351176986</v>
      </c>
    </row>
    <row r="7718" spans="2:7" ht="11.25" hidden="1" customHeight="1" outlineLevel="2" x14ac:dyDescent="0.25">
      <c r="B7718" s="704" t="s">
        <v>686</v>
      </c>
      <c r="C7718" s="704" t="s">
        <v>877</v>
      </c>
      <c r="D7718" s="704" t="s">
        <v>675</v>
      </c>
      <c r="E7718" s="704" t="s">
        <v>861</v>
      </c>
      <c r="F7718" s="709"/>
      <c r="G7718" s="705">
        <v>1965.4972484286566</v>
      </c>
    </row>
    <row r="7719" spans="2:7" ht="11.25" hidden="1" customHeight="1" outlineLevel="2" x14ac:dyDescent="0.25">
      <c r="B7719" s="704" t="s">
        <v>687</v>
      </c>
      <c r="C7719" s="704" t="s">
        <v>877</v>
      </c>
      <c r="D7719" s="704" t="s">
        <v>675</v>
      </c>
      <c r="E7719" s="704" t="s">
        <v>861</v>
      </c>
      <c r="F7719" s="709"/>
      <c r="G7719" s="705">
        <v>10068.000191282936</v>
      </c>
    </row>
    <row r="7720" spans="2:7" ht="11.25" hidden="1" customHeight="1" outlineLevel="2" x14ac:dyDescent="0.25">
      <c r="B7720" s="704" t="s">
        <v>688</v>
      </c>
      <c r="C7720" s="704" t="s">
        <v>877</v>
      </c>
      <c r="D7720" s="704" t="s">
        <v>675</v>
      </c>
      <c r="E7720" s="704" t="s">
        <v>861</v>
      </c>
      <c r="F7720" s="709"/>
      <c r="G7720" s="705">
        <v>7226.6551421236009</v>
      </c>
    </row>
    <row r="7721" spans="2:7" ht="11.25" hidden="1" customHeight="1" outlineLevel="2" x14ac:dyDescent="0.25">
      <c r="B7721" s="704" t="s">
        <v>689</v>
      </c>
      <c r="C7721" s="704" t="s">
        <v>877</v>
      </c>
      <c r="D7721" s="704" t="s">
        <v>675</v>
      </c>
      <c r="E7721" s="704" t="s">
        <v>861</v>
      </c>
      <c r="F7721" s="709"/>
      <c r="G7721" s="705">
        <v>1068.4515675360117</v>
      </c>
    </row>
    <row r="7722" spans="2:7" ht="11.25" hidden="1" customHeight="1" outlineLevel="2" x14ac:dyDescent="0.25">
      <c r="B7722" s="704" t="s">
        <v>690</v>
      </c>
      <c r="C7722" s="704" t="s">
        <v>877</v>
      </c>
      <c r="D7722" s="704" t="s">
        <v>675</v>
      </c>
      <c r="E7722" s="704" t="s">
        <v>861</v>
      </c>
      <c r="F7722" s="709"/>
      <c r="G7722" s="705">
        <v>23523.747805134597</v>
      </c>
    </row>
    <row r="7723" spans="2:7" ht="11.25" hidden="1" customHeight="1" outlineLevel="2" x14ac:dyDescent="0.25">
      <c r="B7723" s="704" t="s">
        <v>691</v>
      </c>
      <c r="C7723" s="704" t="s">
        <v>877</v>
      </c>
      <c r="D7723" s="704" t="s">
        <v>675</v>
      </c>
      <c r="E7723" s="704" t="s">
        <v>861</v>
      </c>
      <c r="F7723" s="709"/>
      <c r="G7723" s="705">
        <v>26864.850377018585</v>
      </c>
    </row>
    <row r="7724" spans="2:7" ht="11.25" hidden="1" customHeight="1" outlineLevel="2" x14ac:dyDescent="0.25">
      <c r="B7724" s="704" t="s">
        <v>692</v>
      </c>
      <c r="C7724" s="704" t="s">
        <v>877</v>
      </c>
      <c r="D7724" s="704" t="s">
        <v>675</v>
      </c>
      <c r="E7724" s="704" t="s">
        <v>861</v>
      </c>
      <c r="F7724" s="709"/>
      <c r="G7724" s="705">
        <v>1570.9897941658785</v>
      </c>
    </row>
    <row r="7725" spans="2:7" ht="11.25" hidden="1" customHeight="1" outlineLevel="2" x14ac:dyDescent="0.25">
      <c r="B7725" s="704" t="s">
        <v>693</v>
      </c>
      <c r="C7725" s="704" t="s">
        <v>877</v>
      </c>
      <c r="D7725" s="704" t="s">
        <v>675</v>
      </c>
      <c r="E7725" s="704" t="s">
        <v>861</v>
      </c>
      <c r="F7725" s="709"/>
      <c r="G7725" s="705">
        <v>3921.5028199196722</v>
      </c>
    </row>
    <row r="7726" spans="2:7" ht="11.25" hidden="1" customHeight="1" outlineLevel="2" x14ac:dyDescent="0.25">
      <c r="B7726" s="704" t="s">
        <v>694</v>
      </c>
      <c r="C7726" s="704" t="s">
        <v>877</v>
      </c>
      <c r="D7726" s="704" t="s">
        <v>675</v>
      </c>
      <c r="E7726" s="704" t="s">
        <v>861</v>
      </c>
      <c r="F7726" s="709"/>
      <c r="G7726" s="705">
        <v>439.6465023649306</v>
      </c>
    </row>
    <row r="7727" spans="2:7" ht="11.25" hidden="1" customHeight="1" outlineLevel="2" x14ac:dyDescent="0.25">
      <c r="B7727" s="704" t="s">
        <v>695</v>
      </c>
      <c r="C7727" s="704" t="s">
        <v>877</v>
      </c>
      <c r="D7727" s="704" t="s">
        <v>675</v>
      </c>
      <c r="E7727" s="704" t="s">
        <v>861</v>
      </c>
      <c r="F7727" s="709"/>
      <c r="G7727" s="705">
        <v>2085.3756903889152</v>
      </c>
    </row>
    <row r="7728" spans="2:7" ht="11.25" hidden="1" customHeight="1" outlineLevel="2" x14ac:dyDescent="0.25">
      <c r="B7728" s="704" t="s">
        <v>696</v>
      </c>
      <c r="C7728" s="704" t="s">
        <v>877</v>
      </c>
      <c r="D7728" s="704" t="s">
        <v>675</v>
      </c>
      <c r="E7728" s="704" t="s">
        <v>861</v>
      </c>
      <c r="F7728" s="709"/>
      <c r="G7728" s="705">
        <v>5210.397585962216</v>
      </c>
    </row>
    <row r="7729" spans="2:7" ht="11.25" hidden="1" customHeight="1" outlineLevel="2" x14ac:dyDescent="0.25">
      <c r="B7729" s="704" t="s">
        <v>697</v>
      </c>
      <c r="C7729" s="704" t="s">
        <v>877</v>
      </c>
      <c r="D7729" s="704" t="s">
        <v>675</v>
      </c>
      <c r="E7729" s="704" t="s">
        <v>861</v>
      </c>
      <c r="F7729" s="709"/>
      <c r="G7729" s="705">
        <v>2850.7624443895238</v>
      </c>
    </row>
    <row r="7730" spans="2:7" ht="11.25" hidden="1" customHeight="1" outlineLevel="2" x14ac:dyDescent="0.25">
      <c r="B7730" s="704" t="s">
        <v>698</v>
      </c>
      <c r="C7730" s="704" t="s">
        <v>877</v>
      </c>
      <c r="D7730" s="704" t="s">
        <v>675</v>
      </c>
      <c r="E7730" s="704" t="s">
        <v>861</v>
      </c>
      <c r="F7730" s="709"/>
      <c r="G7730" s="705">
        <v>3130.3858879058889</v>
      </c>
    </row>
    <row r="7731" spans="2:7" ht="11.25" hidden="1" customHeight="1" outlineLevel="2" x14ac:dyDescent="0.25">
      <c r="B7731" s="704" t="s">
        <v>699</v>
      </c>
      <c r="C7731" s="704" t="s">
        <v>877</v>
      </c>
      <c r="D7731" s="704" t="s">
        <v>675</v>
      </c>
      <c r="E7731" s="704" t="s">
        <v>861</v>
      </c>
      <c r="F7731" s="709"/>
      <c r="G7731" s="705">
        <v>4.9554371100347877E-28</v>
      </c>
    </row>
    <row r="7732" spans="2:7" ht="11.25" hidden="1" customHeight="1" outlineLevel="2" x14ac:dyDescent="0.25">
      <c r="B7732" s="704" t="s">
        <v>673</v>
      </c>
      <c r="C7732" s="704" t="s">
        <v>878</v>
      </c>
      <c r="D7732" s="704" t="s">
        <v>675</v>
      </c>
      <c r="E7732" s="704" t="s">
        <v>861</v>
      </c>
      <c r="F7732" s="709"/>
      <c r="G7732" s="705">
        <v>46.127607117533302</v>
      </c>
    </row>
    <row r="7733" spans="2:7" ht="11.25" hidden="1" customHeight="1" outlineLevel="2" x14ac:dyDescent="0.25">
      <c r="B7733" s="704" t="s">
        <v>677</v>
      </c>
      <c r="C7733" s="704" t="s">
        <v>878</v>
      </c>
      <c r="D7733" s="704" t="s">
        <v>675</v>
      </c>
      <c r="E7733" s="704" t="s">
        <v>861</v>
      </c>
      <c r="F7733" s="706">
        <v>2.2223886984418698E-2</v>
      </c>
      <c r="G7733" s="705">
        <v>765.48034814439382</v>
      </c>
    </row>
    <row r="7734" spans="2:7" ht="11.25" hidden="1" customHeight="1" outlineLevel="2" x14ac:dyDescent="0.25">
      <c r="B7734" s="704" t="s">
        <v>678</v>
      </c>
      <c r="C7734" s="704" t="s">
        <v>878</v>
      </c>
      <c r="D7734" s="704" t="s">
        <v>675</v>
      </c>
      <c r="E7734" s="704" t="s">
        <v>861</v>
      </c>
      <c r="F7734" s="709"/>
      <c r="G7734" s="705">
        <v>1773.0934023088735</v>
      </c>
    </row>
    <row r="7735" spans="2:7" ht="11.25" hidden="1" customHeight="1" outlineLevel="2" x14ac:dyDescent="0.25">
      <c r="B7735" s="704" t="s">
        <v>679</v>
      </c>
      <c r="C7735" s="704" t="s">
        <v>878</v>
      </c>
      <c r="D7735" s="704" t="s">
        <v>675</v>
      </c>
      <c r="E7735" s="704" t="s">
        <v>861</v>
      </c>
      <c r="F7735" s="709"/>
      <c r="G7735" s="705">
        <v>143.89030766048199</v>
      </c>
    </row>
    <row r="7736" spans="2:7" ht="11.25" hidden="1" customHeight="1" outlineLevel="2" x14ac:dyDescent="0.25">
      <c r="B7736" s="704" t="s">
        <v>680</v>
      </c>
      <c r="C7736" s="704" t="s">
        <v>878</v>
      </c>
      <c r="D7736" s="704" t="s">
        <v>675</v>
      </c>
      <c r="E7736" s="704" t="s">
        <v>861</v>
      </c>
      <c r="F7736" s="709"/>
      <c r="G7736" s="705">
        <v>26.669654257308178</v>
      </c>
    </row>
    <row r="7737" spans="2:7" ht="11.25" hidden="1" customHeight="1" outlineLevel="2" x14ac:dyDescent="0.25">
      <c r="B7737" s="704" t="s">
        <v>681</v>
      </c>
      <c r="C7737" s="704" t="s">
        <v>878</v>
      </c>
      <c r="D7737" s="704" t="s">
        <v>675</v>
      </c>
      <c r="E7737" s="704" t="s">
        <v>861</v>
      </c>
      <c r="F7737" s="709"/>
      <c r="G7737" s="705">
        <v>224.95011947622638</v>
      </c>
    </row>
    <row r="7738" spans="2:7" ht="11.25" hidden="1" customHeight="1" outlineLevel="2" x14ac:dyDescent="0.25">
      <c r="B7738" s="704" t="s">
        <v>682</v>
      </c>
      <c r="C7738" s="704" t="s">
        <v>878</v>
      </c>
      <c r="D7738" s="704" t="s">
        <v>675</v>
      </c>
      <c r="E7738" s="704" t="s">
        <v>861</v>
      </c>
      <c r="F7738" s="709"/>
      <c r="G7738" s="705">
        <v>197.47172497482308</v>
      </c>
    </row>
    <row r="7739" spans="2:7" ht="11.25" hidden="1" customHeight="1" outlineLevel="2" x14ac:dyDescent="0.25">
      <c r="B7739" s="704" t="s">
        <v>683</v>
      </c>
      <c r="C7739" s="704" t="s">
        <v>878</v>
      </c>
      <c r="D7739" s="704" t="s">
        <v>675</v>
      </c>
      <c r="E7739" s="704" t="s">
        <v>861</v>
      </c>
      <c r="F7739" s="709"/>
      <c r="G7739" s="705">
        <v>327.95394574102789</v>
      </c>
    </row>
    <row r="7740" spans="2:7" ht="11.25" hidden="1" customHeight="1" outlineLevel="2" x14ac:dyDescent="0.25">
      <c r="B7740" s="704" t="s">
        <v>684</v>
      </c>
      <c r="C7740" s="704" t="s">
        <v>878</v>
      </c>
      <c r="D7740" s="704" t="s">
        <v>675</v>
      </c>
      <c r="E7740" s="704" t="s">
        <v>861</v>
      </c>
      <c r="F7740" s="709"/>
      <c r="G7740" s="705">
        <v>43.333524456583156</v>
      </c>
    </row>
    <row r="7741" spans="2:7" ht="11.25" hidden="1" customHeight="1" outlineLevel="2" x14ac:dyDescent="0.25">
      <c r="B7741" s="704" t="s">
        <v>685</v>
      </c>
      <c r="C7741" s="704" t="s">
        <v>878</v>
      </c>
      <c r="D7741" s="704" t="s">
        <v>675</v>
      </c>
      <c r="E7741" s="704" t="s">
        <v>861</v>
      </c>
      <c r="F7741" s="709"/>
      <c r="G7741" s="705">
        <v>393.57501861418763</v>
      </c>
    </row>
    <row r="7742" spans="2:7" ht="11.25" hidden="1" customHeight="1" outlineLevel="2" x14ac:dyDescent="0.25">
      <c r="B7742" s="704" t="s">
        <v>686</v>
      </c>
      <c r="C7742" s="704" t="s">
        <v>878</v>
      </c>
      <c r="D7742" s="704" t="s">
        <v>675</v>
      </c>
      <c r="E7742" s="704" t="s">
        <v>861</v>
      </c>
      <c r="F7742" s="708"/>
      <c r="G7742" s="705">
        <v>92.532917147203321</v>
      </c>
    </row>
    <row r="7743" spans="2:7" ht="11.25" hidden="1" customHeight="1" outlineLevel="2" x14ac:dyDescent="0.25">
      <c r="B7743" s="704" t="s">
        <v>687</v>
      </c>
      <c r="C7743" s="704" t="s">
        <v>878</v>
      </c>
      <c r="D7743" s="704" t="s">
        <v>675</v>
      </c>
      <c r="E7743" s="704" t="s">
        <v>861</v>
      </c>
      <c r="F7743" s="708"/>
      <c r="G7743" s="705">
        <v>473.98756264287744</v>
      </c>
    </row>
    <row r="7744" spans="2:7" ht="11.25" hidden="1" customHeight="1" outlineLevel="2" x14ac:dyDescent="0.25">
      <c r="B7744" s="704" t="s">
        <v>688</v>
      </c>
      <c r="C7744" s="704" t="s">
        <v>878</v>
      </c>
      <c r="D7744" s="704" t="s">
        <v>675</v>
      </c>
      <c r="E7744" s="704" t="s">
        <v>861</v>
      </c>
      <c r="F7744" s="708"/>
      <c r="G7744" s="705">
        <v>340.22102233836466</v>
      </c>
    </row>
    <row r="7745" spans="2:7" ht="11.25" hidden="1" customHeight="1" outlineLevel="2" x14ac:dyDescent="0.25">
      <c r="B7745" s="704" t="s">
        <v>689</v>
      </c>
      <c r="C7745" s="704" t="s">
        <v>878</v>
      </c>
      <c r="D7745" s="704" t="s">
        <v>675</v>
      </c>
      <c r="E7745" s="704" t="s">
        <v>861</v>
      </c>
      <c r="F7745" s="708"/>
      <c r="G7745" s="705">
        <v>50.301223489002453</v>
      </c>
    </row>
    <row r="7746" spans="2:7" ht="11.25" hidden="1" customHeight="1" outlineLevel="2" x14ac:dyDescent="0.25">
      <c r="B7746" s="704" t="s">
        <v>690</v>
      </c>
      <c r="C7746" s="704" t="s">
        <v>878</v>
      </c>
      <c r="D7746" s="704" t="s">
        <v>675</v>
      </c>
      <c r="E7746" s="704" t="s">
        <v>861</v>
      </c>
      <c r="F7746" s="708"/>
      <c r="G7746" s="705">
        <v>1107.4655383736788</v>
      </c>
    </row>
    <row r="7747" spans="2:7" ht="11.25" hidden="1" customHeight="1" outlineLevel="2" x14ac:dyDescent="0.25">
      <c r="B7747" s="704" t="s">
        <v>691</v>
      </c>
      <c r="C7747" s="704" t="s">
        <v>878</v>
      </c>
      <c r="D7747" s="704" t="s">
        <v>675</v>
      </c>
      <c r="E7747" s="704" t="s">
        <v>861</v>
      </c>
      <c r="F7747" s="708"/>
      <c r="G7747" s="705">
        <v>1264.7603190684365</v>
      </c>
    </row>
    <row r="7748" spans="2:7" ht="11.25" hidden="1" customHeight="1" outlineLevel="2" x14ac:dyDescent="0.25">
      <c r="B7748" s="704" t="s">
        <v>692</v>
      </c>
      <c r="C7748" s="704" t="s">
        <v>878</v>
      </c>
      <c r="D7748" s="704" t="s">
        <v>675</v>
      </c>
      <c r="E7748" s="704" t="s">
        <v>861</v>
      </c>
      <c r="F7748" s="708"/>
      <c r="G7748" s="705">
        <v>73.960017915935055</v>
      </c>
    </row>
    <row r="7749" spans="2:7" ht="11.25" hidden="1" customHeight="1" outlineLevel="2" x14ac:dyDescent="0.25">
      <c r="B7749" s="704" t="s">
        <v>693</v>
      </c>
      <c r="C7749" s="704" t="s">
        <v>878</v>
      </c>
      <c r="D7749" s="704" t="s">
        <v>675</v>
      </c>
      <c r="E7749" s="704" t="s">
        <v>861</v>
      </c>
      <c r="F7749" s="708"/>
      <c r="G7749" s="705">
        <v>184.6189270988848</v>
      </c>
    </row>
    <row r="7750" spans="2:7" ht="11.25" hidden="1" customHeight="1" outlineLevel="2" x14ac:dyDescent="0.25">
      <c r="B7750" s="704" t="s">
        <v>694</v>
      </c>
      <c r="C7750" s="704" t="s">
        <v>878</v>
      </c>
      <c r="D7750" s="704" t="s">
        <v>675</v>
      </c>
      <c r="E7750" s="704" t="s">
        <v>861</v>
      </c>
      <c r="F7750" s="708"/>
      <c r="G7750" s="705">
        <v>20.697945233932423</v>
      </c>
    </row>
    <row r="7751" spans="2:7" ht="11.25" hidden="1" customHeight="1" outlineLevel="2" x14ac:dyDescent="0.25">
      <c r="B7751" s="704" t="s">
        <v>695</v>
      </c>
      <c r="C7751" s="704" t="s">
        <v>878</v>
      </c>
      <c r="D7751" s="704" t="s">
        <v>675</v>
      </c>
      <c r="E7751" s="704" t="s">
        <v>861</v>
      </c>
      <c r="F7751" s="708"/>
      <c r="G7751" s="705">
        <v>98.17662644609841</v>
      </c>
    </row>
    <row r="7752" spans="2:7" ht="11.25" hidden="1" customHeight="1" outlineLevel="2" x14ac:dyDescent="0.25">
      <c r="B7752" s="704" t="s">
        <v>696</v>
      </c>
      <c r="C7752" s="704" t="s">
        <v>878</v>
      </c>
      <c r="D7752" s="704" t="s">
        <v>675</v>
      </c>
      <c r="E7752" s="704" t="s">
        <v>861</v>
      </c>
      <c r="F7752" s="708"/>
      <c r="G7752" s="705">
        <v>245.29836879750974</v>
      </c>
    </row>
    <row r="7753" spans="2:7" ht="11.25" hidden="1" customHeight="1" outlineLevel="2" x14ac:dyDescent="0.25">
      <c r="B7753" s="704" t="s">
        <v>697</v>
      </c>
      <c r="C7753" s="704" t="s">
        <v>878</v>
      </c>
      <c r="D7753" s="704" t="s">
        <v>675</v>
      </c>
      <c r="E7753" s="704" t="s">
        <v>861</v>
      </c>
      <c r="F7753" s="708"/>
      <c r="G7753" s="705">
        <v>134.2099268855255</v>
      </c>
    </row>
    <row r="7754" spans="2:7" ht="11.25" hidden="1" customHeight="1" outlineLevel="2" x14ac:dyDescent="0.25">
      <c r="B7754" s="704" t="s">
        <v>698</v>
      </c>
      <c r="C7754" s="704" t="s">
        <v>878</v>
      </c>
      <c r="D7754" s="704" t="s">
        <v>675</v>
      </c>
      <c r="E7754" s="704" t="s">
        <v>861</v>
      </c>
      <c r="F7754" s="708"/>
      <c r="G7754" s="705">
        <v>147.37425119469393</v>
      </c>
    </row>
    <row r="7755" spans="2:7" ht="11.25" hidden="1" customHeight="1" outlineLevel="2" x14ac:dyDescent="0.25">
      <c r="B7755" s="704" t="s">
        <v>699</v>
      </c>
      <c r="C7755" s="704" t="s">
        <v>878</v>
      </c>
      <c r="D7755" s="704" t="s">
        <v>675</v>
      </c>
      <c r="E7755" s="704" t="s">
        <v>861</v>
      </c>
      <c r="F7755" s="708"/>
      <c r="G7755" s="705">
        <v>1.2734909224969495E-29</v>
      </c>
    </row>
    <row r="7756" spans="2:7" ht="11.25" hidden="1" customHeight="1" outlineLevel="2" x14ac:dyDescent="0.25">
      <c r="B7756" s="704" t="s">
        <v>673</v>
      </c>
      <c r="C7756" s="704" t="s">
        <v>879</v>
      </c>
      <c r="D7756" s="704" t="s">
        <v>675</v>
      </c>
      <c r="E7756" s="704" t="s">
        <v>861</v>
      </c>
      <c r="F7756" s="708"/>
      <c r="G7756" s="705">
        <v>366.68355618345879</v>
      </c>
    </row>
    <row r="7757" spans="2:7" ht="11.25" hidden="1" customHeight="1" outlineLevel="2" x14ac:dyDescent="0.25">
      <c r="B7757" s="704" t="s">
        <v>677</v>
      </c>
      <c r="C7757" s="704" t="s">
        <v>879</v>
      </c>
      <c r="D7757" s="704" t="s">
        <v>675</v>
      </c>
      <c r="E7757" s="704" t="s">
        <v>861</v>
      </c>
      <c r="F7757" s="705">
        <v>0.20644567582031118</v>
      </c>
      <c r="G7757" s="705">
        <v>6085.0538708928207</v>
      </c>
    </row>
    <row r="7758" spans="2:7" ht="11.25" hidden="1" customHeight="1" outlineLevel="2" x14ac:dyDescent="0.25">
      <c r="B7758" s="704" t="s">
        <v>678</v>
      </c>
      <c r="C7758" s="704" t="s">
        <v>879</v>
      </c>
      <c r="D7758" s="704" t="s">
        <v>675</v>
      </c>
      <c r="E7758" s="704" t="s">
        <v>861</v>
      </c>
      <c r="F7758" s="708"/>
      <c r="G7758" s="705">
        <v>14094.901524241084</v>
      </c>
    </row>
    <row r="7759" spans="2:7" ht="11.25" hidden="1" customHeight="1" outlineLevel="2" x14ac:dyDescent="0.25">
      <c r="B7759" s="704" t="s">
        <v>679</v>
      </c>
      <c r="C7759" s="704" t="s">
        <v>879</v>
      </c>
      <c r="D7759" s="704" t="s">
        <v>675</v>
      </c>
      <c r="E7759" s="704" t="s">
        <v>861</v>
      </c>
      <c r="F7759" s="708"/>
      <c r="G7759" s="705">
        <v>1143.8315391451524</v>
      </c>
    </row>
    <row r="7760" spans="2:7" ht="11.25" hidden="1" customHeight="1" outlineLevel="2" x14ac:dyDescent="0.25">
      <c r="B7760" s="704" t="s">
        <v>680</v>
      </c>
      <c r="C7760" s="704" t="s">
        <v>879</v>
      </c>
      <c r="D7760" s="704" t="s">
        <v>675</v>
      </c>
      <c r="E7760" s="704" t="s">
        <v>861</v>
      </c>
      <c r="F7760" s="708"/>
      <c r="G7760" s="705">
        <v>212.00587067321595</v>
      </c>
    </row>
    <row r="7761" spans="2:7" ht="11.25" hidden="1" customHeight="1" outlineLevel="2" x14ac:dyDescent="0.25">
      <c r="B7761" s="704" t="s">
        <v>681</v>
      </c>
      <c r="C7761" s="704" t="s">
        <v>879</v>
      </c>
      <c r="D7761" s="704" t="s">
        <v>675</v>
      </c>
      <c r="E7761" s="704" t="s">
        <v>861</v>
      </c>
      <c r="F7761" s="708"/>
      <c r="G7761" s="705">
        <v>1788.2024213831423</v>
      </c>
    </row>
    <row r="7762" spans="2:7" ht="11.25" hidden="1" customHeight="1" outlineLevel="2" x14ac:dyDescent="0.25">
      <c r="B7762" s="704" t="s">
        <v>682</v>
      </c>
      <c r="C7762" s="704" t="s">
        <v>879</v>
      </c>
      <c r="D7762" s="704" t="s">
        <v>675</v>
      </c>
      <c r="E7762" s="704" t="s">
        <v>861</v>
      </c>
      <c r="F7762" s="709"/>
      <c r="G7762" s="705">
        <v>1569.7676999002151</v>
      </c>
    </row>
    <row r="7763" spans="2:7" ht="11.25" hidden="1" customHeight="1" outlineLevel="2" x14ac:dyDescent="0.25">
      <c r="B7763" s="704" t="s">
        <v>683</v>
      </c>
      <c r="C7763" s="704" t="s">
        <v>879</v>
      </c>
      <c r="D7763" s="704" t="s">
        <v>675</v>
      </c>
      <c r="E7763" s="704" t="s">
        <v>861</v>
      </c>
      <c r="F7763" s="709"/>
      <c r="G7763" s="705">
        <v>2607.0133978148856</v>
      </c>
    </row>
    <row r="7764" spans="2:7" ht="11.25" hidden="1" customHeight="1" outlineLevel="2" x14ac:dyDescent="0.25">
      <c r="B7764" s="704" t="s">
        <v>684</v>
      </c>
      <c r="C7764" s="704" t="s">
        <v>879</v>
      </c>
      <c r="D7764" s="704" t="s">
        <v>675</v>
      </c>
      <c r="E7764" s="704" t="s">
        <v>861</v>
      </c>
      <c r="F7764" s="709"/>
      <c r="G7764" s="705">
        <v>344.472402802418</v>
      </c>
    </row>
    <row r="7765" spans="2:7" ht="11.25" hidden="1" customHeight="1" outlineLevel="2" x14ac:dyDescent="0.25">
      <c r="B7765" s="704" t="s">
        <v>685</v>
      </c>
      <c r="C7765" s="704" t="s">
        <v>879</v>
      </c>
      <c r="D7765" s="704" t="s">
        <v>675</v>
      </c>
      <c r="E7765" s="704" t="s">
        <v>861</v>
      </c>
      <c r="F7765" s="709"/>
      <c r="G7765" s="705">
        <v>3128.6573147968729</v>
      </c>
    </row>
    <row r="7766" spans="2:7" ht="11.25" hidden="1" customHeight="1" outlineLevel="2" x14ac:dyDescent="0.25">
      <c r="B7766" s="704" t="s">
        <v>686</v>
      </c>
      <c r="C7766" s="704" t="s">
        <v>879</v>
      </c>
      <c r="D7766" s="704" t="s">
        <v>675</v>
      </c>
      <c r="E7766" s="704" t="s">
        <v>861</v>
      </c>
      <c r="F7766" s="709"/>
      <c r="G7766" s="705">
        <v>735.57449620109674</v>
      </c>
    </row>
    <row r="7767" spans="2:7" ht="11.25" hidden="1" customHeight="1" outlineLevel="2" x14ac:dyDescent="0.25">
      <c r="B7767" s="704" t="s">
        <v>687</v>
      </c>
      <c r="C7767" s="704" t="s">
        <v>879</v>
      </c>
      <c r="D7767" s="704" t="s">
        <v>675</v>
      </c>
      <c r="E7767" s="704" t="s">
        <v>861</v>
      </c>
      <c r="F7767" s="709"/>
      <c r="G7767" s="705">
        <v>3767.8820646535496</v>
      </c>
    </row>
    <row r="7768" spans="2:7" ht="11.25" hidden="1" customHeight="1" outlineLevel="2" x14ac:dyDescent="0.25">
      <c r="B7768" s="704" t="s">
        <v>688</v>
      </c>
      <c r="C7768" s="704" t="s">
        <v>879</v>
      </c>
      <c r="D7768" s="704" t="s">
        <v>675</v>
      </c>
      <c r="E7768" s="704" t="s">
        <v>861</v>
      </c>
      <c r="F7768" s="709"/>
      <c r="G7768" s="705">
        <v>2704.5284430649772</v>
      </c>
    </row>
    <row r="7769" spans="2:7" ht="11.25" hidden="1" customHeight="1" outlineLevel="2" x14ac:dyDescent="0.25">
      <c r="B7769" s="704" t="s">
        <v>689</v>
      </c>
      <c r="C7769" s="704" t="s">
        <v>879</v>
      </c>
      <c r="D7769" s="704" t="s">
        <v>675</v>
      </c>
      <c r="E7769" s="704" t="s">
        <v>861</v>
      </c>
      <c r="F7769" s="708"/>
      <c r="G7769" s="705">
        <v>399.86091152919204</v>
      </c>
    </row>
    <row r="7770" spans="2:7" ht="11.25" hidden="1" customHeight="1" outlineLevel="2" x14ac:dyDescent="0.25">
      <c r="B7770" s="704" t="s">
        <v>690</v>
      </c>
      <c r="C7770" s="704" t="s">
        <v>879</v>
      </c>
      <c r="D7770" s="704" t="s">
        <v>675</v>
      </c>
      <c r="E7770" s="704" t="s">
        <v>861</v>
      </c>
      <c r="F7770" s="708"/>
      <c r="G7770" s="705">
        <v>8803.6052058201512</v>
      </c>
    </row>
    <row r="7771" spans="2:7" ht="11.25" hidden="1" customHeight="1" outlineLevel="2" x14ac:dyDescent="0.25">
      <c r="B7771" s="704" t="s">
        <v>691</v>
      </c>
      <c r="C7771" s="704" t="s">
        <v>879</v>
      </c>
      <c r="D7771" s="704" t="s">
        <v>675</v>
      </c>
      <c r="E7771" s="704" t="s">
        <v>861</v>
      </c>
      <c r="F7771" s="708"/>
      <c r="G7771" s="705">
        <v>10053.993133455449</v>
      </c>
    </row>
    <row r="7772" spans="2:7" ht="11.25" hidden="1" customHeight="1" outlineLevel="2" x14ac:dyDescent="0.25">
      <c r="B7772" s="704" t="s">
        <v>692</v>
      </c>
      <c r="C7772" s="704" t="s">
        <v>879</v>
      </c>
      <c r="D7772" s="704" t="s">
        <v>675</v>
      </c>
      <c r="E7772" s="704" t="s">
        <v>861</v>
      </c>
      <c r="F7772" s="708"/>
      <c r="G7772" s="705">
        <v>587.93260276973638</v>
      </c>
    </row>
    <row r="7773" spans="2:7" ht="11.25" hidden="1" customHeight="1" outlineLevel="2" x14ac:dyDescent="0.25">
      <c r="B7773" s="704" t="s">
        <v>693</v>
      </c>
      <c r="C7773" s="704" t="s">
        <v>879</v>
      </c>
      <c r="D7773" s="704" t="s">
        <v>675</v>
      </c>
      <c r="E7773" s="704" t="s">
        <v>861</v>
      </c>
      <c r="F7773" s="708"/>
      <c r="G7773" s="705">
        <v>1467.5965065509563</v>
      </c>
    </row>
    <row r="7774" spans="2:7" ht="11.25" hidden="1" customHeight="1" outlineLevel="2" x14ac:dyDescent="0.25">
      <c r="B7774" s="704" t="s">
        <v>694</v>
      </c>
      <c r="C7774" s="704" t="s">
        <v>879</v>
      </c>
      <c r="D7774" s="704" t="s">
        <v>675</v>
      </c>
      <c r="E7774" s="704" t="s">
        <v>861</v>
      </c>
      <c r="F7774" s="708"/>
      <c r="G7774" s="705">
        <v>164.53478085553775</v>
      </c>
    </row>
    <row r="7775" spans="2:7" ht="11.25" hidden="1" customHeight="1" outlineLevel="2" x14ac:dyDescent="0.25">
      <c r="B7775" s="704" t="s">
        <v>695</v>
      </c>
      <c r="C7775" s="704" t="s">
        <v>879</v>
      </c>
      <c r="D7775" s="704" t="s">
        <v>675</v>
      </c>
      <c r="E7775" s="704" t="s">
        <v>861</v>
      </c>
      <c r="F7775" s="708"/>
      <c r="G7775" s="705">
        <v>780.43812273126832</v>
      </c>
    </row>
    <row r="7776" spans="2:7" ht="11.25" hidden="1" customHeight="1" outlineLevel="2" x14ac:dyDescent="0.25">
      <c r="B7776" s="704" t="s">
        <v>696</v>
      </c>
      <c r="C7776" s="704" t="s">
        <v>879</v>
      </c>
      <c r="D7776" s="704" t="s">
        <v>675</v>
      </c>
      <c r="E7776" s="704" t="s">
        <v>861</v>
      </c>
      <c r="F7776" s="708"/>
      <c r="G7776" s="705">
        <v>1949.9573845310504</v>
      </c>
    </row>
    <row r="7777" spans="2:7" ht="11.25" hidden="1" customHeight="1" outlineLevel="2" x14ac:dyDescent="0.25">
      <c r="B7777" s="704" t="s">
        <v>697</v>
      </c>
      <c r="C7777" s="704" t="s">
        <v>879</v>
      </c>
      <c r="D7777" s="704" t="s">
        <v>675</v>
      </c>
      <c r="E7777" s="704" t="s">
        <v>861</v>
      </c>
      <c r="F7777" s="708"/>
      <c r="G7777" s="705">
        <v>1066.8789865699268</v>
      </c>
    </row>
    <row r="7778" spans="2:7" ht="11.25" hidden="1" customHeight="1" outlineLevel="2" x14ac:dyDescent="0.25">
      <c r="B7778" s="704" t="s">
        <v>698</v>
      </c>
      <c r="C7778" s="704" t="s">
        <v>879</v>
      </c>
      <c r="D7778" s="704" t="s">
        <v>675</v>
      </c>
      <c r="E7778" s="704" t="s">
        <v>861</v>
      </c>
      <c r="F7778" s="708"/>
      <c r="G7778" s="705">
        <v>1171.5262720258631</v>
      </c>
    </row>
    <row r="7779" spans="2:7" ht="11.25" hidden="1" customHeight="1" outlineLevel="2" x14ac:dyDescent="0.25">
      <c r="B7779" s="704" t="s">
        <v>699</v>
      </c>
      <c r="C7779" s="704" t="s">
        <v>879</v>
      </c>
      <c r="D7779" s="704" t="s">
        <v>675</v>
      </c>
      <c r="E7779" s="704" t="s">
        <v>861</v>
      </c>
      <c r="F7779" s="708"/>
      <c r="G7779" s="705">
        <v>1.1239336321238442E-29</v>
      </c>
    </row>
    <row r="7780" spans="2:7" ht="11.25" hidden="1" customHeight="1" outlineLevel="2" x14ac:dyDescent="0.25">
      <c r="B7780" s="704" t="s">
        <v>673</v>
      </c>
      <c r="C7780" s="704" t="s">
        <v>880</v>
      </c>
      <c r="D7780" s="704" t="s">
        <v>675</v>
      </c>
      <c r="E7780" s="704" t="s">
        <v>861</v>
      </c>
      <c r="F7780" s="708"/>
      <c r="G7780" s="705">
        <v>1246.9063462137522</v>
      </c>
    </row>
    <row r="7781" spans="2:7" ht="11.25" hidden="1" customHeight="1" outlineLevel="2" x14ac:dyDescent="0.25">
      <c r="B7781" s="704" t="s">
        <v>677</v>
      </c>
      <c r="C7781" s="704" t="s">
        <v>880</v>
      </c>
      <c r="D7781" s="704" t="s">
        <v>675</v>
      </c>
      <c r="E7781" s="704" t="s">
        <v>861</v>
      </c>
      <c r="F7781" s="705">
        <v>0.60878282559782748</v>
      </c>
      <c r="G7781" s="705">
        <v>20692.208321247803</v>
      </c>
    </row>
    <row r="7782" spans="2:7" ht="11.25" hidden="1" customHeight="1" outlineLevel="2" x14ac:dyDescent="0.25">
      <c r="B7782" s="704" t="s">
        <v>678</v>
      </c>
      <c r="C7782" s="704" t="s">
        <v>880</v>
      </c>
      <c r="D7782" s="704" t="s">
        <v>675</v>
      </c>
      <c r="E7782" s="704" t="s">
        <v>861</v>
      </c>
      <c r="F7782" s="708"/>
      <c r="G7782" s="705">
        <v>47929.667453317255</v>
      </c>
    </row>
    <row r="7783" spans="2:7" ht="11.25" hidden="1" customHeight="1" outlineLevel="2" x14ac:dyDescent="0.25">
      <c r="B7783" s="704" t="s">
        <v>679</v>
      </c>
      <c r="C7783" s="704" t="s">
        <v>880</v>
      </c>
      <c r="D7783" s="704" t="s">
        <v>675</v>
      </c>
      <c r="E7783" s="704" t="s">
        <v>861</v>
      </c>
      <c r="F7783" s="708"/>
      <c r="G7783" s="705">
        <v>3889.5956548413069</v>
      </c>
    </row>
    <row r="7784" spans="2:7" ht="11.25" hidden="1" customHeight="1" outlineLevel="2" x14ac:dyDescent="0.25">
      <c r="B7784" s="704" t="s">
        <v>680</v>
      </c>
      <c r="C7784" s="704" t="s">
        <v>880</v>
      </c>
      <c r="D7784" s="704" t="s">
        <v>675</v>
      </c>
      <c r="E7784" s="704" t="s">
        <v>861</v>
      </c>
      <c r="F7784" s="708"/>
      <c r="G7784" s="705">
        <v>720.92520786402838</v>
      </c>
    </row>
    <row r="7785" spans="2:7" ht="11.25" hidden="1" customHeight="1" outlineLevel="2" x14ac:dyDescent="0.25">
      <c r="B7785" s="704" t="s">
        <v>681</v>
      </c>
      <c r="C7785" s="704" t="s">
        <v>880</v>
      </c>
      <c r="D7785" s="704" t="s">
        <v>675</v>
      </c>
      <c r="E7785" s="704" t="s">
        <v>861</v>
      </c>
      <c r="F7785" s="708"/>
      <c r="G7785" s="705">
        <v>6080.7766503136518</v>
      </c>
    </row>
    <row r="7786" spans="2:7" ht="11.25" hidden="1" customHeight="1" outlineLevel="2" x14ac:dyDescent="0.25">
      <c r="B7786" s="704" t="s">
        <v>682</v>
      </c>
      <c r="C7786" s="704" t="s">
        <v>880</v>
      </c>
      <c r="D7786" s="704" t="s">
        <v>675</v>
      </c>
      <c r="E7786" s="704" t="s">
        <v>861</v>
      </c>
      <c r="F7786" s="708"/>
      <c r="G7786" s="705">
        <v>5337.9907409413763</v>
      </c>
    </row>
    <row r="7787" spans="2:7" ht="11.25" hidden="1" customHeight="1" outlineLevel="2" x14ac:dyDescent="0.25">
      <c r="B7787" s="704" t="s">
        <v>683</v>
      </c>
      <c r="C7787" s="704" t="s">
        <v>880</v>
      </c>
      <c r="D7787" s="704" t="s">
        <v>675</v>
      </c>
      <c r="E7787" s="704" t="s">
        <v>861</v>
      </c>
      <c r="F7787" s="708"/>
      <c r="G7787" s="705">
        <v>8865.1392177401758</v>
      </c>
    </row>
    <row r="7788" spans="2:7" ht="11.25" hidden="1" customHeight="1" outlineLevel="2" x14ac:dyDescent="0.25">
      <c r="B7788" s="704" t="s">
        <v>684</v>
      </c>
      <c r="C7788" s="704" t="s">
        <v>880</v>
      </c>
      <c r="D7788" s="704" t="s">
        <v>675</v>
      </c>
      <c r="E7788" s="704" t="s">
        <v>861</v>
      </c>
      <c r="F7788" s="708"/>
      <c r="G7788" s="705">
        <v>1171.3773798133486</v>
      </c>
    </row>
    <row r="7789" spans="2:7" ht="11.25" hidden="1" customHeight="1" outlineLevel="2" x14ac:dyDescent="0.25">
      <c r="B7789" s="704" t="s">
        <v>685</v>
      </c>
      <c r="C7789" s="704" t="s">
        <v>880</v>
      </c>
      <c r="D7789" s="704" t="s">
        <v>675</v>
      </c>
      <c r="E7789" s="704" t="s">
        <v>861</v>
      </c>
      <c r="F7789" s="708"/>
      <c r="G7789" s="705">
        <v>10638.989753470927</v>
      </c>
    </row>
    <row r="7790" spans="2:7" ht="11.25" hidden="1" customHeight="1" outlineLevel="2" x14ac:dyDescent="0.25">
      <c r="B7790" s="704" t="s">
        <v>686</v>
      </c>
      <c r="C7790" s="704" t="s">
        <v>880</v>
      </c>
      <c r="D7790" s="704" t="s">
        <v>675</v>
      </c>
      <c r="E7790" s="704" t="s">
        <v>861</v>
      </c>
      <c r="F7790" s="708"/>
      <c r="G7790" s="705">
        <v>2501.318714545032</v>
      </c>
    </row>
    <row r="7791" spans="2:7" ht="11.25" hidden="1" customHeight="1" outlineLevel="2" x14ac:dyDescent="0.25">
      <c r="B7791" s="704" t="s">
        <v>687</v>
      </c>
      <c r="C7791" s="704" t="s">
        <v>880</v>
      </c>
      <c r="D7791" s="704" t="s">
        <v>675</v>
      </c>
      <c r="E7791" s="704" t="s">
        <v>861</v>
      </c>
      <c r="F7791" s="708"/>
      <c r="G7791" s="705">
        <v>12812.673110270667</v>
      </c>
    </row>
    <row r="7792" spans="2:7" ht="11.25" hidden="1" customHeight="1" outlineLevel="2" x14ac:dyDescent="0.25">
      <c r="B7792" s="704" t="s">
        <v>688</v>
      </c>
      <c r="C7792" s="704" t="s">
        <v>880</v>
      </c>
      <c r="D7792" s="704" t="s">
        <v>675</v>
      </c>
      <c r="E7792" s="704" t="s">
        <v>861</v>
      </c>
      <c r="F7792" s="708"/>
      <c r="G7792" s="705">
        <v>9196.7421570652241</v>
      </c>
    </row>
    <row r="7793" spans="2:7" ht="11.25" hidden="1" customHeight="1" outlineLevel="2" x14ac:dyDescent="0.25">
      <c r="B7793" s="704" t="s">
        <v>689</v>
      </c>
      <c r="C7793" s="704" t="s">
        <v>880</v>
      </c>
      <c r="D7793" s="704" t="s">
        <v>675</v>
      </c>
      <c r="E7793" s="704" t="s">
        <v>861</v>
      </c>
      <c r="F7793" s="708"/>
      <c r="G7793" s="705">
        <v>1359.7260349901549</v>
      </c>
    </row>
    <row r="7794" spans="2:7" ht="11.25" hidden="1" customHeight="1" outlineLevel="2" x14ac:dyDescent="0.25">
      <c r="B7794" s="704" t="s">
        <v>690</v>
      </c>
      <c r="C7794" s="704" t="s">
        <v>880</v>
      </c>
      <c r="D7794" s="704" t="s">
        <v>675</v>
      </c>
      <c r="E7794" s="704" t="s">
        <v>861</v>
      </c>
      <c r="F7794" s="708"/>
      <c r="G7794" s="705">
        <v>29936.636313730993</v>
      </c>
    </row>
    <row r="7795" spans="2:7" ht="11.25" hidden="1" customHeight="1" outlineLevel="2" x14ac:dyDescent="0.25">
      <c r="B7795" s="704" t="s">
        <v>691</v>
      </c>
      <c r="C7795" s="704" t="s">
        <v>880</v>
      </c>
      <c r="D7795" s="704" t="s">
        <v>675</v>
      </c>
      <c r="E7795" s="704" t="s">
        <v>861</v>
      </c>
      <c r="F7795" s="708"/>
      <c r="G7795" s="705">
        <v>34188.582656890903</v>
      </c>
    </row>
    <row r="7796" spans="2:7" ht="11.25" hidden="1" customHeight="1" outlineLevel="2" x14ac:dyDescent="0.25">
      <c r="B7796" s="704" t="s">
        <v>692</v>
      </c>
      <c r="C7796" s="704" t="s">
        <v>880</v>
      </c>
      <c r="D7796" s="704" t="s">
        <v>675</v>
      </c>
      <c r="E7796" s="704" t="s">
        <v>861</v>
      </c>
      <c r="F7796" s="708"/>
      <c r="G7796" s="705">
        <v>1999.2629935600512</v>
      </c>
    </row>
    <row r="7797" spans="2:7" ht="11.25" hidden="1" customHeight="1" outlineLevel="2" x14ac:dyDescent="0.25">
      <c r="B7797" s="704" t="s">
        <v>693</v>
      </c>
      <c r="C7797" s="704" t="s">
        <v>880</v>
      </c>
      <c r="D7797" s="704" t="s">
        <v>675</v>
      </c>
      <c r="E7797" s="704" t="s">
        <v>861</v>
      </c>
      <c r="F7797" s="708"/>
      <c r="G7797" s="705">
        <v>4990.5578350191327</v>
      </c>
    </row>
    <row r="7798" spans="2:7" ht="11.25" hidden="1" customHeight="1" outlineLevel="2" x14ac:dyDescent="0.25">
      <c r="B7798" s="704" t="s">
        <v>694</v>
      </c>
      <c r="C7798" s="704" t="s">
        <v>880</v>
      </c>
      <c r="D7798" s="704" t="s">
        <v>675</v>
      </c>
      <c r="E7798" s="704" t="s">
        <v>861</v>
      </c>
      <c r="F7798" s="708"/>
      <c r="G7798" s="705">
        <v>559.49996165371658</v>
      </c>
    </row>
    <row r="7799" spans="2:7" ht="11.25" hidden="1" customHeight="1" outlineLevel="2" x14ac:dyDescent="0.25">
      <c r="B7799" s="704" t="s">
        <v>695</v>
      </c>
      <c r="C7799" s="704" t="s">
        <v>880</v>
      </c>
      <c r="D7799" s="704" t="s">
        <v>675</v>
      </c>
      <c r="E7799" s="704" t="s">
        <v>861</v>
      </c>
      <c r="F7799" s="708"/>
      <c r="G7799" s="705">
        <v>2653.8771888825809</v>
      </c>
    </row>
    <row r="7800" spans="2:7" ht="11.25" hidden="1" customHeight="1" outlineLevel="2" x14ac:dyDescent="0.25">
      <c r="B7800" s="704" t="s">
        <v>696</v>
      </c>
      <c r="C7800" s="704" t="s">
        <v>880</v>
      </c>
      <c r="D7800" s="704" t="s">
        <v>675</v>
      </c>
      <c r="E7800" s="704" t="s">
        <v>861</v>
      </c>
      <c r="F7800" s="708"/>
      <c r="G7800" s="705">
        <v>6630.8235777330965</v>
      </c>
    </row>
    <row r="7801" spans="2:7" ht="11.25" hidden="1" customHeight="1" outlineLevel="2" x14ac:dyDescent="0.25">
      <c r="B7801" s="704" t="s">
        <v>697</v>
      </c>
      <c r="C7801" s="704" t="s">
        <v>880</v>
      </c>
      <c r="D7801" s="704" t="s">
        <v>675</v>
      </c>
      <c r="E7801" s="704" t="s">
        <v>861</v>
      </c>
      <c r="F7801" s="709"/>
      <c r="G7801" s="705">
        <v>3627.9182396621973</v>
      </c>
    </row>
    <row r="7802" spans="2:7" ht="11.25" hidden="1" customHeight="1" outlineLevel="2" x14ac:dyDescent="0.25">
      <c r="B7802" s="704" t="s">
        <v>698</v>
      </c>
      <c r="C7802" s="704" t="s">
        <v>880</v>
      </c>
      <c r="D7802" s="704" t="s">
        <v>675</v>
      </c>
      <c r="E7802" s="704" t="s">
        <v>861</v>
      </c>
      <c r="F7802" s="709"/>
      <c r="G7802" s="705">
        <v>3983.7721252373258</v>
      </c>
    </row>
    <row r="7803" spans="2:7" ht="11.25" hidden="1" customHeight="1" outlineLevel="2" x14ac:dyDescent="0.25">
      <c r="B7803" s="704" t="s">
        <v>699</v>
      </c>
      <c r="C7803" s="704" t="s">
        <v>880</v>
      </c>
      <c r="D7803" s="704" t="s">
        <v>675</v>
      </c>
      <c r="E7803" s="704" t="s">
        <v>861</v>
      </c>
      <c r="F7803" s="709"/>
      <c r="G7803" s="705">
        <v>6.6724197561422064E-28</v>
      </c>
    </row>
    <row r="7804" spans="2:7" ht="11.25" hidden="1" customHeight="1" outlineLevel="2" x14ac:dyDescent="0.25">
      <c r="B7804" s="704" t="s">
        <v>673</v>
      </c>
      <c r="C7804" s="704" t="s">
        <v>881</v>
      </c>
      <c r="D7804" s="704" t="s">
        <v>675</v>
      </c>
      <c r="E7804" s="704" t="s">
        <v>861</v>
      </c>
      <c r="F7804" s="709"/>
      <c r="G7804" s="705">
        <v>756.17298695551699</v>
      </c>
    </row>
    <row r="7805" spans="2:7" ht="11.25" hidden="1" customHeight="1" outlineLevel="2" x14ac:dyDescent="0.25">
      <c r="B7805" s="704" t="s">
        <v>677</v>
      </c>
      <c r="C7805" s="704" t="s">
        <v>881</v>
      </c>
      <c r="D7805" s="704" t="s">
        <v>675</v>
      </c>
      <c r="E7805" s="704" t="s">
        <v>861</v>
      </c>
      <c r="F7805" s="706">
        <v>0.62185607320161418</v>
      </c>
      <c r="G7805" s="705">
        <v>12548.569498351602</v>
      </c>
    </row>
    <row r="7806" spans="2:7" ht="11.25" hidden="1" customHeight="1" outlineLevel="2" x14ac:dyDescent="0.25">
      <c r="B7806" s="704" t="s">
        <v>678</v>
      </c>
      <c r="C7806" s="704" t="s">
        <v>881</v>
      </c>
      <c r="D7806" s="704" t="s">
        <v>675</v>
      </c>
      <c r="E7806" s="704" t="s">
        <v>861</v>
      </c>
      <c r="F7806" s="709"/>
      <c r="G7806" s="705">
        <v>29066.441121095057</v>
      </c>
    </row>
    <row r="7807" spans="2:7" ht="11.25" hidden="1" customHeight="1" outlineLevel="2" x14ac:dyDescent="0.25">
      <c r="B7807" s="704" t="s">
        <v>679</v>
      </c>
      <c r="C7807" s="704" t="s">
        <v>881</v>
      </c>
      <c r="D7807" s="704" t="s">
        <v>675</v>
      </c>
      <c r="E7807" s="704" t="s">
        <v>861</v>
      </c>
      <c r="F7807" s="709"/>
      <c r="G7807" s="705">
        <v>2358.8035884569704</v>
      </c>
    </row>
    <row r="7808" spans="2:7" ht="11.25" hidden="1" customHeight="1" outlineLevel="2" x14ac:dyDescent="0.25">
      <c r="B7808" s="704" t="s">
        <v>680</v>
      </c>
      <c r="C7808" s="704" t="s">
        <v>881</v>
      </c>
      <c r="D7808" s="704" t="s">
        <v>675</v>
      </c>
      <c r="E7808" s="704" t="s">
        <v>861</v>
      </c>
      <c r="F7808" s="708"/>
      <c r="G7808" s="705">
        <v>437.19747004309511</v>
      </c>
    </row>
    <row r="7809" spans="2:7" ht="11.25" hidden="1" customHeight="1" outlineLevel="2" x14ac:dyDescent="0.25">
      <c r="B7809" s="704" t="s">
        <v>681</v>
      </c>
      <c r="C7809" s="704" t="s">
        <v>881</v>
      </c>
      <c r="D7809" s="704" t="s">
        <v>675</v>
      </c>
      <c r="E7809" s="704" t="s">
        <v>861</v>
      </c>
      <c r="F7809" s="708"/>
      <c r="G7809" s="705">
        <v>3687.6221240624741</v>
      </c>
    </row>
    <row r="7810" spans="2:7" ht="11.25" hidden="1" customHeight="1" outlineLevel="2" x14ac:dyDescent="0.25">
      <c r="B7810" s="704" t="s">
        <v>682</v>
      </c>
      <c r="C7810" s="704" t="s">
        <v>881</v>
      </c>
      <c r="D7810" s="704" t="s">
        <v>675</v>
      </c>
      <c r="E7810" s="704" t="s">
        <v>861</v>
      </c>
      <c r="F7810" s="708"/>
      <c r="G7810" s="705">
        <v>3237.1670112440925</v>
      </c>
    </row>
    <row r="7811" spans="2:7" ht="11.25" hidden="1" customHeight="1" outlineLevel="2" x14ac:dyDescent="0.25">
      <c r="B7811" s="704" t="s">
        <v>683</v>
      </c>
      <c r="C7811" s="704" t="s">
        <v>881</v>
      </c>
      <c r="D7811" s="704" t="s">
        <v>675</v>
      </c>
      <c r="E7811" s="704" t="s">
        <v>861</v>
      </c>
      <c r="F7811" s="709"/>
      <c r="G7811" s="705">
        <v>5376.1700710256728</v>
      </c>
    </row>
    <row r="7812" spans="2:7" ht="11.25" hidden="1" customHeight="1" outlineLevel="2" x14ac:dyDescent="0.25">
      <c r="B7812" s="704" t="s">
        <v>684</v>
      </c>
      <c r="C7812" s="704" t="s">
        <v>881</v>
      </c>
      <c r="D7812" s="704" t="s">
        <v>675</v>
      </c>
      <c r="E7812" s="704" t="s">
        <v>861</v>
      </c>
      <c r="F7812" s="708"/>
      <c r="G7812" s="705">
        <v>710.36934371129007</v>
      </c>
    </row>
    <row r="7813" spans="2:7" ht="11.25" hidden="1" customHeight="1" outlineLevel="2" x14ac:dyDescent="0.25">
      <c r="B7813" s="704" t="s">
        <v>685</v>
      </c>
      <c r="C7813" s="704" t="s">
        <v>881</v>
      </c>
      <c r="D7813" s="704" t="s">
        <v>675</v>
      </c>
      <c r="E7813" s="704" t="s">
        <v>861</v>
      </c>
      <c r="F7813" s="708"/>
      <c r="G7813" s="705">
        <v>6451.902498893226</v>
      </c>
    </row>
    <row r="7814" spans="2:7" ht="11.25" hidden="1" customHeight="1" outlineLevel="2" x14ac:dyDescent="0.25">
      <c r="B7814" s="704" t="s">
        <v>686</v>
      </c>
      <c r="C7814" s="704" t="s">
        <v>881</v>
      </c>
      <c r="D7814" s="704" t="s">
        <v>675</v>
      </c>
      <c r="E7814" s="704" t="s">
        <v>861</v>
      </c>
      <c r="F7814" s="709"/>
      <c r="G7814" s="705">
        <v>1516.8980036245698</v>
      </c>
    </row>
    <row r="7815" spans="2:7" ht="11.25" hidden="1" customHeight="1" outlineLevel="2" x14ac:dyDescent="0.25">
      <c r="B7815" s="704" t="s">
        <v>687</v>
      </c>
      <c r="C7815" s="704" t="s">
        <v>881</v>
      </c>
      <c r="D7815" s="704" t="s">
        <v>675</v>
      </c>
      <c r="E7815" s="704" t="s">
        <v>861</v>
      </c>
      <c r="F7815" s="708"/>
      <c r="G7815" s="705">
        <v>7770.1093539595249</v>
      </c>
    </row>
    <row r="7816" spans="2:7" ht="11.25" hidden="1" customHeight="1" outlineLevel="2" x14ac:dyDescent="0.25">
      <c r="B7816" s="704" t="s">
        <v>688</v>
      </c>
      <c r="C7816" s="704" t="s">
        <v>881</v>
      </c>
      <c r="D7816" s="704" t="s">
        <v>675</v>
      </c>
      <c r="E7816" s="704" t="s">
        <v>861</v>
      </c>
      <c r="F7816" s="708"/>
      <c r="G7816" s="705">
        <v>5577.2653446815802</v>
      </c>
    </row>
    <row r="7817" spans="2:7" ht="11.25" hidden="1" customHeight="1" outlineLevel="2" x14ac:dyDescent="0.25">
      <c r="B7817" s="704" t="s">
        <v>689</v>
      </c>
      <c r="C7817" s="704" t="s">
        <v>881</v>
      </c>
      <c r="D7817" s="704" t="s">
        <v>675</v>
      </c>
      <c r="E7817" s="704" t="s">
        <v>861</v>
      </c>
      <c r="F7817" s="708"/>
      <c r="G7817" s="705">
        <v>824.59137874467126</v>
      </c>
    </row>
    <row r="7818" spans="2:7" ht="11.25" hidden="1" customHeight="1" outlineLevel="2" x14ac:dyDescent="0.25">
      <c r="B7818" s="704" t="s">
        <v>690</v>
      </c>
      <c r="C7818" s="704" t="s">
        <v>881</v>
      </c>
      <c r="D7818" s="704" t="s">
        <v>675</v>
      </c>
      <c r="E7818" s="704" t="s">
        <v>861</v>
      </c>
      <c r="F7818" s="709"/>
      <c r="G7818" s="705">
        <v>18154.753645643883</v>
      </c>
    </row>
    <row r="7819" spans="2:7" ht="11.25" hidden="1" customHeight="1" outlineLevel="2" x14ac:dyDescent="0.25">
      <c r="B7819" s="704" t="s">
        <v>691</v>
      </c>
      <c r="C7819" s="704" t="s">
        <v>881</v>
      </c>
      <c r="D7819" s="704" t="s">
        <v>675</v>
      </c>
      <c r="E7819" s="704" t="s">
        <v>861</v>
      </c>
      <c r="F7819" s="709"/>
      <c r="G7819" s="705">
        <v>20733.301638259847</v>
      </c>
    </row>
    <row r="7820" spans="2:7" ht="11.25" hidden="1" customHeight="1" outlineLevel="2" x14ac:dyDescent="0.25">
      <c r="B7820" s="704" t="s">
        <v>692</v>
      </c>
      <c r="C7820" s="704" t="s">
        <v>881</v>
      </c>
      <c r="D7820" s="704" t="s">
        <v>675</v>
      </c>
      <c r="E7820" s="704" t="s">
        <v>861</v>
      </c>
      <c r="F7820" s="709"/>
      <c r="G7820" s="705">
        <v>1212.4316585436497</v>
      </c>
    </row>
    <row r="7821" spans="2:7" ht="11.25" hidden="1" customHeight="1" outlineLevel="2" x14ac:dyDescent="0.25">
      <c r="B7821" s="704" t="s">
        <v>693</v>
      </c>
      <c r="C7821" s="704" t="s">
        <v>881</v>
      </c>
      <c r="D7821" s="704" t="s">
        <v>675</v>
      </c>
      <c r="E7821" s="704" t="s">
        <v>861</v>
      </c>
      <c r="F7821" s="708"/>
      <c r="G7821" s="705">
        <v>3026.4703066605603</v>
      </c>
    </row>
    <row r="7822" spans="2:7" ht="11.25" hidden="1" customHeight="1" outlineLevel="2" x14ac:dyDescent="0.25">
      <c r="B7822" s="704" t="s">
        <v>694</v>
      </c>
      <c r="C7822" s="704" t="s">
        <v>881</v>
      </c>
      <c r="D7822" s="704" t="s">
        <v>675</v>
      </c>
      <c r="E7822" s="704" t="s">
        <v>861</v>
      </c>
      <c r="F7822" s="708"/>
      <c r="G7822" s="705">
        <v>339.30283551825914</v>
      </c>
    </row>
    <row r="7823" spans="2:7" ht="11.25" hidden="1" customHeight="1" outlineLevel="2" x14ac:dyDescent="0.25">
      <c r="B7823" s="704" t="s">
        <v>695</v>
      </c>
      <c r="C7823" s="704" t="s">
        <v>881</v>
      </c>
      <c r="D7823" s="704" t="s">
        <v>675</v>
      </c>
      <c r="E7823" s="704" t="s">
        <v>861</v>
      </c>
      <c r="F7823" s="708"/>
      <c r="G7823" s="705">
        <v>1609.4158714098644</v>
      </c>
    </row>
    <row r="7824" spans="2:7" ht="11.25" hidden="1" customHeight="1" outlineLevel="2" x14ac:dyDescent="0.25">
      <c r="B7824" s="704" t="s">
        <v>696</v>
      </c>
      <c r="C7824" s="704" t="s">
        <v>881</v>
      </c>
      <c r="D7824" s="704" t="s">
        <v>675</v>
      </c>
      <c r="E7824" s="704" t="s">
        <v>861</v>
      </c>
      <c r="F7824" s="708"/>
      <c r="G7824" s="705">
        <v>4021.1925905246462</v>
      </c>
    </row>
    <row r="7825" spans="2:7" ht="11.25" hidden="1" customHeight="1" outlineLevel="2" x14ac:dyDescent="0.25">
      <c r="B7825" s="704" t="s">
        <v>697</v>
      </c>
      <c r="C7825" s="704" t="s">
        <v>881</v>
      </c>
      <c r="D7825" s="704" t="s">
        <v>675</v>
      </c>
      <c r="E7825" s="704" t="s">
        <v>861</v>
      </c>
      <c r="F7825" s="708"/>
      <c r="G7825" s="705">
        <v>2200.1122025786426</v>
      </c>
    </row>
    <row r="7826" spans="2:7" ht="11.25" hidden="1" customHeight="1" outlineLevel="2" x14ac:dyDescent="0.25">
      <c r="B7826" s="704" t="s">
        <v>698</v>
      </c>
      <c r="C7826" s="704" t="s">
        <v>881</v>
      </c>
      <c r="D7826" s="704" t="s">
        <v>675</v>
      </c>
      <c r="E7826" s="704" t="s">
        <v>861</v>
      </c>
      <c r="F7826" s="708"/>
      <c r="G7826" s="705">
        <v>2415.9158723357186</v>
      </c>
    </row>
    <row r="7827" spans="2:7" ht="11.25" hidden="1" customHeight="1" outlineLevel="2" x14ac:dyDescent="0.25">
      <c r="B7827" s="704" t="s">
        <v>699</v>
      </c>
      <c r="C7827" s="704" t="s">
        <v>881</v>
      </c>
      <c r="D7827" s="704" t="s">
        <v>675</v>
      </c>
      <c r="E7827" s="704" t="s">
        <v>861</v>
      </c>
      <c r="F7827" s="708"/>
      <c r="G7827" s="705">
        <v>1.683010752913425E-27</v>
      </c>
    </row>
    <row r="7828" spans="2:7" ht="11.25" hidden="1" customHeight="1" outlineLevel="2" x14ac:dyDescent="0.25">
      <c r="B7828" s="704" t="s">
        <v>673</v>
      </c>
      <c r="C7828" s="704" t="s">
        <v>882</v>
      </c>
      <c r="D7828" s="704" t="s">
        <v>675</v>
      </c>
      <c r="E7828" s="704" t="s">
        <v>861</v>
      </c>
      <c r="F7828" s="708"/>
      <c r="G7828" s="705">
        <v>1141.1631230349922</v>
      </c>
    </row>
    <row r="7829" spans="2:7" ht="11.25" hidden="1" customHeight="1" outlineLevel="2" x14ac:dyDescent="0.25">
      <c r="B7829" s="704" t="s">
        <v>677</v>
      </c>
      <c r="C7829" s="704" t="s">
        <v>882</v>
      </c>
      <c r="D7829" s="704" t="s">
        <v>675</v>
      </c>
      <c r="E7829" s="704" t="s">
        <v>861</v>
      </c>
      <c r="F7829" s="705">
        <v>0.56384913726194985</v>
      </c>
      <c r="G7829" s="705">
        <v>18937.419316028816</v>
      </c>
    </row>
    <row r="7830" spans="2:7" ht="11.25" hidden="1" customHeight="1" outlineLevel="2" x14ac:dyDescent="0.25">
      <c r="B7830" s="704" t="s">
        <v>678</v>
      </c>
      <c r="C7830" s="704" t="s">
        <v>882</v>
      </c>
      <c r="D7830" s="704" t="s">
        <v>675</v>
      </c>
      <c r="E7830" s="704" t="s">
        <v>861</v>
      </c>
      <c r="F7830" s="708"/>
      <c r="G7830" s="705">
        <v>43865.019118059507</v>
      </c>
    </row>
    <row r="7831" spans="2:7" ht="11.25" hidden="1" customHeight="1" outlineLevel="2" x14ac:dyDescent="0.25">
      <c r="B7831" s="704" t="s">
        <v>679</v>
      </c>
      <c r="C7831" s="704" t="s">
        <v>882</v>
      </c>
      <c r="D7831" s="704" t="s">
        <v>675</v>
      </c>
      <c r="E7831" s="704" t="s">
        <v>861</v>
      </c>
      <c r="F7831" s="708"/>
      <c r="G7831" s="705">
        <v>3559.73995578004</v>
      </c>
    </row>
    <row r="7832" spans="2:7" ht="11.25" hidden="1" customHeight="1" outlineLevel="2" x14ac:dyDescent="0.25">
      <c r="B7832" s="704" t="s">
        <v>680</v>
      </c>
      <c r="C7832" s="704" t="s">
        <v>882</v>
      </c>
      <c r="D7832" s="704" t="s">
        <v>675</v>
      </c>
      <c r="E7832" s="704" t="s">
        <v>861</v>
      </c>
      <c r="F7832" s="709"/>
      <c r="G7832" s="705">
        <v>659.7876261139437</v>
      </c>
    </row>
    <row r="7833" spans="2:7" ht="11.25" hidden="1" customHeight="1" outlineLevel="2" x14ac:dyDescent="0.25">
      <c r="B7833" s="704" t="s">
        <v>681</v>
      </c>
      <c r="C7833" s="704" t="s">
        <v>882</v>
      </c>
      <c r="D7833" s="704" t="s">
        <v>675</v>
      </c>
      <c r="E7833" s="704" t="s">
        <v>861</v>
      </c>
      <c r="F7833" s="709"/>
      <c r="G7833" s="705">
        <v>5565.1002688268591</v>
      </c>
    </row>
    <row r="7834" spans="2:7" ht="11.25" hidden="1" customHeight="1" outlineLevel="2" x14ac:dyDescent="0.25">
      <c r="B7834" s="704" t="s">
        <v>682</v>
      </c>
      <c r="C7834" s="704" t="s">
        <v>882</v>
      </c>
      <c r="D7834" s="704" t="s">
        <v>675</v>
      </c>
      <c r="E7834" s="704" t="s">
        <v>861</v>
      </c>
      <c r="F7834" s="708"/>
      <c r="G7834" s="705">
        <v>4885.3036095895077</v>
      </c>
    </row>
    <row r="7835" spans="2:7" ht="11.25" hidden="1" customHeight="1" outlineLevel="2" x14ac:dyDescent="0.25">
      <c r="B7835" s="704" t="s">
        <v>683</v>
      </c>
      <c r="C7835" s="704" t="s">
        <v>882</v>
      </c>
      <c r="D7835" s="704" t="s">
        <v>675</v>
      </c>
      <c r="E7835" s="704" t="s">
        <v>861</v>
      </c>
      <c r="F7835" s="708"/>
      <c r="G7835" s="705">
        <v>8113.3369644978775</v>
      </c>
    </row>
    <row r="7836" spans="2:7" ht="11.25" hidden="1" customHeight="1" outlineLevel="2" x14ac:dyDescent="0.25">
      <c r="B7836" s="704" t="s">
        <v>684</v>
      </c>
      <c r="C7836" s="704" t="s">
        <v>882</v>
      </c>
      <c r="D7836" s="704" t="s">
        <v>675</v>
      </c>
      <c r="E7836" s="704" t="s">
        <v>861</v>
      </c>
      <c r="F7836" s="708"/>
      <c r="G7836" s="705">
        <v>1072.0395672172824</v>
      </c>
    </row>
    <row r="7837" spans="2:7" ht="11.25" hidden="1" customHeight="1" outlineLevel="2" x14ac:dyDescent="0.25">
      <c r="B7837" s="704" t="s">
        <v>685</v>
      </c>
      <c r="C7837" s="704" t="s">
        <v>882</v>
      </c>
      <c r="D7837" s="704" t="s">
        <v>675</v>
      </c>
      <c r="E7837" s="704" t="s">
        <v>861</v>
      </c>
      <c r="F7837" s="708"/>
      <c r="G7837" s="705">
        <v>9736.756087752241</v>
      </c>
    </row>
    <row r="7838" spans="2:7" ht="11.25" hidden="1" customHeight="1" outlineLevel="2" x14ac:dyDescent="0.25">
      <c r="B7838" s="704" t="s">
        <v>686</v>
      </c>
      <c r="C7838" s="704" t="s">
        <v>882</v>
      </c>
      <c r="D7838" s="704" t="s">
        <v>675</v>
      </c>
      <c r="E7838" s="704" t="s">
        <v>861</v>
      </c>
      <c r="F7838" s="708"/>
      <c r="G7838" s="705">
        <v>2289.1958027329906</v>
      </c>
    </row>
    <row r="7839" spans="2:7" ht="11.25" hidden="1" customHeight="1" outlineLevel="2" x14ac:dyDescent="0.25">
      <c r="B7839" s="704" t="s">
        <v>687</v>
      </c>
      <c r="C7839" s="704" t="s">
        <v>882</v>
      </c>
      <c r="D7839" s="704" t="s">
        <v>675</v>
      </c>
      <c r="E7839" s="704" t="s">
        <v>861</v>
      </c>
      <c r="F7839" s="708"/>
      <c r="G7839" s="705">
        <v>11726.100566564326</v>
      </c>
    </row>
    <row r="7840" spans="2:7" ht="11.25" hidden="1" customHeight="1" outlineLevel="2" x14ac:dyDescent="0.25">
      <c r="B7840" s="704" t="s">
        <v>688</v>
      </c>
      <c r="C7840" s="704" t="s">
        <v>882</v>
      </c>
      <c r="D7840" s="704" t="s">
        <v>675</v>
      </c>
      <c r="E7840" s="704" t="s">
        <v>861</v>
      </c>
      <c r="F7840" s="708"/>
      <c r="G7840" s="705">
        <v>8416.8153383906483</v>
      </c>
    </row>
    <row r="7841" spans="2:7" ht="11.25" hidden="1" customHeight="1" outlineLevel="2" x14ac:dyDescent="0.25">
      <c r="B7841" s="704" t="s">
        <v>689</v>
      </c>
      <c r="C7841" s="704" t="s">
        <v>882</v>
      </c>
      <c r="D7841" s="704" t="s">
        <v>675</v>
      </c>
      <c r="E7841" s="704" t="s">
        <v>861</v>
      </c>
      <c r="F7841" s="708"/>
      <c r="G7841" s="705">
        <v>1244.4150448279552</v>
      </c>
    </row>
    <row r="7842" spans="2:7" ht="11.25" hidden="1" customHeight="1" outlineLevel="2" x14ac:dyDescent="0.25">
      <c r="B7842" s="704" t="s">
        <v>690</v>
      </c>
      <c r="C7842" s="704" t="s">
        <v>882</v>
      </c>
      <c r="D7842" s="704" t="s">
        <v>675</v>
      </c>
      <c r="E7842" s="704" t="s">
        <v>861</v>
      </c>
      <c r="F7842" s="708"/>
      <c r="G7842" s="705">
        <v>27397.876025142705</v>
      </c>
    </row>
    <row r="7843" spans="2:7" ht="11.25" hidden="1" customHeight="1" outlineLevel="2" x14ac:dyDescent="0.25">
      <c r="B7843" s="704" t="s">
        <v>691</v>
      </c>
      <c r="C7843" s="704" t="s">
        <v>882</v>
      </c>
      <c r="D7843" s="704" t="s">
        <v>675</v>
      </c>
      <c r="E7843" s="704" t="s">
        <v>861</v>
      </c>
      <c r="F7843" s="708"/>
      <c r="G7843" s="705">
        <v>31289.235859260683</v>
      </c>
    </row>
    <row r="7844" spans="2:7" ht="11.25" hidden="1" customHeight="1" outlineLevel="2" x14ac:dyDescent="0.25">
      <c r="B7844" s="704" t="s">
        <v>692</v>
      </c>
      <c r="C7844" s="704" t="s">
        <v>882</v>
      </c>
      <c r="D7844" s="704" t="s">
        <v>675</v>
      </c>
      <c r="E7844" s="704" t="s">
        <v>861</v>
      </c>
      <c r="F7844" s="708"/>
      <c r="G7844" s="705">
        <v>1829.7161603422257</v>
      </c>
    </row>
    <row r="7845" spans="2:7" ht="11.25" hidden="1" customHeight="1" outlineLevel="2" x14ac:dyDescent="0.25">
      <c r="B7845" s="704" t="s">
        <v>693</v>
      </c>
      <c r="C7845" s="704" t="s">
        <v>882</v>
      </c>
      <c r="D7845" s="704" t="s">
        <v>675</v>
      </c>
      <c r="E7845" s="704" t="s">
        <v>861</v>
      </c>
      <c r="F7845" s="708"/>
      <c r="G7845" s="705">
        <v>4567.3360398912919</v>
      </c>
    </row>
    <row r="7846" spans="2:7" ht="11.25" hidden="1" customHeight="1" outlineLevel="2" x14ac:dyDescent="0.25">
      <c r="B7846" s="704" t="s">
        <v>694</v>
      </c>
      <c r="C7846" s="704" t="s">
        <v>882</v>
      </c>
      <c r="D7846" s="704" t="s">
        <v>675</v>
      </c>
      <c r="E7846" s="704" t="s">
        <v>861</v>
      </c>
      <c r="F7846" s="708"/>
      <c r="G7846" s="705">
        <v>512.0517750261065</v>
      </c>
    </row>
    <row r="7847" spans="2:7" ht="11.25" hidden="1" customHeight="1" outlineLevel="2" x14ac:dyDescent="0.25">
      <c r="B7847" s="704" t="s">
        <v>695</v>
      </c>
      <c r="C7847" s="704" t="s">
        <v>882</v>
      </c>
      <c r="D7847" s="704" t="s">
        <v>675</v>
      </c>
      <c r="E7847" s="704" t="s">
        <v>861</v>
      </c>
      <c r="F7847" s="708"/>
      <c r="G7847" s="705">
        <v>2428.8168561301868</v>
      </c>
    </row>
    <row r="7848" spans="2:7" ht="11.25" hidden="1" customHeight="1" outlineLevel="2" x14ac:dyDescent="0.25">
      <c r="B7848" s="704" t="s">
        <v>696</v>
      </c>
      <c r="C7848" s="704" t="s">
        <v>882</v>
      </c>
      <c r="D7848" s="704" t="s">
        <v>675</v>
      </c>
      <c r="E7848" s="704" t="s">
        <v>861</v>
      </c>
      <c r="F7848" s="708"/>
      <c r="G7848" s="705">
        <v>6068.5001322413564</v>
      </c>
    </row>
    <row r="7849" spans="2:7" ht="11.25" hidden="1" customHeight="1" outlineLevel="2" x14ac:dyDescent="0.25">
      <c r="B7849" s="704" t="s">
        <v>697</v>
      </c>
      <c r="C7849" s="704" t="s">
        <v>882</v>
      </c>
      <c r="D7849" s="704" t="s">
        <v>675</v>
      </c>
      <c r="E7849" s="704" t="s">
        <v>861</v>
      </c>
      <c r="F7849" s="709"/>
      <c r="G7849" s="705">
        <v>3320.2546013975834</v>
      </c>
    </row>
    <row r="7850" spans="2:7" ht="11.25" hidden="1" customHeight="1" outlineLevel="2" x14ac:dyDescent="0.25">
      <c r="B7850" s="704" t="s">
        <v>698</v>
      </c>
      <c r="C7850" s="704" t="s">
        <v>882</v>
      </c>
      <c r="D7850" s="704" t="s">
        <v>675</v>
      </c>
      <c r="E7850" s="704" t="s">
        <v>861</v>
      </c>
      <c r="F7850" s="709"/>
      <c r="G7850" s="705">
        <v>3645.9303856438551</v>
      </c>
    </row>
    <row r="7851" spans="2:7" ht="11.25" hidden="1" customHeight="1" outlineLevel="2" x14ac:dyDescent="0.25">
      <c r="B7851" s="704" t="s">
        <v>699</v>
      </c>
      <c r="C7851" s="704" t="s">
        <v>882</v>
      </c>
      <c r="D7851" s="704" t="s">
        <v>675</v>
      </c>
      <c r="E7851" s="704" t="s">
        <v>861</v>
      </c>
      <c r="F7851" s="709"/>
      <c r="G7851" s="705">
        <v>2.5047711264957134E-28</v>
      </c>
    </row>
    <row r="7852" spans="2:7" ht="11.25" hidden="1" customHeight="1" outlineLevel="2" x14ac:dyDescent="0.25">
      <c r="B7852" s="704" t="s">
        <v>673</v>
      </c>
      <c r="C7852" s="704" t="s">
        <v>883</v>
      </c>
      <c r="D7852" s="704" t="s">
        <v>675</v>
      </c>
      <c r="E7852" s="704" t="s">
        <v>861</v>
      </c>
      <c r="F7852" s="709"/>
      <c r="G7852" s="705">
        <v>518.50119686893345</v>
      </c>
    </row>
    <row r="7853" spans="2:7" ht="11.25" hidden="1" customHeight="1" outlineLevel="2" x14ac:dyDescent="0.25">
      <c r="B7853" s="704" t="s">
        <v>677</v>
      </c>
      <c r="C7853" s="704" t="s">
        <v>883</v>
      </c>
      <c r="D7853" s="704" t="s">
        <v>675</v>
      </c>
      <c r="E7853" s="704" t="s">
        <v>861</v>
      </c>
      <c r="F7853" s="706">
        <v>0.37986238309612236</v>
      </c>
      <c r="G7853" s="705">
        <v>8604.4422469753536</v>
      </c>
    </row>
    <row r="7854" spans="2:7" ht="11.25" hidden="1" customHeight="1" outlineLevel="2" x14ac:dyDescent="0.25">
      <c r="B7854" s="704" t="s">
        <v>678</v>
      </c>
      <c r="C7854" s="704" t="s">
        <v>883</v>
      </c>
      <c r="D7854" s="704" t="s">
        <v>675</v>
      </c>
      <c r="E7854" s="704" t="s">
        <v>861</v>
      </c>
      <c r="F7854" s="709"/>
      <c r="G7854" s="705">
        <v>19930.598339018226</v>
      </c>
    </row>
    <row r="7855" spans="2:7" ht="11.25" hidden="1" customHeight="1" outlineLevel="2" x14ac:dyDescent="0.25">
      <c r="B7855" s="704" t="s">
        <v>679</v>
      </c>
      <c r="C7855" s="704" t="s">
        <v>883</v>
      </c>
      <c r="D7855" s="704" t="s">
        <v>675</v>
      </c>
      <c r="E7855" s="704" t="s">
        <v>861</v>
      </c>
      <c r="F7855" s="709"/>
      <c r="G7855" s="705">
        <v>1617.4110291108636</v>
      </c>
    </row>
    <row r="7856" spans="2:7" ht="11.25" hidden="1" customHeight="1" outlineLevel="2" x14ac:dyDescent="0.25">
      <c r="B7856" s="704" t="s">
        <v>680</v>
      </c>
      <c r="C7856" s="704" t="s">
        <v>883</v>
      </c>
      <c r="D7856" s="704" t="s">
        <v>675</v>
      </c>
      <c r="E7856" s="704" t="s">
        <v>861</v>
      </c>
      <c r="F7856" s="709"/>
      <c r="G7856" s="705">
        <v>299.78245493140946</v>
      </c>
    </row>
    <row r="7857" spans="2:7" ht="11.25" hidden="1" customHeight="1" outlineLevel="2" x14ac:dyDescent="0.25">
      <c r="B7857" s="704" t="s">
        <v>681</v>
      </c>
      <c r="C7857" s="704" t="s">
        <v>883</v>
      </c>
      <c r="D7857" s="704" t="s">
        <v>675</v>
      </c>
      <c r="E7857" s="704" t="s">
        <v>861</v>
      </c>
      <c r="F7857" s="709"/>
      <c r="G7857" s="705">
        <v>2528.5698857945476</v>
      </c>
    </row>
    <row r="7858" spans="2:7" ht="11.25" hidden="1" customHeight="1" outlineLevel="2" x14ac:dyDescent="0.25">
      <c r="B7858" s="704" t="s">
        <v>682</v>
      </c>
      <c r="C7858" s="704" t="s">
        <v>883</v>
      </c>
      <c r="D7858" s="704" t="s">
        <v>675</v>
      </c>
      <c r="E7858" s="704" t="s">
        <v>861</v>
      </c>
      <c r="F7858" s="709"/>
      <c r="G7858" s="705">
        <v>2219.6970039655635</v>
      </c>
    </row>
    <row r="7859" spans="2:7" ht="11.25" hidden="1" customHeight="1" outlineLevel="2" x14ac:dyDescent="0.25">
      <c r="B7859" s="704" t="s">
        <v>683</v>
      </c>
      <c r="C7859" s="704" t="s">
        <v>883</v>
      </c>
      <c r="D7859" s="704" t="s">
        <v>675</v>
      </c>
      <c r="E7859" s="704" t="s">
        <v>861</v>
      </c>
      <c r="F7859" s="708"/>
      <c r="G7859" s="705">
        <v>3686.3919701787195</v>
      </c>
    </row>
    <row r="7860" spans="2:7" ht="11.25" hidden="1" customHeight="1" outlineLevel="2" x14ac:dyDescent="0.25">
      <c r="B7860" s="704" t="s">
        <v>684</v>
      </c>
      <c r="C7860" s="704" t="s">
        <v>883</v>
      </c>
      <c r="D7860" s="704" t="s">
        <v>675</v>
      </c>
      <c r="E7860" s="704" t="s">
        <v>861</v>
      </c>
      <c r="F7860" s="708"/>
      <c r="G7860" s="705">
        <v>487.0939659270993</v>
      </c>
    </row>
    <row r="7861" spans="2:7" ht="11.25" hidden="1" customHeight="1" outlineLevel="2" x14ac:dyDescent="0.25">
      <c r="B7861" s="704" t="s">
        <v>685</v>
      </c>
      <c r="C7861" s="704" t="s">
        <v>883</v>
      </c>
      <c r="D7861" s="704" t="s">
        <v>675</v>
      </c>
      <c r="E7861" s="704" t="s">
        <v>861</v>
      </c>
      <c r="F7861" s="709"/>
      <c r="G7861" s="705">
        <v>4424.0127053586548</v>
      </c>
    </row>
    <row r="7862" spans="2:7" ht="11.25" hidden="1" customHeight="1" outlineLevel="2" x14ac:dyDescent="0.25">
      <c r="B7862" s="704" t="s">
        <v>686</v>
      </c>
      <c r="C7862" s="704" t="s">
        <v>883</v>
      </c>
      <c r="D7862" s="704" t="s">
        <v>675</v>
      </c>
      <c r="E7862" s="704" t="s">
        <v>861</v>
      </c>
      <c r="F7862" s="708"/>
      <c r="G7862" s="705">
        <v>1040.1237123150113</v>
      </c>
    </row>
    <row r="7863" spans="2:7" ht="11.25" hidden="1" customHeight="1" outlineLevel="2" x14ac:dyDescent="0.25">
      <c r="B7863" s="704" t="s">
        <v>687</v>
      </c>
      <c r="C7863" s="704" t="s">
        <v>883</v>
      </c>
      <c r="D7863" s="704" t="s">
        <v>675</v>
      </c>
      <c r="E7863" s="704" t="s">
        <v>861</v>
      </c>
      <c r="F7863" s="708"/>
      <c r="G7863" s="705">
        <v>5327.8942050405531</v>
      </c>
    </row>
    <row r="7864" spans="2:7" ht="11.25" hidden="1" customHeight="1" outlineLevel="2" x14ac:dyDescent="0.25">
      <c r="B7864" s="704" t="s">
        <v>688</v>
      </c>
      <c r="C7864" s="704" t="s">
        <v>883</v>
      </c>
      <c r="D7864" s="704" t="s">
        <v>675</v>
      </c>
      <c r="E7864" s="704" t="s">
        <v>861</v>
      </c>
      <c r="F7864" s="708"/>
      <c r="G7864" s="705">
        <v>3824.2814641269615</v>
      </c>
    </row>
    <row r="7865" spans="2:7" ht="11.25" hidden="1" customHeight="1" outlineLevel="2" x14ac:dyDescent="0.25">
      <c r="B7865" s="704" t="s">
        <v>689</v>
      </c>
      <c r="C7865" s="704" t="s">
        <v>883</v>
      </c>
      <c r="D7865" s="704" t="s">
        <v>675</v>
      </c>
      <c r="E7865" s="704" t="s">
        <v>861</v>
      </c>
      <c r="F7865" s="708"/>
      <c r="G7865" s="705">
        <v>565.41490802597013</v>
      </c>
    </row>
    <row r="7866" spans="2:7" ht="11.25" hidden="1" customHeight="1" outlineLevel="2" x14ac:dyDescent="0.25">
      <c r="B7866" s="704" t="s">
        <v>690</v>
      </c>
      <c r="C7866" s="704" t="s">
        <v>883</v>
      </c>
      <c r="D7866" s="704" t="s">
        <v>675</v>
      </c>
      <c r="E7866" s="704" t="s">
        <v>861</v>
      </c>
      <c r="F7866" s="708"/>
      <c r="G7866" s="705">
        <v>12448.553806794826</v>
      </c>
    </row>
    <row r="7867" spans="2:7" ht="11.25" hidden="1" customHeight="1" outlineLevel="2" x14ac:dyDescent="0.25">
      <c r="B7867" s="704" t="s">
        <v>691</v>
      </c>
      <c r="C7867" s="704" t="s">
        <v>883</v>
      </c>
      <c r="D7867" s="704" t="s">
        <v>675</v>
      </c>
      <c r="E7867" s="704" t="s">
        <v>861</v>
      </c>
      <c r="F7867" s="708"/>
      <c r="G7867" s="705">
        <v>14216.641502417462</v>
      </c>
    </row>
    <row r="7868" spans="2:7" ht="11.25" hidden="1" customHeight="1" outlineLevel="2" x14ac:dyDescent="0.25">
      <c r="B7868" s="704" t="s">
        <v>692</v>
      </c>
      <c r="C7868" s="704" t="s">
        <v>883</v>
      </c>
      <c r="D7868" s="704" t="s">
        <v>675</v>
      </c>
      <c r="E7868" s="704" t="s">
        <v>861</v>
      </c>
      <c r="F7868" s="708"/>
      <c r="G7868" s="705">
        <v>831.35375265490632</v>
      </c>
    </row>
    <row r="7869" spans="2:7" ht="11.25" hidden="1" customHeight="1" outlineLevel="2" x14ac:dyDescent="0.25">
      <c r="B7869" s="704" t="s">
        <v>693</v>
      </c>
      <c r="C7869" s="704" t="s">
        <v>883</v>
      </c>
      <c r="D7869" s="704" t="s">
        <v>675</v>
      </c>
      <c r="E7869" s="704" t="s">
        <v>861</v>
      </c>
      <c r="F7869" s="708"/>
      <c r="G7869" s="705">
        <v>2075.2240642193387</v>
      </c>
    </row>
    <row r="7870" spans="2:7" ht="11.25" hidden="1" customHeight="1" outlineLevel="2" x14ac:dyDescent="0.25">
      <c r="B7870" s="704" t="s">
        <v>694</v>
      </c>
      <c r="C7870" s="704" t="s">
        <v>883</v>
      </c>
      <c r="D7870" s="704" t="s">
        <v>675</v>
      </c>
      <c r="E7870" s="704" t="s">
        <v>861</v>
      </c>
      <c r="F7870" s="708"/>
      <c r="G7870" s="705">
        <v>232.65688547722982</v>
      </c>
    </row>
    <row r="7871" spans="2:7" ht="11.25" hidden="1" customHeight="1" outlineLevel="2" x14ac:dyDescent="0.25">
      <c r="B7871" s="704" t="s">
        <v>695</v>
      </c>
      <c r="C7871" s="704" t="s">
        <v>883</v>
      </c>
      <c r="D7871" s="704" t="s">
        <v>675</v>
      </c>
      <c r="E7871" s="704" t="s">
        <v>861</v>
      </c>
      <c r="F7871" s="708"/>
      <c r="G7871" s="705">
        <v>1103.5622771627243</v>
      </c>
    </row>
    <row r="7872" spans="2:7" ht="11.25" hidden="1" customHeight="1" outlineLevel="2" x14ac:dyDescent="0.25">
      <c r="B7872" s="704" t="s">
        <v>696</v>
      </c>
      <c r="C7872" s="704" t="s">
        <v>883</v>
      </c>
      <c r="D7872" s="704" t="s">
        <v>675</v>
      </c>
      <c r="E7872" s="704" t="s">
        <v>861</v>
      </c>
      <c r="F7872" s="708"/>
      <c r="G7872" s="705">
        <v>2757.2963437655553</v>
      </c>
    </row>
    <row r="7873" spans="2:7" ht="11.25" hidden="1" customHeight="1" outlineLevel="2" x14ac:dyDescent="0.25">
      <c r="B7873" s="704" t="s">
        <v>697</v>
      </c>
      <c r="C7873" s="704" t="s">
        <v>883</v>
      </c>
      <c r="D7873" s="704" t="s">
        <v>675</v>
      </c>
      <c r="E7873" s="704" t="s">
        <v>861</v>
      </c>
      <c r="F7873" s="708"/>
      <c r="G7873" s="705">
        <v>1508.5976616871999</v>
      </c>
    </row>
    <row r="7874" spans="2:7" ht="11.25" hidden="1" customHeight="1" outlineLevel="2" x14ac:dyDescent="0.25">
      <c r="B7874" s="704" t="s">
        <v>698</v>
      </c>
      <c r="C7874" s="704" t="s">
        <v>883</v>
      </c>
      <c r="D7874" s="704" t="s">
        <v>675</v>
      </c>
      <c r="E7874" s="704" t="s">
        <v>861</v>
      </c>
      <c r="F7874" s="708"/>
      <c r="G7874" s="705">
        <v>1656.5722540414126</v>
      </c>
    </row>
    <row r="7875" spans="2:7" ht="11.25" hidden="1" customHeight="1" outlineLevel="2" x14ac:dyDescent="0.25">
      <c r="B7875" s="704" t="s">
        <v>699</v>
      </c>
      <c r="C7875" s="704" t="s">
        <v>883</v>
      </c>
      <c r="D7875" s="704" t="s">
        <v>675</v>
      </c>
      <c r="E7875" s="704" t="s">
        <v>861</v>
      </c>
      <c r="F7875" s="708"/>
      <c r="G7875" s="705">
        <v>1.9648185978513224E-29</v>
      </c>
    </row>
    <row r="7876" spans="2:7" ht="11.25" hidden="1" customHeight="1" outlineLevel="2" x14ac:dyDescent="0.25">
      <c r="B7876" s="704" t="s">
        <v>673</v>
      </c>
      <c r="C7876" s="704" t="s">
        <v>884</v>
      </c>
      <c r="D7876" s="704" t="s">
        <v>675</v>
      </c>
      <c r="E7876" s="704" t="s">
        <v>861</v>
      </c>
      <c r="F7876" s="708"/>
      <c r="G7876" s="705">
        <v>122.74568863682644</v>
      </c>
    </row>
    <row r="7877" spans="2:7" ht="11.25" hidden="1" customHeight="1" outlineLevel="2" x14ac:dyDescent="0.25">
      <c r="B7877" s="704" t="s">
        <v>677</v>
      </c>
      <c r="C7877" s="704" t="s">
        <v>884</v>
      </c>
      <c r="D7877" s="704" t="s">
        <v>675</v>
      </c>
      <c r="E7877" s="704" t="s">
        <v>861</v>
      </c>
      <c r="F7877" s="705">
        <v>5.5726778536169731E-2</v>
      </c>
      <c r="G7877" s="705">
        <v>2036.9448898070061</v>
      </c>
    </row>
    <row r="7878" spans="2:7" ht="11.25" hidden="1" customHeight="1" outlineLevel="2" x14ac:dyDescent="0.25">
      <c r="B7878" s="704" t="s">
        <v>678</v>
      </c>
      <c r="C7878" s="704" t="s">
        <v>884</v>
      </c>
      <c r="D7878" s="704" t="s">
        <v>675</v>
      </c>
      <c r="E7878" s="704" t="s">
        <v>861</v>
      </c>
      <c r="F7878" s="708"/>
      <c r="G7878" s="705">
        <v>4718.2053722333612</v>
      </c>
    </row>
    <row r="7879" spans="2:7" ht="11.25" hidden="1" customHeight="1" outlineLevel="2" x14ac:dyDescent="0.25">
      <c r="B7879" s="704" t="s">
        <v>679</v>
      </c>
      <c r="C7879" s="704" t="s">
        <v>884</v>
      </c>
      <c r="D7879" s="704" t="s">
        <v>675</v>
      </c>
      <c r="E7879" s="704" t="s">
        <v>861</v>
      </c>
      <c r="F7879" s="708"/>
      <c r="G7879" s="705">
        <v>382.89247716017303</v>
      </c>
    </row>
    <row r="7880" spans="2:7" ht="11.25" hidden="1" customHeight="1" outlineLevel="2" x14ac:dyDescent="0.25">
      <c r="B7880" s="704" t="s">
        <v>680</v>
      </c>
      <c r="C7880" s="704" t="s">
        <v>884</v>
      </c>
      <c r="D7880" s="704" t="s">
        <v>675</v>
      </c>
      <c r="E7880" s="704" t="s">
        <v>861</v>
      </c>
      <c r="F7880" s="708"/>
      <c r="G7880" s="705">
        <v>70.968012240125688</v>
      </c>
    </row>
    <row r="7881" spans="2:7" ht="11.25" hidden="1" customHeight="1" outlineLevel="2" x14ac:dyDescent="0.25">
      <c r="B7881" s="704" t="s">
        <v>681</v>
      </c>
      <c r="C7881" s="704" t="s">
        <v>884</v>
      </c>
      <c r="D7881" s="704" t="s">
        <v>675</v>
      </c>
      <c r="E7881" s="704" t="s">
        <v>861</v>
      </c>
      <c r="F7881" s="708"/>
      <c r="G7881" s="705">
        <v>598.59262946931005</v>
      </c>
    </row>
    <row r="7882" spans="2:7" ht="11.25" hidden="1" customHeight="1" outlineLevel="2" x14ac:dyDescent="0.25">
      <c r="B7882" s="704" t="s">
        <v>682</v>
      </c>
      <c r="C7882" s="704" t="s">
        <v>884</v>
      </c>
      <c r="D7882" s="704" t="s">
        <v>675</v>
      </c>
      <c r="E7882" s="704" t="s">
        <v>861</v>
      </c>
      <c r="F7882" s="709"/>
      <c r="G7882" s="705">
        <v>525.47264906577186</v>
      </c>
    </row>
    <row r="7883" spans="2:7" ht="11.25" hidden="1" customHeight="1" outlineLevel="2" x14ac:dyDescent="0.25">
      <c r="B7883" s="704" t="s">
        <v>683</v>
      </c>
      <c r="C7883" s="704" t="s">
        <v>884</v>
      </c>
      <c r="D7883" s="704" t="s">
        <v>675</v>
      </c>
      <c r="E7883" s="704" t="s">
        <v>861</v>
      </c>
      <c r="F7883" s="709"/>
      <c r="G7883" s="705">
        <v>872.68612691120302</v>
      </c>
    </row>
    <row r="7884" spans="2:7" ht="11.25" hidden="1" customHeight="1" outlineLevel="2" x14ac:dyDescent="0.25">
      <c r="B7884" s="704" t="s">
        <v>684</v>
      </c>
      <c r="C7884" s="704" t="s">
        <v>884</v>
      </c>
      <c r="D7884" s="704" t="s">
        <v>675</v>
      </c>
      <c r="E7884" s="704" t="s">
        <v>861</v>
      </c>
      <c r="F7884" s="709"/>
      <c r="G7884" s="705">
        <v>115.31058815306388</v>
      </c>
    </row>
    <row r="7885" spans="2:7" ht="11.25" hidden="1" customHeight="1" outlineLevel="2" x14ac:dyDescent="0.25">
      <c r="B7885" s="704" t="s">
        <v>685</v>
      </c>
      <c r="C7885" s="704" t="s">
        <v>884</v>
      </c>
      <c r="D7885" s="704" t="s">
        <v>675</v>
      </c>
      <c r="E7885" s="704" t="s">
        <v>861</v>
      </c>
      <c r="F7885" s="709"/>
      <c r="G7885" s="705">
        <v>1047.3039033366958</v>
      </c>
    </row>
    <row r="7886" spans="2:7" ht="11.25" hidden="1" customHeight="1" outlineLevel="2" x14ac:dyDescent="0.25">
      <c r="B7886" s="704" t="s">
        <v>686</v>
      </c>
      <c r="C7886" s="704" t="s">
        <v>884</v>
      </c>
      <c r="D7886" s="704" t="s">
        <v>675</v>
      </c>
      <c r="E7886" s="704" t="s">
        <v>861</v>
      </c>
      <c r="F7886" s="709"/>
      <c r="G7886" s="705">
        <v>246.23028477909577</v>
      </c>
    </row>
    <row r="7887" spans="2:7" ht="11.25" hidden="1" customHeight="1" outlineLevel="2" x14ac:dyDescent="0.25">
      <c r="B7887" s="704" t="s">
        <v>687</v>
      </c>
      <c r="C7887" s="704" t="s">
        <v>884</v>
      </c>
      <c r="D7887" s="704" t="s">
        <v>675</v>
      </c>
      <c r="E7887" s="704" t="s">
        <v>861</v>
      </c>
      <c r="F7887" s="709"/>
      <c r="G7887" s="705">
        <v>1261.2818437877168</v>
      </c>
    </row>
    <row r="7888" spans="2:7" ht="11.25" hidden="1" customHeight="1" outlineLevel="2" x14ac:dyDescent="0.25">
      <c r="B7888" s="704" t="s">
        <v>688</v>
      </c>
      <c r="C7888" s="704" t="s">
        <v>884</v>
      </c>
      <c r="D7888" s="704" t="s">
        <v>675</v>
      </c>
      <c r="E7888" s="704" t="s">
        <v>861</v>
      </c>
      <c r="F7888" s="708"/>
      <c r="G7888" s="705">
        <v>905.3288380151912</v>
      </c>
    </row>
    <row r="7889" spans="2:7" ht="11.25" hidden="1" customHeight="1" outlineLevel="2" x14ac:dyDescent="0.25">
      <c r="B7889" s="704" t="s">
        <v>689</v>
      </c>
      <c r="C7889" s="704" t="s">
        <v>884</v>
      </c>
      <c r="D7889" s="704" t="s">
        <v>675</v>
      </c>
      <c r="E7889" s="704" t="s">
        <v>861</v>
      </c>
      <c r="F7889" s="708"/>
      <c r="G7889" s="705">
        <v>133.85170071279856</v>
      </c>
    </row>
    <row r="7890" spans="2:7" ht="11.25" hidden="1" customHeight="1" outlineLevel="2" x14ac:dyDescent="0.25">
      <c r="B7890" s="704" t="s">
        <v>690</v>
      </c>
      <c r="C7890" s="704" t="s">
        <v>884</v>
      </c>
      <c r="D7890" s="704" t="s">
        <v>675</v>
      </c>
      <c r="E7890" s="704" t="s">
        <v>861</v>
      </c>
      <c r="F7890" s="708"/>
      <c r="G7890" s="705">
        <v>2946.9681528042961</v>
      </c>
    </row>
    <row r="7891" spans="2:7" ht="11.25" hidden="1" customHeight="1" outlineLevel="2" x14ac:dyDescent="0.25">
      <c r="B7891" s="704" t="s">
        <v>691</v>
      </c>
      <c r="C7891" s="704" t="s">
        <v>884</v>
      </c>
      <c r="D7891" s="704" t="s">
        <v>675</v>
      </c>
      <c r="E7891" s="704" t="s">
        <v>861</v>
      </c>
      <c r="F7891" s="708"/>
      <c r="G7891" s="705">
        <v>3365.5298133812789</v>
      </c>
    </row>
    <row r="7892" spans="2:7" ht="11.25" hidden="1" customHeight="1" outlineLevel="2" x14ac:dyDescent="0.25">
      <c r="B7892" s="704" t="s">
        <v>692</v>
      </c>
      <c r="C7892" s="704" t="s">
        <v>884</v>
      </c>
      <c r="D7892" s="704" t="s">
        <v>675</v>
      </c>
      <c r="E7892" s="704" t="s">
        <v>861</v>
      </c>
      <c r="F7892" s="708"/>
      <c r="G7892" s="705">
        <v>196.80779134380657</v>
      </c>
    </row>
    <row r="7893" spans="2:7" ht="11.25" hidden="1" customHeight="1" outlineLevel="2" x14ac:dyDescent="0.25">
      <c r="B7893" s="704" t="s">
        <v>693</v>
      </c>
      <c r="C7893" s="704" t="s">
        <v>884</v>
      </c>
      <c r="D7893" s="704" t="s">
        <v>675</v>
      </c>
      <c r="E7893" s="704" t="s">
        <v>861</v>
      </c>
      <c r="F7893" s="708"/>
      <c r="G7893" s="705">
        <v>491.27129098342874</v>
      </c>
    </row>
    <row r="7894" spans="2:7" ht="11.25" hidden="1" customHeight="1" outlineLevel="2" x14ac:dyDescent="0.25">
      <c r="B7894" s="704" t="s">
        <v>694</v>
      </c>
      <c r="C7894" s="704" t="s">
        <v>884</v>
      </c>
      <c r="D7894" s="704" t="s">
        <v>675</v>
      </c>
      <c r="E7894" s="704" t="s">
        <v>861</v>
      </c>
      <c r="F7894" s="708"/>
      <c r="G7894" s="705">
        <v>55.077277858976394</v>
      </c>
    </row>
    <row r="7895" spans="2:7" ht="11.25" hidden="1" customHeight="1" outlineLevel="2" x14ac:dyDescent="0.25">
      <c r="B7895" s="704" t="s">
        <v>695</v>
      </c>
      <c r="C7895" s="704" t="s">
        <v>884</v>
      </c>
      <c r="D7895" s="704" t="s">
        <v>675</v>
      </c>
      <c r="E7895" s="704" t="s">
        <v>861</v>
      </c>
      <c r="F7895" s="708"/>
      <c r="G7895" s="705">
        <v>261.24820082761704</v>
      </c>
    </row>
    <row r="7896" spans="2:7" ht="11.25" hidden="1" customHeight="1" outlineLevel="2" x14ac:dyDescent="0.25">
      <c r="B7896" s="704" t="s">
        <v>696</v>
      </c>
      <c r="C7896" s="704" t="s">
        <v>884</v>
      </c>
      <c r="D7896" s="704" t="s">
        <v>675</v>
      </c>
      <c r="E7896" s="704" t="s">
        <v>861</v>
      </c>
      <c r="F7896" s="708"/>
      <c r="G7896" s="705">
        <v>652.73919318564072</v>
      </c>
    </row>
    <row r="7897" spans="2:7" ht="11.25" hidden="1" customHeight="1" outlineLevel="2" x14ac:dyDescent="0.25">
      <c r="B7897" s="704" t="s">
        <v>697</v>
      </c>
      <c r="C7897" s="704" t="s">
        <v>884</v>
      </c>
      <c r="D7897" s="704" t="s">
        <v>675</v>
      </c>
      <c r="E7897" s="704" t="s">
        <v>861</v>
      </c>
      <c r="F7897" s="708"/>
      <c r="G7897" s="705">
        <v>357.13289890466234</v>
      </c>
    </row>
    <row r="7898" spans="2:7" ht="11.25" hidden="1" customHeight="1" outlineLevel="2" x14ac:dyDescent="0.25">
      <c r="B7898" s="704" t="s">
        <v>698</v>
      </c>
      <c r="C7898" s="704" t="s">
        <v>884</v>
      </c>
      <c r="D7898" s="704" t="s">
        <v>675</v>
      </c>
      <c r="E7898" s="704" t="s">
        <v>861</v>
      </c>
      <c r="F7898" s="708"/>
      <c r="G7898" s="705">
        <v>392.16320498488682</v>
      </c>
    </row>
    <row r="7899" spans="2:7" ht="11.25" hidden="1" customHeight="1" outlineLevel="2" x14ac:dyDescent="0.25">
      <c r="B7899" s="704" t="s">
        <v>699</v>
      </c>
      <c r="C7899" s="704" t="s">
        <v>884</v>
      </c>
      <c r="D7899" s="704" t="s">
        <v>675</v>
      </c>
      <c r="E7899" s="704" t="s">
        <v>861</v>
      </c>
      <c r="F7899" s="708"/>
      <c r="G7899" s="705">
        <v>2.4155894972604634E-28</v>
      </c>
    </row>
    <row r="7900" spans="2:7" ht="11.25" hidden="1" customHeight="1" outlineLevel="2" x14ac:dyDescent="0.25">
      <c r="B7900" s="704" t="s">
        <v>673</v>
      </c>
      <c r="C7900" s="704" t="s">
        <v>885</v>
      </c>
      <c r="D7900" s="704" t="s">
        <v>675</v>
      </c>
      <c r="E7900" s="704" t="s">
        <v>861</v>
      </c>
      <c r="F7900" s="708"/>
      <c r="G7900" s="705">
        <v>1.5975416149777744</v>
      </c>
    </row>
    <row r="7901" spans="2:7" ht="11.25" hidden="1" customHeight="1" outlineLevel="2" x14ac:dyDescent="0.25">
      <c r="B7901" s="704" t="s">
        <v>677</v>
      </c>
      <c r="C7901" s="704" t="s">
        <v>885</v>
      </c>
      <c r="D7901" s="704" t="s">
        <v>675</v>
      </c>
      <c r="E7901" s="704" t="s">
        <v>861</v>
      </c>
      <c r="F7901" s="705">
        <v>1.2853391584113135E-3</v>
      </c>
      <c r="G7901" s="705">
        <v>26.510945109893473</v>
      </c>
    </row>
    <row r="7902" spans="2:7" ht="11.25" hidden="1" customHeight="1" outlineLevel="2" x14ac:dyDescent="0.25">
      <c r="B7902" s="704" t="s">
        <v>678</v>
      </c>
      <c r="C7902" s="704" t="s">
        <v>885</v>
      </c>
      <c r="D7902" s="704" t="s">
        <v>675</v>
      </c>
      <c r="E7902" s="704" t="s">
        <v>861</v>
      </c>
      <c r="F7902" s="708"/>
      <c r="G7902" s="705">
        <v>61.407701383533713</v>
      </c>
    </row>
    <row r="7903" spans="2:7" ht="11.25" hidden="1" customHeight="1" outlineLevel="2" x14ac:dyDescent="0.25">
      <c r="B7903" s="704" t="s">
        <v>679</v>
      </c>
      <c r="C7903" s="704" t="s">
        <v>885</v>
      </c>
      <c r="D7903" s="704" t="s">
        <v>675</v>
      </c>
      <c r="E7903" s="704" t="s">
        <v>861</v>
      </c>
      <c r="F7903" s="708"/>
      <c r="G7903" s="705">
        <v>4.983365919467543</v>
      </c>
    </row>
    <row r="7904" spans="2:7" ht="11.25" hidden="1" customHeight="1" outlineLevel="2" x14ac:dyDescent="0.25">
      <c r="B7904" s="704" t="s">
        <v>680</v>
      </c>
      <c r="C7904" s="704" t="s">
        <v>885</v>
      </c>
      <c r="D7904" s="704" t="s">
        <v>675</v>
      </c>
      <c r="E7904" s="704" t="s">
        <v>861</v>
      </c>
      <c r="F7904" s="708"/>
      <c r="G7904" s="705">
        <v>0.92365242543592152</v>
      </c>
    </row>
    <row r="7905" spans="2:7" ht="11.25" hidden="1" customHeight="1" outlineLevel="2" x14ac:dyDescent="0.25">
      <c r="B7905" s="704" t="s">
        <v>681</v>
      </c>
      <c r="C7905" s="704" t="s">
        <v>885</v>
      </c>
      <c r="D7905" s="704" t="s">
        <v>675</v>
      </c>
      <c r="E7905" s="704" t="s">
        <v>861</v>
      </c>
      <c r="F7905" s="708"/>
      <c r="G7905" s="705">
        <v>7.7907162701270014</v>
      </c>
    </row>
    <row r="7906" spans="2:7" ht="11.25" hidden="1" customHeight="1" outlineLevel="2" x14ac:dyDescent="0.25">
      <c r="B7906" s="704" t="s">
        <v>682</v>
      </c>
      <c r="C7906" s="704" t="s">
        <v>885</v>
      </c>
      <c r="D7906" s="704" t="s">
        <v>675</v>
      </c>
      <c r="E7906" s="704" t="s">
        <v>861</v>
      </c>
      <c r="F7906" s="708"/>
      <c r="G7906" s="705">
        <v>6.8390553675287942</v>
      </c>
    </row>
    <row r="7907" spans="2:7" ht="11.25" hidden="1" customHeight="1" outlineLevel="2" x14ac:dyDescent="0.25">
      <c r="B7907" s="704" t="s">
        <v>683</v>
      </c>
      <c r="C7907" s="704" t="s">
        <v>885</v>
      </c>
      <c r="D7907" s="704" t="s">
        <v>675</v>
      </c>
      <c r="E7907" s="704" t="s">
        <v>861</v>
      </c>
      <c r="F7907" s="708"/>
      <c r="G7907" s="705">
        <v>11.358055354173326</v>
      </c>
    </row>
    <row r="7908" spans="2:7" ht="11.25" hidden="1" customHeight="1" outlineLevel="2" x14ac:dyDescent="0.25">
      <c r="B7908" s="704" t="s">
        <v>684</v>
      </c>
      <c r="C7908" s="704" t="s">
        <v>885</v>
      </c>
      <c r="D7908" s="704" t="s">
        <v>675</v>
      </c>
      <c r="E7908" s="704" t="s">
        <v>861</v>
      </c>
      <c r="F7908" s="708"/>
      <c r="G7908" s="705">
        <v>1.500773950107698</v>
      </c>
    </row>
    <row r="7909" spans="2:7" ht="11.25" hidden="1" customHeight="1" outlineLevel="2" x14ac:dyDescent="0.25">
      <c r="B7909" s="704" t="s">
        <v>685</v>
      </c>
      <c r="C7909" s="704" t="s">
        <v>885</v>
      </c>
      <c r="D7909" s="704" t="s">
        <v>675</v>
      </c>
      <c r="E7909" s="704" t="s">
        <v>861</v>
      </c>
      <c r="F7909" s="708"/>
      <c r="G7909" s="705">
        <v>13.630717413467906</v>
      </c>
    </row>
    <row r="7910" spans="2:7" ht="11.25" hidden="1" customHeight="1" outlineLevel="2" x14ac:dyDescent="0.25">
      <c r="B7910" s="704" t="s">
        <v>686</v>
      </c>
      <c r="C7910" s="704" t="s">
        <v>885</v>
      </c>
      <c r="D7910" s="704" t="s">
        <v>675</v>
      </c>
      <c r="E7910" s="704" t="s">
        <v>861</v>
      </c>
      <c r="F7910" s="708"/>
      <c r="G7910" s="705">
        <v>3.2046997148982777</v>
      </c>
    </row>
    <row r="7911" spans="2:7" ht="11.25" hidden="1" customHeight="1" outlineLevel="2" x14ac:dyDescent="0.25">
      <c r="B7911" s="704" t="s">
        <v>687</v>
      </c>
      <c r="C7911" s="704" t="s">
        <v>885</v>
      </c>
      <c r="D7911" s="704" t="s">
        <v>675</v>
      </c>
      <c r="E7911" s="704" t="s">
        <v>861</v>
      </c>
      <c r="F7911" s="708"/>
      <c r="G7911" s="705">
        <v>16.415649059560497</v>
      </c>
    </row>
    <row r="7912" spans="2:7" ht="11.25" hidden="1" customHeight="1" outlineLevel="2" x14ac:dyDescent="0.25">
      <c r="B7912" s="704" t="s">
        <v>688</v>
      </c>
      <c r="C7912" s="704" t="s">
        <v>885</v>
      </c>
      <c r="D7912" s="704" t="s">
        <v>675</v>
      </c>
      <c r="E7912" s="704" t="s">
        <v>861</v>
      </c>
      <c r="F7912" s="708"/>
      <c r="G7912" s="705">
        <v>11.782903342172743</v>
      </c>
    </row>
    <row r="7913" spans="2:7" ht="11.25" hidden="1" customHeight="1" outlineLevel="2" x14ac:dyDescent="0.25">
      <c r="B7913" s="704" t="s">
        <v>689</v>
      </c>
      <c r="C7913" s="704" t="s">
        <v>885</v>
      </c>
      <c r="D7913" s="704" t="s">
        <v>675</v>
      </c>
      <c r="E7913" s="704" t="s">
        <v>861</v>
      </c>
      <c r="F7913" s="708"/>
      <c r="G7913" s="705">
        <v>1.7420868862791878</v>
      </c>
    </row>
    <row r="7914" spans="2:7" ht="11.25" hidden="1" customHeight="1" outlineLevel="2" x14ac:dyDescent="0.25">
      <c r="B7914" s="704" t="s">
        <v>690</v>
      </c>
      <c r="C7914" s="704" t="s">
        <v>885</v>
      </c>
      <c r="D7914" s="704" t="s">
        <v>675</v>
      </c>
      <c r="E7914" s="704" t="s">
        <v>861</v>
      </c>
      <c r="F7914" s="708"/>
      <c r="G7914" s="705">
        <v>38.354942013291598</v>
      </c>
    </row>
    <row r="7915" spans="2:7" ht="11.25" hidden="1" customHeight="1" outlineLevel="2" x14ac:dyDescent="0.25">
      <c r="B7915" s="704" t="s">
        <v>691</v>
      </c>
      <c r="C7915" s="704" t="s">
        <v>885</v>
      </c>
      <c r="D7915" s="704" t="s">
        <v>675</v>
      </c>
      <c r="E7915" s="704" t="s">
        <v>861</v>
      </c>
      <c r="F7915" s="708"/>
      <c r="G7915" s="705">
        <v>43.802554201068588</v>
      </c>
    </row>
    <row r="7916" spans="2:7" ht="11.25" hidden="1" customHeight="1" outlineLevel="2" x14ac:dyDescent="0.25">
      <c r="B7916" s="704" t="s">
        <v>692</v>
      </c>
      <c r="C7916" s="704" t="s">
        <v>885</v>
      </c>
      <c r="D7916" s="704" t="s">
        <v>675</v>
      </c>
      <c r="E7916" s="704" t="s">
        <v>861</v>
      </c>
      <c r="F7916" s="708"/>
      <c r="G7916" s="705">
        <v>2.5614636093655632</v>
      </c>
    </row>
    <row r="7917" spans="2:7" ht="11.25" hidden="1" customHeight="1" outlineLevel="2" x14ac:dyDescent="0.25">
      <c r="B7917" s="704" t="s">
        <v>693</v>
      </c>
      <c r="C7917" s="704" t="s">
        <v>885</v>
      </c>
      <c r="D7917" s="704" t="s">
        <v>675</v>
      </c>
      <c r="E7917" s="704" t="s">
        <v>861</v>
      </c>
      <c r="F7917" s="708"/>
      <c r="G7917" s="705">
        <v>6.3939236573511806</v>
      </c>
    </row>
    <row r="7918" spans="2:7" ht="11.25" hidden="1" customHeight="1" outlineLevel="2" x14ac:dyDescent="0.25">
      <c r="B7918" s="704" t="s">
        <v>694</v>
      </c>
      <c r="C7918" s="704" t="s">
        <v>885</v>
      </c>
      <c r="D7918" s="704" t="s">
        <v>675</v>
      </c>
      <c r="E7918" s="704" t="s">
        <v>861</v>
      </c>
      <c r="F7918" s="708"/>
      <c r="G7918" s="705">
        <v>0.71683351612763602</v>
      </c>
    </row>
    <row r="7919" spans="2:7" ht="11.25" hidden="1" customHeight="1" outlineLevel="2" x14ac:dyDescent="0.25">
      <c r="B7919" s="704" t="s">
        <v>695</v>
      </c>
      <c r="C7919" s="704" t="s">
        <v>885</v>
      </c>
      <c r="D7919" s="704" t="s">
        <v>675</v>
      </c>
      <c r="E7919" s="704" t="s">
        <v>861</v>
      </c>
      <c r="F7919" s="708"/>
      <c r="G7919" s="705">
        <v>3.4001591910669933</v>
      </c>
    </row>
    <row r="7920" spans="2:7" ht="11.25" hidden="1" customHeight="1" outlineLevel="2" x14ac:dyDescent="0.25">
      <c r="B7920" s="704" t="s">
        <v>696</v>
      </c>
      <c r="C7920" s="704" t="s">
        <v>885</v>
      </c>
      <c r="D7920" s="704" t="s">
        <v>675</v>
      </c>
      <c r="E7920" s="704" t="s">
        <v>861</v>
      </c>
      <c r="F7920" s="708"/>
      <c r="G7920" s="705">
        <v>8.4954401865260554</v>
      </c>
    </row>
    <row r="7921" spans="2:7" ht="11.25" hidden="1" customHeight="1" outlineLevel="2" x14ac:dyDescent="0.25">
      <c r="B7921" s="704" t="s">
        <v>697</v>
      </c>
      <c r="C7921" s="704" t="s">
        <v>885</v>
      </c>
      <c r="D7921" s="704" t="s">
        <v>675</v>
      </c>
      <c r="E7921" s="704" t="s">
        <v>861</v>
      </c>
      <c r="F7921" s="708"/>
      <c r="G7921" s="705">
        <v>4.648103852033767</v>
      </c>
    </row>
    <row r="7922" spans="2:7" ht="11.25" hidden="1" customHeight="1" outlineLevel="2" x14ac:dyDescent="0.25">
      <c r="B7922" s="704" t="s">
        <v>698</v>
      </c>
      <c r="C7922" s="704" t="s">
        <v>885</v>
      </c>
      <c r="D7922" s="704" t="s">
        <v>675</v>
      </c>
      <c r="E7922" s="704" t="s">
        <v>861</v>
      </c>
      <c r="F7922" s="708"/>
      <c r="G7922" s="705">
        <v>5.104025495169247</v>
      </c>
    </row>
    <row r="7923" spans="2:7" ht="11.25" hidden="1" customHeight="1" outlineLevel="2" x14ac:dyDescent="0.25">
      <c r="B7923" s="704" t="s">
        <v>699</v>
      </c>
      <c r="C7923" s="704" t="s">
        <v>885</v>
      </c>
      <c r="D7923" s="704" t="s">
        <v>675</v>
      </c>
      <c r="E7923" s="704" t="s">
        <v>861</v>
      </c>
      <c r="F7923" s="708"/>
      <c r="G7923" s="705">
        <v>3.2635428971378915E-31</v>
      </c>
    </row>
    <row r="7924" spans="2:7" ht="11.25" hidden="1" customHeight="1" outlineLevel="2" x14ac:dyDescent="0.25">
      <c r="B7924" s="704" t="s">
        <v>673</v>
      </c>
      <c r="C7924" s="704" t="s">
        <v>886</v>
      </c>
      <c r="D7924" s="704" t="s">
        <v>675</v>
      </c>
      <c r="E7924" s="704" t="s">
        <v>861</v>
      </c>
      <c r="F7924" s="708"/>
      <c r="G7924" s="705">
        <v>117.61955531510569</v>
      </c>
    </row>
    <row r="7925" spans="2:7" ht="11.25" hidden="1" customHeight="1" outlineLevel="2" x14ac:dyDescent="0.25">
      <c r="B7925" s="704" t="s">
        <v>677</v>
      </c>
      <c r="C7925" s="704" t="s">
        <v>886</v>
      </c>
      <c r="D7925" s="704" t="s">
        <v>675</v>
      </c>
      <c r="E7925" s="704" t="s">
        <v>861</v>
      </c>
      <c r="F7925" s="705">
        <v>4.801830915258172E-2</v>
      </c>
      <c r="G7925" s="705">
        <v>1951.8771470774648</v>
      </c>
    </row>
    <row r="7926" spans="2:7" ht="11.25" hidden="1" customHeight="1" outlineLevel="2" x14ac:dyDescent="0.25">
      <c r="B7926" s="704" t="s">
        <v>678</v>
      </c>
      <c r="C7926" s="704" t="s">
        <v>886</v>
      </c>
      <c r="D7926" s="704" t="s">
        <v>675</v>
      </c>
      <c r="E7926" s="704" t="s">
        <v>861</v>
      </c>
      <c r="F7926" s="708"/>
      <c r="G7926" s="705">
        <v>4521.1616269132219</v>
      </c>
    </row>
    <row r="7927" spans="2:7" ht="11.25" hidden="1" customHeight="1" outlineLevel="2" x14ac:dyDescent="0.25">
      <c r="B7927" s="704" t="s">
        <v>679</v>
      </c>
      <c r="C7927" s="704" t="s">
        <v>886</v>
      </c>
      <c r="D7927" s="704" t="s">
        <v>675</v>
      </c>
      <c r="E7927" s="704" t="s">
        <v>861</v>
      </c>
      <c r="F7927" s="708"/>
      <c r="G7927" s="705">
        <v>366.90201154555837</v>
      </c>
    </row>
    <row r="7928" spans="2:7" ht="11.25" hidden="1" customHeight="1" outlineLevel="2" x14ac:dyDescent="0.25">
      <c r="B7928" s="704" t="s">
        <v>680</v>
      </c>
      <c r="C7928" s="704" t="s">
        <v>886</v>
      </c>
      <c r="D7928" s="704" t="s">
        <v>675</v>
      </c>
      <c r="E7928" s="704" t="s">
        <v>861</v>
      </c>
      <c r="F7928" s="709"/>
      <c r="G7928" s="705">
        <v>68.004224955563615</v>
      </c>
    </row>
    <row r="7929" spans="2:7" ht="11.25" hidden="1" customHeight="1" outlineLevel="2" x14ac:dyDescent="0.25">
      <c r="B7929" s="704" t="s">
        <v>681</v>
      </c>
      <c r="C7929" s="704" t="s">
        <v>886</v>
      </c>
      <c r="D7929" s="704" t="s">
        <v>675</v>
      </c>
      <c r="E7929" s="704" t="s">
        <v>861</v>
      </c>
      <c r="F7929" s="709"/>
      <c r="G7929" s="705">
        <v>573.59404225969013</v>
      </c>
    </row>
    <row r="7930" spans="2:7" ht="11.25" hidden="1" customHeight="1" outlineLevel="2" x14ac:dyDescent="0.25">
      <c r="B7930" s="704" t="s">
        <v>682</v>
      </c>
      <c r="C7930" s="704" t="s">
        <v>886</v>
      </c>
      <c r="D7930" s="704" t="s">
        <v>675</v>
      </c>
      <c r="E7930" s="704" t="s">
        <v>861</v>
      </c>
      <c r="F7930" s="709"/>
      <c r="G7930" s="705">
        <v>503.52775726485152</v>
      </c>
    </row>
    <row r="7931" spans="2:7" ht="11.25" hidden="1" customHeight="1" outlineLevel="2" x14ac:dyDescent="0.25">
      <c r="B7931" s="704" t="s">
        <v>683</v>
      </c>
      <c r="C7931" s="704" t="s">
        <v>886</v>
      </c>
      <c r="D7931" s="704" t="s">
        <v>675</v>
      </c>
      <c r="E7931" s="704" t="s">
        <v>861</v>
      </c>
      <c r="F7931" s="709"/>
      <c r="G7931" s="705">
        <v>836.24074139148729</v>
      </c>
    </row>
    <row r="7932" spans="2:7" ht="11.25" hidden="1" customHeight="1" outlineLevel="2" x14ac:dyDescent="0.25">
      <c r="B7932" s="704" t="s">
        <v>684</v>
      </c>
      <c r="C7932" s="704" t="s">
        <v>886</v>
      </c>
      <c r="D7932" s="704" t="s">
        <v>675</v>
      </c>
      <c r="E7932" s="704" t="s">
        <v>861</v>
      </c>
      <c r="F7932" s="709"/>
      <c r="G7932" s="705">
        <v>110.4949498773678</v>
      </c>
    </row>
    <row r="7933" spans="2:7" ht="11.25" hidden="1" customHeight="1" outlineLevel="2" x14ac:dyDescent="0.25">
      <c r="B7933" s="704" t="s">
        <v>685</v>
      </c>
      <c r="C7933" s="704" t="s">
        <v>886</v>
      </c>
      <c r="D7933" s="704" t="s">
        <v>675</v>
      </c>
      <c r="E7933" s="704" t="s">
        <v>861</v>
      </c>
      <c r="F7933" s="709"/>
      <c r="G7933" s="705">
        <v>1003.5664325977467</v>
      </c>
    </row>
    <row r="7934" spans="2:7" ht="11.25" hidden="1" customHeight="1" outlineLevel="2" x14ac:dyDescent="0.25">
      <c r="B7934" s="704" t="s">
        <v>686</v>
      </c>
      <c r="C7934" s="704" t="s">
        <v>886</v>
      </c>
      <c r="D7934" s="704" t="s">
        <v>675</v>
      </c>
      <c r="E7934" s="704" t="s">
        <v>861</v>
      </c>
      <c r="F7934" s="709"/>
      <c r="G7934" s="705">
        <v>235.94708598026583</v>
      </c>
    </row>
    <row r="7935" spans="2:7" ht="11.25" hidden="1" customHeight="1" outlineLevel="2" x14ac:dyDescent="0.25">
      <c r="B7935" s="704" t="s">
        <v>687</v>
      </c>
      <c r="C7935" s="704" t="s">
        <v>886</v>
      </c>
      <c r="D7935" s="704" t="s">
        <v>675</v>
      </c>
      <c r="E7935" s="704" t="s">
        <v>861</v>
      </c>
      <c r="F7935" s="709"/>
      <c r="G7935" s="705">
        <v>1208.607596974706</v>
      </c>
    </row>
    <row r="7936" spans="2:7" ht="11.25" hidden="1" customHeight="1" outlineLevel="2" x14ac:dyDescent="0.25">
      <c r="B7936" s="704" t="s">
        <v>688</v>
      </c>
      <c r="C7936" s="704" t="s">
        <v>886</v>
      </c>
      <c r="D7936" s="704" t="s">
        <v>675</v>
      </c>
      <c r="E7936" s="704" t="s">
        <v>861</v>
      </c>
      <c r="F7936" s="709"/>
      <c r="G7936" s="705">
        <v>867.52008762478602</v>
      </c>
    </row>
    <row r="7937" spans="2:7" ht="11.25" hidden="1" customHeight="1" outlineLevel="2" x14ac:dyDescent="0.25">
      <c r="B7937" s="704" t="s">
        <v>689</v>
      </c>
      <c r="C7937" s="704" t="s">
        <v>886</v>
      </c>
      <c r="D7937" s="704" t="s">
        <v>675</v>
      </c>
      <c r="E7937" s="704" t="s">
        <v>861</v>
      </c>
      <c r="F7937" s="709"/>
      <c r="G7937" s="705">
        <v>128.26168242863619</v>
      </c>
    </row>
    <row r="7938" spans="2:7" ht="11.25" hidden="1" customHeight="1" outlineLevel="2" x14ac:dyDescent="0.25">
      <c r="B7938" s="704" t="s">
        <v>690</v>
      </c>
      <c r="C7938" s="704" t="s">
        <v>886</v>
      </c>
      <c r="D7938" s="704" t="s">
        <v>675</v>
      </c>
      <c r="E7938" s="704" t="s">
        <v>861</v>
      </c>
      <c r="F7938" s="709"/>
      <c r="G7938" s="705">
        <v>2823.8956985329846</v>
      </c>
    </row>
    <row r="7939" spans="2:7" ht="11.25" hidden="1" customHeight="1" outlineLevel="2" x14ac:dyDescent="0.25">
      <c r="B7939" s="704" t="s">
        <v>691</v>
      </c>
      <c r="C7939" s="704" t="s">
        <v>886</v>
      </c>
      <c r="D7939" s="704" t="s">
        <v>675</v>
      </c>
      <c r="E7939" s="704" t="s">
        <v>861</v>
      </c>
      <c r="F7939" s="709"/>
      <c r="G7939" s="705">
        <v>3224.9783770331637</v>
      </c>
    </row>
    <row r="7940" spans="2:7" ht="11.25" hidden="1" customHeight="1" outlineLevel="2" x14ac:dyDescent="0.25">
      <c r="B7940" s="704" t="s">
        <v>692</v>
      </c>
      <c r="C7940" s="704" t="s">
        <v>886</v>
      </c>
      <c r="D7940" s="704" t="s">
        <v>675</v>
      </c>
      <c r="E7940" s="704" t="s">
        <v>861</v>
      </c>
      <c r="F7940" s="709"/>
      <c r="G7940" s="705">
        <v>188.58865680609452</v>
      </c>
    </row>
    <row r="7941" spans="2:7" ht="11.25" hidden="1" customHeight="1" outlineLevel="2" x14ac:dyDescent="0.25">
      <c r="B7941" s="704" t="s">
        <v>693</v>
      </c>
      <c r="C7941" s="704" t="s">
        <v>886</v>
      </c>
      <c r="D7941" s="704" t="s">
        <v>675</v>
      </c>
      <c r="E7941" s="704" t="s">
        <v>861</v>
      </c>
      <c r="F7941" s="709"/>
      <c r="G7941" s="705">
        <v>470.75465315006539</v>
      </c>
    </row>
    <row r="7942" spans="2:7" ht="11.25" hidden="1" customHeight="1" outlineLevel="2" x14ac:dyDescent="0.25">
      <c r="B7942" s="704" t="s">
        <v>694</v>
      </c>
      <c r="C7942" s="704" t="s">
        <v>886</v>
      </c>
      <c r="D7942" s="704" t="s">
        <v>675</v>
      </c>
      <c r="E7942" s="704" t="s">
        <v>861</v>
      </c>
      <c r="F7942" s="709"/>
      <c r="G7942" s="705">
        <v>52.777104937708302</v>
      </c>
    </row>
    <row r="7943" spans="2:7" ht="11.25" hidden="1" customHeight="1" outlineLevel="2" x14ac:dyDescent="0.25">
      <c r="B7943" s="704" t="s">
        <v>695</v>
      </c>
      <c r="C7943" s="704" t="s">
        <v>886</v>
      </c>
      <c r="D7943" s="704" t="s">
        <v>675</v>
      </c>
      <c r="E7943" s="704" t="s">
        <v>861</v>
      </c>
      <c r="F7943" s="709"/>
      <c r="G7943" s="705">
        <v>250.3378530350231</v>
      </c>
    </row>
    <row r="7944" spans="2:7" ht="11.25" hidden="1" customHeight="1" outlineLevel="2" x14ac:dyDescent="0.25">
      <c r="B7944" s="704" t="s">
        <v>696</v>
      </c>
      <c r="C7944" s="704" t="s">
        <v>886</v>
      </c>
      <c r="D7944" s="704" t="s">
        <v>675</v>
      </c>
      <c r="E7944" s="704" t="s">
        <v>861</v>
      </c>
      <c r="F7944" s="709"/>
      <c r="G7944" s="705">
        <v>625.47950396415126</v>
      </c>
    </row>
    <row r="7945" spans="2:7" ht="11.25" hidden="1" customHeight="1" outlineLevel="2" x14ac:dyDescent="0.25">
      <c r="B7945" s="704" t="s">
        <v>697</v>
      </c>
      <c r="C7945" s="704" t="s">
        <v>886</v>
      </c>
      <c r="D7945" s="704" t="s">
        <v>675</v>
      </c>
      <c r="E7945" s="704" t="s">
        <v>861</v>
      </c>
      <c r="F7945" s="709"/>
      <c r="G7945" s="705">
        <v>342.21830331096754</v>
      </c>
    </row>
    <row r="7946" spans="2:7" ht="11.25" hidden="1" customHeight="1" outlineLevel="2" x14ac:dyDescent="0.25">
      <c r="B7946" s="704" t="s">
        <v>698</v>
      </c>
      <c r="C7946" s="704" t="s">
        <v>886</v>
      </c>
      <c r="D7946" s="704" t="s">
        <v>675</v>
      </c>
      <c r="E7946" s="704" t="s">
        <v>861</v>
      </c>
      <c r="F7946" s="709"/>
      <c r="G7946" s="705">
        <v>375.78555883728086</v>
      </c>
    </row>
    <row r="7947" spans="2:7" ht="11.25" hidden="1" customHeight="1" outlineLevel="2" x14ac:dyDescent="0.25">
      <c r="B7947" s="704" t="s">
        <v>699</v>
      </c>
      <c r="C7947" s="704" t="s">
        <v>886</v>
      </c>
      <c r="D7947" s="704" t="s">
        <v>675</v>
      </c>
      <c r="E7947" s="704" t="s">
        <v>861</v>
      </c>
      <c r="F7947" s="709"/>
      <c r="G7947" s="705">
        <v>7.731068103147799E-30</v>
      </c>
    </row>
    <row r="7948" spans="2:7" ht="11.25" hidden="1" customHeight="1" outlineLevel="1" x14ac:dyDescent="0.25">
      <c r="B7948" s="704"/>
      <c r="C7948" s="704"/>
      <c r="D7948" s="707" t="s">
        <v>930</v>
      </c>
      <c r="E7948" s="704"/>
      <c r="F7948" s="709">
        <f t="shared" ref="F7948:G7948" si="17">SUBTOTAL(9,F6388:F7947)</f>
        <v>24.208952267593254</v>
      </c>
      <c r="G7948" s="705">
        <f t="shared" si="17"/>
        <v>1446080.6645375881</v>
      </c>
    </row>
    <row r="7949" spans="2:7" ht="11.25" hidden="1" customHeight="1" outlineLevel="2" x14ac:dyDescent="0.25">
      <c r="B7949" s="704" t="s">
        <v>673</v>
      </c>
      <c r="C7949" s="704" t="s">
        <v>725</v>
      </c>
      <c r="D7949" s="704" t="s">
        <v>563</v>
      </c>
      <c r="E7949" s="704" t="s">
        <v>448</v>
      </c>
      <c r="F7949" s="706">
        <v>2.9567878804087519E-4</v>
      </c>
      <c r="G7949" s="705">
        <v>0.13254097279533403</v>
      </c>
    </row>
    <row r="7950" spans="2:7" ht="11.25" hidden="1" customHeight="1" outlineLevel="2" x14ac:dyDescent="0.25">
      <c r="B7950" s="704" t="s">
        <v>677</v>
      </c>
      <c r="C7950" s="704" t="s">
        <v>725</v>
      </c>
      <c r="D7950" s="704" t="s">
        <v>563</v>
      </c>
      <c r="E7950" s="704" t="s">
        <v>448</v>
      </c>
      <c r="F7950" s="706">
        <v>1.2548497752644526E-3</v>
      </c>
      <c r="G7950" s="705">
        <v>0.56160357303741903</v>
      </c>
    </row>
    <row r="7951" spans="2:7" ht="11.25" hidden="1" customHeight="1" outlineLevel="2" x14ac:dyDescent="0.25">
      <c r="B7951" s="704" t="s">
        <v>678</v>
      </c>
      <c r="C7951" s="704" t="s">
        <v>725</v>
      </c>
      <c r="D7951" s="704" t="s">
        <v>563</v>
      </c>
      <c r="E7951" s="704" t="s">
        <v>448</v>
      </c>
      <c r="F7951" s="706">
        <v>2.2926257519966125E-3</v>
      </c>
      <c r="G7951" s="705">
        <v>1.0277793808908262</v>
      </c>
    </row>
    <row r="7952" spans="2:7" ht="11.25" hidden="1" customHeight="1" outlineLevel="2" x14ac:dyDescent="0.25">
      <c r="B7952" s="704" t="s">
        <v>679</v>
      </c>
      <c r="C7952" s="704" t="s">
        <v>725</v>
      </c>
      <c r="D7952" s="704" t="s">
        <v>563</v>
      </c>
      <c r="E7952" s="704" t="s">
        <v>448</v>
      </c>
      <c r="F7952" s="706">
        <v>6.1346850047686556E-5</v>
      </c>
      <c r="G7952" s="705">
        <v>2.7501673323810746E-2</v>
      </c>
    </row>
    <row r="7953" spans="2:7" ht="11.25" hidden="1" customHeight="1" outlineLevel="2" x14ac:dyDescent="0.25">
      <c r="B7953" s="704" t="s">
        <v>680</v>
      </c>
      <c r="C7953" s="704" t="s">
        <v>725</v>
      </c>
      <c r="D7953" s="704" t="s">
        <v>563</v>
      </c>
      <c r="E7953" s="704" t="s">
        <v>448</v>
      </c>
      <c r="F7953" s="706">
        <v>1.4865024286129597E-4</v>
      </c>
      <c r="G7953" s="705">
        <v>6.6634131361934579E-2</v>
      </c>
    </row>
    <row r="7954" spans="2:7" ht="11.25" hidden="1" customHeight="1" outlineLevel="2" x14ac:dyDescent="0.25">
      <c r="B7954" s="704" t="s">
        <v>681</v>
      </c>
      <c r="C7954" s="704" t="s">
        <v>725</v>
      </c>
      <c r="D7954" s="704" t="s">
        <v>563</v>
      </c>
      <c r="E7954" s="704" t="s">
        <v>448</v>
      </c>
      <c r="F7954" s="705">
        <v>3.1952613788030325E-4</v>
      </c>
      <c r="G7954" s="705">
        <v>0.14324283840768842</v>
      </c>
    </row>
    <row r="7955" spans="2:7" ht="11.25" hidden="1" customHeight="1" outlineLevel="2" x14ac:dyDescent="0.25">
      <c r="B7955" s="704" t="s">
        <v>682</v>
      </c>
      <c r="C7955" s="704" t="s">
        <v>725</v>
      </c>
      <c r="D7955" s="704" t="s">
        <v>563</v>
      </c>
      <c r="E7955" s="704" t="s">
        <v>448</v>
      </c>
      <c r="F7955" s="705">
        <v>2.9141993244393322E-4</v>
      </c>
      <c r="G7955" s="705">
        <v>0.13064309690123208</v>
      </c>
    </row>
    <row r="7956" spans="2:7" ht="11.25" hidden="1" customHeight="1" outlineLevel="2" x14ac:dyDescent="0.25">
      <c r="B7956" s="704" t="s">
        <v>683</v>
      </c>
      <c r="C7956" s="704" t="s">
        <v>725</v>
      </c>
      <c r="D7956" s="704" t="s">
        <v>563</v>
      </c>
      <c r="E7956" s="704" t="s">
        <v>448</v>
      </c>
      <c r="F7956" s="705">
        <v>1.0129882113497628E-4</v>
      </c>
      <c r="G7956" s="705">
        <v>4.5412127678293696E-2</v>
      </c>
    </row>
    <row r="7957" spans="2:7" ht="11.25" hidden="1" customHeight="1" outlineLevel="2" x14ac:dyDescent="0.25">
      <c r="B7957" s="704" t="s">
        <v>684</v>
      </c>
      <c r="C7957" s="704" t="s">
        <v>725</v>
      </c>
      <c r="D7957" s="704" t="s">
        <v>563</v>
      </c>
      <c r="E7957" s="704" t="s">
        <v>448</v>
      </c>
      <c r="F7957" s="705">
        <v>2.1039844666956932E-4</v>
      </c>
      <c r="G7957" s="705">
        <v>9.4314264080385332E-2</v>
      </c>
    </row>
    <row r="7958" spans="2:7" ht="11.25" hidden="1" customHeight="1" outlineLevel="2" x14ac:dyDescent="0.25">
      <c r="B7958" s="704" t="s">
        <v>685</v>
      </c>
      <c r="C7958" s="704" t="s">
        <v>725</v>
      </c>
      <c r="D7958" s="704" t="s">
        <v>563</v>
      </c>
      <c r="E7958" s="704" t="s">
        <v>448</v>
      </c>
      <c r="F7958" s="705">
        <v>7.7318718026721852E-4</v>
      </c>
      <c r="G7958" s="705">
        <v>0.34661795878326984</v>
      </c>
    </row>
    <row r="7959" spans="2:7" ht="11.25" hidden="1" customHeight="1" outlineLevel="2" x14ac:dyDescent="0.25">
      <c r="B7959" s="704" t="s">
        <v>686</v>
      </c>
      <c r="C7959" s="704" t="s">
        <v>725</v>
      </c>
      <c r="D7959" s="704" t="s">
        <v>563</v>
      </c>
      <c r="E7959" s="704" t="s">
        <v>448</v>
      </c>
      <c r="F7959" s="705">
        <v>7.5991805414344333E-5</v>
      </c>
      <c r="G7959" s="705">
        <v>3.4064119873605872E-2</v>
      </c>
    </row>
    <row r="7960" spans="2:7" ht="11.25" hidden="1" customHeight="1" outlineLevel="2" x14ac:dyDescent="0.25">
      <c r="B7960" s="704" t="s">
        <v>687</v>
      </c>
      <c r="C7960" s="704" t="s">
        <v>725</v>
      </c>
      <c r="D7960" s="704" t="s">
        <v>563</v>
      </c>
      <c r="E7960" s="704" t="s">
        <v>448</v>
      </c>
      <c r="F7960" s="705">
        <v>5.1599826808181363E-4</v>
      </c>
      <c r="G7960" s="705">
        <v>0.23132099884656371</v>
      </c>
    </row>
    <row r="7961" spans="2:7" ht="11.25" hidden="1" customHeight="1" outlineLevel="2" x14ac:dyDescent="0.25">
      <c r="B7961" s="704" t="s">
        <v>688</v>
      </c>
      <c r="C7961" s="704" t="s">
        <v>725</v>
      </c>
      <c r="D7961" s="704" t="s">
        <v>563</v>
      </c>
      <c r="E7961" s="704" t="s">
        <v>448</v>
      </c>
      <c r="F7961" s="705">
        <v>7.008046113384823E-4</v>
      </c>
      <c r="G7961" s="705">
        <v>0.31416926062522321</v>
      </c>
    </row>
    <row r="7962" spans="2:7" ht="11.25" hidden="1" customHeight="1" outlineLevel="2" x14ac:dyDescent="0.25">
      <c r="B7962" s="704" t="s">
        <v>689</v>
      </c>
      <c r="C7962" s="704" t="s">
        <v>725</v>
      </c>
      <c r="D7962" s="704" t="s">
        <v>563</v>
      </c>
      <c r="E7962" s="704" t="s">
        <v>448</v>
      </c>
      <c r="F7962" s="705">
        <v>9.4294813407152955E-5</v>
      </c>
      <c r="G7962" s="705">
        <v>4.2273672547016625E-2</v>
      </c>
    </row>
    <row r="7963" spans="2:7" ht="11.25" hidden="1" customHeight="1" outlineLevel="2" x14ac:dyDescent="0.25">
      <c r="B7963" s="704" t="s">
        <v>690</v>
      </c>
      <c r="C7963" s="704" t="s">
        <v>725</v>
      </c>
      <c r="D7963" s="704" t="s">
        <v>563</v>
      </c>
      <c r="E7963" s="704" t="s">
        <v>448</v>
      </c>
      <c r="F7963" s="705">
        <v>1.2971569028998905E-3</v>
      </c>
      <c r="G7963" s="705">
        <v>0.58151257957200941</v>
      </c>
    </row>
    <row r="7964" spans="2:7" ht="11.25" hidden="1" customHeight="1" outlineLevel="2" x14ac:dyDescent="0.25">
      <c r="B7964" s="704" t="s">
        <v>691</v>
      </c>
      <c r="C7964" s="704" t="s">
        <v>725</v>
      </c>
      <c r="D7964" s="704" t="s">
        <v>563</v>
      </c>
      <c r="E7964" s="704" t="s">
        <v>448</v>
      </c>
      <c r="F7964" s="705">
        <v>9.5240740220013784E-4</v>
      </c>
      <c r="G7964" s="705">
        <v>0.42696200896341263</v>
      </c>
    </row>
    <row r="7965" spans="2:7" ht="11.25" hidden="1" customHeight="1" outlineLevel="2" x14ac:dyDescent="0.25">
      <c r="B7965" s="704" t="s">
        <v>692</v>
      </c>
      <c r="C7965" s="704" t="s">
        <v>725</v>
      </c>
      <c r="D7965" s="704" t="s">
        <v>563</v>
      </c>
      <c r="E7965" s="704" t="s">
        <v>448</v>
      </c>
      <c r="F7965" s="705">
        <v>7.8012321424761737E-5</v>
      </c>
      <c r="G7965" s="705">
        <v>3.4972755859109285E-2</v>
      </c>
    </row>
    <row r="7966" spans="2:7" ht="11.25" hidden="1" customHeight="1" outlineLevel="2" x14ac:dyDescent="0.25">
      <c r="B7966" s="704" t="s">
        <v>693</v>
      </c>
      <c r="C7966" s="704" t="s">
        <v>725</v>
      </c>
      <c r="D7966" s="704" t="s">
        <v>563</v>
      </c>
      <c r="E7966" s="704" t="s">
        <v>448</v>
      </c>
      <c r="F7966" s="705">
        <v>4.202745823716649E-5</v>
      </c>
      <c r="G7966" s="705">
        <v>1.8839266483879787E-2</v>
      </c>
    </row>
    <row r="7967" spans="2:7" ht="11.25" hidden="1" customHeight="1" outlineLevel="2" x14ac:dyDescent="0.25">
      <c r="B7967" s="704" t="s">
        <v>694</v>
      </c>
      <c r="C7967" s="704" t="s">
        <v>725</v>
      </c>
      <c r="D7967" s="704" t="s">
        <v>563</v>
      </c>
      <c r="E7967" s="704" t="s">
        <v>448</v>
      </c>
      <c r="F7967" s="705">
        <v>2.8603902772108954E-5</v>
      </c>
      <c r="G7967" s="705">
        <v>1.282199683588911E-2</v>
      </c>
    </row>
    <row r="7968" spans="2:7" ht="11.25" hidden="1" customHeight="1" outlineLevel="2" x14ac:dyDescent="0.25">
      <c r="B7968" s="704" t="s">
        <v>695</v>
      </c>
      <c r="C7968" s="704" t="s">
        <v>725</v>
      </c>
      <c r="D7968" s="704" t="s">
        <v>563</v>
      </c>
      <c r="E7968" s="704" t="s">
        <v>448</v>
      </c>
      <c r="F7968" s="705">
        <v>2.009930927633888E-4</v>
      </c>
      <c r="G7968" s="705">
        <v>9.0097208850078284E-2</v>
      </c>
    </row>
    <row r="7969" spans="2:7" ht="11.25" hidden="1" customHeight="1" outlineLevel="2" x14ac:dyDescent="0.25">
      <c r="B7969" s="704" t="s">
        <v>696</v>
      </c>
      <c r="C7969" s="704" t="s">
        <v>725</v>
      </c>
      <c r="D7969" s="704" t="s">
        <v>563</v>
      </c>
      <c r="E7969" s="704" t="s">
        <v>448</v>
      </c>
      <c r="F7969" s="705">
        <v>7.2162953190603809E-4</v>
      </c>
      <c r="G7969" s="705">
        <v>0.32347773525774393</v>
      </c>
    </row>
    <row r="7970" spans="2:7" ht="11.25" hidden="1" customHeight="1" outlineLevel="2" x14ac:dyDescent="0.25">
      <c r="B7970" s="704" t="s">
        <v>697</v>
      </c>
      <c r="C7970" s="704" t="s">
        <v>725</v>
      </c>
      <c r="D7970" s="704" t="s">
        <v>563</v>
      </c>
      <c r="E7970" s="704" t="s">
        <v>448</v>
      </c>
      <c r="F7970" s="705">
        <v>3.6468844974520359E-4</v>
      </c>
      <c r="G7970" s="705">
        <v>0.16347537255280076</v>
      </c>
    </row>
    <row r="7971" spans="2:7" ht="11.25" hidden="1" customHeight="1" outlineLevel="2" x14ac:dyDescent="0.25">
      <c r="B7971" s="704" t="s">
        <v>698</v>
      </c>
      <c r="C7971" s="704" t="s">
        <v>725</v>
      </c>
      <c r="D7971" s="704" t="s">
        <v>563</v>
      </c>
      <c r="E7971" s="704" t="s">
        <v>448</v>
      </c>
      <c r="F7971" s="705">
        <v>9.5406267830208154E-5</v>
      </c>
      <c r="G7971" s="705">
        <v>4.2766881657676108E-2</v>
      </c>
    </row>
    <row r="7972" spans="2:7" ht="11.25" hidden="1" customHeight="1" outlineLevel="2" x14ac:dyDescent="0.25">
      <c r="B7972" s="704" t="s">
        <v>699</v>
      </c>
      <c r="C7972" s="704" t="s">
        <v>725</v>
      </c>
      <c r="D7972" s="704" t="s">
        <v>563</v>
      </c>
      <c r="E7972" s="704" t="s">
        <v>448</v>
      </c>
      <c r="F7972" s="705">
        <v>1.7394672191487757E-3</v>
      </c>
      <c r="G7972" s="705">
        <v>0.7797989467711457</v>
      </c>
    </row>
    <row r="7973" spans="2:7" ht="11.25" hidden="1" customHeight="1" outlineLevel="2" x14ac:dyDescent="0.25">
      <c r="B7973" s="704" t="s">
        <v>673</v>
      </c>
      <c r="C7973" s="704" t="s">
        <v>726</v>
      </c>
      <c r="D7973" s="704" t="s">
        <v>563</v>
      </c>
      <c r="E7973" s="704" t="s">
        <v>448</v>
      </c>
      <c r="F7973" s="705">
        <v>2.328732541675699E-5</v>
      </c>
      <c r="G7973" s="705">
        <v>1.0438782064317333E-2</v>
      </c>
    </row>
    <row r="7974" spans="2:7" ht="11.25" hidden="1" customHeight="1" outlineLevel="2" x14ac:dyDescent="0.25">
      <c r="B7974" s="704" t="s">
        <v>677</v>
      </c>
      <c r="C7974" s="704" t="s">
        <v>726</v>
      </c>
      <c r="D7974" s="704" t="s">
        <v>563</v>
      </c>
      <c r="E7974" s="704" t="s">
        <v>448</v>
      </c>
      <c r="F7974" s="706">
        <v>9.8830367406113658E-5</v>
      </c>
      <c r="G7974" s="705">
        <v>4.4231227617380207E-2</v>
      </c>
    </row>
    <row r="7975" spans="2:7" ht="11.25" hidden="1" customHeight="1" outlineLevel="2" x14ac:dyDescent="0.25">
      <c r="B7975" s="704" t="s">
        <v>678</v>
      </c>
      <c r="C7975" s="704" t="s">
        <v>726</v>
      </c>
      <c r="D7975" s="704" t="s">
        <v>563</v>
      </c>
      <c r="E7975" s="704" t="s">
        <v>448</v>
      </c>
      <c r="F7975" s="706">
        <v>1.805645031727217E-4</v>
      </c>
      <c r="G7975" s="705">
        <v>8.0946620552983115E-2</v>
      </c>
    </row>
    <row r="7976" spans="2:7" ht="11.25" hidden="1" customHeight="1" outlineLevel="2" x14ac:dyDescent="0.25">
      <c r="B7976" s="704" t="s">
        <v>679</v>
      </c>
      <c r="C7976" s="704" t="s">
        <v>726</v>
      </c>
      <c r="D7976" s="704" t="s">
        <v>563</v>
      </c>
      <c r="E7976" s="704" t="s">
        <v>448</v>
      </c>
      <c r="F7976" s="706">
        <v>4.8316047927810178E-6</v>
      </c>
      <c r="G7976" s="705">
        <v>2.1660002942862949E-3</v>
      </c>
    </row>
    <row r="7977" spans="2:7" ht="11.25" hidden="1" customHeight="1" outlineLevel="2" x14ac:dyDescent="0.25">
      <c r="B7977" s="704" t="s">
        <v>680</v>
      </c>
      <c r="C7977" s="704" t="s">
        <v>726</v>
      </c>
      <c r="D7977" s="704" t="s">
        <v>563</v>
      </c>
      <c r="E7977" s="704" t="s">
        <v>448</v>
      </c>
      <c r="F7977" s="706">
        <v>1.1707517905293312E-5</v>
      </c>
      <c r="G7977" s="705">
        <v>5.2480201418053747E-3</v>
      </c>
    </row>
    <row r="7978" spans="2:7" ht="11.25" hidden="1" customHeight="1" outlineLevel="2" x14ac:dyDescent="0.25">
      <c r="B7978" s="704" t="s">
        <v>681</v>
      </c>
      <c r="C7978" s="704" t="s">
        <v>726</v>
      </c>
      <c r="D7978" s="704" t="s">
        <v>563</v>
      </c>
      <c r="E7978" s="704" t="s">
        <v>448</v>
      </c>
      <c r="F7978" s="706">
        <v>2.516550530658934E-5</v>
      </c>
      <c r="G7978" s="705">
        <v>1.1281659688983885E-2</v>
      </c>
    </row>
    <row r="7979" spans="2:7" ht="11.25" hidden="1" customHeight="1" outlineLevel="2" x14ac:dyDescent="0.25">
      <c r="B7979" s="704" t="s">
        <v>682</v>
      </c>
      <c r="C7979" s="704" t="s">
        <v>726</v>
      </c>
      <c r="D7979" s="704" t="s">
        <v>563</v>
      </c>
      <c r="E7979" s="704" t="s">
        <v>448</v>
      </c>
      <c r="F7979" s="706">
        <v>2.295190420456418E-5</v>
      </c>
      <c r="G7979" s="705">
        <v>1.0289286452678259E-2</v>
      </c>
    </row>
    <row r="7980" spans="2:7" ht="11.25" hidden="1" customHeight="1" outlineLevel="2" x14ac:dyDescent="0.25">
      <c r="B7980" s="704" t="s">
        <v>683</v>
      </c>
      <c r="C7980" s="704" t="s">
        <v>726</v>
      </c>
      <c r="D7980" s="704" t="s">
        <v>563</v>
      </c>
      <c r="E7980" s="704" t="s">
        <v>448</v>
      </c>
      <c r="F7980" s="706">
        <v>7.9781764293924906E-6</v>
      </c>
      <c r="G7980" s="705">
        <v>3.5766031174506111E-3</v>
      </c>
    </row>
    <row r="7981" spans="2:7" ht="11.25" hidden="1" customHeight="1" outlineLevel="2" x14ac:dyDescent="0.25">
      <c r="B7981" s="704" t="s">
        <v>684</v>
      </c>
      <c r="C7981" s="704" t="s">
        <v>726</v>
      </c>
      <c r="D7981" s="704" t="s">
        <v>563</v>
      </c>
      <c r="E7981" s="704" t="s">
        <v>448</v>
      </c>
      <c r="F7981" s="705">
        <v>1.6570740832769542E-5</v>
      </c>
      <c r="G7981" s="705">
        <v>7.4280665505126421E-3</v>
      </c>
    </row>
    <row r="7982" spans="2:7" ht="11.25" hidden="1" customHeight="1" outlineLevel="2" x14ac:dyDescent="0.25">
      <c r="B7982" s="704" t="s">
        <v>685</v>
      </c>
      <c r="C7982" s="704" t="s">
        <v>726</v>
      </c>
      <c r="D7982" s="704" t="s">
        <v>563</v>
      </c>
      <c r="E7982" s="704" t="s">
        <v>448</v>
      </c>
      <c r="F7982" s="705">
        <v>6.0895253519162761E-5</v>
      </c>
      <c r="G7982" s="705">
        <v>2.7299226367133687E-2</v>
      </c>
    </row>
    <row r="7983" spans="2:7" ht="11.25" hidden="1" customHeight="1" outlineLevel="2" x14ac:dyDescent="0.25">
      <c r="B7983" s="704" t="s">
        <v>686</v>
      </c>
      <c r="C7983" s="704" t="s">
        <v>726</v>
      </c>
      <c r="D7983" s="704" t="s">
        <v>563</v>
      </c>
      <c r="E7983" s="704" t="s">
        <v>448</v>
      </c>
      <c r="F7983" s="705">
        <v>5.9850298343740954E-6</v>
      </c>
      <c r="G7983" s="705">
        <v>2.6828521999823812E-3</v>
      </c>
    </row>
    <row r="7984" spans="2:7" ht="11.25" hidden="1" customHeight="1" outlineLevel="2" x14ac:dyDescent="0.25">
      <c r="B7984" s="704" t="s">
        <v>687</v>
      </c>
      <c r="C7984" s="704" t="s">
        <v>726</v>
      </c>
      <c r="D7984" s="704" t="s">
        <v>563</v>
      </c>
      <c r="E7984" s="704" t="s">
        <v>448</v>
      </c>
      <c r="F7984" s="705">
        <v>4.0639423225723539E-5</v>
      </c>
      <c r="G7984" s="705">
        <v>1.8218558563448183E-2</v>
      </c>
    </row>
    <row r="7985" spans="2:7" ht="11.25" hidden="1" customHeight="1" outlineLevel="2" x14ac:dyDescent="0.25">
      <c r="B7985" s="704" t="s">
        <v>688</v>
      </c>
      <c r="C7985" s="704" t="s">
        <v>726</v>
      </c>
      <c r="D7985" s="704" t="s">
        <v>563</v>
      </c>
      <c r="E7985" s="704" t="s">
        <v>448</v>
      </c>
      <c r="F7985" s="705">
        <v>5.5194558954797426E-5</v>
      </c>
      <c r="G7985" s="705">
        <v>2.4743603882306793E-2</v>
      </c>
    </row>
    <row r="7986" spans="2:7" ht="11.25" hidden="1" customHeight="1" outlineLevel="2" x14ac:dyDescent="0.25">
      <c r="B7986" s="704" t="s">
        <v>689</v>
      </c>
      <c r="C7986" s="704" t="s">
        <v>726</v>
      </c>
      <c r="D7986" s="704" t="s">
        <v>563</v>
      </c>
      <c r="E7986" s="704" t="s">
        <v>448</v>
      </c>
      <c r="F7986" s="705">
        <v>7.4265512427321364E-6</v>
      </c>
      <c r="G7986" s="705">
        <v>3.3294268505499333E-3</v>
      </c>
    </row>
    <row r="7987" spans="2:7" ht="11.25" hidden="1" customHeight="1" outlineLevel="2" x14ac:dyDescent="0.25">
      <c r="B7987" s="704" t="s">
        <v>690</v>
      </c>
      <c r="C7987" s="704" t="s">
        <v>726</v>
      </c>
      <c r="D7987" s="704" t="s">
        <v>563</v>
      </c>
      <c r="E7987" s="704" t="s">
        <v>448</v>
      </c>
      <c r="F7987" s="705">
        <v>1.0216266790839285E-4</v>
      </c>
      <c r="G7987" s="705">
        <v>4.5799177590048368E-2</v>
      </c>
    </row>
    <row r="7988" spans="2:7" ht="11.25" hidden="1" customHeight="1" outlineLevel="2" x14ac:dyDescent="0.25">
      <c r="B7988" s="704" t="s">
        <v>691</v>
      </c>
      <c r="C7988" s="704" t="s">
        <v>726</v>
      </c>
      <c r="D7988" s="704" t="s">
        <v>563</v>
      </c>
      <c r="E7988" s="704" t="s">
        <v>448</v>
      </c>
      <c r="F7988" s="705">
        <v>7.501047641007647E-5</v>
      </c>
      <c r="G7988" s="705">
        <v>3.3627050195433543E-2</v>
      </c>
    </row>
    <row r="7989" spans="2:7" ht="11.25" hidden="1" customHeight="1" outlineLevel="2" x14ac:dyDescent="0.25">
      <c r="B7989" s="704" t="s">
        <v>692</v>
      </c>
      <c r="C7989" s="704" t="s">
        <v>726</v>
      </c>
      <c r="D7989" s="704" t="s">
        <v>563</v>
      </c>
      <c r="E7989" s="704" t="s">
        <v>448</v>
      </c>
      <c r="F7989" s="705">
        <v>6.1441517122064699E-6</v>
      </c>
      <c r="G7989" s="705">
        <v>2.7544153879955108E-3</v>
      </c>
    </row>
    <row r="7990" spans="2:7" ht="11.25" hidden="1" customHeight="1" outlineLevel="2" x14ac:dyDescent="0.25">
      <c r="B7990" s="704" t="s">
        <v>693</v>
      </c>
      <c r="C7990" s="704" t="s">
        <v>726</v>
      </c>
      <c r="D7990" s="704" t="s">
        <v>563</v>
      </c>
      <c r="E7990" s="704" t="s">
        <v>448</v>
      </c>
      <c r="F7990" s="705">
        <v>3.3100339477851717E-6</v>
      </c>
      <c r="G7990" s="705">
        <v>1.483757495083494E-3</v>
      </c>
    </row>
    <row r="7991" spans="2:7" ht="11.25" hidden="1" customHeight="1" outlineLevel="2" x14ac:dyDescent="0.25">
      <c r="B7991" s="704" t="s">
        <v>694</v>
      </c>
      <c r="C7991" s="704" t="s">
        <v>726</v>
      </c>
      <c r="D7991" s="704" t="s">
        <v>563</v>
      </c>
      <c r="E7991" s="704" t="s">
        <v>448</v>
      </c>
      <c r="F7991" s="705">
        <v>2.2528096334564419E-6</v>
      </c>
      <c r="G7991" s="705">
        <v>1.0098462376720661E-3</v>
      </c>
    </row>
    <row r="7992" spans="2:7" ht="11.25" hidden="1" customHeight="1" outlineLevel="2" x14ac:dyDescent="0.25">
      <c r="B7992" s="704" t="s">
        <v>695</v>
      </c>
      <c r="C7992" s="704" t="s">
        <v>726</v>
      </c>
      <c r="D7992" s="704" t="s">
        <v>563</v>
      </c>
      <c r="E7992" s="704" t="s">
        <v>448</v>
      </c>
      <c r="F7992" s="705">
        <v>1.5829984617546432E-5</v>
      </c>
      <c r="G7992" s="705">
        <v>7.0959546991590265E-3</v>
      </c>
    </row>
    <row r="7993" spans="2:7" ht="11.25" hidden="1" customHeight="1" outlineLevel="2" x14ac:dyDescent="0.25">
      <c r="B7993" s="704" t="s">
        <v>696</v>
      </c>
      <c r="C7993" s="704" t="s">
        <v>726</v>
      </c>
      <c r="D7993" s="704" t="s">
        <v>563</v>
      </c>
      <c r="E7993" s="704" t="s">
        <v>448</v>
      </c>
      <c r="F7993" s="705">
        <v>5.6834660149819471E-5</v>
      </c>
      <c r="G7993" s="705">
        <v>2.5476726787329859E-2</v>
      </c>
    </row>
    <row r="7994" spans="2:7" ht="11.25" hidden="1" customHeight="1" outlineLevel="2" x14ac:dyDescent="0.25">
      <c r="B7994" s="704" t="s">
        <v>697</v>
      </c>
      <c r="C7994" s="704" t="s">
        <v>726</v>
      </c>
      <c r="D7994" s="704" t="s">
        <v>563</v>
      </c>
      <c r="E7994" s="704" t="s">
        <v>448</v>
      </c>
      <c r="F7994" s="705">
        <v>2.8722448153366881E-5</v>
      </c>
      <c r="G7994" s="705">
        <v>1.2875125628862255E-2</v>
      </c>
    </row>
    <row r="7995" spans="2:7" ht="11.25" hidden="1" customHeight="1" outlineLevel="2" x14ac:dyDescent="0.25">
      <c r="B7995" s="704" t="s">
        <v>698</v>
      </c>
      <c r="C7995" s="704" t="s">
        <v>726</v>
      </c>
      <c r="D7995" s="704" t="s">
        <v>563</v>
      </c>
      <c r="E7995" s="704" t="s">
        <v>448</v>
      </c>
      <c r="F7995" s="705">
        <v>7.5140986644624995E-6</v>
      </c>
      <c r="G7995" s="705">
        <v>3.3682723072808152E-3</v>
      </c>
    </row>
    <row r="7996" spans="2:7" ht="11.25" hidden="1" customHeight="1" outlineLevel="2" x14ac:dyDescent="0.25">
      <c r="B7996" s="704" t="s">
        <v>699</v>
      </c>
      <c r="C7996" s="704" t="s">
        <v>726</v>
      </c>
      <c r="D7996" s="704" t="s">
        <v>563</v>
      </c>
      <c r="E7996" s="704" t="s">
        <v>448</v>
      </c>
      <c r="F7996" s="705">
        <v>1.3699847396112964E-4</v>
      </c>
      <c r="G7996" s="705">
        <v>6.1416036487596908E-2</v>
      </c>
    </row>
    <row r="7997" spans="2:7" ht="11.25" hidden="1" customHeight="1" outlineLevel="2" x14ac:dyDescent="0.25">
      <c r="B7997" s="704" t="s">
        <v>673</v>
      </c>
      <c r="C7997" s="704" t="s">
        <v>769</v>
      </c>
      <c r="D7997" s="704" t="s">
        <v>563</v>
      </c>
      <c r="E7997" s="704" t="s">
        <v>448</v>
      </c>
      <c r="F7997" s="705">
        <v>1.5213487945923707E-2</v>
      </c>
      <c r="G7997" s="705">
        <v>16.121582572880097</v>
      </c>
    </row>
    <row r="7998" spans="2:7" ht="11.25" hidden="1" customHeight="1" outlineLevel="2" x14ac:dyDescent="0.25">
      <c r="B7998" s="704" t="s">
        <v>677</v>
      </c>
      <c r="C7998" s="704" t="s">
        <v>769</v>
      </c>
      <c r="D7998" s="704" t="s">
        <v>563</v>
      </c>
      <c r="E7998" s="704" t="s">
        <v>448</v>
      </c>
      <c r="F7998" s="705">
        <v>6.4999079531758361E-2</v>
      </c>
      <c r="G7998" s="705">
        <v>68.31038307665645</v>
      </c>
    </row>
    <row r="7999" spans="2:7" ht="11.25" hidden="1" customHeight="1" outlineLevel="2" x14ac:dyDescent="0.25">
      <c r="B7999" s="704" t="s">
        <v>678</v>
      </c>
      <c r="C7999" s="704" t="s">
        <v>769</v>
      </c>
      <c r="D7999" s="704" t="s">
        <v>563</v>
      </c>
      <c r="E7999" s="704" t="s">
        <v>448</v>
      </c>
      <c r="F7999" s="705">
        <v>0.11752235067220348</v>
      </c>
      <c r="G7999" s="705">
        <v>125.01342704825485</v>
      </c>
    </row>
    <row r="8000" spans="2:7" ht="11.25" hidden="1" customHeight="1" outlineLevel="2" x14ac:dyDescent="0.25">
      <c r="B8000" s="704" t="s">
        <v>679</v>
      </c>
      <c r="C8000" s="704" t="s">
        <v>769</v>
      </c>
      <c r="D8000" s="704" t="s">
        <v>563</v>
      </c>
      <c r="E8000" s="704" t="s">
        <v>448</v>
      </c>
      <c r="F8000" s="705">
        <v>3.1322339779011848E-3</v>
      </c>
      <c r="G8000" s="705">
        <v>3.3451536773093613</v>
      </c>
    </row>
    <row r="8001" spans="2:7" ht="11.25" hidden="1" customHeight="1" outlineLevel="2" x14ac:dyDescent="0.25">
      <c r="B8001" s="704" t="s">
        <v>680</v>
      </c>
      <c r="C8001" s="704" t="s">
        <v>769</v>
      </c>
      <c r="D8001" s="704" t="s">
        <v>563</v>
      </c>
      <c r="E8001" s="704" t="s">
        <v>448</v>
      </c>
      <c r="F8001" s="705">
        <v>7.5825981585375575E-3</v>
      </c>
      <c r="G8001" s="705">
        <v>8.1050029384108129</v>
      </c>
    </row>
    <row r="8002" spans="2:7" ht="11.25" hidden="1" customHeight="1" outlineLevel="2" x14ac:dyDescent="0.25">
      <c r="B8002" s="704" t="s">
        <v>681</v>
      </c>
      <c r="C8002" s="704" t="s">
        <v>769</v>
      </c>
      <c r="D8002" s="704" t="s">
        <v>563</v>
      </c>
      <c r="E8002" s="704" t="s">
        <v>448</v>
      </c>
      <c r="F8002" s="705">
        <v>1.637924803889465E-2</v>
      </c>
      <c r="G8002" s="705">
        <v>17.423298631607793</v>
      </c>
    </row>
    <row r="8003" spans="2:7" ht="11.25" hidden="1" customHeight="1" outlineLevel="2" x14ac:dyDescent="0.25">
      <c r="B8003" s="704" t="s">
        <v>682</v>
      </c>
      <c r="C8003" s="704" t="s">
        <v>769</v>
      </c>
      <c r="D8003" s="704" t="s">
        <v>563</v>
      </c>
      <c r="E8003" s="704" t="s">
        <v>448</v>
      </c>
      <c r="F8003" s="705">
        <v>1.49373867446263E-2</v>
      </c>
      <c r="G8003" s="705">
        <v>15.890699504536363</v>
      </c>
    </row>
    <row r="8004" spans="2:7" ht="11.25" hidden="1" customHeight="1" outlineLevel="2" x14ac:dyDescent="0.25">
      <c r="B8004" s="704" t="s">
        <v>683</v>
      </c>
      <c r="C8004" s="704" t="s">
        <v>769</v>
      </c>
      <c r="D8004" s="704" t="s">
        <v>563</v>
      </c>
      <c r="E8004" s="704" t="s">
        <v>448</v>
      </c>
      <c r="F8004" s="705">
        <v>5.1720938974191806E-3</v>
      </c>
      <c r="G8004" s="705">
        <v>5.5236816032044196</v>
      </c>
    </row>
    <row r="8005" spans="2:7" ht="11.25" hidden="1" customHeight="1" outlineLevel="2" x14ac:dyDescent="0.25">
      <c r="B8005" s="704" t="s">
        <v>684</v>
      </c>
      <c r="C8005" s="704" t="s">
        <v>769</v>
      </c>
      <c r="D8005" s="704" t="s">
        <v>563</v>
      </c>
      <c r="E8005" s="704" t="s">
        <v>448</v>
      </c>
      <c r="F8005" s="705">
        <v>1.0731384687763731E-2</v>
      </c>
      <c r="G8005" s="705">
        <v>11.324895939563417</v>
      </c>
    </row>
    <row r="8006" spans="2:7" ht="11.25" hidden="1" customHeight="1" outlineLevel="2" x14ac:dyDescent="0.25">
      <c r="B8006" s="704" t="s">
        <v>685</v>
      </c>
      <c r="C8006" s="704" t="s">
        <v>769</v>
      </c>
      <c r="D8006" s="704" t="s">
        <v>563</v>
      </c>
      <c r="E8006" s="704" t="s">
        <v>448</v>
      </c>
      <c r="F8006" s="705">
        <v>3.9477167613563027E-2</v>
      </c>
      <c r="G8006" s="705">
        <v>42.160711308315491</v>
      </c>
    </row>
    <row r="8007" spans="2:7" ht="11.25" hidden="1" customHeight="1" outlineLevel="2" x14ac:dyDescent="0.25">
      <c r="B8007" s="704" t="s">
        <v>686</v>
      </c>
      <c r="C8007" s="704" t="s">
        <v>769</v>
      </c>
      <c r="D8007" s="704" t="s">
        <v>563</v>
      </c>
      <c r="E8007" s="704" t="s">
        <v>448</v>
      </c>
      <c r="F8007" s="705">
        <v>3.9099877627100724E-3</v>
      </c>
      <c r="G8007" s="705">
        <v>4.143372622936031</v>
      </c>
    </row>
    <row r="8008" spans="2:7" ht="11.25" hidden="1" customHeight="1" outlineLevel="2" x14ac:dyDescent="0.25">
      <c r="B8008" s="704" t="s">
        <v>687</v>
      </c>
      <c r="C8008" s="704" t="s">
        <v>769</v>
      </c>
      <c r="D8008" s="704" t="s">
        <v>563</v>
      </c>
      <c r="E8008" s="704" t="s">
        <v>448</v>
      </c>
      <c r="F8008" s="705">
        <v>2.645061454633274E-2</v>
      </c>
      <c r="G8008" s="705">
        <v>28.136632427405448</v>
      </c>
    </row>
    <row r="8009" spans="2:7" ht="11.25" hidden="1" customHeight="1" outlineLevel="2" x14ac:dyDescent="0.25">
      <c r="B8009" s="704" t="s">
        <v>688</v>
      </c>
      <c r="C8009" s="704" t="s">
        <v>769</v>
      </c>
      <c r="D8009" s="704" t="s">
        <v>563</v>
      </c>
      <c r="E8009" s="704" t="s">
        <v>448</v>
      </c>
      <c r="F8009" s="705">
        <v>3.5923986006507001E-2</v>
      </c>
      <c r="G8009" s="705">
        <v>38.213830774558339</v>
      </c>
    </row>
    <row r="8010" spans="2:7" ht="11.25" hidden="1" customHeight="1" outlineLevel="2" x14ac:dyDescent="0.25">
      <c r="B8010" s="704" t="s">
        <v>689</v>
      </c>
      <c r="C8010" s="704" t="s">
        <v>769</v>
      </c>
      <c r="D8010" s="704" t="s">
        <v>563</v>
      </c>
      <c r="E8010" s="704" t="s">
        <v>448</v>
      </c>
      <c r="F8010" s="705">
        <v>4.8402610954992433E-3</v>
      </c>
      <c r="G8010" s="705">
        <v>5.1419402006522743</v>
      </c>
    </row>
    <row r="8011" spans="2:7" ht="11.25" hidden="1" customHeight="1" outlineLevel="2" x14ac:dyDescent="0.25">
      <c r="B8011" s="704" t="s">
        <v>690</v>
      </c>
      <c r="C8011" s="704" t="s">
        <v>769</v>
      </c>
      <c r="D8011" s="704" t="s">
        <v>563</v>
      </c>
      <c r="E8011" s="704" t="s">
        <v>448</v>
      </c>
      <c r="F8011" s="705">
        <v>6.6229954265306451E-2</v>
      </c>
      <c r="G8011" s="705">
        <v>70.732053087906706</v>
      </c>
    </row>
    <row r="8012" spans="2:7" ht="11.25" hidden="1" customHeight="1" outlineLevel="2" x14ac:dyDescent="0.25">
      <c r="B8012" s="704" t="s">
        <v>691</v>
      </c>
      <c r="C8012" s="704" t="s">
        <v>769</v>
      </c>
      <c r="D8012" s="704" t="s">
        <v>563</v>
      </c>
      <c r="E8012" s="704" t="s">
        <v>448</v>
      </c>
      <c r="F8012" s="705">
        <v>4.8627803536123622E-2</v>
      </c>
      <c r="G8012" s="705">
        <v>51.933390848799085</v>
      </c>
    </row>
    <row r="8013" spans="2:7" ht="11.25" hidden="1" customHeight="1" outlineLevel="2" x14ac:dyDescent="0.25">
      <c r="B8013" s="704" t="s">
        <v>692</v>
      </c>
      <c r="C8013" s="704" t="s">
        <v>769</v>
      </c>
      <c r="D8013" s="704" t="s">
        <v>563</v>
      </c>
      <c r="E8013" s="704" t="s">
        <v>448</v>
      </c>
      <c r="F8013" s="706">
        <v>3.9989941401296861E-3</v>
      </c>
      <c r="G8013" s="705">
        <v>4.2538944306374269</v>
      </c>
    </row>
    <row r="8014" spans="2:7" ht="11.25" hidden="1" customHeight="1" outlineLevel="2" x14ac:dyDescent="0.25">
      <c r="B8014" s="704" t="s">
        <v>693</v>
      </c>
      <c r="C8014" s="704" t="s">
        <v>769</v>
      </c>
      <c r="D8014" s="704" t="s">
        <v>563</v>
      </c>
      <c r="E8014" s="704" t="s">
        <v>448</v>
      </c>
      <c r="F8014" s="706">
        <v>2.1438058094865654E-3</v>
      </c>
      <c r="G8014" s="705">
        <v>2.2915036852323509</v>
      </c>
    </row>
    <row r="8015" spans="2:7" ht="11.25" hidden="1" customHeight="1" outlineLevel="2" x14ac:dyDescent="0.25">
      <c r="B8015" s="704" t="s">
        <v>694</v>
      </c>
      <c r="C8015" s="704" t="s">
        <v>769</v>
      </c>
      <c r="D8015" s="704" t="s">
        <v>563</v>
      </c>
      <c r="E8015" s="704" t="s">
        <v>448</v>
      </c>
      <c r="F8015" s="706">
        <v>1.4590749894531321E-3</v>
      </c>
      <c r="G8015" s="705">
        <v>1.5595986469633485</v>
      </c>
    </row>
    <row r="8016" spans="2:7" ht="11.25" hidden="1" customHeight="1" outlineLevel="2" x14ac:dyDescent="0.25">
      <c r="B8016" s="704" t="s">
        <v>695</v>
      </c>
      <c r="C8016" s="704" t="s">
        <v>769</v>
      </c>
      <c r="D8016" s="704" t="s">
        <v>563</v>
      </c>
      <c r="E8016" s="704" t="s">
        <v>448</v>
      </c>
      <c r="F8016" s="706">
        <v>1.0252585822422521E-2</v>
      </c>
      <c r="G8016" s="705">
        <v>10.958948589093893</v>
      </c>
    </row>
    <row r="8017" spans="2:7" ht="11.25" hidden="1" customHeight="1" outlineLevel="2" x14ac:dyDescent="0.25">
      <c r="B8017" s="704" t="s">
        <v>696</v>
      </c>
      <c r="C8017" s="704" t="s">
        <v>769</v>
      </c>
      <c r="D8017" s="704" t="s">
        <v>563</v>
      </c>
      <c r="E8017" s="704" t="s">
        <v>448</v>
      </c>
      <c r="F8017" s="706">
        <v>3.7129822650086991E-2</v>
      </c>
      <c r="G8017" s="705">
        <v>39.346077312132827</v>
      </c>
    </row>
    <row r="8018" spans="2:7" ht="11.25" hidden="1" customHeight="1" outlineLevel="2" x14ac:dyDescent="0.25">
      <c r="B8018" s="704" t="s">
        <v>697</v>
      </c>
      <c r="C8018" s="704" t="s">
        <v>769</v>
      </c>
      <c r="D8018" s="704" t="s">
        <v>563</v>
      </c>
      <c r="E8018" s="704" t="s">
        <v>448</v>
      </c>
      <c r="F8018" s="706">
        <v>1.8602631201337757E-2</v>
      </c>
      <c r="G8018" s="705">
        <v>19.884245098114253</v>
      </c>
    </row>
    <row r="8019" spans="2:7" ht="11.25" hidden="1" customHeight="1" outlineLevel="2" x14ac:dyDescent="0.25">
      <c r="B8019" s="704" t="s">
        <v>698</v>
      </c>
      <c r="C8019" s="704" t="s">
        <v>769</v>
      </c>
      <c r="D8019" s="704" t="s">
        <v>563</v>
      </c>
      <c r="E8019" s="704" t="s">
        <v>448</v>
      </c>
      <c r="F8019" s="706">
        <v>4.86664772951928E-3</v>
      </c>
      <c r="G8019" s="705">
        <v>4.8426040666188399</v>
      </c>
    </row>
    <row r="8020" spans="2:7" ht="11.25" hidden="1" customHeight="1" outlineLevel="2" x14ac:dyDescent="0.25">
      <c r="B8020" s="704" t="s">
        <v>699</v>
      </c>
      <c r="C8020" s="704" t="s">
        <v>769</v>
      </c>
      <c r="D8020" s="704" t="s">
        <v>563</v>
      </c>
      <c r="E8020" s="704" t="s">
        <v>448</v>
      </c>
      <c r="F8020" s="705">
        <v>8.9166915397259433E-2</v>
      </c>
      <c r="G8020" s="705">
        <v>94.850497481921465</v>
      </c>
    </row>
    <row r="8021" spans="2:7" ht="11.25" hidden="1" customHeight="1" outlineLevel="2" x14ac:dyDescent="0.25">
      <c r="B8021" s="704" t="s">
        <v>673</v>
      </c>
      <c r="C8021" s="704" t="s">
        <v>770</v>
      </c>
      <c r="D8021" s="704" t="s">
        <v>563</v>
      </c>
      <c r="E8021" s="704" t="s">
        <v>448</v>
      </c>
      <c r="F8021" s="705">
        <v>1.3833928443991507E-2</v>
      </c>
      <c r="G8021" s="705">
        <v>47.740332808858454</v>
      </c>
    </row>
    <row r="8022" spans="2:7" ht="11.25" hidden="1" customHeight="1" outlineLevel="2" x14ac:dyDescent="0.25">
      <c r="B8022" s="704" t="s">
        <v>677</v>
      </c>
      <c r="C8022" s="704" t="s">
        <v>770</v>
      </c>
      <c r="D8022" s="704" t="s">
        <v>563</v>
      </c>
      <c r="E8022" s="704" t="s">
        <v>448</v>
      </c>
      <c r="F8022" s="705">
        <v>5.9119199692486461E-2</v>
      </c>
      <c r="G8022" s="705">
        <v>202.28545366487577</v>
      </c>
    </row>
    <row r="8023" spans="2:7" ht="11.25" hidden="1" customHeight="1" outlineLevel="2" x14ac:dyDescent="0.25">
      <c r="B8023" s="704" t="s">
        <v>678</v>
      </c>
      <c r="C8023" s="704" t="s">
        <v>770</v>
      </c>
      <c r="D8023" s="704" t="s">
        <v>563</v>
      </c>
      <c r="E8023" s="704" t="s">
        <v>448</v>
      </c>
      <c r="F8023" s="706">
        <v>0.10685348586416167</v>
      </c>
      <c r="G8023" s="705">
        <v>370.1985804071499</v>
      </c>
    </row>
    <row r="8024" spans="2:7" ht="11.25" hidden="1" customHeight="1" outlineLevel="2" x14ac:dyDescent="0.25">
      <c r="B8024" s="704" t="s">
        <v>679</v>
      </c>
      <c r="C8024" s="704" t="s">
        <v>770</v>
      </c>
      <c r="D8024" s="704" t="s">
        <v>563</v>
      </c>
      <c r="E8024" s="704" t="s">
        <v>448</v>
      </c>
      <c r="F8024" s="705">
        <v>2.8475511534117211E-3</v>
      </c>
      <c r="G8024" s="705">
        <v>9.9059041064606372</v>
      </c>
    </row>
    <row r="8025" spans="2:7" ht="11.25" hidden="1" customHeight="1" outlineLevel="2" x14ac:dyDescent="0.25">
      <c r="B8025" s="704" t="s">
        <v>680</v>
      </c>
      <c r="C8025" s="704" t="s">
        <v>770</v>
      </c>
      <c r="D8025" s="704" t="s">
        <v>563</v>
      </c>
      <c r="E8025" s="704" t="s">
        <v>448</v>
      </c>
      <c r="F8025" s="705">
        <v>6.8932562975588703E-3</v>
      </c>
      <c r="G8025" s="705">
        <v>24.001085114896568</v>
      </c>
    </row>
    <row r="8026" spans="2:7" ht="11.25" hidden="1" customHeight="1" outlineLevel="2" x14ac:dyDescent="0.25">
      <c r="B8026" s="704" t="s">
        <v>681</v>
      </c>
      <c r="C8026" s="704" t="s">
        <v>770</v>
      </c>
      <c r="D8026" s="704" t="s">
        <v>563</v>
      </c>
      <c r="E8026" s="704" t="s">
        <v>448</v>
      </c>
      <c r="F8026" s="706">
        <v>1.4892312256483516E-2</v>
      </c>
      <c r="G8026" s="705">
        <v>51.595084187382454</v>
      </c>
    </row>
    <row r="8027" spans="2:7" ht="11.25" hidden="1" customHeight="1" outlineLevel="2" x14ac:dyDescent="0.25">
      <c r="B8027" s="704" t="s">
        <v>682</v>
      </c>
      <c r="C8027" s="704" t="s">
        <v>770</v>
      </c>
      <c r="D8027" s="704" t="s">
        <v>563</v>
      </c>
      <c r="E8027" s="704" t="s">
        <v>448</v>
      </c>
      <c r="F8027" s="705">
        <v>1.358131409967772E-2</v>
      </c>
      <c r="G8027" s="705">
        <v>47.056671666416712</v>
      </c>
    </row>
    <row r="8028" spans="2:7" ht="11.25" hidden="1" customHeight="1" outlineLevel="2" x14ac:dyDescent="0.25">
      <c r="B8028" s="704" t="s">
        <v>683</v>
      </c>
      <c r="C8028" s="704" t="s">
        <v>770</v>
      </c>
      <c r="D8028" s="704" t="s">
        <v>563</v>
      </c>
      <c r="E8028" s="704" t="s">
        <v>448</v>
      </c>
      <c r="F8028" s="705">
        <v>4.7020147561236073E-3</v>
      </c>
      <c r="G8028" s="705">
        <v>16.357114774187643</v>
      </c>
    </row>
    <row r="8029" spans="2:7" ht="11.25" hidden="1" customHeight="1" outlineLevel="2" x14ac:dyDescent="0.25">
      <c r="B8029" s="704" t="s">
        <v>684</v>
      </c>
      <c r="C8029" s="704" t="s">
        <v>770</v>
      </c>
      <c r="D8029" s="704" t="s">
        <v>563</v>
      </c>
      <c r="E8029" s="704" t="s">
        <v>448</v>
      </c>
      <c r="F8029" s="705">
        <v>9.6317589134150977E-3</v>
      </c>
      <c r="G8029" s="705">
        <v>33.100828733274916</v>
      </c>
    </row>
    <row r="8030" spans="2:7" ht="11.25" hidden="1" customHeight="1" outlineLevel="2" x14ac:dyDescent="0.25">
      <c r="B8030" s="704" t="s">
        <v>685</v>
      </c>
      <c r="C8030" s="704" t="s">
        <v>770</v>
      </c>
      <c r="D8030" s="704" t="s">
        <v>563</v>
      </c>
      <c r="E8030" s="704" t="s">
        <v>448</v>
      </c>
      <c r="F8030" s="706">
        <v>3.5889180268609953E-2</v>
      </c>
      <c r="G8030" s="705">
        <v>124.84930689731237</v>
      </c>
    </row>
    <row r="8031" spans="2:7" ht="11.25" hidden="1" customHeight="1" outlineLevel="2" x14ac:dyDescent="0.25">
      <c r="B8031" s="704" t="s">
        <v>686</v>
      </c>
      <c r="C8031" s="704" t="s">
        <v>770</v>
      </c>
      <c r="D8031" s="704" t="s">
        <v>563</v>
      </c>
      <c r="E8031" s="704" t="s">
        <v>448</v>
      </c>
      <c r="F8031" s="706">
        <v>3.5554288136190855E-3</v>
      </c>
      <c r="G8031" s="705">
        <v>12.269647567082133</v>
      </c>
    </row>
    <row r="8032" spans="2:7" ht="11.25" hidden="1" customHeight="1" outlineLevel="2" x14ac:dyDescent="0.25">
      <c r="B8032" s="704" t="s">
        <v>687</v>
      </c>
      <c r="C8032" s="704" t="s">
        <v>770</v>
      </c>
      <c r="D8032" s="704" t="s">
        <v>563</v>
      </c>
      <c r="E8032" s="704" t="s">
        <v>448</v>
      </c>
      <c r="F8032" s="706">
        <v>2.4049372059505834E-2</v>
      </c>
      <c r="G8032" s="705">
        <v>83.3201407745008</v>
      </c>
    </row>
    <row r="8033" spans="2:7" ht="11.25" hidden="1" customHeight="1" outlineLevel="2" x14ac:dyDescent="0.25">
      <c r="B8033" s="704" t="s">
        <v>688</v>
      </c>
      <c r="C8033" s="704" t="s">
        <v>770</v>
      </c>
      <c r="D8033" s="704" t="s">
        <v>563</v>
      </c>
      <c r="E8033" s="704" t="s">
        <v>448</v>
      </c>
      <c r="F8033" s="705">
        <v>3.2662736250075708E-2</v>
      </c>
      <c r="G8033" s="705">
        <v>113.16149660668259</v>
      </c>
    </row>
    <row r="8034" spans="2:7" ht="11.25" hidden="1" customHeight="1" outlineLevel="2" x14ac:dyDescent="0.25">
      <c r="B8034" s="704" t="s">
        <v>689</v>
      </c>
      <c r="C8034" s="704" t="s">
        <v>770</v>
      </c>
      <c r="D8034" s="704" t="s">
        <v>563</v>
      </c>
      <c r="E8034" s="704" t="s">
        <v>448</v>
      </c>
      <c r="F8034" s="705">
        <v>4.4010267406730591E-3</v>
      </c>
      <c r="G8034" s="705">
        <v>15.226672523699087</v>
      </c>
    </row>
    <row r="8035" spans="2:7" ht="11.25" hidden="1" customHeight="1" outlineLevel="2" x14ac:dyDescent="0.25">
      <c r="B8035" s="704" t="s">
        <v>690</v>
      </c>
      <c r="C8035" s="704" t="s">
        <v>770</v>
      </c>
      <c r="D8035" s="704" t="s">
        <v>563</v>
      </c>
      <c r="E8035" s="704" t="s">
        <v>448</v>
      </c>
      <c r="F8035" s="705">
        <v>6.0210442373786151E-2</v>
      </c>
      <c r="G8035" s="705">
        <v>209.45676887995367</v>
      </c>
    </row>
    <row r="8036" spans="2:7" ht="11.25" hidden="1" customHeight="1" outlineLevel="2" x14ac:dyDescent="0.25">
      <c r="B8036" s="704" t="s">
        <v>691</v>
      </c>
      <c r="C8036" s="704" t="s">
        <v>770</v>
      </c>
      <c r="D8036" s="704" t="s">
        <v>563</v>
      </c>
      <c r="E8036" s="704" t="s">
        <v>448</v>
      </c>
      <c r="F8036" s="705">
        <v>4.4208126217943559E-2</v>
      </c>
      <c r="G8036" s="705">
        <v>153.78869560900375</v>
      </c>
    </row>
    <row r="8037" spans="2:7" ht="11.25" hidden="1" customHeight="1" outlineLevel="2" x14ac:dyDescent="0.25">
      <c r="B8037" s="704" t="s">
        <v>692</v>
      </c>
      <c r="C8037" s="704" t="s">
        <v>770</v>
      </c>
      <c r="D8037" s="704" t="s">
        <v>563</v>
      </c>
      <c r="E8037" s="704" t="s">
        <v>448</v>
      </c>
      <c r="F8037" s="705">
        <v>3.6359566733543025E-3</v>
      </c>
      <c r="G8037" s="705">
        <v>12.59693507885504</v>
      </c>
    </row>
    <row r="8038" spans="2:7" ht="11.25" hidden="1" customHeight="1" outlineLevel="2" x14ac:dyDescent="0.25">
      <c r="B8038" s="704" t="s">
        <v>693</v>
      </c>
      <c r="C8038" s="704" t="s">
        <v>770</v>
      </c>
      <c r="D8038" s="704" t="s">
        <v>563</v>
      </c>
      <c r="E8038" s="704" t="s">
        <v>448</v>
      </c>
      <c r="F8038" s="705">
        <v>1.9489112524140348E-3</v>
      </c>
      <c r="G8038" s="705">
        <v>6.7857643976469397</v>
      </c>
    </row>
    <row r="8039" spans="2:7" ht="11.25" hidden="1" customHeight="1" outlineLevel="2" x14ac:dyDescent="0.25">
      <c r="B8039" s="704" t="s">
        <v>694</v>
      </c>
      <c r="C8039" s="704" t="s">
        <v>770</v>
      </c>
      <c r="D8039" s="704" t="s">
        <v>563</v>
      </c>
      <c r="E8039" s="704" t="s">
        <v>448</v>
      </c>
      <c r="F8039" s="705">
        <v>1.3264296209603212E-3</v>
      </c>
      <c r="G8039" s="705">
        <v>4.6183900474138033</v>
      </c>
    </row>
    <row r="8040" spans="2:7" ht="11.25" hidden="1" customHeight="1" outlineLevel="2" x14ac:dyDescent="0.25">
      <c r="B8040" s="704" t="s">
        <v>695</v>
      </c>
      <c r="C8040" s="704" t="s">
        <v>770</v>
      </c>
      <c r="D8040" s="704" t="s">
        <v>563</v>
      </c>
      <c r="E8040" s="704" t="s">
        <v>448</v>
      </c>
      <c r="F8040" s="705">
        <v>9.3205179377346559E-3</v>
      </c>
      <c r="G8040" s="705">
        <v>32.452359586445766</v>
      </c>
    </row>
    <row r="8041" spans="2:7" ht="11.25" hidden="1" customHeight="1" outlineLevel="2" x14ac:dyDescent="0.25">
      <c r="B8041" s="704" t="s">
        <v>696</v>
      </c>
      <c r="C8041" s="704" t="s">
        <v>770</v>
      </c>
      <c r="D8041" s="704" t="s">
        <v>563</v>
      </c>
      <c r="E8041" s="704" t="s">
        <v>448</v>
      </c>
      <c r="F8041" s="705">
        <v>3.3762874863268538E-2</v>
      </c>
      <c r="G8041" s="705">
        <v>116.51438481627349</v>
      </c>
    </row>
    <row r="8042" spans="2:7" ht="11.25" hidden="1" customHeight="1" outlineLevel="2" x14ac:dyDescent="0.25">
      <c r="B8042" s="704" t="s">
        <v>697</v>
      </c>
      <c r="C8042" s="704" t="s">
        <v>770</v>
      </c>
      <c r="D8042" s="704" t="s">
        <v>563</v>
      </c>
      <c r="E8042" s="704" t="s">
        <v>448</v>
      </c>
      <c r="F8042" s="705">
        <v>1.6911457413295226E-2</v>
      </c>
      <c r="G8042" s="705">
        <v>58.88264417107186</v>
      </c>
    </row>
    <row r="8043" spans="2:7" ht="11.25" hidden="1" customHeight="1" outlineLevel="2" x14ac:dyDescent="0.25">
      <c r="B8043" s="704" t="s">
        <v>698</v>
      </c>
      <c r="C8043" s="704" t="s">
        <v>770</v>
      </c>
      <c r="D8043" s="704" t="s">
        <v>563</v>
      </c>
      <c r="E8043" s="704" t="s">
        <v>448</v>
      </c>
      <c r="F8043" s="705">
        <v>4.1251006761173648E-3</v>
      </c>
      <c r="G8043" s="705">
        <v>14.340248505412191</v>
      </c>
    </row>
    <row r="8044" spans="2:7" ht="11.25" hidden="1" customHeight="1" outlineLevel="2" x14ac:dyDescent="0.25">
      <c r="B8044" s="704" t="s">
        <v>699</v>
      </c>
      <c r="C8044" s="704" t="s">
        <v>770</v>
      </c>
      <c r="D8044" s="704" t="s">
        <v>563</v>
      </c>
      <c r="E8044" s="704" t="s">
        <v>448</v>
      </c>
      <c r="F8044" s="706">
        <v>8.1072203141179341E-2</v>
      </c>
      <c r="G8044" s="705">
        <v>280.87822818993857</v>
      </c>
    </row>
    <row r="8045" spans="2:7" ht="11.25" hidden="1" customHeight="1" outlineLevel="2" x14ac:dyDescent="0.25">
      <c r="B8045" s="704" t="s">
        <v>673</v>
      </c>
      <c r="C8045" s="704" t="s">
        <v>771</v>
      </c>
      <c r="D8045" s="704" t="s">
        <v>563</v>
      </c>
      <c r="E8045" s="704" t="s">
        <v>448</v>
      </c>
      <c r="F8045" s="706">
        <v>5.1795970225510827E-3</v>
      </c>
      <c r="G8045" s="705">
        <v>12.056931147145857</v>
      </c>
    </row>
    <row r="8046" spans="2:7" ht="11.25" hidden="1" customHeight="1" outlineLevel="2" x14ac:dyDescent="0.25">
      <c r="B8046" s="704" t="s">
        <v>677</v>
      </c>
      <c r="C8046" s="704" t="s">
        <v>771</v>
      </c>
      <c r="D8046" s="704" t="s">
        <v>563</v>
      </c>
      <c r="E8046" s="704" t="s">
        <v>448</v>
      </c>
      <c r="F8046" s="705">
        <v>2.2167644747385438E-2</v>
      </c>
      <c r="G8046" s="705">
        <v>51.08770233517486</v>
      </c>
    </row>
    <row r="8047" spans="2:7" ht="11.25" hidden="1" customHeight="1" outlineLevel="2" x14ac:dyDescent="0.25">
      <c r="B8047" s="704" t="s">
        <v>678</v>
      </c>
      <c r="C8047" s="704" t="s">
        <v>771</v>
      </c>
      <c r="D8047" s="704" t="s">
        <v>563</v>
      </c>
      <c r="E8047" s="704" t="s">
        <v>448</v>
      </c>
      <c r="F8047" s="705">
        <v>3.9979932605677303E-2</v>
      </c>
      <c r="G8047" s="705">
        <v>93.494512899630834</v>
      </c>
    </row>
    <row r="8048" spans="2:7" ht="11.25" hidden="1" customHeight="1" outlineLevel="2" x14ac:dyDescent="0.25">
      <c r="B8048" s="704" t="s">
        <v>679</v>
      </c>
      <c r="C8048" s="704" t="s">
        <v>771</v>
      </c>
      <c r="D8048" s="704" t="s">
        <v>563</v>
      </c>
      <c r="E8048" s="704" t="s">
        <v>448</v>
      </c>
      <c r="F8048" s="705">
        <v>1.0646676839135107E-3</v>
      </c>
      <c r="G8048" s="705">
        <v>2.5017603942248643</v>
      </c>
    </row>
    <row r="8049" spans="2:7" ht="11.25" hidden="1" customHeight="1" outlineLevel="2" x14ac:dyDescent="0.25">
      <c r="B8049" s="704" t="s">
        <v>680</v>
      </c>
      <c r="C8049" s="704" t="s">
        <v>771</v>
      </c>
      <c r="D8049" s="704" t="s">
        <v>563</v>
      </c>
      <c r="E8049" s="704" t="s">
        <v>448</v>
      </c>
      <c r="F8049" s="705">
        <v>2.5769101488670389E-3</v>
      </c>
      <c r="G8049" s="705">
        <v>6.0615308953465243</v>
      </c>
    </row>
    <row r="8050" spans="2:7" ht="11.25" hidden="1" customHeight="1" outlineLevel="2" x14ac:dyDescent="0.25">
      <c r="B8050" s="704" t="s">
        <v>681</v>
      </c>
      <c r="C8050" s="704" t="s">
        <v>771</v>
      </c>
      <c r="D8050" s="704" t="s">
        <v>563</v>
      </c>
      <c r="E8050" s="704" t="s">
        <v>448</v>
      </c>
      <c r="F8050" s="705">
        <v>5.5720546727978503E-3</v>
      </c>
      <c r="G8050" s="705">
        <v>13.030448109484412</v>
      </c>
    </row>
    <row r="8051" spans="2:7" ht="11.25" hidden="1" customHeight="1" outlineLevel="2" x14ac:dyDescent="0.25">
      <c r="B8051" s="704" t="s">
        <v>682</v>
      </c>
      <c r="C8051" s="704" t="s">
        <v>771</v>
      </c>
      <c r="D8051" s="704" t="s">
        <v>563</v>
      </c>
      <c r="E8051" s="704" t="s">
        <v>448</v>
      </c>
      <c r="F8051" s="705">
        <v>5.0814687674891135E-3</v>
      </c>
      <c r="G8051" s="705">
        <v>11.884268872043833</v>
      </c>
    </row>
    <row r="8052" spans="2:7" ht="11.25" hidden="1" customHeight="1" outlineLevel="2" x14ac:dyDescent="0.25">
      <c r="B8052" s="704" t="s">
        <v>683</v>
      </c>
      <c r="C8052" s="704" t="s">
        <v>771</v>
      </c>
      <c r="D8052" s="704" t="s">
        <v>563</v>
      </c>
      <c r="E8052" s="704" t="s">
        <v>448</v>
      </c>
      <c r="F8052" s="705">
        <v>1.7580310051601271E-3</v>
      </c>
      <c r="G8052" s="705">
        <v>4.1310255666613829</v>
      </c>
    </row>
    <row r="8053" spans="2:7" ht="11.25" hidden="1" customHeight="1" outlineLevel="2" x14ac:dyDescent="0.25">
      <c r="B8053" s="704" t="s">
        <v>684</v>
      </c>
      <c r="C8053" s="704" t="s">
        <v>771</v>
      </c>
      <c r="D8053" s="704" t="s">
        <v>563</v>
      </c>
      <c r="E8053" s="704" t="s">
        <v>448</v>
      </c>
      <c r="F8053" s="705">
        <v>3.5543625130006634E-3</v>
      </c>
      <c r="G8053" s="705">
        <v>8.3596919916953247</v>
      </c>
    </row>
    <row r="8054" spans="2:7" ht="11.25" hidden="1" customHeight="1" outlineLevel="2" x14ac:dyDescent="0.25">
      <c r="B8054" s="704" t="s">
        <v>685</v>
      </c>
      <c r="C8054" s="704" t="s">
        <v>771</v>
      </c>
      <c r="D8054" s="704" t="s">
        <v>563</v>
      </c>
      <c r="E8054" s="704" t="s">
        <v>448</v>
      </c>
      <c r="F8054" s="705">
        <v>1.3418562802643193E-2</v>
      </c>
      <c r="G8054" s="705">
        <v>31.530962023474466</v>
      </c>
    </row>
    <row r="8055" spans="2:7" ht="11.25" hidden="1" customHeight="1" outlineLevel="2" x14ac:dyDescent="0.25">
      <c r="B8055" s="704" t="s">
        <v>686</v>
      </c>
      <c r="C8055" s="704" t="s">
        <v>771</v>
      </c>
      <c r="D8055" s="704" t="s">
        <v>563</v>
      </c>
      <c r="E8055" s="704" t="s">
        <v>448</v>
      </c>
      <c r="F8055" s="705">
        <v>1.3311976172046759E-3</v>
      </c>
      <c r="G8055" s="705">
        <v>3.0987280323529909</v>
      </c>
    </row>
    <row r="8056" spans="2:7" ht="11.25" hidden="1" customHeight="1" outlineLevel="2" x14ac:dyDescent="0.25">
      <c r="B8056" s="704" t="s">
        <v>687</v>
      </c>
      <c r="C8056" s="704" t="s">
        <v>771</v>
      </c>
      <c r="D8056" s="704" t="s">
        <v>563</v>
      </c>
      <c r="E8056" s="704" t="s">
        <v>448</v>
      </c>
      <c r="F8056" s="705">
        <v>8.9982292301437564E-3</v>
      </c>
      <c r="G8056" s="705">
        <v>21.042678982774646</v>
      </c>
    </row>
    <row r="8057" spans="2:7" ht="11.25" hidden="1" customHeight="1" outlineLevel="2" x14ac:dyDescent="0.25">
      <c r="B8057" s="704" t="s">
        <v>688</v>
      </c>
      <c r="C8057" s="704" t="s">
        <v>771</v>
      </c>
      <c r="D8057" s="704" t="s">
        <v>563</v>
      </c>
      <c r="E8057" s="704" t="s">
        <v>448</v>
      </c>
      <c r="F8057" s="705">
        <v>1.2220975526967546E-2</v>
      </c>
      <c r="G8057" s="705">
        <v>28.57918139457761</v>
      </c>
    </row>
    <row r="8058" spans="2:7" ht="11.25" hidden="1" customHeight="1" outlineLevel="2" x14ac:dyDescent="0.25">
      <c r="B8058" s="704" t="s">
        <v>689</v>
      </c>
      <c r="C8058" s="704" t="s">
        <v>771</v>
      </c>
      <c r="D8058" s="704" t="s">
        <v>563</v>
      </c>
      <c r="E8058" s="704" t="s">
        <v>448</v>
      </c>
      <c r="F8058" s="705">
        <v>1.6470662372641246E-3</v>
      </c>
      <c r="G8058" s="705">
        <v>3.8455305199658145</v>
      </c>
    </row>
    <row r="8059" spans="2:7" ht="11.25" hidden="1" customHeight="1" outlineLevel="2" x14ac:dyDescent="0.25">
      <c r="B8059" s="704" t="s">
        <v>690</v>
      </c>
      <c r="C8059" s="704" t="s">
        <v>771</v>
      </c>
      <c r="D8059" s="704" t="s">
        <v>563</v>
      </c>
      <c r="E8059" s="704" t="s">
        <v>448</v>
      </c>
      <c r="F8059" s="705">
        <v>2.2512011149707068E-2</v>
      </c>
      <c r="G8059" s="705">
        <v>52.898797048878428</v>
      </c>
    </row>
    <row r="8060" spans="2:7" ht="11.25" hidden="1" customHeight="1" outlineLevel="2" x14ac:dyDescent="0.25">
      <c r="B8060" s="704" t="s">
        <v>691</v>
      </c>
      <c r="C8060" s="704" t="s">
        <v>771</v>
      </c>
      <c r="D8060" s="704" t="s">
        <v>563</v>
      </c>
      <c r="E8060" s="704" t="s">
        <v>448</v>
      </c>
      <c r="F8060" s="705">
        <v>1.6528925800354269E-2</v>
      </c>
      <c r="G8060" s="705">
        <v>38.839712351212874</v>
      </c>
    </row>
    <row r="8061" spans="2:7" ht="11.25" hidden="1" customHeight="1" outlineLevel="2" x14ac:dyDescent="0.25">
      <c r="B8061" s="704" t="s">
        <v>692</v>
      </c>
      <c r="C8061" s="704" t="s">
        <v>771</v>
      </c>
      <c r="D8061" s="704" t="s">
        <v>563</v>
      </c>
      <c r="E8061" s="704" t="s">
        <v>448</v>
      </c>
      <c r="F8061" s="706">
        <v>1.3604175515727467E-3</v>
      </c>
      <c r="G8061" s="705">
        <v>3.1813843841201241</v>
      </c>
    </row>
    <row r="8062" spans="2:7" ht="11.25" hidden="1" customHeight="1" outlineLevel="2" x14ac:dyDescent="0.25">
      <c r="B8062" s="704" t="s">
        <v>693</v>
      </c>
      <c r="C8062" s="704" t="s">
        <v>771</v>
      </c>
      <c r="D8062" s="704" t="s">
        <v>563</v>
      </c>
      <c r="E8062" s="704" t="s">
        <v>448</v>
      </c>
      <c r="F8062" s="706">
        <v>7.2856303534211248E-4</v>
      </c>
      <c r="G8062" s="705">
        <v>1.7137599906021779</v>
      </c>
    </row>
    <row r="8063" spans="2:7" ht="11.25" hidden="1" customHeight="1" outlineLevel="2" x14ac:dyDescent="0.25">
      <c r="B8063" s="704" t="s">
        <v>694</v>
      </c>
      <c r="C8063" s="704" t="s">
        <v>771</v>
      </c>
      <c r="D8063" s="704" t="s">
        <v>563</v>
      </c>
      <c r="E8063" s="704" t="s">
        <v>448</v>
      </c>
      <c r="F8063" s="706">
        <v>4.9586029396523506E-4</v>
      </c>
      <c r="G8063" s="705">
        <v>1.1663851159151069</v>
      </c>
    </row>
    <row r="8064" spans="2:7" ht="11.25" hidden="1" customHeight="1" outlineLevel="2" x14ac:dyDescent="0.25">
      <c r="B8064" s="704" t="s">
        <v>695</v>
      </c>
      <c r="C8064" s="704" t="s">
        <v>771</v>
      </c>
      <c r="D8064" s="704" t="s">
        <v>563</v>
      </c>
      <c r="E8064" s="704" t="s">
        <v>448</v>
      </c>
      <c r="F8064" s="706">
        <v>3.4842967618901048E-3</v>
      </c>
      <c r="G8064" s="705">
        <v>8.1959229742347262</v>
      </c>
    </row>
    <row r="8065" spans="2:7" ht="11.25" hidden="1" customHeight="1" outlineLevel="2" x14ac:dyDescent="0.25">
      <c r="B8065" s="704" t="s">
        <v>696</v>
      </c>
      <c r="C8065" s="704" t="s">
        <v>771</v>
      </c>
      <c r="D8065" s="704" t="s">
        <v>563</v>
      </c>
      <c r="E8065" s="704" t="s">
        <v>448</v>
      </c>
      <c r="F8065" s="706">
        <v>1.264124719830061E-2</v>
      </c>
      <c r="G8065" s="705">
        <v>29.425969438446906</v>
      </c>
    </row>
    <row r="8066" spans="2:7" ht="11.25" hidden="1" customHeight="1" outlineLevel="2" x14ac:dyDescent="0.25">
      <c r="B8066" s="704" t="s">
        <v>697</v>
      </c>
      <c r="C8066" s="704" t="s">
        <v>771</v>
      </c>
      <c r="D8066" s="704" t="s">
        <v>563</v>
      </c>
      <c r="E8066" s="704" t="s">
        <v>448</v>
      </c>
      <c r="F8066" s="706">
        <v>6.3220225157992419E-3</v>
      </c>
      <c r="G8066" s="705">
        <v>14.870953554526624</v>
      </c>
    </row>
    <row r="8067" spans="2:7" ht="11.25" hidden="1" customHeight="1" outlineLevel="2" x14ac:dyDescent="0.25">
      <c r="B8067" s="704" t="s">
        <v>698</v>
      </c>
      <c r="C8067" s="704" t="s">
        <v>771</v>
      </c>
      <c r="D8067" s="704" t="s">
        <v>563</v>
      </c>
      <c r="E8067" s="704" t="s">
        <v>448</v>
      </c>
      <c r="F8067" s="706">
        <v>1.54251533904164E-3</v>
      </c>
      <c r="G8067" s="705">
        <v>3.6216651577819503</v>
      </c>
    </row>
    <row r="8068" spans="2:7" ht="11.25" hidden="1" customHeight="1" outlineLevel="2" x14ac:dyDescent="0.25">
      <c r="B8068" s="704" t="s">
        <v>699</v>
      </c>
      <c r="C8068" s="704" t="s">
        <v>771</v>
      </c>
      <c r="D8068" s="704" t="s">
        <v>563</v>
      </c>
      <c r="E8068" s="704" t="s">
        <v>448</v>
      </c>
      <c r="F8068" s="706">
        <v>3.0333684470770984E-2</v>
      </c>
      <c r="G8068" s="705">
        <v>70.93641720746345</v>
      </c>
    </row>
    <row r="8069" spans="2:7" ht="11.25" hidden="1" customHeight="1" outlineLevel="2" x14ac:dyDescent="0.25">
      <c r="B8069" s="704" t="s">
        <v>673</v>
      </c>
      <c r="C8069" s="704" t="s">
        <v>772</v>
      </c>
      <c r="D8069" s="704" t="s">
        <v>563</v>
      </c>
      <c r="E8069" s="704" t="s">
        <v>448</v>
      </c>
      <c r="F8069" s="706">
        <v>1.7380174622713719E-2</v>
      </c>
      <c r="G8069" s="705">
        <v>22.473574423545639</v>
      </c>
    </row>
    <row r="8070" spans="2:7" ht="11.25" hidden="1" customHeight="1" outlineLevel="2" x14ac:dyDescent="0.25">
      <c r="B8070" s="704" t="s">
        <v>677</v>
      </c>
      <c r="C8070" s="704" t="s">
        <v>772</v>
      </c>
      <c r="D8070" s="704" t="s">
        <v>563</v>
      </c>
      <c r="E8070" s="704" t="s">
        <v>448</v>
      </c>
      <c r="F8070" s="706">
        <v>7.4403475242024328E-2</v>
      </c>
      <c r="G8070" s="705">
        <v>95.225119079348843</v>
      </c>
    </row>
    <row r="8071" spans="2:7" ht="11.25" hidden="1" customHeight="1" outlineLevel="2" x14ac:dyDescent="0.25">
      <c r="B8071" s="704" t="s">
        <v>678</v>
      </c>
      <c r="C8071" s="704" t="s">
        <v>772</v>
      </c>
      <c r="D8071" s="704" t="s">
        <v>563</v>
      </c>
      <c r="E8071" s="704" t="s">
        <v>448</v>
      </c>
      <c r="F8071" s="705">
        <v>0.13413638830087166</v>
      </c>
      <c r="G8071" s="705">
        <v>174.26948456430253</v>
      </c>
    </row>
    <row r="8072" spans="2:7" ht="11.25" hidden="1" customHeight="1" outlineLevel="2" x14ac:dyDescent="0.25">
      <c r="B8072" s="704" t="s">
        <v>679</v>
      </c>
      <c r="C8072" s="704" t="s">
        <v>772</v>
      </c>
      <c r="D8072" s="704" t="s">
        <v>563</v>
      </c>
      <c r="E8072" s="704" t="s">
        <v>448</v>
      </c>
      <c r="F8072" s="705">
        <v>3.5715952859300009E-3</v>
      </c>
      <c r="G8072" s="705">
        <v>4.6631647896257711</v>
      </c>
    </row>
    <row r="8073" spans="2:7" ht="11.25" hidden="1" customHeight="1" outlineLevel="2" x14ac:dyDescent="0.25">
      <c r="B8073" s="704" t="s">
        <v>680</v>
      </c>
      <c r="C8073" s="704" t="s">
        <v>772</v>
      </c>
      <c r="D8073" s="704" t="s">
        <v>563</v>
      </c>
      <c r="E8073" s="704" t="s">
        <v>448</v>
      </c>
      <c r="F8073" s="706">
        <v>8.6444136190096978E-3</v>
      </c>
      <c r="G8073" s="705">
        <v>11.298421603621421</v>
      </c>
    </row>
    <row r="8074" spans="2:7" ht="11.25" hidden="1" customHeight="1" outlineLevel="2" x14ac:dyDescent="0.25">
      <c r="B8074" s="704" t="s">
        <v>681</v>
      </c>
      <c r="C8074" s="704" t="s">
        <v>772</v>
      </c>
      <c r="D8074" s="704" t="s">
        <v>563</v>
      </c>
      <c r="E8074" s="704" t="s">
        <v>448</v>
      </c>
      <c r="F8074" s="705">
        <v>1.8694752876962942E-2</v>
      </c>
      <c r="G8074" s="705">
        <v>24.28817188893305</v>
      </c>
    </row>
    <row r="8075" spans="2:7" ht="11.25" hidden="1" customHeight="1" outlineLevel="2" x14ac:dyDescent="0.25">
      <c r="B8075" s="704" t="s">
        <v>682</v>
      </c>
      <c r="C8075" s="704" t="s">
        <v>772</v>
      </c>
      <c r="D8075" s="704" t="s">
        <v>563</v>
      </c>
      <c r="E8075" s="704" t="s">
        <v>448</v>
      </c>
      <c r="F8075" s="705">
        <v>1.7048754330067015E-2</v>
      </c>
      <c r="G8075" s="705">
        <v>22.151744844960856</v>
      </c>
    </row>
    <row r="8076" spans="2:7" ht="11.25" hidden="1" customHeight="1" outlineLevel="2" x14ac:dyDescent="0.25">
      <c r="B8076" s="704" t="s">
        <v>683</v>
      </c>
      <c r="C8076" s="704" t="s">
        <v>772</v>
      </c>
      <c r="D8076" s="704" t="s">
        <v>563</v>
      </c>
      <c r="E8076" s="704" t="s">
        <v>448</v>
      </c>
      <c r="F8076" s="705">
        <v>5.8975908706915192E-3</v>
      </c>
      <c r="G8076" s="705">
        <v>7.7000446571930246</v>
      </c>
    </row>
    <row r="8077" spans="2:7" ht="11.25" hidden="1" customHeight="1" outlineLevel="2" x14ac:dyDescent="0.25">
      <c r="B8077" s="704" t="s">
        <v>684</v>
      </c>
      <c r="C8077" s="704" t="s">
        <v>772</v>
      </c>
      <c r="D8077" s="704" t="s">
        <v>563</v>
      </c>
      <c r="E8077" s="704" t="s">
        <v>448</v>
      </c>
      <c r="F8077" s="705">
        <v>1.1923381103485139E-2</v>
      </c>
      <c r="G8077" s="705">
        <v>15.582086099554557</v>
      </c>
    </row>
    <row r="8078" spans="2:7" ht="11.25" hidden="1" customHeight="1" outlineLevel="2" x14ac:dyDescent="0.25">
      <c r="B8078" s="704" t="s">
        <v>685</v>
      </c>
      <c r="C8078" s="704" t="s">
        <v>772</v>
      </c>
      <c r="D8078" s="704" t="s">
        <v>563</v>
      </c>
      <c r="E8078" s="704" t="s">
        <v>448</v>
      </c>
      <c r="F8078" s="705">
        <v>4.5014687786055219E-2</v>
      </c>
      <c r="G8078" s="705">
        <v>58.772315563183156</v>
      </c>
    </row>
    <row r="8079" spans="2:7" ht="11.25" hidden="1" customHeight="1" outlineLevel="2" x14ac:dyDescent="0.25">
      <c r="B8079" s="704" t="s">
        <v>686</v>
      </c>
      <c r="C8079" s="704" t="s">
        <v>772</v>
      </c>
      <c r="D8079" s="704" t="s">
        <v>563</v>
      </c>
      <c r="E8079" s="704" t="s">
        <v>448</v>
      </c>
      <c r="F8079" s="705">
        <v>4.4668432620313938E-3</v>
      </c>
      <c r="G8079" s="705">
        <v>5.7758866780994964</v>
      </c>
    </row>
    <row r="8080" spans="2:7" ht="11.25" hidden="1" customHeight="1" outlineLevel="2" x14ac:dyDescent="0.25">
      <c r="B8080" s="704" t="s">
        <v>687</v>
      </c>
      <c r="C8080" s="704" t="s">
        <v>772</v>
      </c>
      <c r="D8080" s="704" t="s">
        <v>563</v>
      </c>
      <c r="E8080" s="704" t="s">
        <v>448</v>
      </c>
      <c r="F8080" s="705">
        <v>3.0189895123715473E-2</v>
      </c>
      <c r="G8080" s="705">
        <v>39.222631885138789</v>
      </c>
    </row>
    <row r="8081" spans="2:7" ht="11.25" hidden="1" customHeight="1" outlineLevel="2" x14ac:dyDescent="0.25">
      <c r="B8081" s="704" t="s">
        <v>688</v>
      </c>
      <c r="C8081" s="704" t="s">
        <v>772</v>
      </c>
      <c r="D8081" s="704" t="s">
        <v>563</v>
      </c>
      <c r="E8081" s="704" t="s">
        <v>448</v>
      </c>
      <c r="F8081" s="705">
        <v>4.1002507841335925E-2</v>
      </c>
      <c r="G8081" s="705">
        <v>53.270331227497799</v>
      </c>
    </row>
    <row r="8082" spans="2:7" ht="11.25" hidden="1" customHeight="1" outlineLevel="2" x14ac:dyDescent="0.25">
      <c r="B8082" s="704" t="s">
        <v>689</v>
      </c>
      <c r="C8082" s="704" t="s">
        <v>772</v>
      </c>
      <c r="D8082" s="704" t="s">
        <v>563</v>
      </c>
      <c r="E8082" s="704" t="s">
        <v>448</v>
      </c>
      <c r="F8082" s="705">
        <v>5.5262994351608667E-3</v>
      </c>
      <c r="G8082" s="705">
        <v>7.1678937112344148</v>
      </c>
    </row>
    <row r="8083" spans="2:7" ht="11.25" hidden="1" customHeight="1" outlineLevel="2" x14ac:dyDescent="0.25">
      <c r="B8083" s="704" t="s">
        <v>690</v>
      </c>
      <c r="C8083" s="704" t="s">
        <v>772</v>
      </c>
      <c r="D8083" s="704" t="s">
        <v>563</v>
      </c>
      <c r="E8083" s="704" t="s">
        <v>448</v>
      </c>
      <c r="F8083" s="705">
        <v>7.5520103689415974E-2</v>
      </c>
      <c r="G8083" s="705">
        <v>98.600959519767329</v>
      </c>
    </row>
    <row r="8084" spans="2:7" ht="11.25" hidden="1" customHeight="1" outlineLevel="2" x14ac:dyDescent="0.25">
      <c r="B8084" s="704" t="s">
        <v>691</v>
      </c>
      <c r="C8084" s="704" t="s">
        <v>772</v>
      </c>
      <c r="D8084" s="704" t="s">
        <v>563</v>
      </c>
      <c r="E8084" s="704" t="s">
        <v>448</v>
      </c>
      <c r="F8084" s="705">
        <v>5.5448880770526475E-2</v>
      </c>
      <c r="G8084" s="705">
        <v>72.395463214597271</v>
      </c>
    </row>
    <row r="8085" spans="2:7" ht="11.25" hidden="1" customHeight="1" outlineLevel="2" x14ac:dyDescent="0.25">
      <c r="B8085" s="704" t="s">
        <v>692</v>
      </c>
      <c r="C8085" s="704" t="s">
        <v>772</v>
      </c>
      <c r="D8085" s="704" t="s">
        <v>563</v>
      </c>
      <c r="E8085" s="704" t="s">
        <v>448</v>
      </c>
      <c r="F8085" s="705">
        <v>4.5643249844521429E-3</v>
      </c>
      <c r="G8085" s="705">
        <v>5.9299560942281166</v>
      </c>
    </row>
    <row r="8086" spans="2:7" ht="11.25" hidden="1" customHeight="1" outlineLevel="2" x14ac:dyDescent="0.25">
      <c r="B8086" s="704" t="s">
        <v>693</v>
      </c>
      <c r="C8086" s="704" t="s">
        <v>772</v>
      </c>
      <c r="D8086" s="704" t="s">
        <v>563</v>
      </c>
      <c r="E8086" s="704" t="s">
        <v>448</v>
      </c>
      <c r="F8086" s="705">
        <v>2.4440117384294103E-3</v>
      </c>
      <c r="G8086" s="705">
        <v>3.1943697943315823</v>
      </c>
    </row>
    <row r="8087" spans="2:7" ht="11.25" hidden="1" customHeight="1" outlineLevel="2" x14ac:dyDescent="0.25">
      <c r="B8087" s="704" t="s">
        <v>694</v>
      </c>
      <c r="C8087" s="704" t="s">
        <v>772</v>
      </c>
      <c r="D8087" s="704" t="s">
        <v>563</v>
      </c>
      <c r="E8087" s="704" t="s">
        <v>448</v>
      </c>
      <c r="F8087" s="705">
        <v>1.6633946501474926E-3</v>
      </c>
      <c r="G8087" s="705">
        <v>2.1740899112543755</v>
      </c>
    </row>
    <row r="8088" spans="2:7" ht="11.25" hidden="1" customHeight="1" outlineLevel="2" x14ac:dyDescent="0.25">
      <c r="B8088" s="704" t="s">
        <v>695</v>
      </c>
      <c r="C8088" s="704" t="s">
        <v>772</v>
      </c>
      <c r="D8088" s="704" t="s">
        <v>563</v>
      </c>
      <c r="E8088" s="704" t="s">
        <v>448</v>
      </c>
      <c r="F8088" s="705">
        <v>1.1688297434459928E-2</v>
      </c>
      <c r="G8088" s="705">
        <v>15.276825717798708</v>
      </c>
    </row>
    <row r="8089" spans="2:7" ht="11.25" hidden="1" customHeight="1" outlineLevel="2" x14ac:dyDescent="0.25">
      <c r="B8089" s="704" t="s">
        <v>696</v>
      </c>
      <c r="C8089" s="704" t="s">
        <v>772</v>
      </c>
      <c r="D8089" s="704" t="s">
        <v>563</v>
      </c>
      <c r="E8089" s="704" t="s">
        <v>448</v>
      </c>
      <c r="F8089" s="705">
        <v>4.2417791958802263E-2</v>
      </c>
      <c r="G8089" s="705">
        <v>54.848681099879357</v>
      </c>
    </row>
    <row r="8090" spans="2:7" ht="11.25" hidden="1" customHeight="1" outlineLevel="2" x14ac:dyDescent="0.25">
      <c r="B8090" s="704" t="s">
        <v>697</v>
      </c>
      <c r="C8090" s="704" t="s">
        <v>772</v>
      </c>
      <c r="D8090" s="704" t="s">
        <v>563</v>
      </c>
      <c r="E8090" s="704" t="s">
        <v>448</v>
      </c>
      <c r="F8090" s="705">
        <v>2.1207627583295433E-2</v>
      </c>
      <c r="G8090" s="705">
        <v>27.718778224054205</v>
      </c>
    </row>
    <row r="8091" spans="2:7" ht="11.25" hidden="1" customHeight="1" outlineLevel="2" x14ac:dyDescent="0.25">
      <c r="B8091" s="704" t="s">
        <v>698</v>
      </c>
      <c r="C8091" s="704" t="s">
        <v>772</v>
      </c>
      <c r="D8091" s="704" t="s">
        <v>563</v>
      </c>
      <c r="E8091" s="704" t="s">
        <v>448</v>
      </c>
      <c r="F8091" s="705">
        <v>5.5481419171866048E-3</v>
      </c>
      <c r="G8091" s="705">
        <v>7.2515305426786227</v>
      </c>
    </row>
    <row r="8092" spans="2:7" ht="11.25" hidden="1" customHeight="1" outlineLevel="2" x14ac:dyDescent="0.25">
      <c r="B8092" s="704" t="s">
        <v>699</v>
      </c>
      <c r="C8092" s="704" t="s">
        <v>772</v>
      </c>
      <c r="D8092" s="704" t="s">
        <v>563</v>
      </c>
      <c r="E8092" s="704" t="s">
        <v>448</v>
      </c>
      <c r="F8092" s="705">
        <v>0.10177231060530803</v>
      </c>
      <c r="G8092" s="705">
        <v>132.22226474064894</v>
      </c>
    </row>
    <row r="8093" spans="2:7" ht="11.25" hidden="1" customHeight="1" outlineLevel="2" x14ac:dyDescent="0.25">
      <c r="B8093" s="704" t="s">
        <v>673</v>
      </c>
      <c r="C8093" s="704" t="s">
        <v>773</v>
      </c>
      <c r="D8093" s="704" t="s">
        <v>563</v>
      </c>
      <c r="E8093" s="704" t="s">
        <v>448</v>
      </c>
      <c r="F8093" s="705">
        <v>9.7202809782820864E-4</v>
      </c>
      <c r="G8093" s="705">
        <v>1.1041873832889446</v>
      </c>
    </row>
    <row r="8094" spans="2:7" ht="11.25" hidden="1" customHeight="1" outlineLevel="2" x14ac:dyDescent="0.25">
      <c r="B8094" s="704" t="s">
        <v>677</v>
      </c>
      <c r="C8094" s="704" t="s">
        <v>773</v>
      </c>
      <c r="D8094" s="704" t="s">
        <v>563</v>
      </c>
      <c r="E8094" s="704" t="s">
        <v>448</v>
      </c>
      <c r="F8094" s="706">
        <v>4.1539269009508682E-3</v>
      </c>
      <c r="G8094" s="705">
        <v>4.6786671292178035</v>
      </c>
    </row>
    <row r="8095" spans="2:7" ht="11.25" hidden="1" customHeight="1" outlineLevel="2" x14ac:dyDescent="0.25">
      <c r="B8095" s="704" t="s">
        <v>678</v>
      </c>
      <c r="C8095" s="704" t="s">
        <v>773</v>
      </c>
      <c r="D8095" s="704" t="s">
        <v>563</v>
      </c>
      <c r="E8095" s="704" t="s">
        <v>448</v>
      </c>
      <c r="F8095" s="706">
        <v>7.507981179712425E-3</v>
      </c>
      <c r="G8095" s="705">
        <v>8.5623303903819217</v>
      </c>
    </row>
    <row r="8096" spans="2:7" ht="11.25" hidden="1" customHeight="1" outlineLevel="2" x14ac:dyDescent="0.25">
      <c r="B8096" s="704" t="s">
        <v>679</v>
      </c>
      <c r="C8096" s="704" t="s">
        <v>773</v>
      </c>
      <c r="D8096" s="704" t="s">
        <v>563</v>
      </c>
      <c r="E8096" s="704" t="s">
        <v>448</v>
      </c>
      <c r="F8096" s="706">
        <v>2.0008182721096291E-4</v>
      </c>
      <c r="G8096" s="705">
        <v>0.22911381464592398</v>
      </c>
    </row>
    <row r="8097" spans="2:7" ht="11.25" hidden="1" customHeight="1" outlineLevel="2" x14ac:dyDescent="0.25">
      <c r="B8097" s="704" t="s">
        <v>680</v>
      </c>
      <c r="C8097" s="704" t="s">
        <v>773</v>
      </c>
      <c r="D8097" s="704" t="s">
        <v>563</v>
      </c>
      <c r="E8097" s="704" t="s">
        <v>448</v>
      </c>
      <c r="F8097" s="706">
        <v>4.8435151325748805E-4</v>
      </c>
      <c r="G8097" s="705">
        <v>0.55512165052902385</v>
      </c>
    </row>
    <row r="8098" spans="2:7" ht="11.25" hidden="1" customHeight="1" outlineLevel="2" x14ac:dyDescent="0.25">
      <c r="B8098" s="704" t="s">
        <v>681</v>
      </c>
      <c r="C8098" s="704" t="s">
        <v>773</v>
      </c>
      <c r="D8098" s="704" t="s">
        <v>563</v>
      </c>
      <c r="E8098" s="704" t="s">
        <v>448</v>
      </c>
      <c r="F8098" s="706">
        <v>1.0463975592941114E-3</v>
      </c>
      <c r="G8098" s="705">
        <v>1.19334364601471</v>
      </c>
    </row>
    <row r="8099" spans="2:7" ht="11.25" hidden="1" customHeight="1" outlineLevel="2" x14ac:dyDescent="0.25">
      <c r="B8099" s="704" t="s">
        <v>682</v>
      </c>
      <c r="C8099" s="704" t="s">
        <v>773</v>
      </c>
      <c r="D8099" s="704" t="s">
        <v>563</v>
      </c>
      <c r="E8099" s="704" t="s">
        <v>448</v>
      </c>
      <c r="F8099" s="706">
        <v>9.5428111670386171E-4</v>
      </c>
      <c r="G8099" s="705">
        <v>1.0883745270054617</v>
      </c>
    </row>
    <row r="8100" spans="2:7" ht="11.25" hidden="1" customHeight="1" outlineLevel="2" x14ac:dyDescent="0.25">
      <c r="B8100" s="704" t="s">
        <v>683</v>
      </c>
      <c r="C8100" s="704" t="s">
        <v>773</v>
      </c>
      <c r="D8100" s="704" t="s">
        <v>563</v>
      </c>
      <c r="E8100" s="704" t="s">
        <v>448</v>
      </c>
      <c r="F8100" s="705">
        <v>3.3038454527298115E-4</v>
      </c>
      <c r="G8100" s="705">
        <v>0.37832373067709929</v>
      </c>
    </row>
    <row r="8101" spans="2:7" ht="11.25" hidden="1" customHeight="1" outlineLevel="2" x14ac:dyDescent="0.25">
      <c r="B8101" s="704" t="s">
        <v>684</v>
      </c>
      <c r="C8101" s="704" t="s">
        <v>773</v>
      </c>
      <c r="D8101" s="704" t="s">
        <v>563</v>
      </c>
      <c r="E8101" s="704" t="s">
        <v>448</v>
      </c>
      <c r="F8101" s="705">
        <v>6.6805890681650884E-4</v>
      </c>
      <c r="G8101" s="705">
        <v>0.76558987320213279</v>
      </c>
    </row>
    <row r="8102" spans="2:7" ht="11.25" hidden="1" customHeight="1" outlineLevel="2" x14ac:dyDescent="0.25">
      <c r="B8102" s="704" t="s">
        <v>685</v>
      </c>
      <c r="C8102" s="704" t="s">
        <v>773</v>
      </c>
      <c r="D8102" s="704" t="s">
        <v>563</v>
      </c>
      <c r="E8102" s="704" t="s">
        <v>448</v>
      </c>
      <c r="F8102" s="705">
        <v>2.5217348310018865E-3</v>
      </c>
      <c r="G8102" s="705">
        <v>2.8876427350069234</v>
      </c>
    </row>
    <row r="8103" spans="2:7" ht="11.25" hidden="1" customHeight="1" outlineLevel="2" x14ac:dyDescent="0.25">
      <c r="B8103" s="704" t="s">
        <v>686</v>
      </c>
      <c r="C8103" s="704" t="s">
        <v>773</v>
      </c>
      <c r="D8103" s="704" t="s">
        <v>563</v>
      </c>
      <c r="E8103" s="704" t="s">
        <v>448</v>
      </c>
      <c r="F8103" s="705">
        <v>2.4981884992341578E-4</v>
      </c>
      <c r="G8103" s="705">
        <v>0.28378500069178342</v>
      </c>
    </row>
    <row r="8104" spans="2:7" ht="11.25" hidden="1" customHeight="1" outlineLevel="2" x14ac:dyDescent="0.25">
      <c r="B8104" s="704" t="s">
        <v>687</v>
      </c>
      <c r="C8104" s="704" t="s">
        <v>773</v>
      </c>
      <c r="D8104" s="704" t="s">
        <v>563</v>
      </c>
      <c r="E8104" s="704" t="s">
        <v>448</v>
      </c>
      <c r="F8104" s="705">
        <v>1.6898121503503016E-3</v>
      </c>
      <c r="G8104" s="705">
        <v>1.9271134739456643</v>
      </c>
    </row>
    <row r="8105" spans="2:7" ht="11.25" hidden="1" customHeight="1" outlineLevel="2" x14ac:dyDescent="0.25">
      <c r="B8105" s="704" t="s">
        <v>688</v>
      </c>
      <c r="C8105" s="704" t="s">
        <v>773</v>
      </c>
      <c r="D8105" s="704" t="s">
        <v>563</v>
      </c>
      <c r="E8105" s="704" t="s">
        <v>448</v>
      </c>
      <c r="F8105" s="705">
        <v>2.2950223317475017E-3</v>
      </c>
      <c r="G8105" s="705">
        <v>2.6173147264126357</v>
      </c>
    </row>
    <row r="8106" spans="2:7" ht="11.25" hidden="1" customHeight="1" outlineLevel="2" x14ac:dyDescent="0.25">
      <c r="B8106" s="704" t="s">
        <v>689</v>
      </c>
      <c r="C8106" s="704" t="s">
        <v>773</v>
      </c>
      <c r="D8106" s="704" t="s">
        <v>563</v>
      </c>
      <c r="E8106" s="704" t="s">
        <v>448</v>
      </c>
      <c r="F8106" s="705">
        <v>3.0923449505185165E-4</v>
      </c>
      <c r="G8106" s="705">
        <v>0.35217815898544841</v>
      </c>
    </row>
    <row r="8107" spans="2:7" ht="11.25" hidden="1" customHeight="1" outlineLevel="2" x14ac:dyDescent="0.25">
      <c r="B8107" s="704" t="s">
        <v>690</v>
      </c>
      <c r="C8107" s="704" t="s">
        <v>773</v>
      </c>
      <c r="D8107" s="704" t="s">
        <v>563</v>
      </c>
      <c r="E8107" s="704" t="s">
        <v>448</v>
      </c>
      <c r="F8107" s="705">
        <v>4.2306560866032785E-3</v>
      </c>
      <c r="G8107" s="705">
        <v>4.8445319263122704</v>
      </c>
    </row>
    <row r="8108" spans="2:7" ht="11.25" hidden="1" customHeight="1" outlineLevel="2" x14ac:dyDescent="0.25">
      <c r="B8108" s="704" t="s">
        <v>691</v>
      </c>
      <c r="C8108" s="704" t="s">
        <v>773</v>
      </c>
      <c r="D8108" s="704" t="s">
        <v>563</v>
      </c>
      <c r="E8108" s="704" t="s">
        <v>448</v>
      </c>
      <c r="F8108" s="705">
        <v>3.1062616410176057E-3</v>
      </c>
      <c r="G8108" s="705">
        <v>3.5569839577936095</v>
      </c>
    </row>
    <row r="8109" spans="2:7" ht="11.25" hidden="1" customHeight="1" outlineLevel="2" x14ac:dyDescent="0.25">
      <c r="B8109" s="704" t="s">
        <v>692</v>
      </c>
      <c r="C8109" s="704" t="s">
        <v>773</v>
      </c>
      <c r="D8109" s="704" t="s">
        <v>563</v>
      </c>
      <c r="E8109" s="704" t="s">
        <v>448</v>
      </c>
      <c r="F8109" s="705">
        <v>2.5547785497349244E-4</v>
      </c>
      <c r="G8109" s="705">
        <v>0.29135483954579589</v>
      </c>
    </row>
    <row r="8110" spans="2:7" ht="11.25" hidden="1" customHeight="1" outlineLevel="2" x14ac:dyDescent="0.25">
      <c r="B8110" s="704" t="s">
        <v>693</v>
      </c>
      <c r="C8110" s="704" t="s">
        <v>773</v>
      </c>
      <c r="D8110" s="704" t="s">
        <v>563</v>
      </c>
      <c r="E8110" s="704" t="s">
        <v>448</v>
      </c>
      <c r="F8110" s="705">
        <v>1.3693939060592072E-4</v>
      </c>
      <c r="G8110" s="705">
        <v>0.15694818247347631</v>
      </c>
    </row>
    <row r="8111" spans="2:7" ht="11.25" hidden="1" customHeight="1" outlineLevel="2" x14ac:dyDescent="0.25">
      <c r="B8111" s="704" t="s">
        <v>694</v>
      </c>
      <c r="C8111" s="704" t="s">
        <v>773</v>
      </c>
      <c r="D8111" s="704" t="s">
        <v>563</v>
      </c>
      <c r="E8111" s="704" t="s">
        <v>448</v>
      </c>
      <c r="F8111" s="705">
        <v>9.3201000000954373E-5</v>
      </c>
      <c r="G8111" s="705">
        <v>0.10681890258701691</v>
      </c>
    </row>
    <row r="8112" spans="2:7" ht="11.25" hidden="1" customHeight="1" outlineLevel="2" x14ac:dyDescent="0.25">
      <c r="B8112" s="704" t="s">
        <v>695</v>
      </c>
      <c r="C8112" s="704" t="s">
        <v>773</v>
      </c>
      <c r="D8112" s="704" t="s">
        <v>563</v>
      </c>
      <c r="E8112" s="704" t="s">
        <v>448</v>
      </c>
      <c r="F8112" s="705">
        <v>6.549018519723561E-4</v>
      </c>
      <c r="G8112" s="705">
        <v>0.75059171434629057</v>
      </c>
    </row>
    <row r="8113" spans="2:7" ht="11.25" hidden="1" customHeight="1" outlineLevel="2" x14ac:dyDescent="0.25">
      <c r="B8113" s="704" t="s">
        <v>696</v>
      </c>
      <c r="C8113" s="704" t="s">
        <v>773</v>
      </c>
      <c r="D8113" s="704" t="s">
        <v>563</v>
      </c>
      <c r="E8113" s="704" t="s">
        <v>448</v>
      </c>
      <c r="F8113" s="705">
        <v>2.3723167304111467E-3</v>
      </c>
      <c r="G8113" s="705">
        <v>2.6948646944734791</v>
      </c>
    </row>
    <row r="8114" spans="2:7" ht="11.25" hidden="1" customHeight="1" outlineLevel="2" x14ac:dyDescent="0.25">
      <c r="B8114" s="704" t="s">
        <v>697</v>
      </c>
      <c r="C8114" s="704" t="s">
        <v>773</v>
      </c>
      <c r="D8114" s="704" t="s">
        <v>563</v>
      </c>
      <c r="E8114" s="704" t="s">
        <v>448</v>
      </c>
      <c r="F8114" s="705">
        <v>1.1882757579932536E-3</v>
      </c>
      <c r="G8114" s="705">
        <v>1.3619001888479747</v>
      </c>
    </row>
    <row r="8115" spans="2:7" ht="11.25" hidden="1" customHeight="1" outlineLevel="2" x14ac:dyDescent="0.25">
      <c r="B8115" s="704" t="s">
        <v>698</v>
      </c>
      <c r="C8115" s="704" t="s">
        <v>773</v>
      </c>
      <c r="D8115" s="704" t="s">
        <v>563</v>
      </c>
      <c r="E8115" s="704" t="s">
        <v>448</v>
      </c>
      <c r="F8115" s="705">
        <v>3.1086540177720164E-4</v>
      </c>
      <c r="G8115" s="705">
        <v>0.3562873406800483</v>
      </c>
    </row>
    <row r="8116" spans="2:7" ht="11.25" hidden="1" customHeight="1" outlineLevel="2" x14ac:dyDescent="0.25">
      <c r="B8116" s="704" t="s">
        <v>699</v>
      </c>
      <c r="C8116" s="704" t="s">
        <v>773</v>
      </c>
      <c r="D8116" s="704" t="s">
        <v>563</v>
      </c>
      <c r="E8116" s="704" t="s">
        <v>448</v>
      </c>
      <c r="F8116" s="705">
        <v>5.6964773566100142E-3</v>
      </c>
      <c r="G8116" s="705">
        <v>6.4964354852159119</v>
      </c>
    </row>
    <row r="8117" spans="2:7" ht="11.25" hidden="1" customHeight="1" outlineLevel="2" x14ac:dyDescent="0.25">
      <c r="B8117" s="704" t="s">
        <v>673</v>
      </c>
      <c r="C8117" s="704" t="s">
        <v>774</v>
      </c>
      <c r="D8117" s="704" t="s">
        <v>563</v>
      </c>
      <c r="E8117" s="704" t="s">
        <v>448</v>
      </c>
      <c r="F8117" s="705">
        <v>3.775422395862531E-4</v>
      </c>
      <c r="G8117" s="705">
        <v>0.50614138875111869</v>
      </c>
    </row>
    <row r="8118" spans="2:7" ht="11.25" hidden="1" customHeight="1" outlineLevel="2" x14ac:dyDescent="0.25">
      <c r="B8118" s="704" t="s">
        <v>677</v>
      </c>
      <c r="C8118" s="704" t="s">
        <v>774</v>
      </c>
      <c r="D8118" s="704" t="s">
        <v>563</v>
      </c>
      <c r="E8118" s="704" t="s">
        <v>448</v>
      </c>
      <c r="F8118" s="705">
        <v>2.5881763704647827E-3</v>
      </c>
      <c r="G8118" s="705">
        <v>3.4341572276266112</v>
      </c>
    </row>
    <row r="8119" spans="2:7" ht="11.25" hidden="1" customHeight="1" outlineLevel="2" x14ac:dyDescent="0.25">
      <c r="B8119" s="704" t="s">
        <v>678</v>
      </c>
      <c r="C8119" s="704" t="s">
        <v>774</v>
      </c>
      <c r="D8119" s="704" t="s">
        <v>563</v>
      </c>
      <c r="E8119" s="704" t="s">
        <v>448</v>
      </c>
      <c r="F8119" s="705">
        <v>3.9028893072190563E-3</v>
      </c>
      <c r="G8119" s="705">
        <v>5.257269334617428</v>
      </c>
    </row>
    <row r="8120" spans="2:7" ht="11.25" hidden="1" customHeight="1" outlineLevel="2" x14ac:dyDescent="0.25">
      <c r="B8120" s="704" t="s">
        <v>679</v>
      </c>
      <c r="C8120" s="704" t="s">
        <v>774</v>
      </c>
      <c r="D8120" s="704" t="s">
        <v>563</v>
      </c>
      <c r="E8120" s="704" t="s">
        <v>448</v>
      </c>
      <c r="F8120" s="705">
        <v>4.0879212997327184E-4</v>
      </c>
      <c r="G8120" s="705">
        <v>0.55337786939888889</v>
      </c>
    </row>
    <row r="8121" spans="2:7" ht="11.25" hidden="1" customHeight="1" outlineLevel="2" x14ac:dyDescent="0.25">
      <c r="B8121" s="704" t="s">
        <v>680</v>
      </c>
      <c r="C8121" s="704" t="s">
        <v>774</v>
      </c>
      <c r="D8121" s="704" t="s">
        <v>563</v>
      </c>
      <c r="E8121" s="704" t="s">
        <v>448</v>
      </c>
      <c r="F8121" s="705">
        <v>1.5317288986022376E-4</v>
      </c>
      <c r="G8121" s="705">
        <v>0.20756876617431697</v>
      </c>
    </row>
    <row r="8122" spans="2:7" ht="11.25" hidden="1" customHeight="1" outlineLevel="2" x14ac:dyDescent="0.25">
      <c r="B8122" s="704" t="s">
        <v>681</v>
      </c>
      <c r="C8122" s="704" t="s">
        <v>774</v>
      </c>
      <c r="D8122" s="704" t="s">
        <v>563</v>
      </c>
      <c r="E8122" s="704" t="s">
        <v>448</v>
      </c>
      <c r="F8122" s="705">
        <v>8.0900580260024452E-4</v>
      </c>
      <c r="G8122" s="705">
        <v>1.089746222763859</v>
      </c>
    </row>
    <row r="8123" spans="2:7" ht="11.25" hidden="1" customHeight="1" outlineLevel="2" x14ac:dyDescent="0.25">
      <c r="B8123" s="704" t="s">
        <v>682</v>
      </c>
      <c r="C8123" s="704" t="s">
        <v>774</v>
      </c>
      <c r="D8123" s="704" t="s">
        <v>563</v>
      </c>
      <c r="E8123" s="704" t="s">
        <v>448</v>
      </c>
      <c r="F8123" s="705">
        <v>4.5881660708079288E-4</v>
      </c>
      <c r="G8123" s="705">
        <v>0.6180898021121467</v>
      </c>
    </row>
    <row r="8124" spans="2:7" ht="11.25" hidden="1" customHeight="1" outlineLevel="2" x14ac:dyDescent="0.25">
      <c r="B8124" s="704" t="s">
        <v>683</v>
      </c>
      <c r="C8124" s="704" t="s">
        <v>774</v>
      </c>
      <c r="D8124" s="704" t="s">
        <v>563</v>
      </c>
      <c r="E8124" s="704" t="s">
        <v>448</v>
      </c>
      <c r="F8124" s="705">
        <v>6.4783684540575717E-4</v>
      </c>
      <c r="G8124" s="705">
        <v>0.87696995931548771</v>
      </c>
    </row>
    <row r="8125" spans="2:7" ht="11.25" hidden="1" customHeight="1" outlineLevel="2" x14ac:dyDescent="0.25">
      <c r="B8125" s="704" t="s">
        <v>684</v>
      </c>
      <c r="C8125" s="704" t="s">
        <v>774</v>
      </c>
      <c r="D8125" s="704" t="s">
        <v>563</v>
      </c>
      <c r="E8125" s="704" t="s">
        <v>448</v>
      </c>
      <c r="F8125" s="705">
        <v>1.5051906425468127E-4</v>
      </c>
      <c r="G8125" s="705">
        <v>0.20392672490648989</v>
      </c>
    </row>
    <row r="8126" spans="2:7" ht="11.25" hidden="1" customHeight="1" outlineLevel="2" x14ac:dyDescent="0.25">
      <c r="B8126" s="704" t="s">
        <v>685</v>
      </c>
      <c r="C8126" s="704" t="s">
        <v>774</v>
      </c>
      <c r="D8126" s="704" t="s">
        <v>563</v>
      </c>
      <c r="E8126" s="704" t="s">
        <v>448</v>
      </c>
      <c r="F8126" s="705">
        <v>1.0565435987852298E-3</v>
      </c>
      <c r="G8126" s="705">
        <v>1.4302329961680744</v>
      </c>
    </row>
    <row r="8127" spans="2:7" ht="11.25" hidden="1" customHeight="1" outlineLevel="2" x14ac:dyDescent="0.25">
      <c r="B8127" s="704" t="s">
        <v>686</v>
      </c>
      <c r="C8127" s="704" t="s">
        <v>774</v>
      </c>
      <c r="D8127" s="704" t="s">
        <v>563</v>
      </c>
      <c r="E8127" s="704" t="s">
        <v>448</v>
      </c>
      <c r="F8127" s="705">
        <v>1.5262594972066825E-4</v>
      </c>
      <c r="G8127" s="705">
        <v>0.20461396624474662</v>
      </c>
    </row>
    <row r="8128" spans="2:7" ht="11.25" hidden="1" customHeight="1" outlineLevel="2" x14ac:dyDescent="0.25">
      <c r="B8128" s="704" t="s">
        <v>687</v>
      </c>
      <c r="C8128" s="704" t="s">
        <v>774</v>
      </c>
      <c r="D8128" s="704" t="s">
        <v>563</v>
      </c>
      <c r="E8128" s="704" t="s">
        <v>448</v>
      </c>
      <c r="F8128" s="705">
        <v>1.1544859187757458E-3</v>
      </c>
      <c r="G8128" s="705">
        <v>1.5551150217003011</v>
      </c>
    </row>
    <row r="8129" spans="2:7" ht="11.25" hidden="1" customHeight="1" outlineLevel="2" x14ac:dyDescent="0.25">
      <c r="B8129" s="704" t="s">
        <v>688</v>
      </c>
      <c r="C8129" s="704" t="s">
        <v>774</v>
      </c>
      <c r="D8129" s="704" t="s">
        <v>563</v>
      </c>
      <c r="E8129" s="704" t="s">
        <v>448</v>
      </c>
      <c r="F8129" s="705">
        <v>1.3197170529481458E-3</v>
      </c>
      <c r="G8129" s="705">
        <v>1.7776819619017958</v>
      </c>
    </row>
    <row r="8130" spans="2:7" ht="11.25" hidden="1" customHeight="1" outlineLevel="2" x14ac:dyDescent="0.25">
      <c r="B8130" s="704" t="s">
        <v>689</v>
      </c>
      <c r="C8130" s="704" t="s">
        <v>774</v>
      </c>
      <c r="D8130" s="704" t="s">
        <v>563</v>
      </c>
      <c r="E8130" s="704" t="s">
        <v>448</v>
      </c>
      <c r="F8130" s="705">
        <v>1.3506314818879659E-4</v>
      </c>
      <c r="G8130" s="705">
        <v>0.18163281047114108</v>
      </c>
    </row>
    <row r="8131" spans="2:7" ht="11.25" hidden="1" customHeight="1" outlineLevel="2" x14ac:dyDescent="0.25">
      <c r="B8131" s="704" t="s">
        <v>690</v>
      </c>
      <c r="C8131" s="704" t="s">
        <v>774</v>
      </c>
      <c r="D8131" s="704" t="s">
        <v>563</v>
      </c>
      <c r="E8131" s="704" t="s">
        <v>448</v>
      </c>
      <c r="F8131" s="705">
        <v>4.5777593717603081E-3</v>
      </c>
      <c r="G8131" s="705">
        <v>6.1968609689659724</v>
      </c>
    </row>
    <row r="8132" spans="2:7" ht="11.25" hidden="1" customHeight="1" outlineLevel="2" x14ac:dyDescent="0.25">
      <c r="B8132" s="704" t="s">
        <v>691</v>
      </c>
      <c r="C8132" s="704" t="s">
        <v>774</v>
      </c>
      <c r="D8132" s="704" t="s">
        <v>563</v>
      </c>
      <c r="E8132" s="704" t="s">
        <v>448</v>
      </c>
      <c r="F8132" s="705">
        <v>4.1821746874444159E-3</v>
      </c>
      <c r="G8132" s="705">
        <v>5.6613650240587958</v>
      </c>
    </row>
    <row r="8133" spans="2:7" ht="11.25" hidden="1" customHeight="1" outlineLevel="2" x14ac:dyDescent="0.25">
      <c r="B8133" s="704" t="s">
        <v>692</v>
      </c>
      <c r="C8133" s="704" t="s">
        <v>774</v>
      </c>
      <c r="D8133" s="704" t="s">
        <v>563</v>
      </c>
      <c r="E8133" s="704" t="s">
        <v>448</v>
      </c>
      <c r="F8133" s="705">
        <v>2.1771436670036334E-4</v>
      </c>
      <c r="G8133" s="705">
        <v>0.29326519810824753</v>
      </c>
    </row>
    <row r="8134" spans="2:7" ht="11.25" hidden="1" customHeight="1" outlineLevel="2" x14ac:dyDescent="0.25">
      <c r="B8134" s="704" t="s">
        <v>693</v>
      </c>
      <c r="C8134" s="704" t="s">
        <v>774</v>
      </c>
      <c r="D8134" s="704" t="s">
        <v>563</v>
      </c>
      <c r="E8134" s="704" t="s">
        <v>448</v>
      </c>
      <c r="F8134" s="705">
        <v>4.5401708472075431E-4</v>
      </c>
      <c r="G8134" s="705">
        <v>0.61525046676664819</v>
      </c>
    </row>
    <row r="8135" spans="2:7" ht="11.25" hidden="1" customHeight="1" outlineLevel="2" x14ac:dyDescent="0.25">
      <c r="B8135" s="704" t="s">
        <v>694</v>
      </c>
      <c r="C8135" s="704" t="s">
        <v>774</v>
      </c>
      <c r="D8135" s="704" t="s">
        <v>563</v>
      </c>
      <c r="E8135" s="704" t="s">
        <v>448</v>
      </c>
      <c r="F8135" s="705">
        <v>1.2853155951164354E-4</v>
      </c>
      <c r="G8135" s="705">
        <v>0.17417683096836992</v>
      </c>
    </row>
    <row r="8136" spans="2:7" ht="11.25" hidden="1" customHeight="1" outlineLevel="2" x14ac:dyDescent="0.25">
      <c r="B8136" s="704" t="s">
        <v>695</v>
      </c>
      <c r="C8136" s="704" t="s">
        <v>774</v>
      </c>
      <c r="D8136" s="704" t="s">
        <v>563</v>
      </c>
      <c r="E8136" s="704" t="s">
        <v>448</v>
      </c>
      <c r="F8136" s="705">
        <v>1.7346330663911083E-4</v>
      </c>
      <c r="G8136" s="705">
        <v>0.2350649910864121</v>
      </c>
    </row>
    <row r="8137" spans="2:7" ht="11.25" hidden="1" customHeight="1" outlineLevel="2" x14ac:dyDescent="0.25">
      <c r="B8137" s="704" t="s">
        <v>696</v>
      </c>
      <c r="C8137" s="704" t="s">
        <v>774</v>
      </c>
      <c r="D8137" s="704" t="s">
        <v>563</v>
      </c>
      <c r="E8137" s="704" t="s">
        <v>448</v>
      </c>
      <c r="F8137" s="705">
        <v>6.8768265061129499E-4</v>
      </c>
      <c r="G8137" s="705">
        <v>0.92192354191020531</v>
      </c>
    </row>
    <row r="8138" spans="2:7" ht="11.25" hidden="1" customHeight="1" outlineLevel="2" x14ac:dyDescent="0.25">
      <c r="B8138" s="704" t="s">
        <v>697</v>
      </c>
      <c r="C8138" s="704" t="s">
        <v>774</v>
      </c>
      <c r="D8138" s="704" t="s">
        <v>563</v>
      </c>
      <c r="E8138" s="704" t="s">
        <v>448</v>
      </c>
      <c r="F8138" s="705">
        <v>4.3489247538599325E-4</v>
      </c>
      <c r="G8138" s="705">
        <v>0.58933428077303229</v>
      </c>
    </row>
    <row r="8139" spans="2:7" ht="11.25" hidden="1" customHeight="1" outlineLevel="2" x14ac:dyDescent="0.25">
      <c r="B8139" s="704" t="s">
        <v>698</v>
      </c>
      <c r="C8139" s="704" t="s">
        <v>774</v>
      </c>
      <c r="D8139" s="704" t="s">
        <v>563</v>
      </c>
      <c r="E8139" s="704" t="s">
        <v>448</v>
      </c>
      <c r="F8139" s="705">
        <v>2.4239552723012887E-4</v>
      </c>
      <c r="G8139" s="705">
        <v>0.32847694756379531</v>
      </c>
    </row>
    <row r="8140" spans="2:7" ht="11.25" hidden="1" customHeight="1" outlineLevel="2" x14ac:dyDescent="0.25">
      <c r="B8140" s="704" t="s">
        <v>699</v>
      </c>
      <c r="C8140" s="704" t="s">
        <v>774</v>
      </c>
      <c r="D8140" s="704" t="s">
        <v>563</v>
      </c>
      <c r="E8140" s="704" t="s">
        <v>448</v>
      </c>
      <c r="F8140" s="706">
        <v>3.2301774922591652E-3</v>
      </c>
      <c r="G8140" s="705">
        <v>4.3511063097358624</v>
      </c>
    </row>
    <row r="8141" spans="2:7" ht="11.25" hidden="1" customHeight="1" outlineLevel="2" x14ac:dyDescent="0.25">
      <c r="B8141" s="704" t="s">
        <v>673</v>
      </c>
      <c r="C8141" s="704" t="s">
        <v>775</v>
      </c>
      <c r="D8141" s="704" t="s">
        <v>563</v>
      </c>
      <c r="E8141" s="704" t="s">
        <v>448</v>
      </c>
      <c r="F8141" s="706">
        <v>3.8226915338767921E-4</v>
      </c>
      <c r="G8141" s="705">
        <v>4.8680174919265484</v>
      </c>
    </row>
    <row r="8142" spans="2:7" ht="11.25" hidden="1" customHeight="1" outlineLevel="2" x14ac:dyDescent="0.25">
      <c r="B8142" s="704" t="s">
        <v>677</v>
      </c>
      <c r="C8142" s="704" t="s">
        <v>775</v>
      </c>
      <c r="D8142" s="704" t="s">
        <v>563</v>
      </c>
      <c r="E8142" s="704" t="s">
        <v>448</v>
      </c>
      <c r="F8142" s="706">
        <v>1.6365424220981153E-3</v>
      </c>
      <c r="G8142" s="705">
        <v>20.626774585261938</v>
      </c>
    </row>
    <row r="8143" spans="2:7" ht="11.25" hidden="1" customHeight="1" outlineLevel="2" x14ac:dyDescent="0.25">
      <c r="B8143" s="704" t="s">
        <v>678</v>
      </c>
      <c r="C8143" s="704" t="s">
        <v>775</v>
      </c>
      <c r="D8143" s="704" t="s">
        <v>563</v>
      </c>
      <c r="E8143" s="704" t="s">
        <v>448</v>
      </c>
      <c r="F8143" s="706">
        <v>2.9502096061902881E-3</v>
      </c>
      <c r="G8143" s="705">
        <v>37.748636254183637</v>
      </c>
    </row>
    <row r="8144" spans="2:7" ht="11.25" hidden="1" customHeight="1" outlineLevel="2" x14ac:dyDescent="0.25">
      <c r="B8144" s="704" t="s">
        <v>679</v>
      </c>
      <c r="C8144" s="704" t="s">
        <v>775</v>
      </c>
      <c r="D8144" s="704" t="s">
        <v>563</v>
      </c>
      <c r="E8144" s="704" t="s">
        <v>448</v>
      </c>
      <c r="F8144" s="706">
        <v>7.8552446349812731E-5</v>
      </c>
      <c r="G8144" s="705">
        <v>1.0100913996089811</v>
      </c>
    </row>
    <row r="8145" spans="2:7" ht="11.25" hidden="1" customHeight="1" outlineLevel="2" x14ac:dyDescent="0.25">
      <c r="B8145" s="704" t="s">
        <v>680</v>
      </c>
      <c r="C8145" s="704" t="s">
        <v>775</v>
      </c>
      <c r="D8145" s="704" t="s">
        <v>563</v>
      </c>
      <c r="E8145" s="704" t="s">
        <v>448</v>
      </c>
      <c r="F8145" s="706">
        <v>1.9012136498010551E-4</v>
      </c>
      <c r="G8145" s="705">
        <v>2.4473570607901189</v>
      </c>
    </row>
    <row r="8146" spans="2:7" ht="11.25" hidden="1" customHeight="1" outlineLevel="2" x14ac:dyDescent="0.25">
      <c r="B8146" s="704" t="s">
        <v>681</v>
      </c>
      <c r="C8146" s="704" t="s">
        <v>775</v>
      </c>
      <c r="D8146" s="704" t="s">
        <v>563</v>
      </c>
      <c r="E8146" s="704" t="s">
        <v>448</v>
      </c>
      <c r="F8146" s="706">
        <v>4.111747369712086E-4</v>
      </c>
      <c r="G8146" s="705">
        <v>5.2610753393976406</v>
      </c>
    </row>
    <row r="8147" spans="2:7" ht="11.25" hidden="1" customHeight="1" outlineLevel="2" x14ac:dyDescent="0.25">
      <c r="B8147" s="704" t="s">
        <v>682</v>
      </c>
      <c r="C8147" s="704" t="s">
        <v>775</v>
      </c>
      <c r="D8147" s="704" t="s">
        <v>563</v>
      </c>
      <c r="E8147" s="704" t="s">
        <v>448</v>
      </c>
      <c r="F8147" s="706">
        <v>3.7497216011487389E-4</v>
      </c>
      <c r="G8147" s="705">
        <v>4.7983015515885103</v>
      </c>
    </row>
    <row r="8148" spans="2:7" ht="11.25" hidden="1" customHeight="1" outlineLevel="2" x14ac:dyDescent="0.25">
      <c r="B8148" s="704" t="s">
        <v>683</v>
      </c>
      <c r="C8148" s="704" t="s">
        <v>775</v>
      </c>
      <c r="D8148" s="704" t="s">
        <v>563</v>
      </c>
      <c r="E8148" s="704" t="s">
        <v>448</v>
      </c>
      <c r="F8148" s="706">
        <v>1.2970950753968719E-4</v>
      </c>
      <c r="G8148" s="705">
        <v>1.667911057742447</v>
      </c>
    </row>
    <row r="8149" spans="2:7" ht="11.25" hidden="1" customHeight="1" outlineLevel="2" x14ac:dyDescent="0.25">
      <c r="B8149" s="704" t="s">
        <v>684</v>
      </c>
      <c r="C8149" s="704" t="s">
        <v>775</v>
      </c>
      <c r="D8149" s="704" t="s">
        <v>563</v>
      </c>
      <c r="E8149" s="704" t="s">
        <v>448</v>
      </c>
      <c r="F8149" s="706">
        <v>2.6223767078717669E-4</v>
      </c>
      <c r="G8149" s="705">
        <v>3.375244095325832</v>
      </c>
    </row>
    <row r="8150" spans="2:7" ht="11.25" hidden="1" customHeight="1" outlineLevel="2" x14ac:dyDescent="0.25">
      <c r="B8150" s="704" t="s">
        <v>685</v>
      </c>
      <c r="C8150" s="704" t="s">
        <v>775</v>
      </c>
      <c r="D8150" s="704" t="s">
        <v>563</v>
      </c>
      <c r="E8150" s="704" t="s">
        <v>448</v>
      </c>
      <c r="F8150" s="706">
        <v>9.9003711282573403E-4</v>
      </c>
      <c r="G8150" s="705">
        <v>12.730700426417775</v>
      </c>
    </row>
    <row r="8151" spans="2:7" ht="11.25" hidden="1" customHeight="1" outlineLevel="2" x14ac:dyDescent="0.25">
      <c r="B8151" s="704" t="s">
        <v>686</v>
      </c>
      <c r="C8151" s="704" t="s">
        <v>775</v>
      </c>
      <c r="D8151" s="704" t="s">
        <v>563</v>
      </c>
      <c r="E8151" s="704" t="s">
        <v>448</v>
      </c>
      <c r="F8151" s="706">
        <v>9.824621602482957E-5</v>
      </c>
      <c r="G8151" s="705">
        <v>1.2511181936089173</v>
      </c>
    </row>
    <row r="8152" spans="2:7" ht="11.25" hidden="1" customHeight="1" outlineLevel="2" x14ac:dyDescent="0.25">
      <c r="B8152" s="704" t="s">
        <v>687</v>
      </c>
      <c r="C8152" s="704" t="s">
        <v>775</v>
      </c>
      <c r="D8152" s="704" t="s">
        <v>563</v>
      </c>
      <c r="E8152" s="704" t="s">
        <v>448</v>
      </c>
      <c r="F8152" s="706">
        <v>6.6400027421077538E-4</v>
      </c>
      <c r="G8152" s="705">
        <v>8.4960343084771068</v>
      </c>
    </row>
    <row r="8153" spans="2:7" ht="11.25" hidden="1" customHeight="1" outlineLevel="2" x14ac:dyDescent="0.25">
      <c r="B8153" s="704" t="s">
        <v>688</v>
      </c>
      <c r="C8153" s="704" t="s">
        <v>775</v>
      </c>
      <c r="D8153" s="704" t="s">
        <v>563</v>
      </c>
      <c r="E8153" s="704" t="s">
        <v>448</v>
      </c>
      <c r="F8153" s="706">
        <v>9.0181415583149313E-4</v>
      </c>
      <c r="G8153" s="705">
        <v>11.538929113863654</v>
      </c>
    </row>
    <row r="8154" spans="2:7" ht="11.25" hidden="1" customHeight="1" outlineLevel="2" x14ac:dyDescent="0.25">
      <c r="B8154" s="704" t="s">
        <v>689</v>
      </c>
      <c r="C8154" s="704" t="s">
        <v>775</v>
      </c>
      <c r="D8154" s="704" t="s">
        <v>563</v>
      </c>
      <c r="E8154" s="704" t="s">
        <v>448</v>
      </c>
      <c r="F8154" s="706">
        <v>1.2154691796050467E-4</v>
      </c>
      <c r="G8154" s="705">
        <v>1.552642774811215</v>
      </c>
    </row>
    <row r="8155" spans="2:7" ht="11.25" hidden="1" customHeight="1" outlineLevel="2" x14ac:dyDescent="0.25">
      <c r="B8155" s="704" t="s">
        <v>690</v>
      </c>
      <c r="C8155" s="704" t="s">
        <v>775</v>
      </c>
      <c r="D8155" s="704" t="s">
        <v>563</v>
      </c>
      <c r="E8155" s="704" t="s">
        <v>448</v>
      </c>
      <c r="F8155" s="706">
        <v>1.6609631478459186E-3</v>
      </c>
      <c r="G8155" s="705">
        <v>21.358017978790173</v>
      </c>
    </row>
    <row r="8156" spans="2:7" ht="11.25" hidden="1" customHeight="1" outlineLevel="2" x14ac:dyDescent="0.25">
      <c r="B8156" s="704" t="s">
        <v>691</v>
      </c>
      <c r="C8156" s="704" t="s">
        <v>775</v>
      </c>
      <c r="D8156" s="704" t="s">
        <v>563</v>
      </c>
      <c r="E8156" s="704" t="s">
        <v>448</v>
      </c>
      <c r="F8156" s="706">
        <v>1.219524075342692E-3</v>
      </c>
      <c r="G8156" s="705">
        <v>15.681627753870949</v>
      </c>
    </row>
    <row r="8157" spans="2:7" ht="11.25" hidden="1" customHeight="1" outlineLevel="2" x14ac:dyDescent="0.25">
      <c r="B8157" s="704" t="s">
        <v>692</v>
      </c>
      <c r="C8157" s="704" t="s">
        <v>775</v>
      </c>
      <c r="D8157" s="704" t="s">
        <v>563</v>
      </c>
      <c r="E8157" s="704" t="s">
        <v>448</v>
      </c>
      <c r="F8157" s="706">
        <v>1.0038832431166092E-4</v>
      </c>
      <c r="G8157" s="705">
        <v>1.2844919049531394</v>
      </c>
    </row>
    <row r="8158" spans="2:7" ht="11.25" hidden="1" customHeight="1" outlineLevel="2" x14ac:dyDescent="0.25">
      <c r="B8158" s="704" t="s">
        <v>693</v>
      </c>
      <c r="C8158" s="704" t="s">
        <v>775</v>
      </c>
      <c r="D8158" s="704" t="s">
        <v>563</v>
      </c>
      <c r="E8158" s="704" t="s">
        <v>448</v>
      </c>
      <c r="F8158" s="706">
        <v>5.3752490277903612E-5</v>
      </c>
      <c r="G8158" s="705">
        <v>0.6919351669083138</v>
      </c>
    </row>
    <row r="8159" spans="2:7" ht="11.25" hidden="1" customHeight="1" outlineLevel="2" x14ac:dyDescent="0.25">
      <c r="B8159" s="704" t="s">
        <v>694</v>
      </c>
      <c r="C8159" s="704" t="s">
        <v>775</v>
      </c>
      <c r="D8159" s="704" t="s">
        <v>563</v>
      </c>
      <c r="E8159" s="704" t="s">
        <v>448</v>
      </c>
      <c r="F8159" s="706">
        <v>3.6583953679926098E-5</v>
      </c>
      <c r="G8159" s="705">
        <v>0.47093081766736555</v>
      </c>
    </row>
    <row r="8160" spans="2:7" ht="11.25" hidden="1" customHeight="1" outlineLevel="2" x14ac:dyDescent="0.25">
      <c r="B8160" s="704" t="s">
        <v>695</v>
      </c>
      <c r="C8160" s="704" t="s">
        <v>775</v>
      </c>
      <c r="D8160" s="704" t="s">
        <v>563</v>
      </c>
      <c r="E8160" s="704" t="s">
        <v>448</v>
      </c>
      <c r="F8160" s="706">
        <v>2.570670982875248E-4</v>
      </c>
      <c r="G8160" s="705">
        <v>3.3091237003146241</v>
      </c>
    </row>
    <row r="8161" spans="2:7" ht="11.25" hidden="1" customHeight="1" outlineLevel="2" x14ac:dyDescent="0.25">
      <c r="B8161" s="704" t="s">
        <v>696</v>
      </c>
      <c r="C8161" s="704" t="s">
        <v>775</v>
      </c>
      <c r="D8161" s="704" t="s">
        <v>563</v>
      </c>
      <c r="E8161" s="704" t="s">
        <v>448</v>
      </c>
      <c r="F8161" s="706">
        <v>9.3296074384002997E-4</v>
      </c>
      <c r="G8161" s="705">
        <v>11.880801968442666</v>
      </c>
    </row>
    <row r="8162" spans="2:7" ht="11.25" hidden="1" customHeight="1" outlineLevel="2" x14ac:dyDescent="0.25">
      <c r="B8162" s="704" t="s">
        <v>697</v>
      </c>
      <c r="C8162" s="704" t="s">
        <v>775</v>
      </c>
      <c r="D8162" s="704" t="s">
        <v>563</v>
      </c>
      <c r="E8162" s="704" t="s">
        <v>448</v>
      </c>
      <c r="F8162" s="706">
        <v>4.6643110265598105E-4</v>
      </c>
      <c r="G8162" s="705">
        <v>6.0041765747264861</v>
      </c>
    </row>
    <row r="8163" spans="2:7" ht="11.25" hidden="1" customHeight="1" outlineLevel="2" x14ac:dyDescent="0.25">
      <c r="B8163" s="704" t="s">
        <v>698</v>
      </c>
      <c r="C8163" s="704" t="s">
        <v>775</v>
      </c>
      <c r="D8163" s="704" t="s">
        <v>563</v>
      </c>
      <c r="E8163" s="704" t="s">
        <v>448</v>
      </c>
      <c r="F8163" s="706">
        <v>1.2202335929890334E-4</v>
      </c>
      <c r="G8163" s="705">
        <v>1.5707592380940749</v>
      </c>
    </row>
    <row r="8164" spans="2:7" ht="11.25" hidden="1" customHeight="1" outlineLevel="2" x14ac:dyDescent="0.25">
      <c r="B8164" s="704" t="s">
        <v>699</v>
      </c>
      <c r="C8164" s="704" t="s">
        <v>775</v>
      </c>
      <c r="D8164" s="704" t="s">
        <v>563</v>
      </c>
      <c r="E8164" s="704" t="s">
        <v>448</v>
      </c>
      <c r="F8164" s="706">
        <v>2.2383917843001189E-3</v>
      </c>
      <c r="G8164" s="705">
        <v>28.640743724603901</v>
      </c>
    </row>
    <row r="8165" spans="2:7" ht="11.25" hidden="1" customHeight="1" outlineLevel="2" x14ac:dyDescent="0.25">
      <c r="B8165" s="704" t="s">
        <v>673</v>
      </c>
      <c r="C8165" s="704" t="s">
        <v>839</v>
      </c>
      <c r="D8165" s="704" t="s">
        <v>563</v>
      </c>
      <c r="E8165" s="704" t="s">
        <v>824</v>
      </c>
      <c r="F8165" s="705">
        <v>1.6829863942939813E-2</v>
      </c>
      <c r="G8165" s="705">
        <v>40.840492336706774</v>
      </c>
    </row>
    <row r="8166" spans="2:7" ht="11.25" hidden="1" customHeight="1" outlineLevel="2" x14ac:dyDescent="0.25">
      <c r="B8166" s="704" t="s">
        <v>677</v>
      </c>
      <c r="C8166" s="704" t="s">
        <v>839</v>
      </c>
      <c r="D8166" s="704" t="s">
        <v>563</v>
      </c>
      <c r="E8166" s="704" t="s">
        <v>824</v>
      </c>
      <c r="F8166" s="705">
        <v>7.1311467527524999E-2</v>
      </c>
      <c r="G8166" s="705">
        <v>173.04953761016941</v>
      </c>
    </row>
    <row r="8167" spans="2:7" ht="11.25" hidden="1" customHeight="1" outlineLevel="2" x14ac:dyDescent="0.25">
      <c r="B8167" s="704" t="s">
        <v>678</v>
      </c>
      <c r="C8167" s="704" t="s">
        <v>839</v>
      </c>
      <c r="D8167" s="704" t="s">
        <v>563</v>
      </c>
      <c r="E8167" s="704" t="s">
        <v>824</v>
      </c>
      <c r="F8167" s="705">
        <v>0.13050580945821066</v>
      </c>
      <c r="G8167" s="705">
        <v>316.69431884363593</v>
      </c>
    </row>
    <row r="8168" spans="2:7" ht="11.25" hidden="1" customHeight="1" outlineLevel="2" x14ac:dyDescent="0.25">
      <c r="B8168" s="704" t="s">
        <v>679</v>
      </c>
      <c r="C8168" s="704" t="s">
        <v>839</v>
      </c>
      <c r="D8168" s="704" t="s">
        <v>563</v>
      </c>
      <c r="E8168" s="704" t="s">
        <v>824</v>
      </c>
      <c r="F8168" s="705">
        <v>3.4921202048535734E-3</v>
      </c>
      <c r="G8168" s="705">
        <v>8.4742151460665447</v>
      </c>
    </row>
    <row r="8169" spans="2:7" ht="11.25" hidden="1" customHeight="1" outlineLevel="2" x14ac:dyDescent="0.25">
      <c r="B8169" s="704" t="s">
        <v>680</v>
      </c>
      <c r="C8169" s="704" t="s">
        <v>839</v>
      </c>
      <c r="D8169" s="704" t="s">
        <v>563</v>
      </c>
      <c r="E8169" s="704" t="s">
        <v>824</v>
      </c>
      <c r="F8169" s="705">
        <v>8.4610778910747357E-3</v>
      </c>
      <c r="G8169" s="705">
        <v>20.532238056335729</v>
      </c>
    </row>
    <row r="8170" spans="2:7" ht="11.25" hidden="1" customHeight="1" outlineLevel="2" x14ac:dyDescent="0.25">
      <c r="B8170" s="704" t="s">
        <v>681</v>
      </c>
      <c r="C8170" s="704" t="s">
        <v>839</v>
      </c>
      <c r="D8170" s="704" t="s">
        <v>563</v>
      </c>
      <c r="E8170" s="704" t="s">
        <v>824</v>
      </c>
      <c r="F8170" s="705">
        <v>1.8188770734358001E-2</v>
      </c>
      <c r="G8170" s="705">
        <v>44.138073361205642</v>
      </c>
    </row>
    <row r="8171" spans="2:7" ht="11.25" hidden="1" customHeight="1" outlineLevel="2" x14ac:dyDescent="0.25">
      <c r="B8171" s="704" t="s">
        <v>682</v>
      </c>
      <c r="C8171" s="704" t="s">
        <v>839</v>
      </c>
      <c r="D8171" s="704" t="s">
        <v>563</v>
      </c>
      <c r="E8171" s="704" t="s">
        <v>824</v>
      </c>
      <c r="F8171" s="705">
        <v>1.6588842660710541E-2</v>
      </c>
      <c r="G8171" s="705">
        <v>40.255614039022973</v>
      </c>
    </row>
    <row r="8172" spans="2:7" ht="11.25" hidden="1" customHeight="1" outlineLevel="2" x14ac:dyDescent="0.25">
      <c r="B8172" s="704" t="s">
        <v>683</v>
      </c>
      <c r="C8172" s="704" t="s">
        <v>839</v>
      </c>
      <c r="D8172" s="704" t="s">
        <v>563</v>
      </c>
      <c r="E8172" s="704" t="s">
        <v>824</v>
      </c>
      <c r="F8172" s="705">
        <v>5.7663558551410247E-3</v>
      </c>
      <c r="G8172" s="705">
        <v>13.993033509882629</v>
      </c>
    </row>
    <row r="8173" spans="2:7" ht="11.25" hidden="1" customHeight="1" outlineLevel="2" x14ac:dyDescent="0.25">
      <c r="B8173" s="704" t="s">
        <v>684</v>
      </c>
      <c r="C8173" s="704" t="s">
        <v>839</v>
      </c>
      <c r="D8173" s="704" t="s">
        <v>563</v>
      </c>
      <c r="E8173" s="704" t="s">
        <v>824</v>
      </c>
      <c r="F8173" s="705">
        <v>1.1669009559080155E-2</v>
      </c>
      <c r="G8173" s="705">
        <v>28.31680961693684</v>
      </c>
    </row>
    <row r="8174" spans="2:7" ht="11.25" hidden="1" customHeight="1" outlineLevel="2" x14ac:dyDescent="0.25">
      <c r="B8174" s="704" t="s">
        <v>685</v>
      </c>
      <c r="C8174" s="704" t="s">
        <v>839</v>
      </c>
      <c r="D8174" s="704" t="s">
        <v>563</v>
      </c>
      <c r="E8174" s="704" t="s">
        <v>824</v>
      </c>
      <c r="F8174" s="705">
        <v>4.4013011623678155E-2</v>
      </c>
      <c r="G8174" s="705">
        <v>106.80496310097892</v>
      </c>
    </row>
    <row r="8175" spans="2:7" ht="11.25" hidden="1" customHeight="1" outlineLevel="2" x14ac:dyDescent="0.25">
      <c r="B8175" s="704" t="s">
        <v>686</v>
      </c>
      <c r="C8175" s="704" t="s">
        <v>839</v>
      </c>
      <c r="D8175" s="704" t="s">
        <v>563</v>
      </c>
      <c r="E8175" s="704" t="s">
        <v>824</v>
      </c>
      <c r="F8175" s="705">
        <v>4.3254081799267013E-3</v>
      </c>
      <c r="G8175" s="705">
        <v>10.496336026259673</v>
      </c>
    </row>
    <row r="8176" spans="2:7" ht="11.25" hidden="1" customHeight="1" outlineLevel="2" x14ac:dyDescent="0.25">
      <c r="B8176" s="704" t="s">
        <v>687</v>
      </c>
      <c r="C8176" s="704" t="s">
        <v>839</v>
      </c>
      <c r="D8176" s="704" t="s">
        <v>563</v>
      </c>
      <c r="E8176" s="704" t="s">
        <v>824</v>
      </c>
      <c r="F8176" s="705">
        <v>2.9372781034484555E-2</v>
      </c>
      <c r="G8176" s="705">
        <v>71.277985785095211</v>
      </c>
    </row>
    <row r="8177" spans="2:7" ht="11.25" hidden="1" customHeight="1" outlineLevel="2" x14ac:dyDescent="0.25">
      <c r="B8177" s="704" t="s">
        <v>688</v>
      </c>
      <c r="C8177" s="704" t="s">
        <v>839</v>
      </c>
      <c r="D8177" s="704" t="s">
        <v>563</v>
      </c>
      <c r="E8177" s="704" t="s">
        <v>824</v>
      </c>
      <c r="F8177" s="705">
        <v>3.9892720446140041E-2</v>
      </c>
      <c r="G8177" s="705">
        <v>96.806416048824445</v>
      </c>
    </row>
    <row r="8178" spans="2:7" ht="11.25" hidden="1" customHeight="1" outlineLevel="2" x14ac:dyDescent="0.25">
      <c r="B8178" s="704" t="s">
        <v>689</v>
      </c>
      <c r="C8178" s="704" t="s">
        <v>839</v>
      </c>
      <c r="D8178" s="704" t="s">
        <v>563</v>
      </c>
      <c r="E8178" s="704" t="s">
        <v>824</v>
      </c>
      <c r="F8178" s="705">
        <v>5.3678450638991685E-3</v>
      </c>
      <c r="G8178" s="705">
        <v>13.0259819531119</v>
      </c>
    </row>
    <row r="8179" spans="2:7" ht="11.25" hidden="1" customHeight="1" outlineLevel="2" x14ac:dyDescent="0.25">
      <c r="B8179" s="704" t="s">
        <v>690</v>
      </c>
      <c r="C8179" s="704" t="s">
        <v>839</v>
      </c>
      <c r="D8179" s="704" t="s">
        <v>563</v>
      </c>
      <c r="E8179" s="704" t="s">
        <v>824</v>
      </c>
      <c r="F8179" s="705">
        <v>7.383971435484217E-2</v>
      </c>
      <c r="G8179" s="705">
        <v>179.18405288603662</v>
      </c>
    </row>
    <row r="8180" spans="2:7" ht="11.25" hidden="1" customHeight="1" outlineLevel="2" x14ac:dyDescent="0.25">
      <c r="B8180" s="704" t="s">
        <v>691</v>
      </c>
      <c r="C8180" s="704" t="s">
        <v>839</v>
      </c>
      <c r="D8180" s="704" t="s">
        <v>563</v>
      </c>
      <c r="E8180" s="704" t="s">
        <v>824</v>
      </c>
      <c r="F8180" s="705">
        <v>5.421501868855666E-2</v>
      </c>
      <c r="G8180" s="705">
        <v>131.56191213173574</v>
      </c>
    </row>
    <row r="8181" spans="2:7" ht="11.25" hidden="1" customHeight="1" outlineLevel="2" x14ac:dyDescent="0.25">
      <c r="B8181" s="704" t="s">
        <v>692</v>
      </c>
      <c r="C8181" s="704" t="s">
        <v>839</v>
      </c>
      <c r="D8181" s="704" t="s">
        <v>563</v>
      </c>
      <c r="E8181" s="704" t="s">
        <v>824</v>
      </c>
      <c r="F8181" s="705">
        <v>4.4407843579916126E-3</v>
      </c>
      <c r="G8181" s="705">
        <v>10.776319439406468</v>
      </c>
    </row>
    <row r="8182" spans="2:7" ht="11.25" hidden="1" customHeight="1" outlineLevel="2" x14ac:dyDescent="0.25">
      <c r="B8182" s="704" t="s">
        <v>693</v>
      </c>
      <c r="C8182" s="704" t="s">
        <v>839</v>
      </c>
      <c r="D8182" s="704" t="s">
        <v>563</v>
      </c>
      <c r="E8182" s="704" t="s">
        <v>824</v>
      </c>
      <c r="F8182" s="705">
        <v>2.3921796283224283E-3</v>
      </c>
      <c r="G8182" s="705">
        <v>5.8050236076506891</v>
      </c>
    </row>
    <row r="8183" spans="2:7" ht="11.25" hidden="1" customHeight="1" outlineLevel="2" x14ac:dyDescent="0.25">
      <c r="B8183" s="704" t="s">
        <v>694</v>
      </c>
      <c r="C8183" s="704" t="s">
        <v>839</v>
      </c>
      <c r="D8183" s="704" t="s">
        <v>563</v>
      </c>
      <c r="E8183" s="704" t="s">
        <v>824</v>
      </c>
      <c r="F8183" s="705">
        <v>1.6281175781729365E-3</v>
      </c>
      <c r="G8183" s="705">
        <v>3.9509019946379302</v>
      </c>
    </row>
    <row r="8184" spans="2:7" ht="11.25" hidden="1" customHeight="1" outlineLevel="2" x14ac:dyDescent="0.25">
      <c r="B8184" s="704" t="s">
        <v>695</v>
      </c>
      <c r="C8184" s="704" t="s">
        <v>839</v>
      </c>
      <c r="D8184" s="704" t="s">
        <v>563</v>
      </c>
      <c r="E8184" s="704" t="s">
        <v>824</v>
      </c>
      <c r="F8184" s="705">
        <v>1.1440405210910186E-2</v>
      </c>
      <c r="G8184" s="705">
        <v>27.762087493217734</v>
      </c>
    </row>
    <row r="8185" spans="2:7" ht="11.25" hidden="1" customHeight="1" outlineLevel="2" x14ac:dyDescent="0.25">
      <c r="B8185" s="704" t="s">
        <v>696</v>
      </c>
      <c r="C8185" s="704" t="s">
        <v>839</v>
      </c>
      <c r="D8185" s="704" t="s">
        <v>563</v>
      </c>
      <c r="E8185" s="704" t="s">
        <v>824</v>
      </c>
      <c r="F8185" s="706">
        <v>4.1074718861622048E-2</v>
      </c>
      <c r="G8185" s="705">
        <v>99.674694471250533</v>
      </c>
    </row>
    <row r="8186" spans="2:7" ht="11.25" hidden="1" customHeight="1" outlineLevel="2" x14ac:dyDescent="0.25">
      <c r="B8186" s="704" t="s">
        <v>697</v>
      </c>
      <c r="C8186" s="704" t="s">
        <v>839</v>
      </c>
      <c r="D8186" s="704" t="s">
        <v>563</v>
      </c>
      <c r="E8186" s="704" t="s">
        <v>824</v>
      </c>
      <c r="F8186" s="706">
        <v>2.0757850449514097E-2</v>
      </c>
      <c r="G8186" s="705">
        <v>50.372438933102387</v>
      </c>
    </row>
    <row r="8187" spans="2:7" ht="11.25" hidden="1" customHeight="1" outlineLevel="2" x14ac:dyDescent="0.25">
      <c r="B8187" s="704" t="s">
        <v>698</v>
      </c>
      <c r="C8187" s="704" t="s">
        <v>839</v>
      </c>
      <c r="D8187" s="704" t="s">
        <v>563</v>
      </c>
      <c r="E8187" s="704" t="s">
        <v>824</v>
      </c>
      <c r="F8187" s="706">
        <v>5.430477497400138E-3</v>
      </c>
      <c r="G8187" s="705">
        <v>13.177951153121224</v>
      </c>
    </row>
    <row r="8188" spans="2:7" ht="11.25" hidden="1" customHeight="1" outlineLevel="2" x14ac:dyDescent="0.25">
      <c r="B8188" s="704" t="s">
        <v>699</v>
      </c>
      <c r="C8188" s="704" t="s">
        <v>839</v>
      </c>
      <c r="D8188" s="704" t="s">
        <v>563</v>
      </c>
      <c r="E8188" s="704" t="s">
        <v>824</v>
      </c>
      <c r="F8188" s="706">
        <v>9.9017798106393398E-2</v>
      </c>
      <c r="G8188" s="705">
        <v>240.28327087222627</v>
      </c>
    </row>
    <row r="8189" spans="2:7" ht="11.25" hidden="1" customHeight="1" outlineLevel="2" x14ac:dyDescent="0.25">
      <c r="B8189" s="704" t="s">
        <v>673</v>
      </c>
      <c r="C8189" s="704" t="s">
        <v>840</v>
      </c>
      <c r="D8189" s="704" t="s">
        <v>563</v>
      </c>
      <c r="E8189" s="704" t="s">
        <v>824</v>
      </c>
      <c r="F8189" s="706">
        <v>0.49046167252809003</v>
      </c>
      <c r="G8189" s="705">
        <v>3610.9267438831225</v>
      </c>
    </row>
    <row r="8190" spans="2:7" ht="11.25" hidden="1" customHeight="1" outlineLevel="2" x14ac:dyDescent="0.25">
      <c r="B8190" s="704" t="s">
        <v>677</v>
      </c>
      <c r="C8190" s="704" t="s">
        <v>840</v>
      </c>
      <c r="D8190" s="704" t="s">
        <v>563</v>
      </c>
      <c r="E8190" s="704" t="s">
        <v>824</v>
      </c>
      <c r="F8190" s="706">
        <v>2.0781860740434253</v>
      </c>
      <c r="G8190" s="705">
        <v>15300.23373785902</v>
      </c>
    </row>
    <row r="8191" spans="2:7" ht="11.25" hidden="1" customHeight="1" outlineLevel="2" x14ac:dyDescent="0.25">
      <c r="B8191" s="704" t="s">
        <v>678</v>
      </c>
      <c r="C8191" s="704" t="s">
        <v>840</v>
      </c>
      <c r="D8191" s="704" t="s">
        <v>563</v>
      </c>
      <c r="E8191" s="704" t="s">
        <v>824</v>
      </c>
      <c r="F8191" s="706">
        <v>3.8032456814703237</v>
      </c>
      <c r="G8191" s="705">
        <v>28000.665075367171</v>
      </c>
    </row>
    <row r="8192" spans="2:7" ht="11.25" hidden="1" customHeight="1" outlineLevel="2" x14ac:dyDescent="0.25">
      <c r="B8192" s="704" t="s">
        <v>679</v>
      </c>
      <c r="C8192" s="704" t="s">
        <v>840</v>
      </c>
      <c r="D8192" s="704" t="s">
        <v>563</v>
      </c>
      <c r="E8192" s="704" t="s">
        <v>824</v>
      </c>
      <c r="F8192" s="705">
        <v>0.10176856754011748</v>
      </c>
      <c r="G8192" s="705">
        <v>749.25106335855753</v>
      </c>
    </row>
    <row r="8193" spans="2:7" ht="11.25" hidden="1" customHeight="1" outlineLevel="2" x14ac:dyDescent="0.25">
      <c r="B8193" s="704" t="s">
        <v>680</v>
      </c>
      <c r="C8193" s="704" t="s">
        <v>840</v>
      </c>
      <c r="D8193" s="704" t="s">
        <v>563</v>
      </c>
      <c r="E8193" s="704" t="s">
        <v>824</v>
      </c>
      <c r="F8193" s="705">
        <v>0.24657585295971471</v>
      </c>
      <c r="G8193" s="705">
        <v>1815.3658548215199</v>
      </c>
    </row>
    <row r="8194" spans="2:7" ht="11.25" hidden="1" customHeight="1" outlineLevel="2" x14ac:dyDescent="0.25">
      <c r="B8194" s="704" t="s">
        <v>681</v>
      </c>
      <c r="C8194" s="704" t="s">
        <v>840</v>
      </c>
      <c r="D8194" s="704" t="s">
        <v>563</v>
      </c>
      <c r="E8194" s="704" t="s">
        <v>824</v>
      </c>
      <c r="F8194" s="705">
        <v>0.53006343595363592</v>
      </c>
      <c r="G8194" s="705">
        <v>3902.487693211131</v>
      </c>
    </row>
    <row r="8195" spans="2:7" ht="11.25" hidden="1" customHeight="1" outlineLevel="2" x14ac:dyDescent="0.25">
      <c r="B8195" s="704" t="s">
        <v>682</v>
      </c>
      <c r="C8195" s="704" t="s">
        <v>840</v>
      </c>
      <c r="D8195" s="704" t="s">
        <v>563</v>
      </c>
      <c r="E8195" s="704" t="s">
        <v>824</v>
      </c>
      <c r="F8195" s="705">
        <v>0.48343816729823702</v>
      </c>
      <c r="G8195" s="705">
        <v>3559.2190575800587</v>
      </c>
    </row>
    <row r="8196" spans="2:7" ht="11.25" hidden="1" customHeight="1" outlineLevel="2" x14ac:dyDescent="0.25">
      <c r="B8196" s="704" t="s">
        <v>683</v>
      </c>
      <c r="C8196" s="704" t="s">
        <v>840</v>
      </c>
      <c r="D8196" s="704" t="s">
        <v>563</v>
      </c>
      <c r="E8196" s="704" t="s">
        <v>824</v>
      </c>
      <c r="F8196" s="705">
        <v>0.16804520000692319</v>
      </c>
      <c r="G8196" s="705">
        <v>1237.199990567354</v>
      </c>
    </row>
    <row r="8197" spans="2:7" ht="11.25" hidden="1" customHeight="1" outlineLevel="2" x14ac:dyDescent="0.25">
      <c r="B8197" s="704" t="s">
        <v>684</v>
      </c>
      <c r="C8197" s="704" t="s">
        <v>840</v>
      </c>
      <c r="D8197" s="704" t="s">
        <v>563</v>
      </c>
      <c r="E8197" s="704" t="s">
        <v>824</v>
      </c>
      <c r="F8197" s="705">
        <v>0.34006254006987363</v>
      </c>
      <c r="G8197" s="705">
        <v>2503.6424056226451</v>
      </c>
    </row>
    <row r="8198" spans="2:7" ht="11.25" hidden="1" customHeight="1" outlineLevel="2" x14ac:dyDescent="0.25">
      <c r="B8198" s="704" t="s">
        <v>685</v>
      </c>
      <c r="C8198" s="704" t="s">
        <v>840</v>
      </c>
      <c r="D8198" s="704" t="s">
        <v>563</v>
      </c>
      <c r="E8198" s="704" t="s">
        <v>824</v>
      </c>
      <c r="F8198" s="705">
        <v>1.2826429374488209</v>
      </c>
      <c r="G8198" s="705">
        <v>9443.204891356505</v>
      </c>
    </row>
    <row r="8199" spans="2:7" ht="11.25" hidden="1" customHeight="1" outlineLevel="2" x14ac:dyDescent="0.25">
      <c r="B8199" s="704" t="s">
        <v>686</v>
      </c>
      <c r="C8199" s="704" t="s">
        <v>840</v>
      </c>
      <c r="D8199" s="704" t="s">
        <v>563</v>
      </c>
      <c r="E8199" s="704" t="s">
        <v>824</v>
      </c>
      <c r="F8199" s="705">
        <v>0.12605253904340688</v>
      </c>
      <c r="G8199" s="705">
        <v>928.03727143853496</v>
      </c>
    </row>
    <row r="8200" spans="2:7" ht="11.25" hidden="1" customHeight="1" outlineLevel="2" x14ac:dyDescent="0.25">
      <c r="B8200" s="704" t="s">
        <v>687</v>
      </c>
      <c r="C8200" s="704" t="s">
        <v>840</v>
      </c>
      <c r="D8200" s="704" t="s">
        <v>563</v>
      </c>
      <c r="E8200" s="704" t="s">
        <v>824</v>
      </c>
      <c r="F8200" s="705">
        <v>0.85599163135381018</v>
      </c>
      <c r="G8200" s="705">
        <v>6302.0711690303615</v>
      </c>
    </row>
    <row r="8201" spans="2:7" ht="11.25" hidden="1" customHeight="1" outlineLevel="2" x14ac:dyDescent="0.25">
      <c r="B8201" s="704" t="s">
        <v>688</v>
      </c>
      <c r="C8201" s="704" t="s">
        <v>840</v>
      </c>
      <c r="D8201" s="704" t="s">
        <v>563</v>
      </c>
      <c r="E8201" s="704" t="s">
        <v>824</v>
      </c>
      <c r="F8201" s="705">
        <v>1.1625678232194829</v>
      </c>
      <c r="G8201" s="705">
        <v>8559.1757442013059</v>
      </c>
    </row>
    <row r="8202" spans="2:7" ht="11.25" hidden="1" customHeight="1" outlineLevel="2" x14ac:dyDescent="0.25">
      <c r="B8202" s="704" t="s">
        <v>689</v>
      </c>
      <c r="C8202" s="704" t="s">
        <v>840</v>
      </c>
      <c r="D8202" s="704" t="s">
        <v>563</v>
      </c>
      <c r="E8202" s="704" t="s">
        <v>824</v>
      </c>
      <c r="F8202" s="705">
        <v>0.15643161639613287</v>
      </c>
      <c r="G8202" s="705">
        <v>1151.6971029543286</v>
      </c>
    </row>
    <row r="8203" spans="2:7" ht="11.25" hidden="1" customHeight="1" outlineLevel="2" x14ac:dyDescent="0.25">
      <c r="B8203" s="704" t="s">
        <v>690</v>
      </c>
      <c r="C8203" s="704" t="s">
        <v>840</v>
      </c>
      <c r="D8203" s="704" t="s">
        <v>563</v>
      </c>
      <c r="E8203" s="704" t="s">
        <v>824</v>
      </c>
      <c r="F8203" s="705">
        <v>2.1518602007222092</v>
      </c>
      <c r="G8203" s="705">
        <v>15842.649600742825</v>
      </c>
    </row>
    <row r="8204" spans="2:7" ht="11.25" hidden="1" customHeight="1" outlineLevel="2" x14ac:dyDescent="0.25">
      <c r="B8204" s="704" t="s">
        <v>691</v>
      </c>
      <c r="C8204" s="704" t="s">
        <v>840</v>
      </c>
      <c r="D8204" s="704" t="s">
        <v>563</v>
      </c>
      <c r="E8204" s="704" t="s">
        <v>824</v>
      </c>
      <c r="F8204" s="705">
        <v>1.5799529286285863</v>
      </c>
      <c r="G8204" s="705">
        <v>11632.090134036021</v>
      </c>
    </row>
    <row r="8205" spans="2:7" ht="11.25" hidden="1" customHeight="1" outlineLevel="2" x14ac:dyDescent="0.25">
      <c r="B8205" s="704" t="s">
        <v>692</v>
      </c>
      <c r="C8205" s="704" t="s">
        <v>840</v>
      </c>
      <c r="D8205" s="704" t="s">
        <v>563</v>
      </c>
      <c r="E8205" s="704" t="s">
        <v>824</v>
      </c>
      <c r="F8205" s="705">
        <v>0.12941497346061553</v>
      </c>
      <c r="G8205" s="705">
        <v>952.79175273595547</v>
      </c>
    </row>
    <row r="8206" spans="2:7" ht="11.25" hidden="1" customHeight="1" outlineLevel="2" x14ac:dyDescent="0.25">
      <c r="B8206" s="704" t="s">
        <v>693</v>
      </c>
      <c r="C8206" s="704" t="s">
        <v>840</v>
      </c>
      <c r="D8206" s="704" t="s">
        <v>563</v>
      </c>
      <c r="E8206" s="704" t="s">
        <v>824</v>
      </c>
      <c r="F8206" s="705">
        <v>6.9713717234819214E-2</v>
      </c>
      <c r="G8206" s="705">
        <v>513.25351143596197</v>
      </c>
    </row>
    <row r="8207" spans="2:7" ht="11.25" hidden="1" customHeight="1" outlineLevel="2" x14ac:dyDescent="0.25">
      <c r="B8207" s="704" t="s">
        <v>694</v>
      </c>
      <c r="C8207" s="704" t="s">
        <v>840</v>
      </c>
      <c r="D8207" s="704" t="s">
        <v>563</v>
      </c>
      <c r="E8207" s="704" t="s">
        <v>824</v>
      </c>
      <c r="F8207" s="705">
        <v>4.7447162702092288E-2</v>
      </c>
      <c r="G8207" s="705">
        <v>349.3204265122759</v>
      </c>
    </row>
    <row r="8208" spans="2:7" ht="11.25" hidden="1" customHeight="1" outlineLevel="2" x14ac:dyDescent="0.25">
      <c r="B8208" s="704" t="s">
        <v>695</v>
      </c>
      <c r="C8208" s="704" t="s">
        <v>840</v>
      </c>
      <c r="D8208" s="704" t="s">
        <v>563</v>
      </c>
      <c r="E8208" s="704" t="s">
        <v>824</v>
      </c>
      <c r="F8208" s="705">
        <v>0.33340033149680687</v>
      </c>
      <c r="G8208" s="705">
        <v>2454.5966148854045</v>
      </c>
    </row>
    <row r="8209" spans="2:7" ht="11.25" hidden="1" customHeight="1" outlineLevel="2" x14ac:dyDescent="0.25">
      <c r="B8209" s="704" t="s">
        <v>696</v>
      </c>
      <c r="C8209" s="704" t="s">
        <v>840</v>
      </c>
      <c r="D8209" s="704" t="s">
        <v>563</v>
      </c>
      <c r="E8209" s="704" t="s">
        <v>824</v>
      </c>
      <c r="F8209" s="705">
        <v>1.1970137801713574</v>
      </c>
      <c r="G8209" s="705">
        <v>8812.7770496633439</v>
      </c>
    </row>
    <row r="8210" spans="2:7" ht="11.25" hidden="1" customHeight="1" outlineLevel="2" x14ac:dyDescent="0.25">
      <c r="B8210" s="704" t="s">
        <v>697</v>
      </c>
      <c r="C8210" s="704" t="s">
        <v>840</v>
      </c>
      <c r="D8210" s="704" t="s">
        <v>563</v>
      </c>
      <c r="E8210" s="704" t="s">
        <v>824</v>
      </c>
      <c r="F8210" s="705">
        <v>0.60493278448590626</v>
      </c>
      <c r="G8210" s="705">
        <v>4453.6990742271319</v>
      </c>
    </row>
    <row r="8211" spans="2:7" ht="11.25" hidden="1" customHeight="1" outlineLevel="2" x14ac:dyDescent="0.25">
      <c r="B8211" s="704" t="s">
        <v>698</v>
      </c>
      <c r="C8211" s="704" t="s">
        <v>840</v>
      </c>
      <c r="D8211" s="704" t="s">
        <v>563</v>
      </c>
      <c r="E8211" s="704" t="s">
        <v>824</v>
      </c>
      <c r="F8211" s="705">
        <v>0.15825684174835072</v>
      </c>
      <c r="G8211" s="705">
        <v>1165.1351279114042</v>
      </c>
    </row>
    <row r="8212" spans="2:7" ht="11.25" hidden="1" customHeight="1" outlineLevel="2" x14ac:dyDescent="0.25">
      <c r="B8212" s="704" t="s">
        <v>699</v>
      </c>
      <c r="C8212" s="704" t="s">
        <v>840</v>
      </c>
      <c r="D8212" s="704" t="s">
        <v>563</v>
      </c>
      <c r="E8212" s="704" t="s">
        <v>824</v>
      </c>
      <c r="F8212" s="705">
        <v>2.8856085524843293</v>
      </c>
      <c r="G8212" s="705">
        <v>21244.725851189654</v>
      </c>
    </row>
    <row r="8213" spans="2:7" ht="11.25" hidden="1" customHeight="1" outlineLevel="2" x14ac:dyDescent="0.25">
      <c r="B8213" s="704" t="s">
        <v>673</v>
      </c>
      <c r="C8213" s="704" t="s">
        <v>841</v>
      </c>
      <c r="D8213" s="704" t="s">
        <v>563</v>
      </c>
      <c r="E8213" s="704" t="s">
        <v>824</v>
      </c>
      <c r="F8213" s="705">
        <v>2.3855812318781494E-3</v>
      </c>
      <c r="G8213" s="705">
        <v>27.298695493587068</v>
      </c>
    </row>
    <row r="8214" spans="2:7" ht="11.25" hidden="1" customHeight="1" outlineLevel="2" x14ac:dyDescent="0.25">
      <c r="B8214" s="704" t="s">
        <v>677</v>
      </c>
      <c r="C8214" s="704" t="s">
        <v>841</v>
      </c>
      <c r="D8214" s="704" t="s">
        <v>563</v>
      </c>
      <c r="E8214" s="704" t="s">
        <v>824</v>
      </c>
      <c r="F8214" s="705">
        <v>1.0108175199944737E-2</v>
      </c>
      <c r="G8214" s="705">
        <v>115.670140503507</v>
      </c>
    </row>
    <row r="8215" spans="2:7" ht="11.25" hidden="1" customHeight="1" outlineLevel="2" x14ac:dyDescent="0.25">
      <c r="B8215" s="704" t="s">
        <v>678</v>
      </c>
      <c r="C8215" s="704" t="s">
        <v>841</v>
      </c>
      <c r="D8215" s="704" t="s">
        <v>563</v>
      </c>
      <c r="E8215" s="704" t="s">
        <v>824</v>
      </c>
      <c r="F8215" s="705">
        <v>1.8498777830948668E-2</v>
      </c>
      <c r="G8215" s="705">
        <v>211.68556849804608</v>
      </c>
    </row>
    <row r="8216" spans="2:7" ht="11.25" hidden="1" customHeight="1" outlineLevel="2" x14ac:dyDescent="0.25">
      <c r="B8216" s="704" t="s">
        <v>679</v>
      </c>
      <c r="C8216" s="704" t="s">
        <v>841</v>
      </c>
      <c r="D8216" s="704" t="s">
        <v>563</v>
      </c>
      <c r="E8216" s="704" t="s">
        <v>824</v>
      </c>
      <c r="F8216" s="705">
        <v>4.9499665603211767E-4</v>
      </c>
      <c r="G8216" s="705">
        <v>5.6643547122757489</v>
      </c>
    </row>
    <row r="8217" spans="2:7" ht="11.25" hidden="1" customHeight="1" outlineLevel="2" x14ac:dyDescent="0.25">
      <c r="B8217" s="704" t="s">
        <v>680</v>
      </c>
      <c r="C8217" s="704" t="s">
        <v>841</v>
      </c>
      <c r="D8217" s="704" t="s">
        <v>563</v>
      </c>
      <c r="E8217" s="704" t="s">
        <v>824</v>
      </c>
      <c r="F8217" s="705">
        <v>1.1993313133291236E-3</v>
      </c>
      <c r="G8217" s="705">
        <v>13.724196100194657</v>
      </c>
    </row>
    <row r="8218" spans="2:7" ht="11.25" hidden="1" customHeight="1" outlineLevel="2" x14ac:dyDescent="0.25">
      <c r="B8218" s="704" t="s">
        <v>681</v>
      </c>
      <c r="C8218" s="704" t="s">
        <v>841</v>
      </c>
      <c r="D8218" s="704" t="s">
        <v>563</v>
      </c>
      <c r="E8218" s="704" t="s">
        <v>824</v>
      </c>
      <c r="F8218" s="705">
        <v>2.5782013150601009E-3</v>
      </c>
      <c r="G8218" s="705">
        <v>29.502904387653061</v>
      </c>
    </row>
    <row r="8219" spans="2:7" ht="11.25" hidden="1" customHeight="1" outlineLevel="2" x14ac:dyDescent="0.25">
      <c r="B8219" s="704" t="s">
        <v>682</v>
      </c>
      <c r="C8219" s="704" t="s">
        <v>841</v>
      </c>
      <c r="D8219" s="704" t="s">
        <v>563</v>
      </c>
      <c r="E8219" s="704" t="s">
        <v>824</v>
      </c>
      <c r="F8219" s="705">
        <v>2.3514146227456012E-3</v>
      </c>
      <c r="G8219" s="705">
        <v>26.907772250030781</v>
      </c>
    </row>
    <row r="8220" spans="2:7" ht="11.25" hidden="1" customHeight="1" outlineLevel="2" x14ac:dyDescent="0.25">
      <c r="B8220" s="704" t="s">
        <v>683</v>
      </c>
      <c r="C8220" s="704" t="s">
        <v>841</v>
      </c>
      <c r="D8220" s="704" t="s">
        <v>563</v>
      </c>
      <c r="E8220" s="704" t="s">
        <v>824</v>
      </c>
      <c r="F8220" s="705">
        <v>8.173619197144969E-4</v>
      </c>
      <c r="G8220" s="705">
        <v>9.3532533369181419</v>
      </c>
    </row>
    <row r="8221" spans="2:7" ht="11.25" hidden="1" customHeight="1" outlineLevel="2" x14ac:dyDescent="0.25">
      <c r="B8221" s="704" t="s">
        <v>684</v>
      </c>
      <c r="C8221" s="704" t="s">
        <v>841</v>
      </c>
      <c r="D8221" s="704" t="s">
        <v>563</v>
      </c>
      <c r="E8221" s="704" t="s">
        <v>824</v>
      </c>
      <c r="F8221" s="705">
        <v>1.6757923809407552E-3</v>
      </c>
      <c r="G8221" s="705">
        <v>19.176478209783888</v>
      </c>
    </row>
    <row r="8222" spans="2:7" ht="11.25" hidden="1" customHeight="1" outlineLevel="2" x14ac:dyDescent="0.25">
      <c r="B8222" s="704" t="s">
        <v>685</v>
      </c>
      <c r="C8222" s="704" t="s">
        <v>841</v>
      </c>
      <c r="D8222" s="704" t="s">
        <v>563</v>
      </c>
      <c r="E8222" s="704" t="s">
        <v>824</v>
      </c>
      <c r="F8222" s="705">
        <v>6.2387013173175561E-3</v>
      </c>
      <c r="G8222" s="705">
        <v>71.390835777169869</v>
      </c>
    </row>
    <row r="8223" spans="2:7" ht="11.25" hidden="1" customHeight="1" outlineLevel="2" x14ac:dyDescent="0.25">
      <c r="B8223" s="704" t="s">
        <v>686</v>
      </c>
      <c r="C8223" s="704" t="s">
        <v>841</v>
      </c>
      <c r="D8223" s="704" t="s">
        <v>563</v>
      </c>
      <c r="E8223" s="704" t="s">
        <v>824</v>
      </c>
      <c r="F8223" s="705">
        <v>6.1311264292078331E-4</v>
      </c>
      <c r="G8223" s="705">
        <v>7.0159816734079632</v>
      </c>
    </row>
    <row r="8224" spans="2:7" ht="11.25" hidden="1" customHeight="1" outlineLevel="2" x14ac:dyDescent="0.25">
      <c r="B8224" s="704" t="s">
        <v>687</v>
      </c>
      <c r="C8224" s="704" t="s">
        <v>841</v>
      </c>
      <c r="D8224" s="704" t="s">
        <v>563</v>
      </c>
      <c r="E8224" s="704" t="s">
        <v>824</v>
      </c>
      <c r="F8224" s="706">
        <v>4.1634972241179251E-3</v>
      </c>
      <c r="G8224" s="705">
        <v>47.643789211216948</v>
      </c>
    </row>
    <row r="8225" spans="2:7" ht="11.25" hidden="1" customHeight="1" outlineLevel="2" x14ac:dyDescent="0.25">
      <c r="B8225" s="704" t="s">
        <v>688</v>
      </c>
      <c r="C8225" s="704" t="s">
        <v>841</v>
      </c>
      <c r="D8225" s="704" t="s">
        <v>563</v>
      </c>
      <c r="E8225" s="704" t="s">
        <v>824</v>
      </c>
      <c r="F8225" s="706">
        <v>5.6546630784697263E-3</v>
      </c>
      <c r="G8225" s="705">
        <v>64.707562138844494</v>
      </c>
    </row>
    <row r="8226" spans="2:7" ht="11.25" hidden="1" customHeight="1" outlineLevel="2" x14ac:dyDescent="0.25">
      <c r="B8226" s="704" t="s">
        <v>689</v>
      </c>
      <c r="C8226" s="704" t="s">
        <v>841</v>
      </c>
      <c r="D8226" s="704" t="s">
        <v>563</v>
      </c>
      <c r="E8226" s="704" t="s">
        <v>824</v>
      </c>
      <c r="F8226" s="706">
        <v>7.6087460770295678E-4</v>
      </c>
      <c r="G8226" s="705">
        <v>8.7068572931426154</v>
      </c>
    </row>
    <row r="8227" spans="2:7" ht="11.25" hidden="1" customHeight="1" outlineLevel="2" x14ac:dyDescent="0.25">
      <c r="B8227" s="704" t="s">
        <v>690</v>
      </c>
      <c r="C8227" s="704" t="s">
        <v>841</v>
      </c>
      <c r="D8227" s="704" t="s">
        <v>563</v>
      </c>
      <c r="E8227" s="704" t="s">
        <v>824</v>
      </c>
      <c r="F8227" s="706">
        <v>1.0466526282762678E-2</v>
      </c>
      <c r="G8227" s="705">
        <v>119.77074958424072</v>
      </c>
    </row>
    <row r="8228" spans="2:7" ht="11.25" hidden="1" customHeight="1" outlineLevel="2" x14ac:dyDescent="0.25">
      <c r="B8228" s="704" t="s">
        <v>691</v>
      </c>
      <c r="C8228" s="704" t="s">
        <v>841</v>
      </c>
      <c r="D8228" s="704" t="s">
        <v>563</v>
      </c>
      <c r="E8228" s="704" t="s">
        <v>824</v>
      </c>
      <c r="F8228" s="706">
        <v>7.684805720649379E-3</v>
      </c>
      <c r="G8228" s="705">
        <v>87.938894821083608</v>
      </c>
    </row>
    <row r="8229" spans="2:7" ht="11.25" hidden="1" customHeight="1" outlineLevel="2" x14ac:dyDescent="0.25">
      <c r="B8229" s="704" t="s">
        <v>692</v>
      </c>
      <c r="C8229" s="704" t="s">
        <v>841</v>
      </c>
      <c r="D8229" s="704" t="s">
        <v>563</v>
      </c>
      <c r="E8229" s="704" t="s">
        <v>824</v>
      </c>
      <c r="F8229" s="706">
        <v>6.2946669002454029E-4</v>
      </c>
      <c r="G8229" s="705">
        <v>7.2031293184143594</v>
      </c>
    </row>
    <row r="8230" spans="2:7" ht="11.25" hidden="1" customHeight="1" outlineLevel="2" x14ac:dyDescent="0.25">
      <c r="B8230" s="704" t="s">
        <v>693</v>
      </c>
      <c r="C8230" s="704" t="s">
        <v>841</v>
      </c>
      <c r="D8230" s="704" t="s">
        <v>563</v>
      </c>
      <c r="E8230" s="704" t="s">
        <v>824</v>
      </c>
      <c r="F8230" s="706">
        <v>3.3908342031709055E-4</v>
      </c>
      <c r="G8230" s="705">
        <v>3.8802086909968949</v>
      </c>
    </row>
    <row r="8231" spans="2:7" ht="11.25" hidden="1" customHeight="1" outlineLevel="2" x14ac:dyDescent="0.25">
      <c r="B8231" s="704" t="s">
        <v>694</v>
      </c>
      <c r="C8231" s="704" t="s">
        <v>841</v>
      </c>
      <c r="D8231" s="704" t="s">
        <v>563</v>
      </c>
      <c r="E8231" s="704" t="s">
        <v>824</v>
      </c>
      <c r="F8231" s="705">
        <v>2.3078033902864024E-4</v>
      </c>
      <c r="G8231" s="705">
        <v>2.6408710452683293</v>
      </c>
    </row>
    <row r="8232" spans="2:7" ht="11.25" hidden="1" customHeight="1" outlineLevel="2" x14ac:dyDescent="0.25">
      <c r="B8232" s="704" t="s">
        <v>695</v>
      </c>
      <c r="C8232" s="704" t="s">
        <v>841</v>
      </c>
      <c r="D8232" s="704" t="s">
        <v>563</v>
      </c>
      <c r="E8232" s="704" t="s">
        <v>824</v>
      </c>
      <c r="F8232" s="705">
        <v>1.6216409522084745E-3</v>
      </c>
      <c r="G8232" s="705">
        <v>18.556800159928262</v>
      </c>
    </row>
    <row r="8233" spans="2:7" ht="11.25" hidden="1" customHeight="1" outlineLevel="2" x14ac:dyDescent="0.25">
      <c r="B8233" s="704" t="s">
        <v>696</v>
      </c>
      <c r="C8233" s="704" t="s">
        <v>841</v>
      </c>
      <c r="D8233" s="704" t="s">
        <v>563</v>
      </c>
      <c r="E8233" s="704" t="s">
        <v>824</v>
      </c>
      <c r="F8233" s="705">
        <v>5.8222033510104852E-3</v>
      </c>
      <c r="G8233" s="705">
        <v>66.624785694858318</v>
      </c>
    </row>
    <row r="8234" spans="2:7" ht="11.25" hidden="1" customHeight="1" outlineLevel="2" x14ac:dyDescent="0.25">
      <c r="B8234" s="704" t="s">
        <v>697</v>
      </c>
      <c r="C8234" s="704" t="s">
        <v>841</v>
      </c>
      <c r="D8234" s="704" t="s">
        <v>563</v>
      </c>
      <c r="E8234" s="704" t="s">
        <v>824</v>
      </c>
      <c r="F8234" s="706">
        <v>2.942358987565636E-3</v>
      </c>
      <c r="G8234" s="705">
        <v>33.670065367858257</v>
      </c>
    </row>
    <row r="8235" spans="2:7" ht="11.25" hidden="1" customHeight="1" outlineLevel="2" x14ac:dyDescent="0.25">
      <c r="B8235" s="704" t="s">
        <v>698</v>
      </c>
      <c r="C8235" s="704" t="s">
        <v>841</v>
      </c>
      <c r="D8235" s="704" t="s">
        <v>563</v>
      </c>
      <c r="E8235" s="704" t="s">
        <v>824</v>
      </c>
      <c r="F8235" s="705">
        <v>7.697521687407273E-4</v>
      </c>
      <c r="G8235" s="705">
        <v>8.8084455105374921</v>
      </c>
    </row>
    <row r="8236" spans="2:7" ht="11.25" hidden="1" customHeight="1" outlineLevel="2" x14ac:dyDescent="0.25">
      <c r="B8236" s="704" t="s">
        <v>699</v>
      </c>
      <c r="C8236" s="704" t="s">
        <v>841</v>
      </c>
      <c r="D8236" s="704" t="s">
        <v>563</v>
      </c>
      <c r="E8236" s="704" t="s">
        <v>824</v>
      </c>
      <c r="F8236" s="705">
        <v>1.4035448353310087E-2</v>
      </c>
      <c r="G8236" s="705">
        <v>160.61064696722323</v>
      </c>
    </row>
    <row r="8237" spans="2:7" ht="11.25" hidden="1" customHeight="1" outlineLevel="2" x14ac:dyDescent="0.25">
      <c r="B8237" s="704" t="s">
        <v>673</v>
      </c>
      <c r="C8237" s="704" t="s">
        <v>842</v>
      </c>
      <c r="D8237" s="704" t="s">
        <v>563</v>
      </c>
      <c r="E8237" s="704" t="s">
        <v>824</v>
      </c>
      <c r="F8237" s="706">
        <v>8.6447508423933791E-4</v>
      </c>
      <c r="G8237" s="705">
        <v>8.4613329321624224</v>
      </c>
    </row>
    <row r="8238" spans="2:7" ht="11.25" hidden="1" customHeight="1" outlineLevel="2" x14ac:dyDescent="0.25">
      <c r="B8238" s="704" t="s">
        <v>677</v>
      </c>
      <c r="C8238" s="704" t="s">
        <v>842</v>
      </c>
      <c r="D8238" s="704" t="s">
        <v>563</v>
      </c>
      <c r="E8238" s="704" t="s">
        <v>824</v>
      </c>
      <c r="F8238" s="705">
        <v>3.6629580724601659E-3</v>
      </c>
      <c r="G8238" s="705">
        <v>35.852387243204284</v>
      </c>
    </row>
    <row r="8239" spans="2:7" ht="11.25" hidden="1" customHeight="1" outlineLevel="2" x14ac:dyDescent="0.25">
      <c r="B8239" s="704" t="s">
        <v>678</v>
      </c>
      <c r="C8239" s="704" t="s">
        <v>842</v>
      </c>
      <c r="D8239" s="704" t="s">
        <v>563</v>
      </c>
      <c r="E8239" s="704" t="s">
        <v>824</v>
      </c>
      <c r="F8239" s="705">
        <v>6.7035007594920364E-3</v>
      </c>
      <c r="G8239" s="705">
        <v>65.612711760304393</v>
      </c>
    </row>
    <row r="8240" spans="2:7" ht="11.25" hidden="1" customHeight="1" outlineLevel="2" x14ac:dyDescent="0.25">
      <c r="B8240" s="704" t="s">
        <v>679</v>
      </c>
      <c r="C8240" s="704" t="s">
        <v>842</v>
      </c>
      <c r="D8240" s="704" t="s">
        <v>563</v>
      </c>
      <c r="E8240" s="704" t="s">
        <v>824</v>
      </c>
      <c r="F8240" s="705">
        <v>1.7937462793672393E-4</v>
      </c>
      <c r="G8240" s="705">
        <v>1.7556900306118084</v>
      </c>
    </row>
    <row r="8241" spans="2:7" ht="11.25" hidden="1" customHeight="1" outlineLevel="2" x14ac:dyDescent="0.25">
      <c r="B8241" s="704" t="s">
        <v>680</v>
      </c>
      <c r="C8241" s="704" t="s">
        <v>842</v>
      </c>
      <c r="D8241" s="704" t="s">
        <v>563</v>
      </c>
      <c r="E8241" s="704" t="s">
        <v>824</v>
      </c>
      <c r="F8241" s="706">
        <v>4.3460826028303564E-4</v>
      </c>
      <c r="G8241" s="705">
        <v>4.2538685178079199</v>
      </c>
    </row>
    <row r="8242" spans="2:7" ht="11.25" hidden="1" customHeight="1" outlineLevel="2" x14ac:dyDescent="0.25">
      <c r="B8242" s="704" t="s">
        <v>681</v>
      </c>
      <c r="C8242" s="704" t="s">
        <v>842</v>
      </c>
      <c r="D8242" s="704" t="s">
        <v>563</v>
      </c>
      <c r="E8242" s="704" t="s">
        <v>824</v>
      </c>
      <c r="F8242" s="706">
        <v>9.3427560436663945E-4</v>
      </c>
      <c r="G8242" s="705">
        <v>9.1445300139070014</v>
      </c>
    </row>
    <row r="8243" spans="2:7" ht="11.25" hidden="1" customHeight="1" outlineLevel="2" x14ac:dyDescent="0.25">
      <c r="B8243" s="704" t="s">
        <v>682</v>
      </c>
      <c r="C8243" s="704" t="s">
        <v>842</v>
      </c>
      <c r="D8243" s="704" t="s">
        <v>563</v>
      </c>
      <c r="E8243" s="704" t="s">
        <v>824</v>
      </c>
      <c r="F8243" s="706">
        <v>8.5209500953712584E-4</v>
      </c>
      <c r="G8243" s="705">
        <v>8.3401602296176041</v>
      </c>
    </row>
    <row r="8244" spans="2:7" ht="11.25" hidden="1" customHeight="1" outlineLevel="2" x14ac:dyDescent="0.25">
      <c r="B8244" s="704" t="s">
        <v>683</v>
      </c>
      <c r="C8244" s="704" t="s">
        <v>842</v>
      </c>
      <c r="D8244" s="704" t="s">
        <v>563</v>
      </c>
      <c r="E8244" s="704" t="s">
        <v>824</v>
      </c>
      <c r="F8244" s="705">
        <v>2.9619177637818544E-4</v>
      </c>
      <c r="G8244" s="705">
        <v>2.8990767306870553</v>
      </c>
    </row>
    <row r="8245" spans="2:7" ht="11.25" hidden="1" customHeight="1" outlineLevel="2" x14ac:dyDescent="0.25">
      <c r="B8245" s="704" t="s">
        <v>684</v>
      </c>
      <c r="C8245" s="704" t="s">
        <v>842</v>
      </c>
      <c r="D8245" s="704" t="s">
        <v>563</v>
      </c>
      <c r="E8245" s="704" t="s">
        <v>824</v>
      </c>
      <c r="F8245" s="705">
        <v>6.0726603593287427E-4</v>
      </c>
      <c r="G8245" s="705">
        <v>5.9438144746150563</v>
      </c>
    </row>
    <row r="8246" spans="2:7" ht="11.25" hidden="1" customHeight="1" outlineLevel="2" x14ac:dyDescent="0.25">
      <c r="B8246" s="704" t="s">
        <v>685</v>
      </c>
      <c r="C8246" s="704" t="s">
        <v>842</v>
      </c>
      <c r="D8246" s="704" t="s">
        <v>563</v>
      </c>
      <c r="E8246" s="704" t="s">
        <v>824</v>
      </c>
      <c r="F8246" s="705">
        <v>2.2607525413261232E-3</v>
      </c>
      <c r="G8246" s="705">
        <v>22.127855621367129</v>
      </c>
    </row>
    <row r="8247" spans="2:7" ht="11.25" hidden="1" customHeight="1" outlineLevel="2" x14ac:dyDescent="0.25">
      <c r="B8247" s="704" t="s">
        <v>686</v>
      </c>
      <c r="C8247" s="704" t="s">
        <v>842</v>
      </c>
      <c r="D8247" s="704" t="s">
        <v>563</v>
      </c>
      <c r="E8247" s="704" t="s">
        <v>824</v>
      </c>
      <c r="F8247" s="705">
        <v>2.2217695737063707E-4</v>
      </c>
      <c r="G8247" s="705">
        <v>2.1746295248166079</v>
      </c>
    </row>
    <row r="8248" spans="2:7" ht="11.25" hidden="1" customHeight="1" outlineLevel="2" x14ac:dyDescent="0.25">
      <c r="B8248" s="704" t="s">
        <v>687</v>
      </c>
      <c r="C8248" s="704" t="s">
        <v>842</v>
      </c>
      <c r="D8248" s="704" t="s">
        <v>563</v>
      </c>
      <c r="E8248" s="704" t="s">
        <v>824</v>
      </c>
      <c r="F8248" s="705">
        <v>1.5087482904487047E-3</v>
      </c>
      <c r="G8248" s="705">
        <v>14.767377802840413</v>
      </c>
    </row>
    <row r="8249" spans="2:7" ht="11.25" hidden="1" customHeight="1" outlineLevel="2" x14ac:dyDescent="0.25">
      <c r="B8249" s="704" t="s">
        <v>688</v>
      </c>
      <c r="C8249" s="704" t="s">
        <v>842</v>
      </c>
      <c r="D8249" s="704" t="s">
        <v>563</v>
      </c>
      <c r="E8249" s="704" t="s">
        <v>824</v>
      </c>
      <c r="F8249" s="705">
        <v>2.0491119082669401E-3</v>
      </c>
      <c r="G8249" s="705">
        <v>20.056360963778129</v>
      </c>
    </row>
    <row r="8250" spans="2:7" ht="11.25" hidden="1" customHeight="1" outlineLevel="2" x14ac:dyDescent="0.25">
      <c r="B8250" s="704" t="s">
        <v>689</v>
      </c>
      <c r="C8250" s="704" t="s">
        <v>842</v>
      </c>
      <c r="D8250" s="704" t="s">
        <v>563</v>
      </c>
      <c r="E8250" s="704" t="s">
        <v>824</v>
      </c>
      <c r="F8250" s="705">
        <v>2.7572237382223326E-4</v>
      </c>
      <c r="G8250" s="705">
        <v>2.6987227778912408</v>
      </c>
    </row>
    <row r="8251" spans="2:7" ht="11.25" hidden="1" customHeight="1" outlineLevel="2" x14ac:dyDescent="0.25">
      <c r="B8251" s="704" t="s">
        <v>690</v>
      </c>
      <c r="C8251" s="704" t="s">
        <v>842</v>
      </c>
      <c r="D8251" s="704" t="s">
        <v>563</v>
      </c>
      <c r="E8251" s="704" t="s">
        <v>824</v>
      </c>
      <c r="F8251" s="705">
        <v>3.7928102515697205E-3</v>
      </c>
      <c r="G8251" s="705">
        <v>37.123385677538877</v>
      </c>
    </row>
    <row r="8252" spans="2:7" ht="11.25" hidden="1" customHeight="1" outlineLevel="2" x14ac:dyDescent="0.25">
      <c r="B8252" s="704" t="s">
        <v>691</v>
      </c>
      <c r="C8252" s="704" t="s">
        <v>842</v>
      </c>
      <c r="D8252" s="704" t="s">
        <v>563</v>
      </c>
      <c r="E8252" s="704" t="s">
        <v>824</v>
      </c>
      <c r="F8252" s="705">
        <v>2.7847852343186354E-3</v>
      </c>
      <c r="G8252" s="705">
        <v>27.25698604891722</v>
      </c>
    </row>
    <row r="8253" spans="2:7" ht="11.25" hidden="1" customHeight="1" outlineLevel="2" x14ac:dyDescent="0.25">
      <c r="B8253" s="704" t="s">
        <v>692</v>
      </c>
      <c r="C8253" s="704" t="s">
        <v>842</v>
      </c>
      <c r="D8253" s="704" t="s">
        <v>563</v>
      </c>
      <c r="E8253" s="704" t="s">
        <v>824</v>
      </c>
      <c r="F8253" s="705">
        <v>2.2810347171911124E-4</v>
      </c>
      <c r="G8253" s="705">
        <v>2.2326355767438679</v>
      </c>
    </row>
    <row r="8254" spans="2:7" ht="11.25" hidden="1" customHeight="1" outlineLevel="2" x14ac:dyDescent="0.25">
      <c r="B8254" s="704" t="s">
        <v>693</v>
      </c>
      <c r="C8254" s="704" t="s">
        <v>842</v>
      </c>
      <c r="D8254" s="704" t="s">
        <v>563</v>
      </c>
      <c r="E8254" s="704" t="s">
        <v>824</v>
      </c>
      <c r="F8254" s="705">
        <v>1.2287561143883253E-4</v>
      </c>
      <c r="G8254" s="705">
        <v>1.20268487491283</v>
      </c>
    </row>
    <row r="8255" spans="2:7" ht="11.25" hidden="1" customHeight="1" outlineLevel="2" x14ac:dyDescent="0.25">
      <c r="B8255" s="704" t="s">
        <v>694</v>
      </c>
      <c r="C8255" s="704" t="s">
        <v>842</v>
      </c>
      <c r="D8255" s="704" t="s">
        <v>563</v>
      </c>
      <c r="E8255" s="704" t="s">
        <v>824</v>
      </c>
      <c r="F8255" s="706">
        <v>8.3629162400639711E-5</v>
      </c>
      <c r="G8255" s="705">
        <v>0.81854761578141866</v>
      </c>
    </row>
    <row r="8256" spans="2:7" ht="11.25" hidden="1" customHeight="1" outlineLevel="2" x14ac:dyDescent="0.25">
      <c r="B8256" s="704" t="s">
        <v>695</v>
      </c>
      <c r="C8256" s="704" t="s">
        <v>842</v>
      </c>
      <c r="D8256" s="704" t="s">
        <v>563</v>
      </c>
      <c r="E8256" s="704" t="s">
        <v>824</v>
      </c>
      <c r="F8256" s="706">
        <v>5.8764279587918892E-4</v>
      </c>
      <c r="G8256" s="705">
        <v>5.7517445238085676</v>
      </c>
    </row>
    <row r="8257" spans="2:7" ht="11.25" hidden="1" customHeight="1" outlineLevel="2" x14ac:dyDescent="0.25">
      <c r="B8257" s="704" t="s">
        <v>696</v>
      </c>
      <c r="C8257" s="704" t="s">
        <v>842</v>
      </c>
      <c r="D8257" s="704" t="s">
        <v>563</v>
      </c>
      <c r="E8257" s="704" t="s">
        <v>824</v>
      </c>
      <c r="F8257" s="705">
        <v>2.109825372144145E-3</v>
      </c>
      <c r="G8257" s="705">
        <v>20.650585579218735</v>
      </c>
    </row>
    <row r="8258" spans="2:7" ht="11.25" hidden="1" customHeight="1" outlineLevel="2" x14ac:dyDescent="0.25">
      <c r="B8258" s="704" t="s">
        <v>697</v>
      </c>
      <c r="C8258" s="704" t="s">
        <v>842</v>
      </c>
      <c r="D8258" s="704" t="s">
        <v>563</v>
      </c>
      <c r="E8258" s="704" t="s">
        <v>824</v>
      </c>
      <c r="F8258" s="705">
        <v>1.0662384328488351E-3</v>
      </c>
      <c r="G8258" s="705">
        <v>10.436150251267705</v>
      </c>
    </row>
    <row r="8259" spans="2:7" ht="11.25" hidden="1" customHeight="1" outlineLevel="2" x14ac:dyDescent="0.25">
      <c r="B8259" s="704" t="s">
        <v>698</v>
      </c>
      <c r="C8259" s="704" t="s">
        <v>842</v>
      </c>
      <c r="D8259" s="704" t="s">
        <v>563</v>
      </c>
      <c r="E8259" s="704" t="s">
        <v>824</v>
      </c>
      <c r="F8259" s="705">
        <v>2.7893944456037096E-4</v>
      </c>
      <c r="G8259" s="705">
        <v>2.7302120800991432</v>
      </c>
    </row>
    <row r="8260" spans="2:7" ht="11.25" hidden="1" customHeight="1" outlineLevel="2" x14ac:dyDescent="0.25">
      <c r="B8260" s="704" t="s">
        <v>699</v>
      </c>
      <c r="C8260" s="704" t="s">
        <v>842</v>
      </c>
      <c r="D8260" s="704" t="s">
        <v>563</v>
      </c>
      <c r="E8260" s="704" t="s">
        <v>824</v>
      </c>
      <c r="F8260" s="705">
        <v>5.0861021733914075E-3</v>
      </c>
      <c r="G8260" s="705">
        <v>49.781881622611223</v>
      </c>
    </row>
    <row r="8261" spans="2:7" ht="11.25" hidden="1" customHeight="1" outlineLevel="2" x14ac:dyDescent="0.25">
      <c r="B8261" s="704" t="s">
        <v>673</v>
      </c>
      <c r="C8261" s="704" t="s">
        <v>843</v>
      </c>
      <c r="D8261" s="704" t="s">
        <v>563</v>
      </c>
      <c r="E8261" s="704" t="s">
        <v>824</v>
      </c>
      <c r="F8261" s="705">
        <v>8.3556376516019681E-4</v>
      </c>
      <c r="G8261" s="705">
        <v>2.1831714079490294</v>
      </c>
    </row>
    <row r="8262" spans="2:7" ht="11.25" hidden="1" customHeight="1" outlineLevel="2" x14ac:dyDescent="0.25">
      <c r="B8262" s="704" t="s">
        <v>677</v>
      </c>
      <c r="C8262" s="704" t="s">
        <v>843</v>
      </c>
      <c r="D8262" s="704" t="s">
        <v>563</v>
      </c>
      <c r="E8262" s="704" t="s">
        <v>824</v>
      </c>
      <c r="F8262" s="705">
        <v>3.5404539671011048E-3</v>
      </c>
      <c r="G8262" s="705">
        <v>9.2505299541467547</v>
      </c>
    </row>
    <row r="8263" spans="2:7" ht="11.25" hidden="1" customHeight="1" outlineLevel="2" x14ac:dyDescent="0.25">
      <c r="B8263" s="704" t="s">
        <v>678</v>
      </c>
      <c r="C8263" s="704" t="s">
        <v>843</v>
      </c>
      <c r="D8263" s="704" t="s">
        <v>563</v>
      </c>
      <c r="E8263" s="704" t="s">
        <v>824</v>
      </c>
      <c r="F8263" s="705">
        <v>6.4793189664884929E-3</v>
      </c>
      <c r="G8263" s="705">
        <v>16.929225060670852</v>
      </c>
    </row>
    <row r="8264" spans="2:7" ht="11.25" hidden="1" customHeight="1" outlineLevel="2" x14ac:dyDescent="0.25">
      <c r="B8264" s="704" t="s">
        <v>679</v>
      </c>
      <c r="C8264" s="704" t="s">
        <v>843</v>
      </c>
      <c r="D8264" s="704" t="s">
        <v>563</v>
      </c>
      <c r="E8264" s="704" t="s">
        <v>824</v>
      </c>
      <c r="F8264" s="705">
        <v>1.7337585258684089E-4</v>
      </c>
      <c r="G8264" s="705">
        <v>0.45299808414371145</v>
      </c>
    </row>
    <row r="8265" spans="2:7" ht="11.25" hidden="1" customHeight="1" outlineLevel="2" x14ac:dyDescent="0.25">
      <c r="B8265" s="704" t="s">
        <v>680</v>
      </c>
      <c r="C8265" s="704" t="s">
        <v>843</v>
      </c>
      <c r="D8265" s="704" t="s">
        <v>563</v>
      </c>
      <c r="E8265" s="704" t="s">
        <v>824</v>
      </c>
      <c r="F8265" s="705">
        <v>4.2007322837978663E-4</v>
      </c>
      <c r="G8265" s="705">
        <v>1.0975721291122125</v>
      </c>
    </row>
    <row r="8266" spans="2:7" ht="11.25" hidden="1" customHeight="1" outlineLevel="2" x14ac:dyDescent="0.25">
      <c r="B8266" s="704" t="s">
        <v>681</v>
      </c>
      <c r="C8266" s="704" t="s">
        <v>843</v>
      </c>
      <c r="D8266" s="704" t="s">
        <v>563</v>
      </c>
      <c r="E8266" s="704" t="s">
        <v>824</v>
      </c>
      <c r="F8266" s="705">
        <v>9.030310500776239E-4</v>
      </c>
      <c r="G8266" s="705">
        <v>2.3594475588055364</v>
      </c>
    </row>
    <row r="8267" spans="2:7" ht="11.25" hidden="1" customHeight="1" outlineLevel="2" x14ac:dyDescent="0.25">
      <c r="B8267" s="704" t="s">
        <v>682</v>
      </c>
      <c r="C8267" s="704" t="s">
        <v>843</v>
      </c>
      <c r="D8267" s="704" t="s">
        <v>563</v>
      </c>
      <c r="E8267" s="704" t="s">
        <v>824</v>
      </c>
      <c r="F8267" s="705">
        <v>8.2359878461067454E-4</v>
      </c>
      <c r="G8267" s="705">
        <v>2.1519070645942646</v>
      </c>
    </row>
    <row r="8268" spans="2:7" ht="11.25" hidden="1" customHeight="1" outlineLevel="2" x14ac:dyDescent="0.25">
      <c r="B8268" s="704" t="s">
        <v>683</v>
      </c>
      <c r="C8268" s="704" t="s">
        <v>843</v>
      </c>
      <c r="D8268" s="704" t="s">
        <v>563</v>
      </c>
      <c r="E8268" s="704" t="s">
        <v>824</v>
      </c>
      <c r="F8268" s="705">
        <v>2.8628641042086056E-4</v>
      </c>
      <c r="G8268" s="705">
        <v>0.74801187827796256</v>
      </c>
    </row>
    <row r="8269" spans="2:7" ht="11.25" hidden="1" customHeight="1" outlineLevel="2" x14ac:dyDescent="0.25">
      <c r="B8269" s="704" t="s">
        <v>684</v>
      </c>
      <c r="C8269" s="704" t="s">
        <v>843</v>
      </c>
      <c r="D8269" s="704" t="s">
        <v>563</v>
      </c>
      <c r="E8269" s="704" t="s">
        <v>824</v>
      </c>
      <c r="F8269" s="705">
        <v>5.8695671903938025E-4</v>
      </c>
      <c r="G8269" s="705">
        <v>1.5336071117364756</v>
      </c>
    </row>
    <row r="8270" spans="2:7" ht="11.25" hidden="1" customHeight="1" outlineLevel="2" x14ac:dyDescent="0.25">
      <c r="B8270" s="704" t="s">
        <v>685</v>
      </c>
      <c r="C8270" s="704" t="s">
        <v>843</v>
      </c>
      <c r="D8270" s="704" t="s">
        <v>563</v>
      </c>
      <c r="E8270" s="704" t="s">
        <v>824</v>
      </c>
      <c r="F8270" s="705">
        <v>2.1851440458377238E-3</v>
      </c>
      <c r="G8270" s="705">
        <v>5.7093725881125676</v>
      </c>
    </row>
    <row r="8271" spans="2:7" ht="11.25" hidden="1" customHeight="1" outlineLevel="2" x14ac:dyDescent="0.25">
      <c r="B8271" s="704" t="s">
        <v>686</v>
      </c>
      <c r="C8271" s="704" t="s">
        <v>843</v>
      </c>
      <c r="D8271" s="704" t="s">
        <v>563</v>
      </c>
      <c r="E8271" s="704" t="s">
        <v>824</v>
      </c>
      <c r="F8271" s="705">
        <v>2.147465100487325E-4</v>
      </c>
      <c r="G8271" s="705">
        <v>0.56109197482939177</v>
      </c>
    </row>
    <row r="8272" spans="2:7" ht="11.25" hidden="1" customHeight="1" outlineLevel="2" x14ac:dyDescent="0.25">
      <c r="B8272" s="704" t="s">
        <v>687</v>
      </c>
      <c r="C8272" s="704" t="s">
        <v>843</v>
      </c>
      <c r="D8272" s="704" t="s">
        <v>563</v>
      </c>
      <c r="E8272" s="704" t="s">
        <v>824</v>
      </c>
      <c r="F8272" s="706">
        <v>1.458291565600433E-3</v>
      </c>
      <c r="G8272" s="705">
        <v>3.8102376035363026</v>
      </c>
    </row>
    <row r="8273" spans="2:7" ht="11.25" hidden="1" customHeight="1" outlineLevel="2" x14ac:dyDescent="0.25">
      <c r="B8273" s="704" t="s">
        <v>688</v>
      </c>
      <c r="C8273" s="704" t="s">
        <v>843</v>
      </c>
      <c r="D8273" s="704" t="s">
        <v>563</v>
      </c>
      <c r="E8273" s="704" t="s">
        <v>824</v>
      </c>
      <c r="F8273" s="706">
        <v>1.9805825125255023E-3</v>
      </c>
      <c r="G8273" s="705">
        <v>5.1748873256766039</v>
      </c>
    </row>
    <row r="8274" spans="2:7" ht="11.25" hidden="1" customHeight="1" outlineLevel="2" x14ac:dyDescent="0.25">
      <c r="B8274" s="704" t="s">
        <v>689</v>
      </c>
      <c r="C8274" s="704" t="s">
        <v>843</v>
      </c>
      <c r="D8274" s="704" t="s">
        <v>563</v>
      </c>
      <c r="E8274" s="704" t="s">
        <v>824</v>
      </c>
      <c r="F8274" s="706">
        <v>2.665012082760456E-4</v>
      </c>
      <c r="G8274" s="705">
        <v>0.69631741617919218</v>
      </c>
    </row>
    <row r="8275" spans="2:7" ht="11.25" hidden="1" customHeight="1" outlineLevel="2" x14ac:dyDescent="0.25">
      <c r="B8275" s="704" t="s">
        <v>690</v>
      </c>
      <c r="C8275" s="704" t="s">
        <v>843</v>
      </c>
      <c r="D8275" s="704" t="s">
        <v>563</v>
      </c>
      <c r="E8275" s="704" t="s">
        <v>824</v>
      </c>
      <c r="F8275" s="706">
        <v>3.6659667181837227E-3</v>
      </c>
      <c r="G8275" s="705">
        <v>9.5784707315886557</v>
      </c>
    </row>
    <row r="8276" spans="2:7" ht="11.25" hidden="1" customHeight="1" outlineLevel="2" x14ac:dyDescent="0.25">
      <c r="B8276" s="704" t="s">
        <v>691</v>
      </c>
      <c r="C8276" s="704" t="s">
        <v>843</v>
      </c>
      <c r="D8276" s="704" t="s">
        <v>563</v>
      </c>
      <c r="E8276" s="704" t="s">
        <v>824</v>
      </c>
      <c r="F8276" s="706">
        <v>2.6916525583095237E-3</v>
      </c>
      <c r="G8276" s="705">
        <v>7.0327739100111133</v>
      </c>
    </row>
    <row r="8277" spans="2:7" ht="11.25" hidden="1" customHeight="1" outlineLevel="2" x14ac:dyDescent="0.25">
      <c r="B8277" s="704" t="s">
        <v>692</v>
      </c>
      <c r="C8277" s="704" t="s">
        <v>843</v>
      </c>
      <c r="D8277" s="704" t="s">
        <v>563</v>
      </c>
      <c r="E8277" s="704" t="s">
        <v>824</v>
      </c>
      <c r="F8277" s="706">
        <v>2.2047488340397068E-4</v>
      </c>
      <c r="G8277" s="705">
        <v>0.57605920607223693</v>
      </c>
    </row>
    <row r="8278" spans="2:7" ht="11.25" hidden="1" customHeight="1" outlineLevel="2" x14ac:dyDescent="0.25">
      <c r="B8278" s="704" t="s">
        <v>693</v>
      </c>
      <c r="C8278" s="704" t="s">
        <v>843</v>
      </c>
      <c r="D8278" s="704" t="s">
        <v>563</v>
      </c>
      <c r="E8278" s="704" t="s">
        <v>824</v>
      </c>
      <c r="F8278" s="706">
        <v>1.1876614662717914E-4</v>
      </c>
      <c r="G8278" s="705">
        <v>0.31031367642869695</v>
      </c>
    </row>
    <row r="8279" spans="2:7" ht="11.25" hidden="1" customHeight="1" outlineLevel="2" x14ac:dyDescent="0.25">
      <c r="B8279" s="704" t="s">
        <v>694</v>
      </c>
      <c r="C8279" s="704" t="s">
        <v>843</v>
      </c>
      <c r="D8279" s="704" t="s">
        <v>563</v>
      </c>
      <c r="E8279" s="704" t="s">
        <v>824</v>
      </c>
      <c r="F8279" s="706">
        <v>8.0832332657727443E-5</v>
      </c>
      <c r="G8279" s="705">
        <v>0.21119951820666127</v>
      </c>
    </row>
    <row r="8280" spans="2:7" ht="11.25" hidden="1" customHeight="1" outlineLevel="2" x14ac:dyDescent="0.25">
      <c r="B8280" s="704" t="s">
        <v>695</v>
      </c>
      <c r="C8280" s="704" t="s">
        <v>843</v>
      </c>
      <c r="D8280" s="704" t="s">
        <v>563</v>
      </c>
      <c r="E8280" s="704" t="s">
        <v>824</v>
      </c>
      <c r="F8280" s="706">
        <v>5.6798995501084913E-4</v>
      </c>
      <c r="G8280" s="705">
        <v>1.4840508491727102</v>
      </c>
    </row>
    <row r="8281" spans="2:7" ht="11.25" hidden="1" customHeight="1" outlineLevel="2" x14ac:dyDescent="0.25">
      <c r="B8281" s="704" t="s">
        <v>696</v>
      </c>
      <c r="C8281" s="704" t="s">
        <v>843</v>
      </c>
      <c r="D8281" s="704" t="s">
        <v>563</v>
      </c>
      <c r="E8281" s="704" t="s">
        <v>824</v>
      </c>
      <c r="F8281" s="706">
        <v>2.0392649800155963E-3</v>
      </c>
      <c r="G8281" s="705">
        <v>5.3282136735405174</v>
      </c>
    </row>
    <row r="8282" spans="2:7" ht="11.25" hidden="1" customHeight="1" outlineLevel="2" x14ac:dyDescent="0.25">
      <c r="B8282" s="704" t="s">
        <v>697</v>
      </c>
      <c r="C8282" s="704" t="s">
        <v>843</v>
      </c>
      <c r="D8282" s="704" t="s">
        <v>563</v>
      </c>
      <c r="E8282" s="704" t="s">
        <v>824</v>
      </c>
      <c r="F8282" s="705">
        <v>1.0305792095386104E-3</v>
      </c>
      <c r="G8282" s="705">
        <v>2.6927094504721389</v>
      </c>
    </row>
    <row r="8283" spans="2:7" ht="11.25" hidden="1" customHeight="1" outlineLevel="2" x14ac:dyDescent="0.25">
      <c r="B8283" s="704" t="s">
        <v>698</v>
      </c>
      <c r="C8283" s="704" t="s">
        <v>843</v>
      </c>
      <c r="D8283" s="704" t="s">
        <v>563</v>
      </c>
      <c r="E8283" s="704" t="s">
        <v>824</v>
      </c>
      <c r="F8283" s="705">
        <v>2.6961060665974147E-4</v>
      </c>
      <c r="G8283" s="705">
        <v>0.70444145363307997</v>
      </c>
    </row>
    <row r="8284" spans="2:7" ht="11.25" hidden="1" customHeight="1" outlineLevel="2" x14ac:dyDescent="0.25">
      <c r="B8284" s="704" t="s">
        <v>699</v>
      </c>
      <c r="C8284" s="704" t="s">
        <v>843</v>
      </c>
      <c r="D8284" s="704" t="s">
        <v>563</v>
      </c>
      <c r="E8284" s="704" t="s">
        <v>824</v>
      </c>
      <c r="F8284" s="706">
        <v>4.9160022537162468E-3</v>
      </c>
      <c r="G8284" s="705">
        <v>12.844593144114262</v>
      </c>
    </row>
    <row r="8285" spans="2:7" ht="11.25" hidden="1" customHeight="1" outlineLevel="2" x14ac:dyDescent="0.25">
      <c r="B8285" s="704" t="s">
        <v>673</v>
      </c>
      <c r="C8285" s="704" t="s">
        <v>844</v>
      </c>
      <c r="D8285" s="704" t="s">
        <v>563</v>
      </c>
      <c r="E8285" s="704" t="s">
        <v>824</v>
      </c>
      <c r="F8285" s="705">
        <v>8.3559984622763183E-4</v>
      </c>
      <c r="G8285" s="705">
        <v>16.605585697720802</v>
      </c>
    </row>
    <row r="8286" spans="2:7" ht="11.25" hidden="1" customHeight="1" outlineLevel="2" x14ac:dyDescent="0.25">
      <c r="B8286" s="704" t="s">
        <v>677</v>
      </c>
      <c r="C8286" s="704" t="s">
        <v>844</v>
      </c>
      <c r="D8286" s="704" t="s">
        <v>563</v>
      </c>
      <c r="E8286" s="704" t="s">
        <v>824</v>
      </c>
      <c r="F8286" s="705">
        <v>3.5406029461706331E-3</v>
      </c>
      <c r="G8286" s="705">
        <v>70.361152539809495</v>
      </c>
    </row>
    <row r="8287" spans="2:7" ht="11.25" hidden="1" customHeight="1" outlineLevel="2" x14ac:dyDescent="0.25">
      <c r="B8287" s="704" t="s">
        <v>678</v>
      </c>
      <c r="C8287" s="704" t="s">
        <v>844</v>
      </c>
      <c r="D8287" s="704" t="s">
        <v>563</v>
      </c>
      <c r="E8287" s="704" t="s">
        <v>824</v>
      </c>
      <c r="F8287" s="705">
        <v>6.479582503000493E-3</v>
      </c>
      <c r="G8287" s="705">
        <v>128.7666317040202</v>
      </c>
    </row>
    <row r="8288" spans="2:7" ht="11.25" hidden="1" customHeight="1" outlineLevel="2" x14ac:dyDescent="0.25">
      <c r="B8288" s="704" t="s">
        <v>679</v>
      </c>
      <c r="C8288" s="704" t="s">
        <v>844</v>
      </c>
      <c r="D8288" s="704" t="s">
        <v>563</v>
      </c>
      <c r="E8288" s="704" t="s">
        <v>824</v>
      </c>
      <c r="F8288" s="705">
        <v>1.73383005560219E-4</v>
      </c>
      <c r="G8288" s="705">
        <v>3.445584400442137</v>
      </c>
    </row>
    <row r="8289" spans="2:7" ht="11.25" hidden="1" customHeight="1" outlineLevel="2" x14ac:dyDescent="0.25">
      <c r="B8289" s="704" t="s">
        <v>680</v>
      </c>
      <c r="C8289" s="704" t="s">
        <v>844</v>
      </c>
      <c r="D8289" s="704" t="s">
        <v>563</v>
      </c>
      <c r="E8289" s="704" t="s">
        <v>824</v>
      </c>
      <c r="F8289" s="705">
        <v>4.2009106658982831E-4</v>
      </c>
      <c r="G8289" s="705">
        <v>8.3483364993602152</v>
      </c>
    </row>
    <row r="8290" spans="2:7" ht="11.25" hidden="1" customHeight="1" outlineLevel="2" x14ac:dyDescent="0.25">
      <c r="B8290" s="704" t="s">
        <v>681</v>
      </c>
      <c r="C8290" s="704" t="s">
        <v>844</v>
      </c>
      <c r="D8290" s="704" t="s">
        <v>563</v>
      </c>
      <c r="E8290" s="704" t="s">
        <v>824</v>
      </c>
      <c r="F8290" s="705">
        <v>9.0306810289146437E-4</v>
      </c>
      <c r="G8290" s="705">
        <v>17.946383973518046</v>
      </c>
    </row>
    <row r="8291" spans="2:7" ht="11.25" hidden="1" customHeight="1" outlineLevel="2" x14ac:dyDescent="0.25">
      <c r="B8291" s="704" t="s">
        <v>682</v>
      </c>
      <c r="C8291" s="704" t="s">
        <v>844</v>
      </c>
      <c r="D8291" s="704" t="s">
        <v>563</v>
      </c>
      <c r="E8291" s="704" t="s">
        <v>824</v>
      </c>
      <c r="F8291" s="705">
        <v>8.2363361179773774E-4</v>
      </c>
      <c r="G8291" s="705">
        <v>16.367795561529388</v>
      </c>
    </row>
    <row r="8292" spans="2:7" ht="11.25" hidden="1" customHeight="1" outlineLevel="2" x14ac:dyDescent="0.25">
      <c r="B8292" s="704" t="s">
        <v>683</v>
      </c>
      <c r="C8292" s="704" t="s">
        <v>844</v>
      </c>
      <c r="D8292" s="704" t="s">
        <v>563</v>
      </c>
      <c r="E8292" s="704" t="s">
        <v>824</v>
      </c>
      <c r="F8292" s="705">
        <v>2.8629844213809441E-4</v>
      </c>
      <c r="G8292" s="705">
        <v>5.6895262571402343</v>
      </c>
    </row>
    <row r="8293" spans="2:7" ht="11.25" hidden="1" customHeight="1" outlineLevel="2" x14ac:dyDescent="0.25">
      <c r="B8293" s="704" t="s">
        <v>684</v>
      </c>
      <c r="C8293" s="704" t="s">
        <v>844</v>
      </c>
      <c r="D8293" s="704" t="s">
        <v>563</v>
      </c>
      <c r="E8293" s="704" t="s">
        <v>824</v>
      </c>
      <c r="F8293" s="705">
        <v>5.8698158685239056E-4</v>
      </c>
      <c r="G8293" s="705">
        <v>11.664898398821192</v>
      </c>
    </row>
    <row r="8294" spans="2:7" ht="11.25" hidden="1" customHeight="1" outlineLevel="2" x14ac:dyDescent="0.25">
      <c r="B8294" s="704" t="s">
        <v>685</v>
      </c>
      <c r="C8294" s="704" t="s">
        <v>844</v>
      </c>
      <c r="D8294" s="704" t="s">
        <v>563</v>
      </c>
      <c r="E8294" s="704" t="s">
        <v>824</v>
      </c>
      <c r="F8294" s="705">
        <v>2.1852365845793603E-3</v>
      </c>
      <c r="G8294" s="705">
        <v>43.426483639736063</v>
      </c>
    </row>
    <row r="8295" spans="2:7" ht="11.25" hidden="1" customHeight="1" outlineLevel="2" x14ac:dyDescent="0.25">
      <c r="B8295" s="704" t="s">
        <v>686</v>
      </c>
      <c r="C8295" s="704" t="s">
        <v>844</v>
      </c>
      <c r="D8295" s="704" t="s">
        <v>563</v>
      </c>
      <c r="E8295" s="704" t="s">
        <v>824</v>
      </c>
      <c r="F8295" s="705">
        <v>2.1475557877762697E-4</v>
      </c>
      <c r="G8295" s="705">
        <v>4.2677682937306862</v>
      </c>
    </row>
    <row r="8296" spans="2:7" ht="11.25" hidden="1" customHeight="1" outlineLevel="2" x14ac:dyDescent="0.25">
      <c r="B8296" s="704" t="s">
        <v>687</v>
      </c>
      <c r="C8296" s="704" t="s">
        <v>844</v>
      </c>
      <c r="D8296" s="704" t="s">
        <v>563</v>
      </c>
      <c r="E8296" s="704" t="s">
        <v>824</v>
      </c>
      <c r="F8296" s="705">
        <v>1.4583524987696963E-3</v>
      </c>
      <c r="G8296" s="705">
        <v>28.981351014036559</v>
      </c>
    </row>
    <row r="8297" spans="2:7" ht="11.25" hidden="1" customHeight="1" outlineLevel="2" x14ac:dyDescent="0.25">
      <c r="B8297" s="704" t="s">
        <v>688</v>
      </c>
      <c r="C8297" s="704" t="s">
        <v>844</v>
      </c>
      <c r="D8297" s="704" t="s">
        <v>563</v>
      </c>
      <c r="E8297" s="704" t="s">
        <v>824</v>
      </c>
      <c r="F8297" s="705">
        <v>1.9806658834387939E-3</v>
      </c>
      <c r="G8297" s="705">
        <v>39.361114778316342</v>
      </c>
    </row>
    <row r="8298" spans="2:7" ht="11.25" hidden="1" customHeight="1" outlineLevel="2" x14ac:dyDescent="0.25">
      <c r="B8298" s="704" t="s">
        <v>689</v>
      </c>
      <c r="C8298" s="704" t="s">
        <v>844</v>
      </c>
      <c r="D8298" s="704" t="s">
        <v>563</v>
      </c>
      <c r="E8298" s="704" t="s">
        <v>824</v>
      </c>
      <c r="F8298" s="705">
        <v>2.6651233010419544E-4</v>
      </c>
      <c r="G8298" s="705">
        <v>5.296313532383536</v>
      </c>
    </row>
    <row r="8299" spans="2:7" ht="11.25" hidden="1" customHeight="1" outlineLevel="2" x14ac:dyDescent="0.25">
      <c r="B8299" s="704" t="s">
        <v>690</v>
      </c>
      <c r="C8299" s="704" t="s">
        <v>844</v>
      </c>
      <c r="D8299" s="704" t="s">
        <v>563</v>
      </c>
      <c r="E8299" s="704" t="s">
        <v>824</v>
      </c>
      <c r="F8299" s="705">
        <v>3.6661205804965286E-3</v>
      </c>
      <c r="G8299" s="705">
        <v>72.85558480367358</v>
      </c>
    </row>
    <row r="8300" spans="2:7" ht="11.25" hidden="1" customHeight="1" outlineLevel="2" x14ac:dyDescent="0.25">
      <c r="B8300" s="704" t="s">
        <v>691</v>
      </c>
      <c r="C8300" s="704" t="s">
        <v>844</v>
      </c>
      <c r="D8300" s="704" t="s">
        <v>563</v>
      </c>
      <c r="E8300" s="704" t="s">
        <v>824</v>
      </c>
      <c r="F8300" s="705">
        <v>2.6917663638550385E-3</v>
      </c>
      <c r="G8300" s="705">
        <v>53.492551777725268</v>
      </c>
    </row>
    <row r="8301" spans="2:7" ht="11.25" hidden="1" customHeight="1" outlineLevel="2" x14ac:dyDescent="0.25">
      <c r="B8301" s="704" t="s">
        <v>692</v>
      </c>
      <c r="C8301" s="704" t="s">
        <v>844</v>
      </c>
      <c r="D8301" s="704" t="s">
        <v>563</v>
      </c>
      <c r="E8301" s="704" t="s">
        <v>824</v>
      </c>
      <c r="F8301" s="705">
        <v>2.2048398618481523E-4</v>
      </c>
      <c r="G8301" s="705">
        <v>4.3816096456382851</v>
      </c>
    </row>
    <row r="8302" spans="2:7" ht="11.25" hidden="1" customHeight="1" outlineLevel="2" x14ac:dyDescent="0.25">
      <c r="B8302" s="704" t="s">
        <v>693</v>
      </c>
      <c r="C8302" s="704" t="s">
        <v>844</v>
      </c>
      <c r="D8302" s="704" t="s">
        <v>563</v>
      </c>
      <c r="E8302" s="704" t="s">
        <v>824</v>
      </c>
      <c r="F8302" s="705">
        <v>1.1877130025177118E-4</v>
      </c>
      <c r="G8302" s="705">
        <v>2.3603020027921948</v>
      </c>
    </row>
    <row r="8303" spans="2:7" ht="11.25" hidden="1" customHeight="1" outlineLevel="2" x14ac:dyDescent="0.25">
      <c r="B8303" s="704" t="s">
        <v>694</v>
      </c>
      <c r="C8303" s="704" t="s">
        <v>844</v>
      </c>
      <c r="D8303" s="704" t="s">
        <v>563</v>
      </c>
      <c r="E8303" s="704" t="s">
        <v>824</v>
      </c>
      <c r="F8303" s="705">
        <v>8.083580417739863E-5</v>
      </c>
      <c r="G8303" s="705">
        <v>1.6064218137294011</v>
      </c>
    </row>
    <row r="8304" spans="2:7" ht="11.25" hidden="1" customHeight="1" outlineLevel="2" x14ac:dyDescent="0.25">
      <c r="B8304" s="704" t="s">
        <v>695</v>
      </c>
      <c r="C8304" s="704" t="s">
        <v>844</v>
      </c>
      <c r="D8304" s="704" t="s">
        <v>563</v>
      </c>
      <c r="E8304" s="704" t="s">
        <v>824</v>
      </c>
      <c r="F8304" s="705">
        <v>5.6801381199147625E-4</v>
      </c>
      <c r="G8304" s="705">
        <v>11.287946581725585</v>
      </c>
    </row>
    <row r="8305" spans="2:7" ht="11.25" hidden="1" customHeight="1" outlineLevel="2" x14ac:dyDescent="0.25">
      <c r="B8305" s="704" t="s">
        <v>696</v>
      </c>
      <c r="C8305" s="704" t="s">
        <v>844</v>
      </c>
      <c r="D8305" s="704" t="s">
        <v>563</v>
      </c>
      <c r="E8305" s="704" t="s">
        <v>824</v>
      </c>
      <c r="F8305" s="706">
        <v>2.0393528706509146E-3</v>
      </c>
      <c r="G8305" s="705">
        <v>40.527353437117327</v>
      </c>
    </row>
    <row r="8306" spans="2:7" ht="11.25" hidden="1" customHeight="1" outlineLevel="2" x14ac:dyDescent="0.25">
      <c r="B8306" s="704" t="s">
        <v>697</v>
      </c>
      <c r="C8306" s="704" t="s">
        <v>844</v>
      </c>
      <c r="D8306" s="704" t="s">
        <v>563</v>
      </c>
      <c r="E8306" s="704" t="s">
        <v>824</v>
      </c>
      <c r="F8306" s="706">
        <v>1.0306241170174892E-3</v>
      </c>
      <c r="G8306" s="705">
        <v>20.481235834305252</v>
      </c>
    </row>
    <row r="8307" spans="2:7" ht="11.25" hidden="1" customHeight="1" outlineLevel="2" x14ac:dyDescent="0.25">
      <c r="B8307" s="704" t="s">
        <v>698</v>
      </c>
      <c r="C8307" s="704" t="s">
        <v>844</v>
      </c>
      <c r="D8307" s="704" t="s">
        <v>563</v>
      </c>
      <c r="E8307" s="704" t="s">
        <v>824</v>
      </c>
      <c r="F8307" s="706">
        <v>2.696222580665207E-4</v>
      </c>
      <c r="G8307" s="705">
        <v>5.3581181204252273</v>
      </c>
    </row>
    <row r="8308" spans="2:7" ht="11.25" hidden="1" customHeight="1" outlineLevel="2" x14ac:dyDescent="0.25">
      <c r="B8308" s="704" t="s">
        <v>699</v>
      </c>
      <c r="C8308" s="704" t="s">
        <v>844</v>
      </c>
      <c r="D8308" s="704" t="s">
        <v>563</v>
      </c>
      <c r="E8308" s="704" t="s">
        <v>824</v>
      </c>
      <c r="F8308" s="706">
        <v>4.9162112424242189E-3</v>
      </c>
      <c r="G8308" s="705">
        <v>97.698289714413747</v>
      </c>
    </row>
    <row r="8309" spans="2:7" ht="11.25" hidden="1" customHeight="1" outlineLevel="2" x14ac:dyDescent="0.25">
      <c r="B8309" s="704" t="s">
        <v>673</v>
      </c>
      <c r="C8309" s="704" t="s">
        <v>700</v>
      </c>
      <c r="D8309" s="704" t="s">
        <v>563</v>
      </c>
      <c r="E8309" s="704" t="s">
        <v>676</v>
      </c>
      <c r="F8309" s="706">
        <v>2.532990367871486</v>
      </c>
      <c r="G8309" s="705">
        <v>213.16564248675621</v>
      </c>
    </row>
    <row r="8310" spans="2:7" ht="11.25" hidden="1" customHeight="1" outlineLevel="2" x14ac:dyDescent="0.25">
      <c r="B8310" s="704" t="s">
        <v>677</v>
      </c>
      <c r="C8310" s="704" t="s">
        <v>700</v>
      </c>
      <c r="D8310" s="704" t="s">
        <v>563</v>
      </c>
      <c r="E8310" s="704" t="s">
        <v>676</v>
      </c>
      <c r="F8310" s="706">
        <v>10.732806975830586</v>
      </c>
      <c r="G8310" s="705">
        <v>903.22582637940388</v>
      </c>
    </row>
    <row r="8311" spans="2:7" ht="11.25" hidden="1" customHeight="1" outlineLevel="2" x14ac:dyDescent="0.25">
      <c r="B8311" s="704" t="s">
        <v>678</v>
      </c>
      <c r="C8311" s="704" t="s">
        <v>700</v>
      </c>
      <c r="D8311" s="704" t="s">
        <v>563</v>
      </c>
      <c r="E8311" s="704" t="s">
        <v>676</v>
      </c>
      <c r="F8311" s="705">
        <v>19.641874886445571</v>
      </c>
      <c r="G8311" s="705">
        <v>1652.9765598251404</v>
      </c>
    </row>
    <row r="8312" spans="2:7" ht="11.25" hidden="1" customHeight="1" outlineLevel="2" x14ac:dyDescent="0.25">
      <c r="B8312" s="704" t="s">
        <v>679</v>
      </c>
      <c r="C8312" s="704" t="s">
        <v>700</v>
      </c>
      <c r="D8312" s="704" t="s">
        <v>563</v>
      </c>
      <c r="E8312" s="704" t="s">
        <v>676</v>
      </c>
      <c r="F8312" s="705">
        <v>0.525583808714988</v>
      </c>
      <c r="G8312" s="705">
        <v>44.230936721427845</v>
      </c>
    </row>
    <row r="8313" spans="2:7" ht="11.25" hidden="1" customHeight="1" outlineLevel="2" x14ac:dyDescent="0.25">
      <c r="B8313" s="704" t="s">
        <v>680</v>
      </c>
      <c r="C8313" s="704" t="s">
        <v>700</v>
      </c>
      <c r="D8313" s="704" t="s">
        <v>563</v>
      </c>
      <c r="E8313" s="704" t="s">
        <v>676</v>
      </c>
      <c r="F8313" s="705">
        <v>1.2734412747806414</v>
      </c>
      <c r="G8313" s="705">
        <v>107.16731443866195</v>
      </c>
    </row>
    <row r="8314" spans="2:7" ht="11.25" hidden="1" customHeight="1" outlineLevel="2" x14ac:dyDescent="0.25">
      <c r="B8314" s="704" t="s">
        <v>681</v>
      </c>
      <c r="C8314" s="704" t="s">
        <v>700</v>
      </c>
      <c r="D8314" s="704" t="s">
        <v>563</v>
      </c>
      <c r="E8314" s="704" t="s">
        <v>676</v>
      </c>
      <c r="F8314" s="705">
        <v>2.7375127664937215</v>
      </c>
      <c r="G8314" s="705">
        <v>230.37752409074113</v>
      </c>
    </row>
    <row r="8315" spans="2:7" ht="11.25" hidden="1" customHeight="1" outlineLevel="2" x14ac:dyDescent="0.25">
      <c r="B8315" s="704" t="s">
        <v>682</v>
      </c>
      <c r="C8315" s="704" t="s">
        <v>700</v>
      </c>
      <c r="D8315" s="704" t="s">
        <v>563</v>
      </c>
      <c r="E8315" s="704" t="s">
        <v>676</v>
      </c>
      <c r="F8315" s="705">
        <v>2.4967155539909465</v>
      </c>
      <c r="G8315" s="705">
        <v>210.11312856061414</v>
      </c>
    </row>
    <row r="8316" spans="2:7" ht="11.25" hidden="1" customHeight="1" outlineLevel="2" x14ac:dyDescent="0.25">
      <c r="B8316" s="704" t="s">
        <v>683</v>
      </c>
      <c r="C8316" s="704" t="s">
        <v>700</v>
      </c>
      <c r="D8316" s="704" t="s">
        <v>563</v>
      </c>
      <c r="E8316" s="704" t="s">
        <v>676</v>
      </c>
      <c r="F8316" s="705">
        <v>0.86786982752524555</v>
      </c>
      <c r="G8316" s="705">
        <v>73.036230513804767</v>
      </c>
    </row>
    <row r="8317" spans="2:7" ht="11.25" hidden="1" customHeight="1" outlineLevel="2" x14ac:dyDescent="0.25">
      <c r="B8317" s="704" t="s">
        <v>684</v>
      </c>
      <c r="C8317" s="704" t="s">
        <v>700</v>
      </c>
      <c r="D8317" s="704" t="s">
        <v>563</v>
      </c>
      <c r="E8317" s="704" t="s">
        <v>676</v>
      </c>
      <c r="F8317" s="705">
        <v>1.7793456327241908</v>
      </c>
      <c r="G8317" s="705">
        <v>149.7420988733648</v>
      </c>
    </row>
    <row r="8318" spans="2:7" ht="11.25" hidden="1" customHeight="1" outlineLevel="2" x14ac:dyDescent="0.25">
      <c r="B8318" s="704" t="s">
        <v>685</v>
      </c>
      <c r="C8318" s="704" t="s">
        <v>700</v>
      </c>
      <c r="D8318" s="704" t="s">
        <v>563</v>
      </c>
      <c r="E8318" s="704" t="s">
        <v>676</v>
      </c>
      <c r="F8318" s="705">
        <v>6.6242104081908568</v>
      </c>
      <c r="G8318" s="705">
        <v>557.46516693808098</v>
      </c>
    </row>
    <row r="8319" spans="2:7" ht="11.25" hidden="1" customHeight="1" outlineLevel="2" x14ac:dyDescent="0.25">
      <c r="B8319" s="704" t="s">
        <v>686</v>
      </c>
      <c r="C8319" s="704" t="s">
        <v>700</v>
      </c>
      <c r="D8319" s="704" t="s">
        <v>563</v>
      </c>
      <c r="E8319" s="704" t="s">
        <v>676</v>
      </c>
      <c r="F8319" s="705">
        <v>0.65099898777861498</v>
      </c>
      <c r="G8319" s="705">
        <v>54.785345111895403</v>
      </c>
    </row>
    <row r="8320" spans="2:7" ht="11.25" hidden="1" customHeight="1" outlineLevel="2" x14ac:dyDescent="0.25">
      <c r="B8320" s="704" t="s">
        <v>687</v>
      </c>
      <c r="C8320" s="704" t="s">
        <v>700</v>
      </c>
      <c r="D8320" s="704" t="s">
        <v>563</v>
      </c>
      <c r="E8320" s="704" t="s">
        <v>676</v>
      </c>
      <c r="F8320" s="705">
        <v>4.4207684572623789</v>
      </c>
      <c r="G8320" s="705">
        <v>372.0332355345929</v>
      </c>
    </row>
    <row r="8321" spans="2:7" ht="11.25" hidden="1" customHeight="1" outlineLevel="2" x14ac:dyDescent="0.25">
      <c r="B8321" s="704" t="s">
        <v>688</v>
      </c>
      <c r="C8321" s="704" t="s">
        <v>700</v>
      </c>
      <c r="D8321" s="704" t="s">
        <v>563</v>
      </c>
      <c r="E8321" s="704" t="s">
        <v>676</v>
      </c>
      <c r="F8321" s="705">
        <v>6.0040862373129302</v>
      </c>
      <c r="G8321" s="705">
        <v>505.27881869753662</v>
      </c>
    </row>
    <row r="8322" spans="2:7" ht="11.25" hidden="1" customHeight="1" outlineLevel="2" x14ac:dyDescent="0.25">
      <c r="B8322" s="704" t="s">
        <v>689</v>
      </c>
      <c r="C8322" s="704" t="s">
        <v>700</v>
      </c>
      <c r="D8322" s="704" t="s">
        <v>563</v>
      </c>
      <c r="E8322" s="704" t="s">
        <v>676</v>
      </c>
      <c r="F8322" s="705">
        <v>0.80789155494634468</v>
      </c>
      <c r="G8322" s="705">
        <v>67.988785012324257</v>
      </c>
    </row>
    <row r="8323" spans="2:7" ht="11.25" hidden="1" customHeight="1" outlineLevel="2" x14ac:dyDescent="0.25">
      <c r="B8323" s="704" t="s">
        <v>690</v>
      </c>
      <c r="C8323" s="704" t="s">
        <v>700</v>
      </c>
      <c r="D8323" s="704" t="s">
        <v>563</v>
      </c>
      <c r="E8323" s="704" t="s">
        <v>676</v>
      </c>
      <c r="F8323" s="705">
        <v>11.113288835372778</v>
      </c>
      <c r="G8323" s="705">
        <v>935.24610107167052</v>
      </c>
    </row>
    <row r="8324" spans="2:7" ht="11.25" hidden="1" customHeight="1" outlineLevel="2" x14ac:dyDescent="0.25">
      <c r="B8324" s="704" t="s">
        <v>691</v>
      </c>
      <c r="C8324" s="704" t="s">
        <v>700</v>
      </c>
      <c r="D8324" s="704" t="s">
        <v>563</v>
      </c>
      <c r="E8324" s="704" t="s">
        <v>676</v>
      </c>
      <c r="F8324" s="705">
        <v>8.1596736414453552</v>
      </c>
      <c r="G8324" s="705">
        <v>686.68232802853174</v>
      </c>
    </row>
    <row r="8325" spans="2:7" ht="11.25" hidden="1" customHeight="1" outlineLevel="2" x14ac:dyDescent="0.25">
      <c r="B8325" s="704" t="s">
        <v>692</v>
      </c>
      <c r="C8325" s="704" t="s">
        <v>700</v>
      </c>
      <c r="D8325" s="704" t="s">
        <v>563</v>
      </c>
      <c r="E8325" s="704" t="s">
        <v>676</v>
      </c>
      <c r="F8325" s="705">
        <v>0.66836366761285226</v>
      </c>
      <c r="G8325" s="705">
        <v>56.24675521920031</v>
      </c>
    </row>
    <row r="8326" spans="2:7" ht="11.25" hidden="1" customHeight="1" outlineLevel="2" x14ac:dyDescent="0.25">
      <c r="B8326" s="704" t="s">
        <v>693</v>
      </c>
      <c r="C8326" s="704" t="s">
        <v>700</v>
      </c>
      <c r="D8326" s="704" t="s">
        <v>563</v>
      </c>
      <c r="E8326" s="704" t="s">
        <v>676</v>
      </c>
      <c r="F8326" s="705">
        <v>0.36003682338414156</v>
      </c>
      <c r="G8326" s="705">
        <v>30.29914592608592</v>
      </c>
    </row>
    <row r="8327" spans="2:7" ht="11.25" hidden="1" customHeight="1" outlineLevel="2" x14ac:dyDescent="0.25">
      <c r="B8327" s="704" t="s">
        <v>694</v>
      </c>
      <c r="C8327" s="704" t="s">
        <v>700</v>
      </c>
      <c r="D8327" s="704" t="s">
        <v>563</v>
      </c>
      <c r="E8327" s="704" t="s">
        <v>676</v>
      </c>
      <c r="F8327" s="705">
        <v>0.24504086625589908</v>
      </c>
      <c r="G8327" s="705">
        <v>20.621605133530398</v>
      </c>
    </row>
    <row r="8328" spans="2:7" ht="11.25" hidden="1" customHeight="1" outlineLevel="2" x14ac:dyDescent="0.25">
      <c r="B8328" s="704" t="s">
        <v>695</v>
      </c>
      <c r="C8328" s="704" t="s">
        <v>700</v>
      </c>
      <c r="D8328" s="704" t="s">
        <v>563</v>
      </c>
      <c r="E8328" s="704" t="s">
        <v>676</v>
      </c>
      <c r="F8328" s="705">
        <v>1.72184696053828</v>
      </c>
      <c r="G8328" s="705">
        <v>144.90328782563807</v>
      </c>
    </row>
    <row r="8329" spans="2:7" ht="11.25" hidden="1" customHeight="1" outlineLevel="2" x14ac:dyDescent="0.25">
      <c r="B8329" s="704" t="s">
        <v>696</v>
      </c>
      <c r="C8329" s="704" t="s">
        <v>700</v>
      </c>
      <c r="D8329" s="704" t="s">
        <v>563</v>
      </c>
      <c r="E8329" s="704" t="s">
        <v>676</v>
      </c>
      <c r="F8329" s="705">
        <v>6.1819795050413093</v>
      </c>
      <c r="G8329" s="705">
        <v>520.24949159158075</v>
      </c>
    </row>
    <row r="8330" spans="2:7" ht="11.25" hidden="1" customHeight="1" outlineLevel="2" x14ac:dyDescent="0.25">
      <c r="B8330" s="704" t="s">
        <v>697</v>
      </c>
      <c r="C8330" s="704" t="s">
        <v>700</v>
      </c>
      <c r="D8330" s="704" t="s">
        <v>563</v>
      </c>
      <c r="E8330" s="704" t="s">
        <v>676</v>
      </c>
      <c r="F8330" s="705">
        <v>3.1241759318926765</v>
      </c>
      <c r="G8330" s="705">
        <v>262.91739579379703</v>
      </c>
    </row>
    <row r="8331" spans="2:7" ht="11.25" hidden="1" customHeight="1" outlineLevel="2" x14ac:dyDescent="0.25">
      <c r="B8331" s="704" t="s">
        <v>698</v>
      </c>
      <c r="C8331" s="704" t="s">
        <v>700</v>
      </c>
      <c r="D8331" s="704" t="s">
        <v>563</v>
      </c>
      <c r="E8331" s="704" t="s">
        <v>676</v>
      </c>
      <c r="F8331" s="705">
        <v>0.81731815818166542</v>
      </c>
      <c r="G8331" s="705">
        <v>68.781991958313071</v>
      </c>
    </row>
    <row r="8332" spans="2:7" ht="11.25" hidden="1" customHeight="1" outlineLevel="2" x14ac:dyDescent="0.25">
      <c r="B8332" s="704" t="s">
        <v>699</v>
      </c>
      <c r="C8332" s="704" t="s">
        <v>700</v>
      </c>
      <c r="D8332" s="704" t="s">
        <v>563</v>
      </c>
      <c r="E8332" s="704" t="s">
        <v>676</v>
      </c>
      <c r="F8332" s="705">
        <v>14.902749160859653</v>
      </c>
      <c r="G8332" s="705">
        <v>1254.1506084976045</v>
      </c>
    </row>
    <row r="8333" spans="2:7" ht="11.25" hidden="1" customHeight="1" outlineLevel="2" x14ac:dyDescent="0.25">
      <c r="B8333" s="704" t="s">
        <v>673</v>
      </c>
      <c r="C8333" s="704" t="s">
        <v>701</v>
      </c>
      <c r="D8333" s="704" t="s">
        <v>563</v>
      </c>
      <c r="E8333" s="704" t="s">
        <v>676</v>
      </c>
      <c r="F8333" s="705">
        <v>2.7666735069338424E-3</v>
      </c>
      <c r="G8333" s="705">
        <v>0.24227060685691709</v>
      </c>
    </row>
    <row r="8334" spans="2:7" ht="11.25" hidden="1" customHeight="1" outlineLevel="2" x14ac:dyDescent="0.25">
      <c r="B8334" s="704" t="s">
        <v>677</v>
      </c>
      <c r="C8334" s="704" t="s">
        <v>701</v>
      </c>
      <c r="D8334" s="704" t="s">
        <v>563</v>
      </c>
      <c r="E8334" s="704" t="s">
        <v>676</v>
      </c>
      <c r="F8334" s="705">
        <v>1.1722952699144907E-2</v>
      </c>
      <c r="G8334" s="705">
        <v>1.0265490824245398</v>
      </c>
    </row>
    <row r="8335" spans="2:7" ht="11.25" hidden="1" customHeight="1" outlineLevel="2" x14ac:dyDescent="0.25">
      <c r="B8335" s="704" t="s">
        <v>678</v>
      </c>
      <c r="C8335" s="704" t="s">
        <v>701</v>
      </c>
      <c r="D8335" s="704" t="s">
        <v>563</v>
      </c>
      <c r="E8335" s="704" t="s">
        <v>676</v>
      </c>
      <c r="F8335" s="705">
        <v>2.1453937397864074E-2</v>
      </c>
      <c r="G8335" s="705">
        <v>1.8786678090232631</v>
      </c>
    </row>
    <row r="8336" spans="2:7" ht="11.25" hidden="1" customHeight="1" outlineLevel="2" x14ac:dyDescent="0.25">
      <c r="B8336" s="704" t="s">
        <v>679</v>
      </c>
      <c r="C8336" s="704" t="s">
        <v>701</v>
      </c>
      <c r="D8336" s="704" t="s">
        <v>563</v>
      </c>
      <c r="E8336" s="704" t="s">
        <v>676</v>
      </c>
      <c r="F8336" s="705">
        <v>5.7407213601065523E-4</v>
      </c>
      <c r="G8336" s="705">
        <v>5.0269935933692576E-2</v>
      </c>
    </row>
    <row r="8337" spans="2:7" ht="11.25" hidden="1" customHeight="1" outlineLevel="2" x14ac:dyDescent="0.25">
      <c r="B8337" s="704" t="s">
        <v>680</v>
      </c>
      <c r="C8337" s="704" t="s">
        <v>701</v>
      </c>
      <c r="D8337" s="704" t="s">
        <v>563</v>
      </c>
      <c r="E8337" s="704" t="s">
        <v>676</v>
      </c>
      <c r="F8337" s="705">
        <v>1.3909233292681907E-3</v>
      </c>
      <c r="G8337" s="705">
        <v>0.12179963547139701</v>
      </c>
    </row>
    <row r="8338" spans="2:7" ht="11.25" hidden="1" customHeight="1" outlineLevel="2" x14ac:dyDescent="0.25">
      <c r="B8338" s="704" t="s">
        <v>681</v>
      </c>
      <c r="C8338" s="704" t="s">
        <v>701</v>
      </c>
      <c r="D8338" s="704" t="s">
        <v>563</v>
      </c>
      <c r="E8338" s="704" t="s">
        <v>676</v>
      </c>
      <c r="F8338" s="705">
        <v>2.990063603252126E-3</v>
      </c>
      <c r="G8338" s="705">
        <v>0.2618322461845638</v>
      </c>
    </row>
    <row r="8339" spans="2:7" ht="11.25" hidden="1" customHeight="1" outlineLevel="2" x14ac:dyDescent="0.25">
      <c r="B8339" s="704" t="s">
        <v>682</v>
      </c>
      <c r="C8339" s="704" t="s">
        <v>701</v>
      </c>
      <c r="D8339" s="704" t="s">
        <v>563</v>
      </c>
      <c r="E8339" s="704" t="s">
        <v>676</v>
      </c>
      <c r="F8339" s="705">
        <v>2.7270519409397747E-3</v>
      </c>
      <c r="G8339" s="705">
        <v>0.23880126946794777</v>
      </c>
    </row>
    <row r="8340" spans="2:7" ht="11.25" hidden="1" customHeight="1" outlineLevel="2" x14ac:dyDescent="0.25">
      <c r="B8340" s="704" t="s">
        <v>683</v>
      </c>
      <c r="C8340" s="704" t="s">
        <v>701</v>
      </c>
      <c r="D8340" s="704" t="s">
        <v>563</v>
      </c>
      <c r="E8340" s="704" t="s">
        <v>676</v>
      </c>
      <c r="F8340" s="705">
        <v>9.4793575132498488E-4</v>
      </c>
      <c r="G8340" s="705">
        <v>8.3008300618627268E-2</v>
      </c>
    </row>
    <row r="8341" spans="2:7" ht="11.25" hidden="1" customHeight="1" outlineLevel="2" x14ac:dyDescent="0.25">
      <c r="B8341" s="704" t="s">
        <v>684</v>
      </c>
      <c r="C8341" s="704" t="s">
        <v>701</v>
      </c>
      <c r="D8341" s="704" t="s">
        <v>563</v>
      </c>
      <c r="E8341" s="704" t="s">
        <v>676</v>
      </c>
      <c r="F8341" s="705">
        <v>1.9434997358692458E-3</v>
      </c>
      <c r="G8341" s="705">
        <v>0.1701873180705688</v>
      </c>
    </row>
    <row r="8342" spans="2:7" ht="11.25" hidden="1" customHeight="1" outlineLevel="2" x14ac:dyDescent="0.25">
      <c r="B8342" s="704" t="s">
        <v>685</v>
      </c>
      <c r="C8342" s="704" t="s">
        <v>701</v>
      </c>
      <c r="D8342" s="704" t="s">
        <v>563</v>
      </c>
      <c r="E8342" s="704" t="s">
        <v>676</v>
      </c>
      <c r="F8342" s="705">
        <v>7.2353318277866771E-3</v>
      </c>
      <c r="G8342" s="705">
        <v>0.6335799022069778</v>
      </c>
    </row>
    <row r="8343" spans="2:7" ht="11.25" hidden="1" customHeight="1" outlineLevel="2" x14ac:dyDescent="0.25">
      <c r="B8343" s="704" t="s">
        <v>686</v>
      </c>
      <c r="C8343" s="704" t="s">
        <v>701</v>
      </c>
      <c r="D8343" s="704" t="s">
        <v>563</v>
      </c>
      <c r="E8343" s="704" t="s">
        <v>676</v>
      </c>
      <c r="F8343" s="705">
        <v>7.110573162100941E-4</v>
      </c>
      <c r="G8343" s="705">
        <v>6.2265501264602507E-2</v>
      </c>
    </row>
    <row r="8344" spans="2:7" ht="11.25" hidden="1" customHeight="1" outlineLevel="2" x14ac:dyDescent="0.25">
      <c r="B8344" s="704" t="s">
        <v>687</v>
      </c>
      <c r="C8344" s="704" t="s">
        <v>701</v>
      </c>
      <c r="D8344" s="704" t="s">
        <v>563</v>
      </c>
      <c r="E8344" s="704" t="s">
        <v>676</v>
      </c>
      <c r="F8344" s="705">
        <v>4.8286152461180206E-3</v>
      </c>
      <c r="G8344" s="705">
        <v>0.42282894972852297</v>
      </c>
    </row>
    <row r="8345" spans="2:7" ht="11.25" hidden="1" customHeight="1" outlineLevel="2" x14ac:dyDescent="0.25">
      <c r="B8345" s="704" t="s">
        <v>688</v>
      </c>
      <c r="C8345" s="704" t="s">
        <v>701</v>
      </c>
      <c r="D8345" s="704" t="s">
        <v>563</v>
      </c>
      <c r="E8345" s="704" t="s">
        <v>676</v>
      </c>
      <c r="F8345" s="705">
        <v>6.5579953774822933E-3</v>
      </c>
      <c r="G8345" s="705">
        <v>0.57426694973909664</v>
      </c>
    </row>
    <row r="8346" spans="2:7" ht="11.25" hidden="1" customHeight="1" outlineLevel="2" x14ac:dyDescent="0.25">
      <c r="B8346" s="704" t="s">
        <v>689</v>
      </c>
      <c r="C8346" s="704" t="s">
        <v>701</v>
      </c>
      <c r="D8346" s="704" t="s">
        <v>563</v>
      </c>
      <c r="E8346" s="704" t="s">
        <v>676</v>
      </c>
      <c r="F8346" s="705">
        <v>8.8242405231895552E-4</v>
      </c>
      <c r="G8346" s="705">
        <v>7.7271634760810351E-2</v>
      </c>
    </row>
    <row r="8347" spans="2:7" ht="11.25" hidden="1" customHeight="1" outlineLevel="2" x14ac:dyDescent="0.25">
      <c r="B8347" s="704" t="s">
        <v>690</v>
      </c>
      <c r="C8347" s="704" t="s">
        <v>701</v>
      </c>
      <c r="D8347" s="704" t="s">
        <v>563</v>
      </c>
      <c r="E8347" s="704" t="s">
        <v>676</v>
      </c>
      <c r="F8347" s="705">
        <v>1.2138550695201257E-2</v>
      </c>
      <c r="G8347" s="705">
        <v>1.0629416503572149</v>
      </c>
    </row>
    <row r="8348" spans="2:7" ht="11.25" hidden="1" customHeight="1" outlineLevel="2" x14ac:dyDescent="0.25">
      <c r="B8348" s="704" t="s">
        <v>691</v>
      </c>
      <c r="C8348" s="704" t="s">
        <v>701</v>
      </c>
      <c r="D8348" s="704" t="s">
        <v>563</v>
      </c>
      <c r="E8348" s="704" t="s">
        <v>676</v>
      </c>
      <c r="F8348" s="705">
        <v>8.9124537392952959E-3</v>
      </c>
      <c r="G8348" s="705">
        <v>0.78044015430036018</v>
      </c>
    </row>
    <row r="8349" spans="2:7" ht="11.25" hidden="1" customHeight="1" outlineLevel="2" x14ac:dyDescent="0.25">
      <c r="B8349" s="704" t="s">
        <v>692</v>
      </c>
      <c r="C8349" s="704" t="s">
        <v>701</v>
      </c>
      <c r="D8349" s="704" t="s">
        <v>563</v>
      </c>
      <c r="E8349" s="704" t="s">
        <v>676</v>
      </c>
      <c r="F8349" s="705">
        <v>7.3002420176954683E-4</v>
      </c>
      <c r="G8349" s="705">
        <v>6.3926292161045492E-2</v>
      </c>
    </row>
    <row r="8350" spans="2:7" ht="11.25" hidden="1" customHeight="1" outlineLevel="2" x14ac:dyDescent="0.25">
      <c r="B8350" s="704" t="s">
        <v>693</v>
      </c>
      <c r="C8350" s="704" t="s">
        <v>701</v>
      </c>
      <c r="D8350" s="704" t="s">
        <v>563</v>
      </c>
      <c r="E8350" s="704" t="s">
        <v>676</v>
      </c>
      <c r="F8350" s="705">
        <v>3.9325242028912655E-4</v>
      </c>
      <c r="G8350" s="705">
        <v>3.4436081857840216E-2</v>
      </c>
    </row>
    <row r="8351" spans="2:7" ht="11.25" hidden="1" customHeight="1" outlineLevel="2" x14ac:dyDescent="0.25">
      <c r="B8351" s="704" t="s">
        <v>694</v>
      </c>
      <c r="C8351" s="704" t="s">
        <v>701</v>
      </c>
      <c r="D8351" s="704" t="s">
        <v>563</v>
      </c>
      <c r="E8351" s="704" t="s">
        <v>676</v>
      </c>
      <c r="F8351" s="706">
        <v>2.6764760889826138E-4</v>
      </c>
      <c r="G8351" s="705">
        <v>2.3437193144993505E-2</v>
      </c>
    </row>
    <row r="8352" spans="2:7" ht="11.25" hidden="1" customHeight="1" outlineLevel="2" x14ac:dyDescent="0.25">
      <c r="B8352" s="704" t="s">
        <v>695</v>
      </c>
      <c r="C8352" s="704" t="s">
        <v>701</v>
      </c>
      <c r="D8352" s="704" t="s">
        <v>563</v>
      </c>
      <c r="E8352" s="704" t="s">
        <v>676</v>
      </c>
      <c r="F8352" s="706">
        <v>1.8806967848898841E-3</v>
      </c>
      <c r="G8352" s="705">
        <v>0.1646878637051129</v>
      </c>
    </row>
    <row r="8353" spans="2:7" ht="11.25" hidden="1" customHeight="1" outlineLevel="2" x14ac:dyDescent="0.25">
      <c r="B8353" s="704" t="s">
        <v>696</v>
      </c>
      <c r="C8353" s="704" t="s">
        <v>701</v>
      </c>
      <c r="D8353" s="704" t="s">
        <v>563</v>
      </c>
      <c r="E8353" s="704" t="s">
        <v>676</v>
      </c>
      <c r="F8353" s="706">
        <v>6.75230648301653E-3</v>
      </c>
      <c r="G8353" s="705">
        <v>0.59128248366660552</v>
      </c>
    </row>
    <row r="8354" spans="2:7" ht="11.25" hidden="1" customHeight="1" outlineLevel="2" x14ac:dyDescent="0.25">
      <c r="B8354" s="704" t="s">
        <v>697</v>
      </c>
      <c r="C8354" s="704" t="s">
        <v>701</v>
      </c>
      <c r="D8354" s="704" t="s">
        <v>563</v>
      </c>
      <c r="E8354" s="704" t="s">
        <v>676</v>
      </c>
      <c r="F8354" s="706">
        <v>3.4124007360450651E-3</v>
      </c>
      <c r="G8354" s="705">
        <v>0.29881513783050406</v>
      </c>
    </row>
    <row r="8355" spans="2:7" ht="11.25" hidden="1" customHeight="1" outlineLevel="2" x14ac:dyDescent="0.25">
      <c r="B8355" s="704" t="s">
        <v>698</v>
      </c>
      <c r="C8355" s="704" t="s">
        <v>701</v>
      </c>
      <c r="D8355" s="704" t="s">
        <v>563</v>
      </c>
      <c r="E8355" s="704" t="s">
        <v>676</v>
      </c>
      <c r="F8355" s="706">
        <v>8.927201693249918E-4</v>
      </c>
      <c r="G8355" s="705">
        <v>7.8173266005564096E-2</v>
      </c>
    </row>
    <row r="8356" spans="2:7" ht="11.25" hidden="1" customHeight="1" outlineLevel="2" x14ac:dyDescent="0.25">
      <c r="B8356" s="704" t="s">
        <v>699</v>
      </c>
      <c r="C8356" s="704" t="s">
        <v>701</v>
      </c>
      <c r="D8356" s="704" t="s">
        <v>563</v>
      </c>
      <c r="E8356" s="704" t="s">
        <v>676</v>
      </c>
      <c r="F8356" s="706">
        <v>1.6277587764989873E-2</v>
      </c>
      <c r="G8356" s="705">
        <v>1.4253882186188991</v>
      </c>
    </row>
    <row r="8357" spans="2:7" ht="11.25" hidden="1" customHeight="1" outlineLevel="2" x14ac:dyDescent="0.25">
      <c r="B8357" s="704" t="s">
        <v>673</v>
      </c>
      <c r="C8357" s="704" t="s">
        <v>702</v>
      </c>
      <c r="D8357" s="704" t="s">
        <v>563</v>
      </c>
      <c r="E8357" s="704" t="s">
        <v>676</v>
      </c>
      <c r="F8357" s="706">
        <v>1.290928290094334E-3</v>
      </c>
      <c r="G8357" s="705">
        <v>0.13230678034539711</v>
      </c>
    </row>
    <row r="8358" spans="2:7" ht="11.25" hidden="1" customHeight="1" outlineLevel="2" x14ac:dyDescent="0.25">
      <c r="B8358" s="704" t="s">
        <v>677</v>
      </c>
      <c r="C8358" s="704" t="s">
        <v>702</v>
      </c>
      <c r="D8358" s="704" t="s">
        <v>563</v>
      </c>
      <c r="E8358" s="704" t="s">
        <v>676</v>
      </c>
      <c r="F8358" s="706">
        <v>5.469924400568496E-3</v>
      </c>
      <c r="G8358" s="705">
        <v>0.56060988564558822</v>
      </c>
    </row>
    <row r="8359" spans="2:7" ht="11.25" hidden="1" customHeight="1" outlineLevel="2" x14ac:dyDescent="0.25">
      <c r="B8359" s="704" t="s">
        <v>678</v>
      </c>
      <c r="C8359" s="704" t="s">
        <v>702</v>
      </c>
      <c r="D8359" s="704" t="s">
        <v>563</v>
      </c>
      <c r="E8359" s="704" t="s">
        <v>676</v>
      </c>
      <c r="F8359" s="706">
        <v>1.0010396266193492E-2</v>
      </c>
      <c r="G8359" s="705">
        <v>1.0259622047491872</v>
      </c>
    </row>
    <row r="8360" spans="2:7" ht="11.25" hidden="1" customHeight="1" outlineLevel="2" x14ac:dyDescent="0.25">
      <c r="B8360" s="704" t="s">
        <v>679</v>
      </c>
      <c r="C8360" s="704" t="s">
        <v>702</v>
      </c>
      <c r="D8360" s="704" t="s">
        <v>563</v>
      </c>
      <c r="E8360" s="704" t="s">
        <v>676</v>
      </c>
      <c r="F8360" s="706">
        <v>2.6786183078260454E-4</v>
      </c>
      <c r="G8360" s="705">
        <v>2.7453049176611254E-2</v>
      </c>
    </row>
    <row r="8361" spans="2:7" ht="11.25" hidden="1" customHeight="1" outlineLevel="2" x14ac:dyDescent="0.25">
      <c r="B8361" s="704" t="s">
        <v>680</v>
      </c>
      <c r="C8361" s="704" t="s">
        <v>702</v>
      </c>
      <c r="D8361" s="704" t="s">
        <v>563</v>
      </c>
      <c r="E8361" s="704" t="s">
        <v>676</v>
      </c>
      <c r="F8361" s="706">
        <v>6.4900407666723811E-4</v>
      </c>
      <c r="G8361" s="705">
        <v>6.6516154090592819E-2</v>
      </c>
    </row>
    <row r="8362" spans="2:7" ht="11.25" hidden="1" customHeight="1" outlineLevel="2" x14ac:dyDescent="0.25">
      <c r="B8362" s="704" t="s">
        <v>681</v>
      </c>
      <c r="C8362" s="704" t="s">
        <v>702</v>
      </c>
      <c r="D8362" s="704" t="s">
        <v>563</v>
      </c>
      <c r="E8362" s="704" t="s">
        <v>676</v>
      </c>
      <c r="F8362" s="706">
        <v>1.3951619912421932E-3</v>
      </c>
      <c r="G8362" s="705">
        <v>0.14298973941631732</v>
      </c>
    </row>
    <row r="8363" spans="2:7" ht="11.25" hidden="1" customHeight="1" outlineLevel="2" x14ac:dyDescent="0.25">
      <c r="B8363" s="704" t="s">
        <v>682</v>
      </c>
      <c r="C8363" s="704" t="s">
        <v>702</v>
      </c>
      <c r="D8363" s="704" t="s">
        <v>563</v>
      </c>
      <c r="E8363" s="704" t="s">
        <v>676</v>
      </c>
      <c r="F8363" s="706">
        <v>1.2724412749742899E-3</v>
      </c>
      <c r="G8363" s="705">
        <v>0.1304121831264648</v>
      </c>
    </row>
    <row r="8364" spans="2:7" ht="11.25" hidden="1" customHeight="1" outlineLevel="2" x14ac:dyDescent="0.25">
      <c r="B8364" s="704" t="s">
        <v>683</v>
      </c>
      <c r="C8364" s="704" t="s">
        <v>702</v>
      </c>
      <c r="D8364" s="704" t="s">
        <v>563</v>
      </c>
      <c r="E8364" s="704" t="s">
        <v>676</v>
      </c>
      <c r="F8364" s="706">
        <v>4.4230605894177188E-4</v>
      </c>
      <c r="G8364" s="705">
        <v>4.5331826882669485E-2</v>
      </c>
    </row>
    <row r="8365" spans="2:7" ht="11.25" hidden="1" customHeight="1" outlineLevel="2" x14ac:dyDescent="0.25">
      <c r="B8365" s="704" t="s">
        <v>684</v>
      </c>
      <c r="C8365" s="704" t="s">
        <v>702</v>
      </c>
      <c r="D8365" s="704" t="s">
        <v>563</v>
      </c>
      <c r="E8365" s="704" t="s">
        <v>676</v>
      </c>
      <c r="F8365" s="706">
        <v>9.0683578067557295E-4</v>
      </c>
      <c r="G8365" s="705">
        <v>9.2941240945229986E-2</v>
      </c>
    </row>
    <row r="8366" spans="2:7" ht="11.25" hidden="1" customHeight="1" outlineLevel="2" x14ac:dyDescent="0.25">
      <c r="B8366" s="704" t="s">
        <v>685</v>
      </c>
      <c r="C8366" s="704" t="s">
        <v>702</v>
      </c>
      <c r="D8366" s="704" t="s">
        <v>563</v>
      </c>
      <c r="E8366" s="704" t="s">
        <v>676</v>
      </c>
      <c r="F8366" s="706">
        <v>3.3759997027468227E-3</v>
      </c>
      <c r="G8366" s="705">
        <v>0.34600521616470009</v>
      </c>
    </row>
    <row r="8367" spans="2:7" ht="11.25" hidden="1" customHeight="1" outlineLevel="2" x14ac:dyDescent="0.25">
      <c r="B8367" s="704" t="s">
        <v>686</v>
      </c>
      <c r="C8367" s="704" t="s">
        <v>702</v>
      </c>
      <c r="D8367" s="704" t="s">
        <v>563</v>
      </c>
      <c r="E8367" s="704" t="s">
        <v>676</v>
      </c>
      <c r="F8367" s="706">
        <v>3.3177862541556262E-4</v>
      </c>
      <c r="G8367" s="705">
        <v>3.4003886235259705E-2</v>
      </c>
    </row>
    <row r="8368" spans="2:7" ht="11.25" hidden="1" customHeight="1" outlineLevel="2" x14ac:dyDescent="0.25">
      <c r="B8368" s="704" t="s">
        <v>687</v>
      </c>
      <c r="C8368" s="704" t="s">
        <v>702</v>
      </c>
      <c r="D8368" s="704" t="s">
        <v>563</v>
      </c>
      <c r="E8368" s="704" t="s">
        <v>676</v>
      </c>
      <c r="F8368" s="706">
        <v>2.2530262438766172E-3</v>
      </c>
      <c r="G8368" s="705">
        <v>0.23091195476091103</v>
      </c>
    </row>
    <row r="8369" spans="2:7" ht="11.25" hidden="1" customHeight="1" outlineLevel="2" x14ac:dyDescent="0.25">
      <c r="B8369" s="704" t="s">
        <v>688</v>
      </c>
      <c r="C8369" s="704" t="s">
        <v>702</v>
      </c>
      <c r="D8369" s="704" t="s">
        <v>563</v>
      </c>
      <c r="E8369" s="704" t="s">
        <v>676</v>
      </c>
      <c r="F8369" s="706">
        <v>3.0599553165375549E-3</v>
      </c>
      <c r="G8369" s="705">
        <v>0.31361378943299734</v>
      </c>
    </row>
    <row r="8370" spans="2:7" ht="11.25" hidden="1" customHeight="1" outlineLevel="2" x14ac:dyDescent="0.25">
      <c r="B8370" s="704" t="s">
        <v>689</v>
      </c>
      <c r="C8370" s="704" t="s">
        <v>702</v>
      </c>
      <c r="D8370" s="704" t="s">
        <v>563</v>
      </c>
      <c r="E8370" s="704" t="s">
        <v>676</v>
      </c>
      <c r="F8370" s="706">
        <v>4.1173847479322902E-4</v>
      </c>
      <c r="G8370" s="705">
        <v>4.2198933099643982E-2</v>
      </c>
    </row>
    <row r="8371" spans="2:7" ht="11.25" hidden="1" customHeight="1" outlineLevel="2" x14ac:dyDescent="0.25">
      <c r="B8371" s="704" t="s">
        <v>690</v>
      </c>
      <c r="C8371" s="704" t="s">
        <v>702</v>
      </c>
      <c r="D8371" s="704" t="s">
        <v>563</v>
      </c>
      <c r="E8371" s="704" t="s">
        <v>676</v>
      </c>
      <c r="F8371" s="706">
        <v>5.6638350063655625E-3</v>
      </c>
      <c r="G8371" s="705">
        <v>0.58048437271119324</v>
      </c>
    </row>
    <row r="8372" spans="2:7" ht="11.25" hidden="1" customHeight="1" outlineLevel="2" x14ac:dyDescent="0.25">
      <c r="B8372" s="704" t="s">
        <v>691</v>
      </c>
      <c r="C8372" s="704" t="s">
        <v>702</v>
      </c>
      <c r="D8372" s="704" t="s">
        <v>563</v>
      </c>
      <c r="E8372" s="704" t="s">
        <v>676</v>
      </c>
      <c r="F8372" s="706">
        <v>4.1585450109260253E-3</v>
      </c>
      <c r="G8372" s="705">
        <v>0.42620699644563298</v>
      </c>
    </row>
    <row r="8373" spans="2:7" ht="11.25" hidden="1" customHeight="1" outlineLevel="2" x14ac:dyDescent="0.25">
      <c r="B8373" s="704" t="s">
        <v>692</v>
      </c>
      <c r="C8373" s="704" t="s">
        <v>702</v>
      </c>
      <c r="D8373" s="704" t="s">
        <v>563</v>
      </c>
      <c r="E8373" s="704" t="s">
        <v>676</v>
      </c>
      <c r="F8373" s="706">
        <v>3.4062882605200891E-4</v>
      </c>
      <c r="G8373" s="705">
        <v>3.4910921467933669E-2</v>
      </c>
    </row>
    <row r="8374" spans="2:7" ht="11.25" hidden="1" customHeight="1" outlineLevel="2" x14ac:dyDescent="0.25">
      <c r="B8374" s="704" t="s">
        <v>693</v>
      </c>
      <c r="C8374" s="704" t="s">
        <v>702</v>
      </c>
      <c r="D8374" s="704" t="s">
        <v>563</v>
      </c>
      <c r="E8374" s="704" t="s">
        <v>676</v>
      </c>
      <c r="F8374" s="706">
        <v>1.834910913367069E-4</v>
      </c>
      <c r="G8374" s="705">
        <v>1.8805951418760652E-2</v>
      </c>
    </row>
    <row r="8375" spans="2:7" ht="11.25" hidden="1" customHeight="1" outlineLevel="2" x14ac:dyDescent="0.25">
      <c r="B8375" s="704" t="s">
        <v>694</v>
      </c>
      <c r="C8375" s="704" t="s">
        <v>702</v>
      </c>
      <c r="D8375" s="704" t="s">
        <v>563</v>
      </c>
      <c r="E8375" s="704" t="s">
        <v>676</v>
      </c>
      <c r="F8375" s="706">
        <v>1.2488417288310729E-4</v>
      </c>
      <c r="G8375" s="705">
        <v>1.279932916372006E-2</v>
      </c>
    </row>
    <row r="8376" spans="2:7" ht="11.25" hidden="1" customHeight="1" outlineLevel="2" x14ac:dyDescent="0.25">
      <c r="B8376" s="704" t="s">
        <v>695</v>
      </c>
      <c r="C8376" s="704" t="s">
        <v>702</v>
      </c>
      <c r="D8376" s="704" t="s">
        <v>563</v>
      </c>
      <c r="E8376" s="704" t="s">
        <v>676</v>
      </c>
      <c r="F8376" s="705">
        <v>8.7753213898184251E-4</v>
      </c>
      <c r="G8376" s="705">
        <v>8.9937998181764581E-2</v>
      </c>
    </row>
    <row r="8377" spans="2:7" ht="11.25" hidden="1" customHeight="1" outlineLevel="2" x14ac:dyDescent="0.25">
      <c r="B8377" s="704" t="s">
        <v>696</v>
      </c>
      <c r="C8377" s="704" t="s">
        <v>702</v>
      </c>
      <c r="D8377" s="704" t="s">
        <v>563</v>
      </c>
      <c r="E8377" s="704" t="s">
        <v>676</v>
      </c>
      <c r="F8377" s="705">
        <v>3.1506203201479149E-3</v>
      </c>
      <c r="G8377" s="705">
        <v>0.32290601891570331</v>
      </c>
    </row>
    <row r="8378" spans="2:7" ht="11.25" hidden="1" customHeight="1" outlineLevel="2" x14ac:dyDescent="0.25">
      <c r="B8378" s="704" t="s">
        <v>697</v>
      </c>
      <c r="C8378" s="704" t="s">
        <v>702</v>
      </c>
      <c r="D8378" s="704" t="s">
        <v>563</v>
      </c>
      <c r="E8378" s="704" t="s">
        <v>676</v>
      </c>
      <c r="F8378" s="705">
        <v>1.5922238874414682E-3</v>
      </c>
      <c r="G8378" s="705">
        <v>0.16318646859922473</v>
      </c>
    </row>
    <row r="8379" spans="2:7" ht="11.25" hidden="1" customHeight="1" outlineLevel="2" x14ac:dyDescent="0.25">
      <c r="B8379" s="704" t="s">
        <v>698</v>
      </c>
      <c r="C8379" s="704" t="s">
        <v>702</v>
      </c>
      <c r="D8379" s="704" t="s">
        <v>563</v>
      </c>
      <c r="E8379" s="704" t="s">
        <v>676</v>
      </c>
      <c r="F8379" s="705">
        <v>4.1654248530158928E-4</v>
      </c>
      <c r="G8379" s="705">
        <v>4.2691287401743709E-2</v>
      </c>
    </row>
    <row r="8380" spans="2:7" ht="11.25" hidden="1" customHeight="1" outlineLevel="2" x14ac:dyDescent="0.25">
      <c r="B8380" s="704" t="s">
        <v>699</v>
      </c>
      <c r="C8380" s="704" t="s">
        <v>702</v>
      </c>
      <c r="D8380" s="704" t="s">
        <v>563</v>
      </c>
      <c r="E8380" s="704" t="s">
        <v>676</v>
      </c>
      <c r="F8380" s="705">
        <v>7.5951166385988299E-3</v>
      </c>
      <c r="G8380" s="705">
        <v>0.77842047012836568</v>
      </c>
    </row>
    <row r="8381" spans="2:7" ht="11.25" hidden="1" customHeight="1" outlineLevel="2" x14ac:dyDescent="0.25">
      <c r="B8381" s="704" t="s">
        <v>673</v>
      </c>
      <c r="C8381" s="704" t="s">
        <v>703</v>
      </c>
      <c r="D8381" s="704" t="s">
        <v>563</v>
      </c>
      <c r="E8381" s="704" t="s">
        <v>676</v>
      </c>
      <c r="F8381" s="705">
        <v>4.8520215838762787E-3</v>
      </c>
      <c r="G8381" s="705">
        <v>0.47779736696586422</v>
      </c>
    </row>
    <row r="8382" spans="2:7" ht="11.25" hidden="1" customHeight="1" outlineLevel="2" x14ac:dyDescent="0.25">
      <c r="B8382" s="704" t="s">
        <v>677</v>
      </c>
      <c r="C8382" s="704" t="s">
        <v>703</v>
      </c>
      <c r="D8382" s="704" t="s">
        <v>563</v>
      </c>
      <c r="E8382" s="704" t="s">
        <v>676</v>
      </c>
      <c r="F8382" s="705">
        <v>3.2920788349754197E-2</v>
      </c>
      <c r="G8382" s="705">
        <v>3.2418401485929378</v>
      </c>
    </row>
    <row r="8383" spans="2:7" ht="11.25" hidden="1" customHeight="1" outlineLevel="2" x14ac:dyDescent="0.25">
      <c r="B8383" s="704" t="s">
        <v>678</v>
      </c>
      <c r="C8383" s="704" t="s">
        <v>703</v>
      </c>
      <c r="D8383" s="704" t="s">
        <v>563</v>
      </c>
      <c r="E8383" s="704" t="s">
        <v>676</v>
      </c>
      <c r="F8383" s="705">
        <v>5.0397591695737681E-2</v>
      </c>
      <c r="G8383" s="705">
        <v>4.9628529483172565</v>
      </c>
    </row>
    <row r="8384" spans="2:7" ht="11.25" hidden="1" customHeight="1" outlineLevel="2" x14ac:dyDescent="0.25">
      <c r="B8384" s="704" t="s">
        <v>679</v>
      </c>
      <c r="C8384" s="704" t="s">
        <v>703</v>
      </c>
      <c r="D8384" s="704" t="s">
        <v>563</v>
      </c>
      <c r="E8384" s="704" t="s">
        <v>676</v>
      </c>
      <c r="F8384" s="705">
        <v>5.3048338438391636E-3</v>
      </c>
      <c r="G8384" s="705">
        <v>0.52238820230307681</v>
      </c>
    </row>
    <row r="8385" spans="2:7" ht="11.25" hidden="1" customHeight="1" outlineLevel="2" x14ac:dyDescent="0.25">
      <c r="B8385" s="704" t="s">
        <v>680</v>
      </c>
      <c r="C8385" s="704" t="s">
        <v>703</v>
      </c>
      <c r="D8385" s="704" t="s">
        <v>563</v>
      </c>
      <c r="E8385" s="704" t="s">
        <v>676</v>
      </c>
      <c r="F8385" s="705">
        <v>1.9898136166521564E-3</v>
      </c>
      <c r="G8385" s="705">
        <v>0.1959448653117149</v>
      </c>
    </row>
    <row r="8386" spans="2:7" ht="11.25" hidden="1" customHeight="1" outlineLevel="2" x14ac:dyDescent="0.25">
      <c r="B8386" s="704" t="s">
        <v>681</v>
      </c>
      <c r="C8386" s="704" t="s">
        <v>703</v>
      </c>
      <c r="D8386" s="704" t="s">
        <v>563</v>
      </c>
      <c r="E8386" s="704" t="s">
        <v>676</v>
      </c>
      <c r="F8386" s="705">
        <v>1.0446601190335827E-2</v>
      </c>
      <c r="G8386" s="705">
        <v>1.0287179392047801</v>
      </c>
    </row>
    <row r="8387" spans="2:7" ht="11.25" hidden="1" customHeight="1" outlineLevel="2" x14ac:dyDescent="0.25">
      <c r="B8387" s="704" t="s">
        <v>682</v>
      </c>
      <c r="C8387" s="704" t="s">
        <v>703</v>
      </c>
      <c r="D8387" s="704" t="s">
        <v>563</v>
      </c>
      <c r="E8387" s="704" t="s">
        <v>676</v>
      </c>
      <c r="F8387" s="705">
        <v>5.9251794879892931E-3</v>
      </c>
      <c r="G8387" s="705">
        <v>0.5834760916552274</v>
      </c>
    </row>
    <row r="8388" spans="2:7" ht="11.25" hidden="1" customHeight="1" outlineLevel="2" x14ac:dyDescent="0.25">
      <c r="B8388" s="704" t="s">
        <v>683</v>
      </c>
      <c r="C8388" s="704" t="s">
        <v>703</v>
      </c>
      <c r="D8388" s="704" t="s">
        <v>563</v>
      </c>
      <c r="E8388" s="704" t="s">
        <v>676</v>
      </c>
      <c r="F8388" s="705">
        <v>8.4068897585988442E-3</v>
      </c>
      <c r="G8388" s="705">
        <v>0.82786003444082434</v>
      </c>
    </row>
    <row r="8389" spans="2:7" ht="11.25" hidden="1" customHeight="1" outlineLevel="2" x14ac:dyDescent="0.25">
      <c r="B8389" s="704" t="s">
        <v>684</v>
      </c>
      <c r="C8389" s="704" t="s">
        <v>703</v>
      </c>
      <c r="D8389" s="704" t="s">
        <v>563</v>
      </c>
      <c r="E8389" s="704" t="s">
        <v>676</v>
      </c>
      <c r="F8389" s="705">
        <v>1.9994510529634402E-3</v>
      </c>
      <c r="G8389" s="705">
        <v>0.19689411026007353</v>
      </c>
    </row>
    <row r="8390" spans="2:7" ht="11.25" hidden="1" customHeight="1" outlineLevel="2" x14ac:dyDescent="0.25">
      <c r="B8390" s="704" t="s">
        <v>685</v>
      </c>
      <c r="C8390" s="704" t="s">
        <v>703</v>
      </c>
      <c r="D8390" s="704" t="s">
        <v>563</v>
      </c>
      <c r="E8390" s="704" t="s">
        <v>676</v>
      </c>
      <c r="F8390" s="705">
        <v>1.37106111878736E-2</v>
      </c>
      <c r="G8390" s="705">
        <v>1.350138312110257</v>
      </c>
    </row>
    <row r="8391" spans="2:7" ht="11.25" hidden="1" customHeight="1" outlineLevel="2" x14ac:dyDescent="0.25">
      <c r="B8391" s="704" t="s">
        <v>686</v>
      </c>
      <c r="C8391" s="704" t="s">
        <v>703</v>
      </c>
      <c r="D8391" s="704" t="s">
        <v>563</v>
      </c>
      <c r="E8391" s="704" t="s">
        <v>676</v>
      </c>
      <c r="F8391" s="705">
        <v>1.9614883757351816E-3</v>
      </c>
      <c r="G8391" s="705">
        <v>0.19315559212488764</v>
      </c>
    </row>
    <row r="8392" spans="2:7" ht="11.25" hidden="1" customHeight="1" outlineLevel="2" x14ac:dyDescent="0.25">
      <c r="B8392" s="704" t="s">
        <v>687</v>
      </c>
      <c r="C8392" s="704" t="s">
        <v>703</v>
      </c>
      <c r="D8392" s="704" t="s">
        <v>563</v>
      </c>
      <c r="E8392" s="704" t="s">
        <v>676</v>
      </c>
      <c r="F8392" s="705">
        <v>1.4907752687707899E-2</v>
      </c>
      <c r="G8392" s="705">
        <v>1.4680272332954276</v>
      </c>
    </row>
    <row r="8393" spans="2:7" ht="11.25" hidden="1" customHeight="1" outlineLevel="2" x14ac:dyDescent="0.25">
      <c r="B8393" s="704" t="s">
        <v>688</v>
      </c>
      <c r="C8393" s="704" t="s">
        <v>703</v>
      </c>
      <c r="D8393" s="704" t="s">
        <v>563</v>
      </c>
      <c r="E8393" s="704" t="s">
        <v>676</v>
      </c>
      <c r="F8393" s="705">
        <v>1.7041358695305989E-2</v>
      </c>
      <c r="G8393" s="705">
        <v>1.6781308158979993</v>
      </c>
    </row>
    <row r="8394" spans="2:7" ht="11.25" hidden="1" customHeight="1" outlineLevel="2" x14ac:dyDescent="0.25">
      <c r="B8394" s="704" t="s">
        <v>689</v>
      </c>
      <c r="C8394" s="704" t="s">
        <v>703</v>
      </c>
      <c r="D8394" s="704" t="s">
        <v>563</v>
      </c>
      <c r="E8394" s="704" t="s">
        <v>676</v>
      </c>
      <c r="F8394" s="705">
        <v>1.7411838852450991E-3</v>
      </c>
      <c r="G8394" s="705">
        <v>0.171461141410821</v>
      </c>
    </row>
    <row r="8395" spans="2:7" ht="11.25" hidden="1" customHeight="1" outlineLevel="2" x14ac:dyDescent="0.25">
      <c r="B8395" s="704" t="s">
        <v>690</v>
      </c>
      <c r="C8395" s="704" t="s">
        <v>703</v>
      </c>
      <c r="D8395" s="704" t="s">
        <v>563</v>
      </c>
      <c r="E8395" s="704" t="s">
        <v>676</v>
      </c>
      <c r="F8395" s="705">
        <v>5.9404895362686887E-2</v>
      </c>
      <c r="G8395" s="705">
        <v>5.8498384358372366</v>
      </c>
    </row>
    <row r="8396" spans="2:7" ht="11.25" hidden="1" customHeight="1" outlineLevel="2" x14ac:dyDescent="0.25">
      <c r="B8396" s="704" t="s">
        <v>691</v>
      </c>
      <c r="C8396" s="704" t="s">
        <v>703</v>
      </c>
      <c r="D8396" s="704" t="s">
        <v>563</v>
      </c>
      <c r="E8396" s="704" t="s">
        <v>676</v>
      </c>
      <c r="F8396" s="706">
        <v>5.4271433616563024E-2</v>
      </c>
      <c r="G8396" s="705">
        <v>5.3443289568528032</v>
      </c>
    </row>
    <row r="8397" spans="2:7" ht="11.25" hidden="1" customHeight="1" outlineLevel="2" x14ac:dyDescent="0.25">
      <c r="B8397" s="704" t="s">
        <v>692</v>
      </c>
      <c r="C8397" s="704" t="s">
        <v>703</v>
      </c>
      <c r="D8397" s="704" t="s">
        <v>563</v>
      </c>
      <c r="E8397" s="704" t="s">
        <v>676</v>
      </c>
      <c r="F8397" s="706">
        <v>2.8113244292540559E-3</v>
      </c>
      <c r="G8397" s="705">
        <v>0.27684210169633239</v>
      </c>
    </row>
    <row r="8398" spans="2:7" ht="11.25" hidden="1" customHeight="1" outlineLevel="2" x14ac:dyDescent="0.25">
      <c r="B8398" s="704" t="s">
        <v>693</v>
      </c>
      <c r="C8398" s="704" t="s">
        <v>703</v>
      </c>
      <c r="D8398" s="704" t="s">
        <v>563</v>
      </c>
      <c r="E8398" s="704" t="s">
        <v>676</v>
      </c>
      <c r="F8398" s="706">
        <v>5.8979655580925563E-3</v>
      </c>
      <c r="G8398" s="705">
        <v>0.58079662083387151</v>
      </c>
    </row>
    <row r="8399" spans="2:7" ht="11.25" hidden="1" customHeight="1" outlineLevel="2" x14ac:dyDescent="0.25">
      <c r="B8399" s="704" t="s">
        <v>694</v>
      </c>
      <c r="C8399" s="704" t="s">
        <v>703</v>
      </c>
      <c r="D8399" s="704" t="s">
        <v>563</v>
      </c>
      <c r="E8399" s="704" t="s">
        <v>676</v>
      </c>
      <c r="F8399" s="706">
        <v>1.6697065503527451E-3</v>
      </c>
      <c r="G8399" s="705">
        <v>0.16442261115456147</v>
      </c>
    </row>
    <row r="8400" spans="2:7" ht="11.25" hidden="1" customHeight="1" outlineLevel="2" x14ac:dyDescent="0.25">
      <c r="B8400" s="704" t="s">
        <v>695</v>
      </c>
      <c r="C8400" s="704" t="s">
        <v>703</v>
      </c>
      <c r="D8400" s="704" t="s">
        <v>563</v>
      </c>
      <c r="E8400" s="704" t="s">
        <v>676</v>
      </c>
      <c r="F8400" s="706">
        <v>2.2533987461412514E-3</v>
      </c>
      <c r="G8400" s="705">
        <v>0.22190133431064488</v>
      </c>
    </row>
    <row r="8401" spans="2:7" ht="11.25" hidden="1" customHeight="1" outlineLevel="2" x14ac:dyDescent="0.25">
      <c r="B8401" s="704" t="s">
        <v>696</v>
      </c>
      <c r="C8401" s="704" t="s">
        <v>703</v>
      </c>
      <c r="D8401" s="704" t="s">
        <v>563</v>
      </c>
      <c r="E8401" s="704" t="s">
        <v>676</v>
      </c>
      <c r="F8401" s="706">
        <v>8.8378041809940855E-3</v>
      </c>
      <c r="G8401" s="705">
        <v>0.87029509507414582</v>
      </c>
    </row>
    <row r="8402" spans="2:7" ht="11.25" hidden="1" customHeight="1" outlineLevel="2" x14ac:dyDescent="0.25">
      <c r="B8402" s="704" t="s">
        <v>697</v>
      </c>
      <c r="C8402" s="704" t="s">
        <v>703</v>
      </c>
      <c r="D8402" s="704" t="s">
        <v>563</v>
      </c>
      <c r="E8402" s="704" t="s">
        <v>676</v>
      </c>
      <c r="F8402" s="706">
        <v>5.6495257359917041E-3</v>
      </c>
      <c r="G8402" s="705">
        <v>0.55633182059210673</v>
      </c>
    </row>
    <row r="8403" spans="2:7" ht="11.25" hidden="1" customHeight="1" outlineLevel="2" x14ac:dyDescent="0.25">
      <c r="B8403" s="704" t="s">
        <v>698</v>
      </c>
      <c r="C8403" s="704" t="s">
        <v>703</v>
      </c>
      <c r="D8403" s="704" t="s">
        <v>563</v>
      </c>
      <c r="E8403" s="704" t="s">
        <v>676</v>
      </c>
      <c r="F8403" s="705">
        <v>3.1488719114527134E-3</v>
      </c>
      <c r="G8403" s="705">
        <v>0.31008192109175148</v>
      </c>
    </row>
    <row r="8404" spans="2:7" ht="11.25" hidden="1" customHeight="1" outlineLevel="2" x14ac:dyDescent="0.25">
      <c r="B8404" s="704" t="s">
        <v>699</v>
      </c>
      <c r="C8404" s="704" t="s">
        <v>703</v>
      </c>
      <c r="D8404" s="704" t="s">
        <v>563</v>
      </c>
      <c r="E8404" s="704" t="s">
        <v>676</v>
      </c>
      <c r="F8404" s="705">
        <v>4.1710911083980409E-2</v>
      </c>
      <c r="G8404" s="705">
        <v>4.1074430464458604</v>
      </c>
    </row>
    <row r="8405" spans="2:7" ht="11.25" hidden="1" customHeight="1" outlineLevel="2" x14ac:dyDescent="0.25">
      <c r="B8405" s="704" t="s">
        <v>673</v>
      </c>
      <c r="C8405" s="704" t="s">
        <v>704</v>
      </c>
      <c r="D8405" s="704" t="s">
        <v>563</v>
      </c>
      <c r="E8405" s="704" t="s">
        <v>676</v>
      </c>
      <c r="F8405" s="705">
        <v>4.3961793005563221E-3</v>
      </c>
      <c r="G8405" s="705">
        <v>0.98860506487890709</v>
      </c>
    </row>
    <row r="8406" spans="2:7" ht="11.25" hidden="1" customHeight="1" outlineLevel="2" x14ac:dyDescent="0.25">
      <c r="B8406" s="704" t="s">
        <v>677</v>
      </c>
      <c r="C8406" s="704" t="s">
        <v>704</v>
      </c>
      <c r="D8406" s="704" t="s">
        <v>563</v>
      </c>
      <c r="E8406" s="704" t="s">
        <v>676</v>
      </c>
      <c r="F8406" s="705">
        <v>1.8627499771432986E-2</v>
      </c>
      <c r="G8406" s="705">
        <v>4.1889197883083629</v>
      </c>
    </row>
    <row r="8407" spans="2:7" ht="11.25" hidden="1" customHeight="1" outlineLevel="2" x14ac:dyDescent="0.25">
      <c r="B8407" s="704" t="s">
        <v>678</v>
      </c>
      <c r="C8407" s="704" t="s">
        <v>704</v>
      </c>
      <c r="D8407" s="704" t="s">
        <v>563</v>
      </c>
      <c r="E8407" s="704" t="s">
        <v>676</v>
      </c>
      <c r="F8407" s="705">
        <v>3.4089813644482242E-2</v>
      </c>
      <c r="G8407" s="705">
        <v>7.6660520537387367</v>
      </c>
    </row>
    <row r="8408" spans="2:7" ht="11.25" hidden="1" customHeight="1" outlineLevel="2" x14ac:dyDescent="0.25">
      <c r="B8408" s="704" t="s">
        <v>679</v>
      </c>
      <c r="C8408" s="704" t="s">
        <v>704</v>
      </c>
      <c r="D8408" s="704" t="s">
        <v>563</v>
      </c>
      <c r="E8408" s="704" t="s">
        <v>676</v>
      </c>
      <c r="F8408" s="705">
        <v>9.1218728997981302E-4</v>
      </c>
      <c r="G8408" s="705">
        <v>0.20513106103028927</v>
      </c>
    </row>
    <row r="8409" spans="2:7" ht="11.25" hidden="1" customHeight="1" outlineLevel="2" x14ac:dyDescent="0.25">
      <c r="B8409" s="704" t="s">
        <v>680</v>
      </c>
      <c r="C8409" s="704" t="s">
        <v>704</v>
      </c>
      <c r="D8409" s="704" t="s">
        <v>563</v>
      </c>
      <c r="E8409" s="704" t="s">
        <v>676</v>
      </c>
      <c r="F8409" s="705">
        <v>2.2101454607684349E-3</v>
      </c>
      <c r="G8409" s="705">
        <v>0.49701358835291365</v>
      </c>
    </row>
    <row r="8410" spans="2:7" ht="11.25" hidden="1" customHeight="1" outlineLevel="2" x14ac:dyDescent="0.25">
      <c r="B8410" s="704" t="s">
        <v>681</v>
      </c>
      <c r="C8410" s="704" t="s">
        <v>704</v>
      </c>
      <c r="D8410" s="704" t="s">
        <v>563</v>
      </c>
      <c r="E8410" s="704" t="s">
        <v>676</v>
      </c>
      <c r="F8410" s="705">
        <v>4.7511417125668427E-3</v>
      </c>
      <c r="G8410" s="705">
        <v>1.0684285217783731</v>
      </c>
    </row>
    <row r="8411" spans="2:7" ht="11.25" hidden="1" customHeight="1" outlineLevel="2" x14ac:dyDescent="0.25">
      <c r="B8411" s="704" t="s">
        <v>682</v>
      </c>
      <c r="C8411" s="704" t="s">
        <v>704</v>
      </c>
      <c r="D8411" s="704" t="s">
        <v>563</v>
      </c>
      <c r="E8411" s="704" t="s">
        <v>676</v>
      </c>
      <c r="F8411" s="705">
        <v>4.3332199909993461E-3</v>
      </c>
      <c r="G8411" s="705">
        <v>0.97444687523748119</v>
      </c>
    </row>
    <row r="8412" spans="2:7" ht="11.25" hidden="1" customHeight="1" outlineLevel="2" x14ac:dyDescent="0.25">
      <c r="B8412" s="704" t="s">
        <v>683</v>
      </c>
      <c r="C8412" s="704" t="s">
        <v>704</v>
      </c>
      <c r="D8412" s="704" t="s">
        <v>563</v>
      </c>
      <c r="E8412" s="704" t="s">
        <v>676</v>
      </c>
      <c r="F8412" s="705">
        <v>1.5062470471717943E-3</v>
      </c>
      <c r="G8412" s="705">
        <v>0.33872230738413489</v>
      </c>
    </row>
    <row r="8413" spans="2:7" ht="11.25" hidden="1" customHeight="1" outlineLevel="2" x14ac:dyDescent="0.25">
      <c r="B8413" s="704" t="s">
        <v>684</v>
      </c>
      <c r="C8413" s="704" t="s">
        <v>704</v>
      </c>
      <c r="D8413" s="704" t="s">
        <v>563</v>
      </c>
      <c r="E8413" s="704" t="s">
        <v>676</v>
      </c>
      <c r="F8413" s="705">
        <v>3.0881733472456993E-3</v>
      </c>
      <c r="G8413" s="705">
        <v>0.69446336971687661</v>
      </c>
    </row>
    <row r="8414" spans="2:7" ht="11.25" hidden="1" customHeight="1" outlineLevel="2" x14ac:dyDescent="0.25">
      <c r="B8414" s="704" t="s">
        <v>685</v>
      </c>
      <c r="C8414" s="704" t="s">
        <v>704</v>
      </c>
      <c r="D8414" s="704" t="s">
        <v>563</v>
      </c>
      <c r="E8414" s="704" t="s">
        <v>676</v>
      </c>
      <c r="F8414" s="705">
        <v>1.1496760275128923E-2</v>
      </c>
      <c r="G8414" s="705">
        <v>2.5853714809949087</v>
      </c>
    </row>
    <row r="8415" spans="2:7" ht="11.25" hidden="1" customHeight="1" outlineLevel="2" x14ac:dyDescent="0.25">
      <c r="B8415" s="704" t="s">
        <v>686</v>
      </c>
      <c r="C8415" s="704" t="s">
        <v>704</v>
      </c>
      <c r="D8415" s="704" t="s">
        <v>563</v>
      </c>
      <c r="E8415" s="704" t="s">
        <v>676</v>
      </c>
      <c r="F8415" s="705">
        <v>1.1298534715402395E-3</v>
      </c>
      <c r="G8415" s="705">
        <v>0.25407949195764584</v>
      </c>
    </row>
    <row r="8416" spans="2:7" ht="11.25" hidden="1" customHeight="1" outlineLevel="2" x14ac:dyDescent="0.25">
      <c r="B8416" s="704" t="s">
        <v>687</v>
      </c>
      <c r="C8416" s="704" t="s">
        <v>704</v>
      </c>
      <c r="D8416" s="704" t="s">
        <v>563</v>
      </c>
      <c r="E8416" s="704" t="s">
        <v>676</v>
      </c>
      <c r="F8416" s="705">
        <v>7.6725515794938727E-3</v>
      </c>
      <c r="G8416" s="705">
        <v>1.7253894890159618</v>
      </c>
    </row>
    <row r="8417" spans="2:7" ht="11.25" hidden="1" customHeight="1" outlineLevel="2" x14ac:dyDescent="0.25">
      <c r="B8417" s="704" t="s">
        <v>688</v>
      </c>
      <c r="C8417" s="704" t="s">
        <v>704</v>
      </c>
      <c r="D8417" s="704" t="s">
        <v>563</v>
      </c>
      <c r="E8417" s="704" t="s">
        <v>676</v>
      </c>
      <c r="F8417" s="705">
        <v>1.0420498150320831E-2</v>
      </c>
      <c r="G8417" s="705">
        <v>2.3433433444127614</v>
      </c>
    </row>
    <row r="8418" spans="2:7" ht="11.25" hidden="1" customHeight="1" outlineLevel="2" x14ac:dyDescent="0.25">
      <c r="B8418" s="704" t="s">
        <v>689</v>
      </c>
      <c r="C8418" s="704" t="s">
        <v>704</v>
      </c>
      <c r="D8418" s="704" t="s">
        <v>563</v>
      </c>
      <c r="E8418" s="704" t="s">
        <v>676</v>
      </c>
      <c r="F8418" s="705">
        <v>1.4021513275295136E-3</v>
      </c>
      <c r="G8418" s="705">
        <v>0.3153132179011241</v>
      </c>
    </row>
    <row r="8419" spans="2:7" ht="11.25" hidden="1" customHeight="1" outlineLevel="2" x14ac:dyDescent="0.25">
      <c r="B8419" s="704" t="s">
        <v>690</v>
      </c>
      <c r="C8419" s="704" t="s">
        <v>704</v>
      </c>
      <c r="D8419" s="704" t="s">
        <v>563</v>
      </c>
      <c r="E8419" s="704" t="s">
        <v>676</v>
      </c>
      <c r="F8419" s="705">
        <v>1.9287872620061427E-2</v>
      </c>
      <c r="G8419" s="705">
        <v>4.3374215486181953</v>
      </c>
    </row>
    <row r="8420" spans="2:7" ht="11.25" hidden="1" customHeight="1" outlineLevel="2" x14ac:dyDescent="0.25">
      <c r="B8420" s="704" t="s">
        <v>691</v>
      </c>
      <c r="C8420" s="704" t="s">
        <v>704</v>
      </c>
      <c r="D8420" s="704" t="s">
        <v>563</v>
      </c>
      <c r="E8420" s="704" t="s">
        <v>676</v>
      </c>
      <c r="F8420" s="705">
        <v>1.4161659329402389E-2</v>
      </c>
      <c r="G8420" s="705">
        <v>3.1846512598461714</v>
      </c>
    </row>
    <row r="8421" spans="2:7" ht="11.25" hidden="1" customHeight="1" outlineLevel="2" x14ac:dyDescent="0.25">
      <c r="B8421" s="704" t="s">
        <v>692</v>
      </c>
      <c r="C8421" s="704" t="s">
        <v>704</v>
      </c>
      <c r="D8421" s="704" t="s">
        <v>563</v>
      </c>
      <c r="E8421" s="704" t="s">
        <v>676</v>
      </c>
      <c r="F8421" s="705">
        <v>1.1599918887828015E-3</v>
      </c>
      <c r="G8421" s="705">
        <v>0.26085683132209403</v>
      </c>
    </row>
    <row r="8422" spans="2:7" ht="11.25" hidden="1" customHeight="1" outlineLevel="2" x14ac:dyDescent="0.25">
      <c r="B8422" s="704" t="s">
        <v>693</v>
      </c>
      <c r="C8422" s="704" t="s">
        <v>704</v>
      </c>
      <c r="D8422" s="704" t="s">
        <v>563</v>
      </c>
      <c r="E8422" s="704" t="s">
        <v>676</v>
      </c>
      <c r="F8422" s="705">
        <v>6.2486825847824932E-4</v>
      </c>
      <c r="G8422" s="705">
        <v>0.14051943488253016</v>
      </c>
    </row>
    <row r="8423" spans="2:7" ht="11.25" hidden="1" customHeight="1" outlineLevel="2" x14ac:dyDescent="0.25">
      <c r="B8423" s="704" t="s">
        <v>694</v>
      </c>
      <c r="C8423" s="704" t="s">
        <v>704</v>
      </c>
      <c r="D8423" s="704" t="s">
        <v>563</v>
      </c>
      <c r="E8423" s="704" t="s">
        <v>676</v>
      </c>
      <c r="F8423" s="705">
        <v>4.2528531127553992E-4</v>
      </c>
      <c r="G8423" s="705">
        <v>9.5637407154123388E-2</v>
      </c>
    </row>
    <row r="8424" spans="2:7" ht="11.25" hidden="1" customHeight="1" outlineLevel="2" x14ac:dyDescent="0.25">
      <c r="B8424" s="704" t="s">
        <v>695</v>
      </c>
      <c r="C8424" s="704" t="s">
        <v>704</v>
      </c>
      <c r="D8424" s="704" t="s">
        <v>563</v>
      </c>
      <c r="E8424" s="704" t="s">
        <v>676</v>
      </c>
      <c r="F8424" s="705">
        <v>2.9883838937917869E-3</v>
      </c>
      <c r="G8424" s="705">
        <v>0.67202237579671587</v>
      </c>
    </row>
    <row r="8425" spans="2:7" ht="11.25" hidden="1" customHeight="1" outlineLevel="2" x14ac:dyDescent="0.25">
      <c r="B8425" s="704" t="s">
        <v>696</v>
      </c>
      <c r="C8425" s="704" t="s">
        <v>704</v>
      </c>
      <c r="D8425" s="704" t="s">
        <v>563</v>
      </c>
      <c r="E8425" s="704" t="s">
        <v>676</v>
      </c>
      <c r="F8425" s="705">
        <v>1.0729249828688158E-2</v>
      </c>
      <c r="G8425" s="705">
        <v>2.4127739414839184</v>
      </c>
    </row>
    <row r="8426" spans="2:7" ht="11.25" hidden="1" customHeight="1" outlineLevel="2" x14ac:dyDescent="0.25">
      <c r="B8426" s="704" t="s">
        <v>697</v>
      </c>
      <c r="C8426" s="704" t="s">
        <v>704</v>
      </c>
      <c r="D8426" s="704" t="s">
        <v>563</v>
      </c>
      <c r="E8426" s="704" t="s">
        <v>676</v>
      </c>
      <c r="F8426" s="705">
        <v>5.4222234021296493E-3</v>
      </c>
      <c r="G8426" s="705">
        <v>1.2193389800143624</v>
      </c>
    </row>
    <row r="8427" spans="2:7" ht="11.25" hidden="1" customHeight="1" outlineLevel="2" x14ac:dyDescent="0.25">
      <c r="B8427" s="704" t="s">
        <v>698</v>
      </c>
      <c r="C8427" s="704" t="s">
        <v>704</v>
      </c>
      <c r="D8427" s="704" t="s">
        <v>563</v>
      </c>
      <c r="E8427" s="704" t="s">
        <v>676</v>
      </c>
      <c r="F8427" s="705">
        <v>1.4185125764654308E-3</v>
      </c>
      <c r="G8427" s="705">
        <v>0.31899215764213895</v>
      </c>
    </row>
    <row r="8428" spans="2:7" ht="11.25" hidden="1" customHeight="1" outlineLevel="2" x14ac:dyDescent="0.25">
      <c r="B8428" s="704" t="s">
        <v>699</v>
      </c>
      <c r="C8428" s="704" t="s">
        <v>704</v>
      </c>
      <c r="D8428" s="704" t="s">
        <v>563</v>
      </c>
      <c r="E8428" s="704" t="s">
        <v>676</v>
      </c>
      <c r="F8428" s="705">
        <v>2.5864722077660659E-2</v>
      </c>
      <c r="G8428" s="705">
        <v>5.8164117203327166</v>
      </c>
    </row>
    <row r="8429" spans="2:7" ht="11.25" hidden="1" customHeight="1" outlineLevel="2" x14ac:dyDescent="0.25">
      <c r="B8429" s="704" t="s">
        <v>673</v>
      </c>
      <c r="C8429" s="704" t="s">
        <v>887</v>
      </c>
      <c r="D8429" s="704" t="s">
        <v>563</v>
      </c>
      <c r="E8429" s="704" t="s">
        <v>861</v>
      </c>
      <c r="F8429" s="708"/>
      <c r="G8429" s="705">
        <v>66.445888904003255</v>
      </c>
    </row>
    <row r="8430" spans="2:7" ht="11.25" hidden="1" customHeight="1" outlineLevel="2" x14ac:dyDescent="0.25">
      <c r="B8430" s="704" t="s">
        <v>677</v>
      </c>
      <c r="C8430" s="704" t="s">
        <v>887</v>
      </c>
      <c r="D8430" s="704" t="s">
        <v>563</v>
      </c>
      <c r="E8430" s="704" t="s">
        <v>861</v>
      </c>
      <c r="F8430" s="705">
        <v>1.1927067988934758E-2</v>
      </c>
      <c r="G8430" s="705">
        <v>281.54469298608655</v>
      </c>
    </row>
    <row r="8431" spans="2:7" ht="11.25" hidden="1" customHeight="1" outlineLevel="2" x14ac:dyDescent="0.25">
      <c r="B8431" s="704" t="s">
        <v>678</v>
      </c>
      <c r="C8431" s="704" t="s">
        <v>887</v>
      </c>
      <c r="D8431" s="704" t="s">
        <v>563</v>
      </c>
      <c r="E8431" s="704" t="s">
        <v>861</v>
      </c>
      <c r="F8431" s="708"/>
      <c r="G8431" s="705">
        <v>515.24905438901851</v>
      </c>
    </row>
    <row r="8432" spans="2:7" ht="11.25" hidden="1" customHeight="1" outlineLevel="2" x14ac:dyDescent="0.25">
      <c r="B8432" s="704" t="s">
        <v>679</v>
      </c>
      <c r="C8432" s="704" t="s">
        <v>887</v>
      </c>
      <c r="D8432" s="704" t="s">
        <v>563</v>
      </c>
      <c r="E8432" s="704" t="s">
        <v>861</v>
      </c>
      <c r="F8432" s="708"/>
      <c r="G8432" s="705">
        <v>13.787216732280912</v>
      </c>
    </row>
    <row r="8433" spans="2:7" ht="11.25" hidden="1" customHeight="1" outlineLevel="2" x14ac:dyDescent="0.25">
      <c r="B8433" s="704" t="s">
        <v>680</v>
      </c>
      <c r="C8433" s="704" t="s">
        <v>887</v>
      </c>
      <c r="D8433" s="704" t="s">
        <v>563</v>
      </c>
      <c r="E8433" s="704" t="s">
        <v>861</v>
      </c>
      <c r="F8433" s="708"/>
      <c r="G8433" s="705">
        <v>33.40514614602516</v>
      </c>
    </row>
    <row r="8434" spans="2:7" ht="11.25" hidden="1" customHeight="1" outlineLevel="2" x14ac:dyDescent="0.25">
      <c r="B8434" s="704" t="s">
        <v>681</v>
      </c>
      <c r="C8434" s="704" t="s">
        <v>887</v>
      </c>
      <c r="D8434" s="704" t="s">
        <v>563</v>
      </c>
      <c r="E8434" s="704" t="s">
        <v>861</v>
      </c>
      <c r="F8434" s="708"/>
      <c r="G8434" s="705">
        <v>71.810954265567773</v>
      </c>
    </row>
    <row r="8435" spans="2:7" ht="11.25" hidden="1" customHeight="1" outlineLevel="2" x14ac:dyDescent="0.25">
      <c r="B8435" s="704" t="s">
        <v>682</v>
      </c>
      <c r="C8435" s="704" t="s">
        <v>887</v>
      </c>
      <c r="D8435" s="704" t="s">
        <v>563</v>
      </c>
      <c r="E8435" s="704" t="s">
        <v>861</v>
      </c>
      <c r="F8435" s="709"/>
      <c r="G8435" s="705">
        <v>65.494333771240917</v>
      </c>
    </row>
    <row r="8436" spans="2:7" ht="11.25" hidden="1" customHeight="1" outlineLevel="2" x14ac:dyDescent="0.25">
      <c r="B8436" s="704" t="s">
        <v>683</v>
      </c>
      <c r="C8436" s="704" t="s">
        <v>887</v>
      </c>
      <c r="D8436" s="704" t="s">
        <v>563</v>
      </c>
      <c r="E8436" s="704" t="s">
        <v>861</v>
      </c>
      <c r="F8436" s="709"/>
      <c r="G8436" s="705">
        <v>22.766112881333186</v>
      </c>
    </row>
    <row r="8437" spans="2:7" ht="11.25" hidden="1" customHeight="1" outlineLevel="2" x14ac:dyDescent="0.25">
      <c r="B8437" s="704" t="s">
        <v>684</v>
      </c>
      <c r="C8437" s="704" t="s">
        <v>887</v>
      </c>
      <c r="D8437" s="704" t="s">
        <v>563</v>
      </c>
      <c r="E8437" s="704" t="s">
        <v>861</v>
      </c>
      <c r="F8437" s="709"/>
      <c r="G8437" s="705">
        <v>46.676075608131285</v>
      </c>
    </row>
    <row r="8438" spans="2:7" ht="11.25" hidden="1" customHeight="1" outlineLevel="2" x14ac:dyDescent="0.25">
      <c r="B8438" s="704" t="s">
        <v>685</v>
      </c>
      <c r="C8438" s="704" t="s">
        <v>887</v>
      </c>
      <c r="D8438" s="704" t="s">
        <v>563</v>
      </c>
      <c r="E8438" s="704" t="s">
        <v>861</v>
      </c>
      <c r="F8438" s="709"/>
      <c r="G8438" s="705">
        <v>173.76750183652769</v>
      </c>
    </row>
    <row r="8439" spans="2:7" ht="11.25" hidden="1" customHeight="1" outlineLevel="2" x14ac:dyDescent="0.25">
      <c r="B8439" s="704" t="s">
        <v>686</v>
      </c>
      <c r="C8439" s="704" t="s">
        <v>887</v>
      </c>
      <c r="D8439" s="704" t="s">
        <v>563</v>
      </c>
      <c r="E8439" s="704" t="s">
        <v>861</v>
      </c>
      <c r="F8439" s="709"/>
      <c r="G8439" s="705">
        <v>17.077114647904835</v>
      </c>
    </row>
    <row r="8440" spans="2:7" ht="11.25" hidden="1" customHeight="1" outlineLevel="2" x14ac:dyDescent="0.25">
      <c r="B8440" s="704" t="s">
        <v>687</v>
      </c>
      <c r="C8440" s="704" t="s">
        <v>887</v>
      </c>
      <c r="D8440" s="704" t="s">
        <v>563</v>
      </c>
      <c r="E8440" s="704" t="s">
        <v>861</v>
      </c>
      <c r="F8440" s="709"/>
      <c r="G8440" s="705">
        <v>115.9664730093467</v>
      </c>
    </row>
    <row r="8441" spans="2:7" ht="11.25" hidden="1" customHeight="1" outlineLevel="2" x14ac:dyDescent="0.25">
      <c r="B8441" s="704" t="s">
        <v>688</v>
      </c>
      <c r="C8441" s="704" t="s">
        <v>887</v>
      </c>
      <c r="D8441" s="704" t="s">
        <v>563</v>
      </c>
      <c r="E8441" s="704" t="s">
        <v>861</v>
      </c>
      <c r="F8441" s="709"/>
      <c r="G8441" s="705">
        <v>157.50015758457889</v>
      </c>
    </row>
    <row r="8442" spans="2:7" ht="11.25" hidden="1" customHeight="1" outlineLevel="2" x14ac:dyDescent="0.25">
      <c r="B8442" s="704" t="s">
        <v>689</v>
      </c>
      <c r="C8442" s="704" t="s">
        <v>887</v>
      </c>
      <c r="D8442" s="704" t="s">
        <v>563</v>
      </c>
      <c r="E8442" s="704" t="s">
        <v>861</v>
      </c>
      <c r="F8442" s="708"/>
      <c r="G8442" s="705">
        <v>21.192762014833921</v>
      </c>
    </row>
    <row r="8443" spans="2:7" ht="11.25" hidden="1" customHeight="1" outlineLevel="2" x14ac:dyDescent="0.25">
      <c r="B8443" s="704" t="s">
        <v>690</v>
      </c>
      <c r="C8443" s="704" t="s">
        <v>887</v>
      </c>
      <c r="D8443" s="704" t="s">
        <v>563</v>
      </c>
      <c r="E8443" s="704" t="s">
        <v>861</v>
      </c>
      <c r="F8443" s="708"/>
      <c r="G8443" s="705">
        <v>291.52569676993608</v>
      </c>
    </row>
    <row r="8444" spans="2:7" ht="11.25" hidden="1" customHeight="1" outlineLevel="2" x14ac:dyDescent="0.25">
      <c r="B8444" s="704" t="s">
        <v>691</v>
      </c>
      <c r="C8444" s="704" t="s">
        <v>887</v>
      </c>
      <c r="D8444" s="704" t="s">
        <v>563</v>
      </c>
      <c r="E8444" s="704" t="s">
        <v>861</v>
      </c>
      <c r="F8444" s="708"/>
      <c r="G8444" s="705">
        <v>214.04601545325977</v>
      </c>
    </row>
    <row r="8445" spans="2:7" ht="11.25" hidden="1" customHeight="1" outlineLevel="2" x14ac:dyDescent="0.25">
      <c r="B8445" s="704" t="s">
        <v>692</v>
      </c>
      <c r="C8445" s="704" t="s">
        <v>887</v>
      </c>
      <c r="D8445" s="704" t="s">
        <v>563</v>
      </c>
      <c r="E8445" s="704" t="s">
        <v>861</v>
      </c>
      <c r="F8445" s="709"/>
      <c r="G8445" s="705">
        <v>17.532640108658658</v>
      </c>
    </row>
    <row r="8446" spans="2:7" ht="11.25" hidden="1" customHeight="1" outlineLevel="2" x14ac:dyDescent="0.25">
      <c r="B8446" s="704" t="s">
        <v>693</v>
      </c>
      <c r="C8446" s="704" t="s">
        <v>887</v>
      </c>
      <c r="D8446" s="704" t="s">
        <v>563</v>
      </c>
      <c r="E8446" s="704" t="s">
        <v>861</v>
      </c>
      <c r="F8446" s="708"/>
      <c r="G8446" s="705">
        <v>9.4445470664095783</v>
      </c>
    </row>
    <row r="8447" spans="2:7" ht="11.25" hidden="1" customHeight="1" outlineLevel="2" x14ac:dyDescent="0.25">
      <c r="B8447" s="704" t="s">
        <v>694</v>
      </c>
      <c r="C8447" s="704" t="s">
        <v>887</v>
      </c>
      <c r="D8447" s="704" t="s">
        <v>563</v>
      </c>
      <c r="E8447" s="704" t="s">
        <v>861</v>
      </c>
      <c r="F8447" s="708"/>
      <c r="G8447" s="705">
        <v>6.4279601955530214</v>
      </c>
    </row>
    <row r="8448" spans="2:7" ht="11.25" hidden="1" customHeight="1" outlineLevel="2" x14ac:dyDescent="0.25">
      <c r="B8448" s="704" t="s">
        <v>695</v>
      </c>
      <c r="C8448" s="704" t="s">
        <v>887</v>
      </c>
      <c r="D8448" s="704" t="s">
        <v>563</v>
      </c>
      <c r="E8448" s="704" t="s">
        <v>861</v>
      </c>
      <c r="F8448" s="709"/>
      <c r="G8448" s="705">
        <v>45.167830162113887</v>
      </c>
    </row>
    <row r="8449" spans="2:7" ht="11.25" hidden="1" customHeight="1" outlineLevel="2" x14ac:dyDescent="0.25">
      <c r="B8449" s="704" t="s">
        <v>696</v>
      </c>
      <c r="C8449" s="704" t="s">
        <v>887</v>
      </c>
      <c r="D8449" s="704" t="s">
        <v>563</v>
      </c>
      <c r="E8449" s="704" t="s">
        <v>861</v>
      </c>
      <c r="F8449" s="708"/>
      <c r="G8449" s="705">
        <v>162.16680065271757</v>
      </c>
    </row>
    <row r="8450" spans="2:7" ht="11.25" hidden="1" customHeight="1" outlineLevel="2" x14ac:dyDescent="0.25">
      <c r="B8450" s="704" t="s">
        <v>697</v>
      </c>
      <c r="C8450" s="704" t="s">
        <v>887</v>
      </c>
      <c r="D8450" s="704" t="s">
        <v>563</v>
      </c>
      <c r="E8450" s="704" t="s">
        <v>861</v>
      </c>
      <c r="F8450" s="708"/>
      <c r="G8450" s="705">
        <v>81.953951546776935</v>
      </c>
    </row>
    <row r="8451" spans="2:7" ht="11.25" hidden="1" customHeight="1" outlineLevel="2" x14ac:dyDescent="0.25">
      <c r="B8451" s="704" t="s">
        <v>698</v>
      </c>
      <c r="C8451" s="704" t="s">
        <v>887</v>
      </c>
      <c r="D8451" s="704" t="s">
        <v>563</v>
      </c>
      <c r="E8451" s="704" t="s">
        <v>861</v>
      </c>
      <c r="F8451" s="708"/>
      <c r="G8451" s="705">
        <v>21.440033842338725</v>
      </c>
    </row>
    <row r="8452" spans="2:7" ht="11.25" hidden="1" customHeight="1" outlineLevel="2" x14ac:dyDescent="0.25">
      <c r="B8452" s="704" t="s">
        <v>699</v>
      </c>
      <c r="C8452" s="704" t="s">
        <v>887</v>
      </c>
      <c r="D8452" s="704" t="s">
        <v>563</v>
      </c>
      <c r="E8452" s="704" t="s">
        <v>861</v>
      </c>
      <c r="F8452" s="709"/>
      <c r="G8452" s="705">
        <v>390.93129382164426</v>
      </c>
    </row>
    <row r="8453" spans="2:7" ht="11.25" hidden="1" customHeight="1" outlineLevel="2" x14ac:dyDescent="0.25">
      <c r="B8453" s="704" t="s">
        <v>673</v>
      </c>
      <c r="C8453" s="704" t="s">
        <v>888</v>
      </c>
      <c r="D8453" s="704" t="s">
        <v>563</v>
      </c>
      <c r="E8453" s="704" t="s">
        <v>861</v>
      </c>
      <c r="F8453" s="709"/>
      <c r="G8453" s="705">
        <v>964.16756321826358</v>
      </c>
    </row>
    <row r="8454" spans="2:7" ht="11.25" hidden="1" customHeight="1" outlineLevel="2" x14ac:dyDescent="0.25">
      <c r="B8454" s="704" t="s">
        <v>677</v>
      </c>
      <c r="C8454" s="704" t="s">
        <v>888</v>
      </c>
      <c r="D8454" s="704" t="s">
        <v>563</v>
      </c>
      <c r="E8454" s="704" t="s">
        <v>861</v>
      </c>
      <c r="F8454" s="706">
        <v>0.11340818890118315</v>
      </c>
      <c r="G8454" s="705">
        <v>4085.373719001861</v>
      </c>
    </row>
    <row r="8455" spans="2:7" ht="11.25" hidden="1" customHeight="1" outlineLevel="2" x14ac:dyDescent="0.25">
      <c r="B8455" s="704" t="s">
        <v>678</v>
      </c>
      <c r="C8455" s="704" t="s">
        <v>888</v>
      </c>
      <c r="D8455" s="704" t="s">
        <v>563</v>
      </c>
      <c r="E8455" s="704" t="s">
        <v>861</v>
      </c>
      <c r="F8455" s="708"/>
      <c r="G8455" s="705">
        <v>7476.561428363455</v>
      </c>
    </row>
    <row r="8456" spans="2:7" ht="11.25" hidden="1" customHeight="1" outlineLevel="2" x14ac:dyDescent="0.25">
      <c r="B8456" s="704" t="s">
        <v>679</v>
      </c>
      <c r="C8456" s="704" t="s">
        <v>888</v>
      </c>
      <c r="D8456" s="704" t="s">
        <v>563</v>
      </c>
      <c r="E8456" s="704" t="s">
        <v>861</v>
      </c>
      <c r="F8456" s="708"/>
      <c r="G8456" s="705">
        <v>200.06041773682296</v>
      </c>
    </row>
    <row r="8457" spans="2:7" ht="11.25" hidden="1" customHeight="1" outlineLevel="2" x14ac:dyDescent="0.25">
      <c r="B8457" s="704" t="s">
        <v>680</v>
      </c>
      <c r="C8457" s="704" t="s">
        <v>888</v>
      </c>
      <c r="D8457" s="704" t="s">
        <v>563</v>
      </c>
      <c r="E8457" s="704" t="s">
        <v>861</v>
      </c>
      <c r="F8457" s="708"/>
      <c r="G8457" s="705">
        <v>484.7279720429778</v>
      </c>
    </row>
    <row r="8458" spans="2:7" ht="11.25" hidden="1" customHeight="1" outlineLevel="2" x14ac:dyDescent="0.25">
      <c r="B8458" s="704" t="s">
        <v>681</v>
      </c>
      <c r="C8458" s="704" t="s">
        <v>888</v>
      </c>
      <c r="D8458" s="704" t="s">
        <v>563</v>
      </c>
      <c r="E8458" s="704" t="s">
        <v>861</v>
      </c>
      <c r="F8458" s="708"/>
      <c r="G8458" s="705">
        <v>1042.0181119277756</v>
      </c>
    </row>
    <row r="8459" spans="2:7" ht="11.25" hidden="1" customHeight="1" outlineLevel="2" x14ac:dyDescent="0.25">
      <c r="B8459" s="704" t="s">
        <v>682</v>
      </c>
      <c r="C8459" s="704" t="s">
        <v>888</v>
      </c>
      <c r="D8459" s="704" t="s">
        <v>563</v>
      </c>
      <c r="E8459" s="704" t="s">
        <v>861</v>
      </c>
      <c r="F8459" s="708"/>
      <c r="G8459" s="705">
        <v>950.36023081743861</v>
      </c>
    </row>
    <row r="8460" spans="2:7" ht="11.25" hidden="1" customHeight="1" outlineLevel="2" x14ac:dyDescent="0.25">
      <c r="B8460" s="704" t="s">
        <v>683</v>
      </c>
      <c r="C8460" s="704" t="s">
        <v>888</v>
      </c>
      <c r="D8460" s="704" t="s">
        <v>563</v>
      </c>
      <c r="E8460" s="704" t="s">
        <v>861</v>
      </c>
      <c r="F8460" s="708"/>
      <c r="G8460" s="705">
        <v>330.34935218717442</v>
      </c>
    </row>
    <row r="8461" spans="2:7" ht="11.25" hidden="1" customHeight="1" outlineLevel="2" x14ac:dyDescent="0.25">
      <c r="B8461" s="704" t="s">
        <v>684</v>
      </c>
      <c r="C8461" s="704" t="s">
        <v>888</v>
      </c>
      <c r="D8461" s="704" t="s">
        <v>563</v>
      </c>
      <c r="E8461" s="704" t="s">
        <v>861</v>
      </c>
      <c r="F8461" s="708"/>
      <c r="G8461" s="705">
        <v>677.29722689060475</v>
      </c>
    </row>
    <row r="8462" spans="2:7" ht="11.25" hidden="1" customHeight="1" outlineLevel="2" x14ac:dyDescent="0.25">
      <c r="B8462" s="704" t="s">
        <v>685</v>
      </c>
      <c r="C8462" s="704" t="s">
        <v>888</v>
      </c>
      <c r="D8462" s="704" t="s">
        <v>563</v>
      </c>
      <c r="E8462" s="704" t="s">
        <v>861</v>
      </c>
      <c r="F8462" s="708"/>
      <c r="G8462" s="705">
        <v>2521.4658784254534</v>
      </c>
    </row>
    <row r="8463" spans="2:7" ht="11.25" hidden="1" customHeight="1" outlineLevel="2" x14ac:dyDescent="0.25">
      <c r="B8463" s="704" t="s">
        <v>686</v>
      </c>
      <c r="C8463" s="704" t="s">
        <v>888</v>
      </c>
      <c r="D8463" s="704" t="s">
        <v>563</v>
      </c>
      <c r="E8463" s="704" t="s">
        <v>861</v>
      </c>
      <c r="F8463" s="708"/>
      <c r="G8463" s="705">
        <v>247.7989172770869</v>
      </c>
    </row>
    <row r="8464" spans="2:7" ht="11.25" hidden="1" customHeight="1" outlineLevel="2" x14ac:dyDescent="0.25">
      <c r="B8464" s="704" t="s">
        <v>687</v>
      </c>
      <c r="C8464" s="704" t="s">
        <v>888</v>
      </c>
      <c r="D8464" s="704" t="s">
        <v>563</v>
      </c>
      <c r="E8464" s="704" t="s">
        <v>861</v>
      </c>
      <c r="F8464" s="708"/>
      <c r="G8464" s="705">
        <v>1682.7400805883935</v>
      </c>
    </row>
    <row r="8465" spans="2:7" ht="11.25" hidden="1" customHeight="1" outlineLevel="2" x14ac:dyDescent="0.25">
      <c r="B8465" s="704" t="s">
        <v>688</v>
      </c>
      <c r="C8465" s="704" t="s">
        <v>888</v>
      </c>
      <c r="D8465" s="704" t="s">
        <v>563</v>
      </c>
      <c r="E8465" s="704" t="s">
        <v>861</v>
      </c>
      <c r="F8465" s="708"/>
      <c r="G8465" s="705">
        <v>2285.4186549391093</v>
      </c>
    </row>
    <row r="8466" spans="2:7" ht="11.25" hidden="1" customHeight="1" outlineLevel="2" x14ac:dyDescent="0.25">
      <c r="B8466" s="704" t="s">
        <v>689</v>
      </c>
      <c r="C8466" s="704" t="s">
        <v>888</v>
      </c>
      <c r="D8466" s="704" t="s">
        <v>563</v>
      </c>
      <c r="E8466" s="704" t="s">
        <v>861</v>
      </c>
      <c r="F8466" s="709"/>
      <c r="G8466" s="705">
        <v>307.51919980269986</v>
      </c>
    </row>
    <row r="8467" spans="2:7" ht="11.25" hidden="1" customHeight="1" outlineLevel="2" x14ac:dyDescent="0.25">
      <c r="B8467" s="704" t="s">
        <v>690</v>
      </c>
      <c r="C8467" s="704" t="s">
        <v>888</v>
      </c>
      <c r="D8467" s="704" t="s">
        <v>563</v>
      </c>
      <c r="E8467" s="704" t="s">
        <v>861</v>
      </c>
      <c r="F8467" s="709"/>
      <c r="G8467" s="705">
        <v>4230.2041324484071</v>
      </c>
    </row>
    <row r="8468" spans="2:7" ht="11.25" hidden="1" customHeight="1" outlineLevel="2" x14ac:dyDescent="0.25">
      <c r="B8468" s="704" t="s">
        <v>691</v>
      </c>
      <c r="C8468" s="704" t="s">
        <v>888</v>
      </c>
      <c r="D8468" s="704" t="s">
        <v>563</v>
      </c>
      <c r="E8468" s="704" t="s">
        <v>861</v>
      </c>
      <c r="F8468" s="708"/>
      <c r="G8468" s="705">
        <v>3105.9309503026934</v>
      </c>
    </row>
    <row r="8469" spans="2:7" ht="11.25" hidden="1" customHeight="1" outlineLevel="2" x14ac:dyDescent="0.25">
      <c r="B8469" s="704" t="s">
        <v>692</v>
      </c>
      <c r="C8469" s="704" t="s">
        <v>888</v>
      </c>
      <c r="D8469" s="704" t="s">
        <v>563</v>
      </c>
      <c r="E8469" s="704" t="s">
        <v>861</v>
      </c>
      <c r="F8469" s="708"/>
      <c r="G8469" s="705">
        <v>254.40841713546894</v>
      </c>
    </row>
    <row r="8470" spans="2:7" ht="11.25" hidden="1" customHeight="1" outlineLevel="2" x14ac:dyDescent="0.25">
      <c r="B8470" s="704" t="s">
        <v>693</v>
      </c>
      <c r="C8470" s="704" t="s">
        <v>888</v>
      </c>
      <c r="D8470" s="704" t="s">
        <v>563</v>
      </c>
      <c r="E8470" s="704" t="s">
        <v>861</v>
      </c>
      <c r="F8470" s="708"/>
      <c r="G8470" s="705">
        <v>137.04581723302107</v>
      </c>
    </row>
    <row r="8471" spans="2:7" ht="11.25" hidden="1" customHeight="1" outlineLevel="2" x14ac:dyDescent="0.25">
      <c r="B8471" s="704" t="s">
        <v>694</v>
      </c>
      <c r="C8471" s="704" t="s">
        <v>888</v>
      </c>
      <c r="D8471" s="704" t="s">
        <v>563</v>
      </c>
      <c r="E8471" s="704" t="s">
        <v>861</v>
      </c>
      <c r="F8471" s="708"/>
      <c r="G8471" s="705">
        <v>93.273395419545835</v>
      </c>
    </row>
    <row r="8472" spans="2:7" ht="11.25" hidden="1" customHeight="1" outlineLevel="2" x14ac:dyDescent="0.25">
      <c r="B8472" s="704" t="s">
        <v>695</v>
      </c>
      <c r="C8472" s="704" t="s">
        <v>888</v>
      </c>
      <c r="D8472" s="704" t="s">
        <v>563</v>
      </c>
      <c r="E8472" s="704" t="s">
        <v>861</v>
      </c>
      <c r="F8472" s="708"/>
      <c r="G8472" s="705">
        <v>655.41089718192416</v>
      </c>
    </row>
    <row r="8473" spans="2:7" ht="11.25" hidden="1" customHeight="1" outlineLevel="2" x14ac:dyDescent="0.25">
      <c r="B8473" s="704" t="s">
        <v>696</v>
      </c>
      <c r="C8473" s="704" t="s">
        <v>888</v>
      </c>
      <c r="D8473" s="704" t="s">
        <v>563</v>
      </c>
      <c r="E8473" s="704" t="s">
        <v>861</v>
      </c>
      <c r="F8473" s="708"/>
      <c r="G8473" s="705">
        <v>2353.1347110182924</v>
      </c>
    </row>
    <row r="8474" spans="2:7" ht="11.25" hidden="1" customHeight="1" outlineLevel="2" x14ac:dyDescent="0.25">
      <c r="B8474" s="704" t="s">
        <v>697</v>
      </c>
      <c r="C8474" s="704" t="s">
        <v>888</v>
      </c>
      <c r="D8474" s="704" t="s">
        <v>563</v>
      </c>
      <c r="E8474" s="704" t="s">
        <v>861</v>
      </c>
      <c r="F8474" s="708"/>
      <c r="G8474" s="705">
        <v>1189.1987686792472</v>
      </c>
    </row>
    <row r="8475" spans="2:7" ht="11.25" hidden="1" customHeight="1" outlineLevel="2" x14ac:dyDescent="0.25">
      <c r="B8475" s="704" t="s">
        <v>698</v>
      </c>
      <c r="C8475" s="704" t="s">
        <v>888</v>
      </c>
      <c r="D8475" s="704" t="s">
        <v>563</v>
      </c>
      <c r="E8475" s="704" t="s">
        <v>861</v>
      </c>
      <c r="F8475" s="708"/>
      <c r="G8475" s="705">
        <v>311.10721438376669</v>
      </c>
    </row>
    <row r="8476" spans="2:7" ht="11.25" hidden="1" customHeight="1" outlineLevel="2" x14ac:dyDescent="0.25">
      <c r="B8476" s="704" t="s">
        <v>699</v>
      </c>
      <c r="C8476" s="704" t="s">
        <v>888</v>
      </c>
      <c r="D8476" s="704" t="s">
        <v>563</v>
      </c>
      <c r="E8476" s="704" t="s">
        <v>861</v>
      </c>
      <c r="F8476" s="708"/>
      <c r="G8476" s="705">
        <v>5672.6332235832742</v>
      </c>
    </row>
    <row r="8477" spans="2:7" ht="11.25" hidden="1" customHeight="1" outlineLevel="2" x14ac:dyDescent="0.25">
      <c r="B8477" s="704" t="s">
        <v>673</v>
      </c>
      <c r="C8477" s="704" t="s">
        <v>889</v>
      </c>
      <c r="D8477" s="704" t="s">
        <v>563</v>
      </c>
      <c r="E8477" s="704" t="s">
        <v>861</v>
      </c>
      <c r="F8477" s="708"/>
      <c r="G8477" s="705">
        <v>420.82737188225394</v>
      </c>
    </row>
    <row r="8478" spans="2:7" ht="11.25" hidden="1" customHeight="1" outlineLevel="2" x14ac:dyDescent="0.25">
      <c r="B8478" s="704" t="s">
        <v>677</v>
      </c>
      <c r="C8478" s="704" t="s">
        <v>889</v>
      </c>
      <c r="D8478" s="704" t="s">
        <v>563</v>
      </c>
      <c r="E8478" s="704" t="s">
        <v>861</v>
      </c>
      <c r="F8478" s="705">
        <v>6.0026738435033582E-2</v>
      </c>
      <c r="G8478" s="705">
        <v>1783.1313157881639</v>
      </c>
    </row>
    <row r="8479" spans="2:7" ht="11.25" hidden="1" customHeight="1" outlineLevel="2" x14ac:dyDescent="0.25">
      <c r="B8479" s="704" t="s">
        <v>678</v>
      </c>
      <c r="C8479" s="704" t="s">
        <v>889</v>
      </c>
      <c r="D8479" s="704" t="s">
        <v>563</v>
      </c>
      <c r="E8479" s="704" t="s">
        <v>861</v>
      </c>
      <c r="F8479" s="708"/>
      <c r="G8479" s="705">
        <v>3263.2725568514738</v>
      </c>
    </row>
    <row r="8480" spans="2:7" ht="11.25" hidden="1" customHeight="1" outlineLevel="2" x14ac:dyDescent="0.25">
      <c r="B8480" s="704" t="s">
        <v>679</v>
      </c>
      <c r="C8480" s="704" t="s">
        <v>889</v>
      </c>
      <c r="D8480" s="704" t="s">
        <v>563</v>
      </c>
      <c r="E8480" s="704" t="s">
        <v>861</v>
      </c>
      <c r="F8480" s="708"/>
      <c r="G8480" s="705">
        <v>87.319766867505265</v>
      </c>
    </row>
    <row r="8481" spans="2:7" ht="11.25" hidden="1" customHeight="1" outlineLevel="2" x14ac:dyDescent="0.25">
      <c r="B8481" s="704" t="s">
        <v>680</v>
      </c>
      <c r="C8481" s="704" t="s">
        <v>889</v>
      </c>
      <c r="D8481" s="704" t="s">
        <v>563</v>
      </c>
      <c r="E8481" s="704" t="s">
        <v>861</v>
      </c>
      <c r="F8481" s="708"/>
      <c r="G8481" s="705">
        <v>211.56768794948914</v>
      </c>
    </row>
    <row r="8482" spans="2:7" ht="11.25" hidden="1" customHeight="1" outlineLevel="2" x14ac:dyDescent="0.25">
      <c r="B8482" s="704" t="s">
        <v>681</v>
      </c>
      <c r="C8482" s="704" t="s">
        <v>889</v>
      </c>
      <c r="D8482" s="704" t="s">
        <v>563</v>
      </c>
      <c r="E8482" s="704" t="s">
        <v>861</v>
      </c>
      <c r="F8482" s="708"/>
      <c r="G8482" s="705">
        <v>454.80646969246669</v>
      </c>
    </row>
    <row r="8483" spans="2:7" ht="11.25" hidden="1" customHeight="1" outlineLevel="2" x14ac:dyDescent="0.25">
      <c r="B8483" s="704" t="s">
        <v>682</v>
      </c>
      <c r="C8483" s="704" t="s">
        <v>889</v>
      </c>
      <c r="D8483" s="704" t="s">
        <v>563</v>
      </c>
      <c r="E8483" s="704" t="s">
        <v>861</v>
      </c>
      <c r="F8483" s="709"/>
      <c r="G8483" s="705">
        <v>414.80105583686117</v>
      </c>
    </row>
    <row r="8484" spans="2:7" ht="11.25" hidden="1" customHeight="1" outlineLevel="2" x14ac:dyDescent="0.25">
      <c r="B8484" s="704" t="s">
        <v>683</v>
      </c>
      <c r="C8484" s="704" t="s">
        <v>889</v>
      </c>
      <c r="D8484" s="704" t="s">
        <v>563</v>
      </c>
      <c r="E8484" s="704" t="s">
        <v>861</v>
      </c>
      <c r="F8484" s="709"/>
      <c r="G8484" s="705">
        <v>144.18660601624151</v>
      </c>
    </row>
    <row r="8485" spans="2:7" ht="11.25" hidden="1" customHeight="1" outlineLevel="2" x14ac:dyDescent="0.25">
      <c r="B8485" s="704" t="s">
        <v>684</v>
      </c>
      <c r="C8485" s="704" t="s">
        <v>889</v>
      </c>
      <c r="D8485" s="704" t="s">
        <v>563</v>
      </c>
      <c r="E8485" s="704" t="s">
        <v>861</v>
      </c>
      <c r="F8485" s="709"/>
      <c r="G8485" s="705">
        <v>295.61780605150955</v>
      </c>
    </row>
    <row r="8486" spans="2:7" ht="11.25" hidden="1" customHeight="1" outlineLevel="2" x14ac:dyDescent="0.25">
      <c r="B8486" s="704" t="s">
        <v>685</v>
      </c>
      <c r="C8486" s="704" t="s">
        <v>889</v>
      </c>
      <c r="D8486" s="704" t="s">
        <v>563</v>
      </c>
      <c r="E8486" s="704" t="s">
        <v>861</v>
      </c>
      <c r="F8486" s="709"/>
      <c r="G8486" s="705">
        <v>1100.5367875009249</v>
      </c>
    </row>
    <row r="8487" spans="2:7" ht="11.25" hidden="1" customHeight="1" outlineLevel="2" x14ac:dyDescent="0.25">
      <c r="B8487" s="704" t="s">
        <v>686</v>
      </c>
      <c r="C8487" s="704" t="s">
        <v>889</v>
      </c>
      <c r="D8487" s="704" t="s">
        <v>563</v>
      </c>
      <c r="E8487" s="704" t="s">
        <v>861</v>
      </c>
      <c r="F8487" s="709"/>
      <c r="G8487" s="705">
        <v>108.15597380165377</v>
      </c>
    </row>
    <row r="8488" spans="2:7" ht="11.25" hidden="1" customHeight="1" outlineLevel="2" x14ac:dyDescent="0.25">
      <c r="B8488" s="704" t="s">
        <v>687</v>
      </c>
      <c r="C8488" s="704" t="s">
        <v>889</v>
      </c>
      <c r="D8488" s="704" t="s">
        <v>563</v>
      </c>
      <c r="E8488" s="704" t="s">
        <v>861</v>
      </c>
      <c r="F8488" s="709"/>
      <c r="G8488" s="705">
        <v>734.4606577538533</v>
      </c>
    </row>
    <row r="8489" spans="2:7" ht="11.25" hidden="1" customHeight="1" outlineLevel="2" x14ac:dyDescent="0.25">
      <c r="B8489" s="704" t="s">
        <v>688</v>
      </c>
      <c r="C8489" s="704" t="s">
        <v>889</v>
      </c>
      <c r="D8489" s="704" t="s">
        <v>563</v>
      </c>
      <c r="E8489" s="704" t="s">
        <v>861</v>
      </c>
      <c r="F8489" s="709"/>
      <c r="G8489" s="705">
        <v>997.50995852411472</v>
      </c>
    </row>
    <row r="8490" spans="2:7" ht="11.25" hidden="1" customHeight="1" outlineLevel="2" x14ac:dyDescent="0.25">
      <c r="B8490" s="704" t="s">
        <v>689</v>
      </c>
      <c r="C8490" s="704" t="s">
        <v>889</v>
      </c>
      <c r="D8490" s="704" t="s">
        <v>563</v>
      </c>
      <c r="E8490" s="704" t="s">
        <v>861</v>
      </c>
      <c r="F8490" s="709"/>
      <c r="G8490" s="705">
        <v>134.22194837111485</v>
      </c>
    </row>
    <row r="8491" spans="2:7" ht="11.25" hidden="1" customHeight="1" outlineLevel="2" x14ac:dyDescent="0.25">
      <c r="B8491" s="704" t="s">
        <v>690</v>
      </c>
      <c r="C8491" s="704" t="s">
        <v>889</v>
      </c>
      <c r="D8491" s="704" t="s">
        <v>563</v>
      </c>
      <c r="E8491" s="704" t="s">
        <v>861</v>
      </c>
      <c r="F8491" s="709"/>
      <c r="G8491" s="705">
        <v>1846.3459179634647</v>
      </c>
    </row>
    <row r="8492" spans="2:7" ht="11.25" hidden="1" customHeight="1" outlineLevel="2" x14ac:dyDescent="0.25">
      <c r="B8492" s="704" t="s">
        <v>691</v>
      </c>
      <c r="C8492" s="704" t="s">
        <v>889</v>
      </c>
      <c r="D8492" s="704" t="s">
        <v>563</v>
      </c>
      <c r="E8492" s="704" t="s">
        <v>861</v>
      </c>
      <c r="F8492" s="709"/>
      <c r="G8492" s="705">
        <v>1355.6365313813378</v>
      </c>
    </row>
    <row r="8493" spans="2:7" ht="11.25" hidden="1" customHeight="1" outlineLevel="2" x14ac:dyDescent="0.25">
      <c r="B8493" s="704" t="s">
        <v>692</v>
      </c>
      <c r="C8493" s="704" t="s">
        <v>889</v>
      </c>
      <c r="D8493" s="704" t="s">
        <v>563</v>
      </c>
      <c r="E8493" s="704" t="s">
        <v>861</v>
      </c>
      <c r="F8493" s="708"/>
      <c r="G8493" s="705">
        <v>111.04100873450035</v>
      </c>
    </row>
    <row r="8494" spans="2:7" ht="11.25" hidden="1" customHeight="1" outlineLevel="2" x14ac:dyDescent="0.25">
      <c r="B8494" s="704" t="s">
        <v>693</v>
      </c>
      <c r="C8494" s="704" t="s">
        <v>889</v>
      </c>
      <c r="D8494" s="704" t="s">
        <v>563</v>
      </c>
      <c r="E8494" s="704" t="s">
        <v>861</v>
      </c>
      <c r="F8494" s="708"/>
      <c r="G8494" s="705">
        <v>59.815969027499854</v>
      </c>
    </row>
    <row r="8495" spans="2:7" ht="11.25" hidden="1" customHeight="1" outlineLevel="2" x14ac:dyDescent="0.25">
      <c r="B8495" s="704" t="s">
        <v>694</v>
      </c>
      <c r="C8495" s="704" t="s">
        <v>889</v>
      </c>
      <c r="D8495" s="704" t="s">
        <v>563</v>
      </c>
      <c r="E8495" s="704" t="s">
        <v>861</v>
      </c>
      <c r="F8495" s="709"/>
      <c r="G8495" s="705">
        <v>40.710763955247138</v>
      </c>
    </row>
    <row r="8496" spans="2:7" ht="11.25" hidden="1" customHeight="1" outlineLevel="2" x14ac:dyDescent="0.25">
      <c r="B8496" s="704" t="s">
        <v>695</v>
      </c>
      <c r="C8496" s="704" t="s">
        <v>889</v>
      </c>
      <c r="D8496" s="704" t="s">
        <v>563</v>
      </c>
      <c r="E8496" s="704" t="s">
        <v>861</v>
      </c>
      <c r="F8496" s="708"/>
      <c r="G8496" s="705">
        <v>286.06523383300112</v>
      </c>
    </row>
    <row r="8497" spans="2:7" ht="11.25" hidden="1" customHeight="1" outlineLevel="2" x14ac:dyDescent="0.25">
      <c r="B8497" s="704" t="s">
        <v>696</v>
      </c>
      <c r="C8497" s="704" t="s">
        <v>889</v>
      </c>
      <c r="D8497" s="704" t="s">
        <v>563</v>
      </c>
      <c r="E8497" s="704" t="s">
        <v>861</v>
      </c>
      <c r="F8497" s="708"/>
      <c r="G8497" s="705">
        <v>1027.0652716025193</v>
      </c>
    </row>
    <row r="8498" spans="2:7" ht="11.25" hidden="1" customHeight="1" outlineLevel="2" x14ac:dyDescent="0.25">
      <c r="B8498" s="704" t="s">
        <v>697</v>
      </c>
      <c r="C8498" s="704" t="s">
        <v>889</v>
      </c>
      <c r="D8498" s="704" t="s">
        <v>563</v>
      </c>
      <c r="E8498" s="704" t="s">
        <v>861</v>
      </c>
      <c r="F8498" s="708"/>
      <c r="G8498" s="705">
        <v>519.04622186925076</v>
      </c>
    </row>
    <row r="8499" spans="2:7" ht="11.25" hidden="1" customHeight="1" outlineLevel="2" x14ac:dyDescent="0.25">
      <c r="B8499" s="704" t="s">
        <v>698</v>
      </c>
      <c r="C8499" s="704" t="s">
        <v>889</v>
      </c>
      <c r="D8499" s="704" t="s">
        <v>563</v>
      </c>
      <c r="E8499" s="704" t="s">
        <v>861</v>
      </c>
      <c r="F8499" s="708"/>
      <c r="G8499" s="705">
        <v>135.7880429634215</v>
      </c>
    </row>
    <row r="8500" spans="2:7" ht="11.25" hidden="1" customHeight="1" outlineLevel="2" x14ac:dyDescent="0.25">
      <c r="B8500" s="704" t="s">
        <v>699</v>
      </c>
      <c r="C8500" s="704" t="s">
        <v>889</v>
      </c>
      <c r="D8500" s="704" t="s">
        <v>563</v>
      </c>
      <c r="E8500" s="704" t="s">
        <v>861</v>
      </c>
      <c r="F8500" s="708"/>
      <c r="G8500" s="705">
        <v>2475.9197089843001</v>
      </c>
    </row>
    <row r="8501" spans="2:7" ht="11.25" hidden="1" customHeight="1" outlineLevel="2" x14ac:dyDescent="0.25">
      <c r="B8501" s="704" t="s">
        <v>673</v>
      </c>
      <c r="C8501" s="704" t="s">
        <v>890</v>
      </c>
      <c r="D8501" s="704" t="s">
        <v>563</v>
      </c>
      <c r="E8501" s="704" t="s">
        <v>861</v>
      </c>
      <c r="F8501" s="708"/>
      <c r="G8501" s="705">
        <v>427.13535143347184</v>
      </c>
    </row>
    <row r="8502" spans="2:7" ht="11.25" hidden="1" customHeight="1" outlineLevel="2" x14ac:dyDescent="0.25">
      <c r="B8502" s="704" t="s">
        <v>677</v>
      </c>
      <c r="C8502" s="704" t="s">
        <v>890</v>
      </c>
      <c r="D8502" s="704" t="s">
        <v>563</v>
      </c>
      <c r="E8502" s="704" t="s">
        <v>861</v>
      </c>
      <c r="F8502" s="705">
        <v>5.9286149430456549E-2</v>
      </c>
      <c r="G8502" s="705">
        <v>1809.8586097159537</v>
      </c>
    </row>
    <row r="8503" spans="2:7" ht="11.25" hidden="1" customHeight="1" outlineLevel="2" x14ac:dyDescent="0.25">
      <c r="B8503" s="704" t="s">
        <v>678</v>
      </c>
      <c r="C8503" s="704" t="s">
        <v>890</v>
      </c>
      <c r="D8503" s="704" t="s">
        <v>563</v>
      </c>
      <c r="E8503" s="704" t="s">
        <v>861</v>
      </c>
      <c r="F8503" s="708"/>
      <c r="G8503" s="705">
        <v>3312.1855242036368</v>
      </c>
    </row>
    <row r="8504" spans="2:7" ht="11.25" hidden="1" customHeight="1" outlineLevel="2" x14ac:dyDescent="0.25">
      <c r="B8504" s="704" t="s">
        <v>679</v>
      </c>
      <c r="C8504" s="704" t="s">
        <v>890</v>
      </c>
      <c r="D8504" s="704" t="s">
        <v>563</v>
      </c>
      <c r="E8504" s="704" t="s">
        <v>861</v>
      </c>
      <c r="F8504" s="708"/>
      <c r="G8504" s="705">
        <v>88.628604995621345</v>
      </c>
    </row>
    <row r="8505" spans="2:7" ht="11.25" hidden="1" customHeight="1" outlineLevel="2" x14ac:dyDescent="0.25">
      <c r="B8505" s="704" t="s">
        <v>680</v>
      </c>
      <c r="C8505" s="704" t="s">
        <v>890</v>
      </c>
      <c r="D8505" s="704" t="s">
        <v>563</v>
      </c>
      <c r="E8505" s="704" t="s">
        <v>861</v>
      </c>
      <c r="F8505" s="708"/>
      <c r="G8505" s="705">
        <v>214.73893747446098</v>
      </c>
    </row>
    <row r="8506" spans="2:7" ht="11.25" hidden="1" customHeight="1" outlineLevel="2" x14ac:dyDescent="0.25">
      <c r="B8506" s="704" t="s">
        <v>681</v>
      </c>
      <c r="C8506" s="704" t="s">
        <v>890</v>
      </c>
      <c r="D8506" s="704" t="s">
        <v>563</v>
      </c>
      <c r="E8506" s="704" t="s">
        <v>861</v>
      </c>
      <c r="F8506" s="708"/>
      <c r="G8506" s="705">
        <v>461.62362739134016</v>
      </c>
    </row>
    <row r="8507" spans="2:7" ht="11.25" hidden="1" customHeight="1" outlineLevel="2" x14ac:dyDescent="0.25">
      <c r="B8507" s="704" t="s">
        <v>682</v>
      </c>
      <c r="C8507" s="704" t="s">
        <v>890</v>
      </c>
      <c r="D8507" s="704" t="s">
        <v>563</v>
      </c>
      <c r="E8507" s="704" t="s">
        <v>861</v>
      </c>
      <c r="F8507" s="708"/>
      <c r="G8507" s="705">
        <v>421.01852841800468</v>
      </c>
    </row>
    <row r="8508" spans="2:7" ht="11.25" hidden="1" customHeight="1" outlineLevel="2" x14ac:dyDescent="0.25">
      <c r="B8508" s="704" t="s">
        <v>683</v>
      </c>
      <c r="C8508" s="704" t="s">
        <v>890</v>
      </c>
      <c r="D8508" s="704" t="s">
        <v>563</v>
      </c>
      <c r="E8508" s="704" t="s">
        <v>861</v>
      </c>
      <c r="F8508" s="708"/>
      <c r="G8508" s="705">
        <v>146.34783390126188</v>
      </c>
    </row>
    <row r="8509" spans="2:7" ht="11.25" hidden="1" customHeight="1" outlineLevel="2" x14ac:dyDescent="0.25">
      <c r="B8509" s="704" t="s">
        <v>684</v>
      </c>
      <c r="C8509" s="704" t="s">
        <v>890</v>
      </c>
      <c r="D8509" s="704" t="s">
        <v>563</v>
      </c>
      <c r="E8509" s="704" t="s">
        <v>861</v>
      </c>
      <c r="F8509" s="708"/>
      <c r="G8509" s="705">
        <v>300.04889109156073</v>
      </c>
    </row>
    <row r="8510" spans="2:7" ht="11.25" hidden="1" customHeight="1" outlineLevel="2" x14ac:dyDescent="0.25">
      <c r="B8510" s="704" t="s">
        <v>685</v>
      </c>
      <c r="C8510" s="704" t="s">
        <v>890</v>
      </c>
      <c r="D8510" s="704" t="s">
        <v>563</v>
      </c>
      <c r="E8510" s="704" t="s">
        <v>861</v>
      </c>
      <c r="F8510" s="708"/>
      <c r="G8510" s="705">
        <v>1117.0329701713424</v>
      </c>
    </row>
    <row r="8511" spans="2:7" ht="11.25" hidden="1" customHeight="1" outlineLevel="2" x14ac:dyDescent="0.25">
      <c r="B8511" s="704" t="s">
        <v>686</v>
      </c>
      <c r="C8511" s="704" t="s">
        <v>890</v>
      </c>
      <c r="D8511" s="704" t="s">
        <v>563</v>
      </c>
      <c r="E8511" s="704" t="s">
        <v>861</v>
      </c>
      <c r="F8511" s="708"/>
      <c r="G8511" s="705">
        <v>109.77711108783986</v>
      </c>
    </row>
    <row r="8512" spans="2:7" ht="11.25" hidden="1" customHeight="1" outlineLevel="2" x14ac:dyDescent="0.25">
      <c r="B8512" s="704" t="s">
        <v>687</v>
      </c>
      <c r="C8512" s="704" t="s">
        <v>890</v>
      </c>
      <c r="D8512" s="704" t="s">
        <v>563</v>
      </c>
      <c r="E8512" s="704" t="s">
        <v>861</v>
      </c>
      <c r="F8512" s="708"/>
      <c r="G8512" s="705">
        <v>745.46927106436704</v>
      </c>
    </row>
    <row r="8513" spans="2:7" ht="11.25" hidden="1" customHeight="1" outlineLevel="2" x14ac:dyDescent="0.25">
      <c r="B8513" s="704" t="s">
        <v>688</v>
      </c>
      <c r="C8513" s="704" t="s">
        <v>890</v>
      </c>
      <c r="D8513" s="704" t="s">
        <v>563</v>
      </c>
      <c r="E8513" s="704" t="s">
        <v>861</v>
      </c>
      <c r="F8513" s="708"/>
      <c r="G8513" s="705">
        <v>1012.4617727242946</v>
      </c>
    </row>
    <row r="8514" spans="2:7" ht="11.25" hidden="1" customHeight="1" outlineLevel="2" x14ac:dyDescent="0.25">
      <c r="B8514" s="704" t="s">
        <v>689</v>
      </c>
      <c r="C8514" s="704" t="s">
        <v>890</v>
      </c>
      <c r="D8514" s="704" t="s">
        <v>563</v>
      </c>
      <c r="E8514" s="704" t="s">
        <v>861</v>
      </c>
      <c r="F8514" s="708"/>
      <c r="G8514" s="705">
        <v>136.23380810522033</v>
      </c>
    </row>
    <row r="8515" spans="2:7" ht="11.25" hidden="1" customHeight="1" outlineLevel="2" x14ac:dyDescent="0.25">
      <c r="B8515" s="704" t="s">
        <v>690</v>
      </c>
      <c r="C8515" s="704" t="s">
        <v>890</v>
      </c>
      <c r="D8515" s="704" t="s">
        <v>563</v>
      </c>
      <c r="E8515" s="704" t="s">
        <v>861</v>
      </c>
      <c r="F8515" s="708"/>
      <c r="G8515" s="705">
        <v>1874.0200226123509</v>
      </c>
    </row>
    <row r="8516" spans="2:7" ht="11.25" hidden="1" customHeight="1" outlineLevel="2" x14ac:dyDescent="0.25">
      <c r="B8516" s="704" t="s">
        <v>691</v>
      </c>
      <c r="C8516" s="704" t="s">
        <v>890</v>
      </c>
      <c r="D8516" s="704" t="s">
        <v>563</v>
      </c>
      <c r="E8516" s="704" t="s">
        <v>861</v>
      </c>
      <c r="F8516" s="709"/>
      <c r="G8516" s="705">
        <v>1375.9563533279991</v>
      </c>
    </row>
    <row r="8517" spans="2:7" ht="11.25" hidden="1" customHeight="1" outlineLevel="2" x14ac:dyDescent="0.25">
      <c r="B8517" s="704" t="s">
        <v>692</v>
      </c>
      <c r="C8517" s="704" t="s">
        <v>890</v>
      </c>
      <c r="D8517" s="704" t="s">
        <v>563</v>
      </c>
      <c r="E8517" s="704" t="s">
        <v>861</v>
      </c>
      <c r="F8517" s="709"/>
      <c r="G8517" s="705">
        <v>112.70538373622929</v>
      </c>
    </row>
    <row r="8518" spans="2:7" ht="11.25" hidden="1" customHeight="1" outlineLevel="2" x14ac:dyDescent="0.25">
      <c r="B8518" s="704" t="s">
        <v>693</v>
      </c>
      <c r="C8518" s="704" t="s">
        <v>890</v>
      </c>
      <c r="D8518" s="704" t="s">
        <v>563</v>
      </c>
      <c r="E8518" s="704" t="s">
        <v>861</v>
      </c>
      <c r="F8518" s="709"/>
      <c r="G8518" s="705">
        <v>60.712559935906654</v>
      </c>
    </row>
    <row r="8519" spans="2:7" ht="11.25" hidden="1" customHeight="1" outlineLevel="2" x14ac:dyDescent="0.25">
      <c r="B8519" s="704" t="s">
        <v>694</v>
      </c>
      <c r="C8519" s="704" t="s">
        <v>890</v>
      </c>
      <c r="D8519" s="704" t="s">
        <v>563</v>
      </c>
      <c r="E8519" s="704" t="s">
        <v>861</v>
      </c>
      <c r="F8519" s="709"/>
      <c r="G8519" s="705">
        <v>41.320967911219398</v>
      </c>
    </row>
    <row r="8520" spans="2:7" ht="11.25" hidden="1" customHeight="1" outlineLevel="2" x14ac:dyDescent="0.25">
      <c r="B8520" s="704" t="s">
        <v>695</v>
      </c>
      <c r="C8520" s="704" t="s">
        <v>890</v>
      </c>
      <c r="D8520" s="704" t="s">
        <v>563</v>
      </c>
      <c r="E8520" s="704" t="s">
        <v>861</v>
      </c>
      <c r="F8520" s="709"/>
      <c r="G8520" s="705">
        <v>290.3529869570167</v>
      </c>
    </row>
    <row r="8521" spans="2:7" ht="11.25" hidden="1" customHeight="1" outlineLevel="2" x14ac:dyDescent="0.25">
      <c r="B8521" s="704" t="s">
        <v>696</v>
      </c>
      <c r="C8521" s="704" t="s">
        <v>890</v>
      </c>
      <c r="D8521" s="704" t="s">
        <v>563</v>
      </c>
      <c r="E8521" s="704" t="s">
        <v>861</v>
      </c>
      <c r="F8521" s="709"/>
      <c r="G8521" s="705">
        <v>1042.4598777585547</v>
      </c>
    </row>
    <row r="8522" spans="2:7" ht="11.25" hidden="1" customHeight="1" outlineLevel="2" x14ac:dyDescent="0.25">
      <c r="B8522" s="704" t="s">
        <v>697</v>
      </c>
      <c r="C8522" s="704" t="s">
        <v>890</v>
      </c>
      <c r="D8522" s="704" t="s">
        <v>563</v>
      </c>
      <c r="E8522" s="704" t="s">
        <v>861</v>
      </c>
      <c r="F8522" s="708"/>
      <c r="G8522" s="705">
        <v>526.826010541963</v>
      </c>
    </row>
    <row r="8523" spans="2:7" ht="11.25" hidden="1" customHeight="1" outlineLevel="2" x14ac:dyDescent="0.25">
      <c r="B8523" s="704" t="s">
        <v>698</v>
      </c>
      <c r="C8523" s="704" t="s">
        <v>890</v>
      </c>
      <c r="D8523" s="704" t="s">
        <v>563</v>
      </c>
      <c r="E8523" s="704" t="s">
        <v>861</v>
      </c>
      <c r="F8523" s="708"/>
      <c r="G8523" s="705">
        <v>137.82335472325181</v>
      </c>
    </row>
    <row r="8524" spans="2:7" ht="11.25" hidden="1" customHeight="1" outlineLevel="2" x14ac:dyDescent="0.25">
      <c r="B8524" s="704" t="s">
        <v>699</v>
      </c>
      <c r="C8524" s="704" t="s">
        <v>890</v>
      </c>
      <c r="D8524" s="704" t="s">
        <v>563</v>
      </c>
      <c r="E8524" s="704" t="s">
        <v>861</v>
      </c>
      <c r="F8524" s="708"/>
      <c r="G8524" s="705">
        <v>2513.0314417628451</v>
      </c>
    </row>
    <row r="8525" spans="2:7" ht="11.25" hidden="1" customHeight="1" outlineLevel="2" x14ac:dyDescent="0.25">
      <c r="B8525" s="704" t="s">
        <v>673</v>
      </c>
      <c r="C8525" s="704" t="s">
        <v>891</v>
      </c>
      <c r="D8525" s="704" t="s">
        <v>563</v>
      </c>
      <c r="E8525" s="704" t="s">
        <v>861</v>
      </c>
      <c r="F8525" s="708"/>
      <c r="G8525" s="705">
        <v>16.420604497432766</v>
      </c>
    </row>
    <row r="8526" spans="2:7" ht="11.25" hidden="1" customHeight="1" outlineLevel="2" x14ac:dyDescent="0.25">
      <c r="B8526" s="704" t="s">
        <v>677</v>
      </c>
      <c r="C8526" s="704" t="s">
        <v>891</v>
      </c>
      <c r="D8526" s="704" t="s">
        <v>563</v>
      </c>
      <c r="E8526" s="704" t="s">
        <v>861</v>
      </c>
      <c r="F8526" s="705">
        <v>2.9190354804197243E-3</v>
      </c>
      <c r="G8526" s="705">
        <v>69.577419224102485</v>
      </c>
    </row>
    <row r="8527" spans="2:7" ht="11.25" hidden="1" customHeight="1" outlineLevel="2" x14ac:dyDescent="0.25">
      <c r="B8527" s="704" t="s">
        <v>678</v>
      </c>
      <c r="C8527" s="704" t="s">
        <v>891</v>
      </c>
      <c r="D8527" s="704" t="s">
        <v>563</v>
      </c>
      <c r="E8527" s="704" t="s">
        <v>861</v>
      </c>
      <c r="F8527" s="708"/>
      <c r="G8527" s="705">
        <v>127.33219968834945</v>
      </c>
    </row>
    <row r="8528" spans="2:7" ht="11.25" hidden="1" customHeight="1" outlineLevel="2" x14ac:dyDescent="0.25">
      <c r="B8528" s="704" t="s">
        <v>679</v>
      </c>
      <c r="C8528" s="704" t="s">
        <v>891</v>
      </c>
      <c r="D8528" s="704" t="s">
        <v>563</v>
      </c>
      <c r="E8528" s="704" t="s">
        <v>861</v>
      </c>
      <c r="F8528" s="708"/>
      <c r="G8528" s="705">
        <v>3.4071999139075526</v>
      </c>
    </row>
    <row r="8529" spans="2:7" ht="11.25" hidden="1" customHeight="1" outlineLevel="2" x14ac:dyDescent="0.25">
      <c r="B8529" s="704" t="s">
        <v>680</v>
      </c>
      <c r="C8529" s="704" t="s">
        <v>891</v>
      </c>
      <c r="D8529" s="704" t="s">
        <v>563</v>
      </c>
      <c r="E8529" s="704" t="s">
        <v>861</v>
      </c>
      <c r="F8529" s="708"/>
      <c r="G8529" s="705">
        <v>8.2553299560391729</v>
      </c>
    </row>
    <row r="8530" spans="2:7" ht="11.25" hidden="1" customHeight="1" outlineLevel="2" x14ac:dyDescent="0.25">
      <c r="B8530" s="704" t="s">
        <v>681</v>
      </c>
      <c r="C8530" s="704" t="s">
        <v>891</v>
      </c>
      <c r="D8530" s="704" t="s">
        <v>563</v>
      </c>
      <c r="E8530" s="704" t="s">
        <v>861</v>
      </c>
      <c r="F8530" s="708"/>
      <c r="G8530" s="705">
        <v>17.746459918862445</v>
      </c>
    </row>
    <row r="8531" spans="2:7" ht="11.25" hidden="1" customHeight="1" outlineLevel="2" x14ac:dyDescent="0.25">
      <c r="B8531" s="704" t="s">
        <v>682</v>
      </c>
      <c r="C8531" s="704" t="s">
        <v>891</v>
      </c>
      <c r="D8531" s="704" t="s">
        <v>563</v>
      </c>
      <c r="E8531" s="704" t="s">
        <v>861</v>
      </c>
      <c r="F8531" s="708"/>
      <c r="G8531" s="705">
        <v>16.18545329909329</v>
      </c>
    </row>
    <row r="8532" spans="2:7" ht="11.25" hidden="1" customHeight="1" outlineLevel="2" x14ac:dyDescent="0.25">
      <c r="B8532" s="704" t="s">
        <v>683</v>
      </c>
      <c r="C8532" s="704" t="s">
        <v>891</v>
      </c>
      <c r="D8532" s="704" t="s">
        <v>563</v>
      </c>
      <c r="E8532" s="704" t="s">
        <v>861</v>
      </c>
      <c r="F8532" s="708"/>
      <c r="G8532" s="705">
        <v>5.6261341391241579</v>
      </c>
    </row>
    <row r="8533" spans="2:7" ht="11.25" hidden="1" customHeight="1" outlineLevel="2" x14ac:dyDescent="0.25">
      <c r="B8533" s="704" t="s">
        <v>684</v>
      </c>
      <c r="C8533" s="704" t="s">
        <v>891</v>
      </c>
      <c r="D8533" s="704" t="s">
        <v>563</v>
      </c>
      <c r="E8533" s="704" t="s">
        <v>861</v>
      </c>
      <c r="F8533" s="708"/>
      <c r="G8533" s="705">
        <v>11.534946771070983</v>
      </c>
    </row>
    <row r="8534" spans="2:7" ht="11.25" hidden="1" customHeight="1" outlineLevel="2" x14ac:dyDescent="0.25">
      <c r="B8534" s="704" t="s">
        <v>685</v>
      </c>
      <c r="C8534" s="704" t="s">
        <v>891</v>
      </c>
      <c r="D8534" s="704" t="s">
        <v>563</v>
      </c>
      <c r="E8534" s="704" t="s">
        <v>861</v>
      </c>
      <c r="F8534" s="708"/>
      <c r="G8534" s="705">
        <v>42.942735560875029</v>
      </c>
    </row>
    <row r="8535" spans="2:7" ht="11.25" hidden="1" customHeight="1" outlineLevel="2" x14ac:dyDescent="0.25">
      <c r="B8535" s="704" t="s">
        <v>686</v>
      </c>
      <c r="C8535" s="704" t="s">
        <v>891</v>
      </c>
      <c r="D8535" s="704" t="s">
        <v>563</v>
      </c>
      <c r="E8535" s="704" t="s">
        <v>861</v>
      </c>
      <c r="F8535" s="708"/>
      <c r="G8535" s="705">
        <v>4.2202248348910976</v>
      </c>
    </row>
    <row r="8536" spans="2:7" ht="11.25" hidden="1" customHeight="1" outlineLevel="2" x14ac:dyDescent="0.25">
      <c r="B8536" s="704" t="s">
        <v>687</v>
      </c>
      <c r="C8536" s="704" t="s">
        <v>891</v>
      </c>
      <c r="D8536" s="704" t="s">
        <v>563</v>
      </c>
      <c r="E8536" s="704" t="s">
        <v>861</v>
      </c>
      <c r="F8536" s="708"/>
      <c r="G8536" s="705">
        <v>28.658502356218367</v>
      </c>
    </row>
    <row r="8537" spans="2:7" ht="11.25" hidden="1" customHeight="1" outlineLevel="2" x14ac:dyDescent="0.25">
      <c r="B8537" s="704" t="s">
        <v>688</v>
      </c>
      <c r="C8537" s="704" t="s">
        <v>891</v>
      </c>
      <c r="D8537" s="704" t="s">
        <v>563</v>
      </c>
      <c r="E8537" s="704" t="s">
        <v>861</v>
      </c>
      <c r="F8537" s="708"/>
      <c r="G8537" s="705">
        <v>38.922630976660585</v>
      </c>
    </row>
    <row r="8538" spans="2:7" ht="11.25" hidden="1" customHeight="1" outlineLevel="2" x14ac:dyDescent="0.25">
      <c r="B8538" s="704" t="s">
        <v>689</v>
      </c>
      <c r="C8538" s="704" t="s">
        <v>891</v>
      </c>
      <c r="D8538" s="704" t="s">
        <v>563</v>
      </c>
      <c r="E8538" s="704" t="s">
        <v>861</v>
      </c>
      <c r="F8538" s="708"/>
      <c r="G8538" s="705">
        <v>5.2373122617885111</v>
      </c>
    </row>
    <row r="8539" spans="2:7" ht="11.25" hidden="1" customHeight="1" outlineLevel="2" x14ac:dyDescent="0.25">
      <c r="B8539" s="704" t="s">
        <v>690</v>
      </c>
      <c r="C8539" s="704" t="s">
        <v>891</v>
      </c>
      <c r="D8539" s="704" t="s">
        <v>563</v>
      </c>
      <c r="E8539" s="704" t="s">
        <v>861</v>
      </c>
      <c r="F8539" s="708"/>
      <c r="G8539" s="705">
        <v>72.043985497047956</v>
      </c>
    </row>
    <row r="8540" spans="2:7" ht="11.25" hidden="1" customHeight="1" outlineLevel="2" x14ac:dyDescent="0.25">
      <c r="B8540" s="704" t="s">
        <v>691</v>
      </c>
      <c r="C8540" s="704" t="s">
        <v>891</v>
      </c>
      <c r="D8540" s="704" t="s">
        <v>563</v>
      </c>
      <c r="E8540" s="704" t="s">
        <v>861</v>
      </c>
      <c r="F8540" s="708"/>
      <c r="G8540" s="705">
        <v>52.896664725519564</v>
      </c>
    </row>
    <row r="8541" spans="2:7" ht="11.25" hidden="1" customHeight="1" outlineLevel="2" x14ac:dyDescent="0.25">
      <c r="B8541" s="704" t="s">
        <v>692</v>
      </c>
      <c r="C8541" s="704" t="s">
        <v>891</v>
      </c>
      <c r="D8541" s="704" t="s">
        <v>563</v>
      </c>
      <c r="E8541" s="704" t="s">
        <v>861</v>
      </c>
      <c r="F8541" s="708"/>
      <c r="G8541" s="705">
        <v>4.3327957042858358</v>
      </c>
    </row>
    <row r="8542" spans="2:7" ht="11.25" hidden="1" customHeight="1" outlineLevel="2" x14ac:dyDescent="0.25">
      <c r="B8542" s="704" t="s">
        <v>693</v>
      </c>
      <c r="C8542" s="704" t="s">
        <v>891</v>
      </c>
      <c r="D8542" s="704" t="s">
        <v>563</v>
      </c>
      <c r="E8542" s="704" t="s">
        <v>861</v>
      </c>
      <c r="F8542" s="708"/>
      <c r="G8542" s="705">
        <v>2.3340073810470856</v>
      </c>
    </row>
    <row r="8543" spans="2:7" ht="11.25" hidden="1" customHeight="1" outlineLevel="2" x14ac:dyDescent="0.25">
      <c r="B8543" s="704" t="s">
        <v>694</v>
      </c>
      <c r="C8543" s="704" t="s">
        <v>891</v>
      </c>
      <c r="D8543" s="704" t="s">
        <v>563</v>
      </c>
      <c r="E8543" s="704" t="s">
        <v>861</v>
      </c>
      <c r="F8543" s="708"/>
      <c r="G8543" s="705">
        <v>1.5885259024588489</v>
      </c>
    </row>
    <row r="8544" spans="2:7" ht="11.25" hidden="1" customHeight="1" outlineLevel="2" x14ac:dyDescent="0.25">
      <c r="B8544" s="704" t="s">
        <v>695</v>
      </c>
      <c r="C8544" s="704" t="s">
        <v>891</v>
      </c>
      <c r="D8544" s="704" t="s">
        <v>563</v>
      </c>
      <c r="E8544" s="704" t="s">
        <v>861</v>
      </c>
      <c r="F8544" s="708"/>
      <c r="G8544" s="705">
        <v>11.162206115542936</v>
      </c>
    </row>
    <row r="8545" spans="2:7" ht="11.25" hidden="1" customHeight="1" outlineLevel="2" x14ac:dyDescent="0.25">
      <c r="B8545" s="704" t="s">
        <v>696</v>
      </c>
      <c r="C8545" s="704" t="s">
        <v>891</v>
      </c>
      <c r="D8545" s="704" t="s">
        <v>563</v>
      </c>
      <c r="E8545" s="704" t="s">
        <v>861</v>
      </c>
      <c r="F8545" s="708"/>
      <c r="G8545" s="705">
        <v>40.075866510922239</v>
      </c>
    </row>
    <row r="8546" spans="2:7" ht="11.25" hidden="1" customHeight="1" outlineLevel="2" x14ac:dyDescent="0.25">
      <c r="B8546" s="704" t="s">
        <v>697</v>
      </c>
      <c r="C8546" s="704" t="s">
        <v>891</v>
      </c>
      <c r="D8546" s="704" t="s">
        <v>563</v>
      </c>
      <c r="E8546" s="704" t="s">
        <v>861</v>
      </c>
      <c r="F8546" s="708"/>
      <c r="G8546" s="705">
        <v>20.253077445864474</v>
      </c>
    </row>
    <row r="8547" spans="2:7" ht="11.25" hidden="1" customHeight="1" outlineLevel="2" x14ac:dyDescent="0.25">
      <c r="B8547" s="704" t="s">
        <v>698</v>
      </c>
      <c r="C8547" s="704" t="s">
        <v>891</v>
      </c>
      <c r="D8547" s="704" t="s">
        <v>563</v>
      </c>
      <c r="E8547" s="704" t="s">
        <v>861</v>
      </c>
      <c r="F8547" s="708"/>
      <c r="G8547" s="705">
        <v>5.2984218559263185</v>
      </c>
    </row>
    <row r="8548" spans="2:7" ht="11.25" hidden="1" customHeight="1" outlineLevel="2" x14ac:dyDescent="0.25">
      <c r="B8548" s="704" t="s">
        <v>699</v>
      </c>
      <c r="C8548" s="704" t="s">
        <v>891</v>
      </c>
      <c r="D8548" s="704" t="s">
        <v>563</v>
      </c>
      <c r="E8548" s="704" t="s">
        <v>861</v>
      </c>
      <c r="F8548" s="708"/>
      <c r="G8548" s="705">
        <v>96.609876106145265</v>
      </c>
    </row>
    <row r="8549" spans="2:7" ht="11.25" hidden="1" customHeight="1" outlineLevel="2" x14ac:dyDescent="0.25">
      <c r="B8549" s="704" t="s">
        <v>673</v>
      </c>
      <c r="C8549" s="704" t="s">
        <v>892</v>
      </c>
      <c r="D8549" s="704" t="s">
        <v>563</v>
      </c>
      <c r="E8549" s="704" t="s">
        <v>861</v>
      </c>
      <c r="F8549" s="708"/>
      <c r="G8549" s="705">
        <v>1389.7914665156632</v>
      </c>
    </row>
    <row r="8550" spans="2:7" ht="11.25" hidden="1" customHeight="1" outlineLevel="2" x14ac:dyDescent="0.25">
      <c r="B8550" s="704" t="s">
        <v>677</v>
      </c>
      <c r="C8550" s="704" t="s">
        <v>892</v>
      </c>
      <c r="D8550" s="704" t="s">
        <v>563</v>
      </c>
      <c r="E8550" s="704" t="s">
        <v>861</v>
      </c>
      <c r="F8550" s="705">
        <v>0.34716001822801501</v>
      </c>
      <c r="G8550" s="705">
        <v>9429.7069584766014</v>
      </c>
    </row>
    <row r="8551" spans="2:7" ht="11.25" hidden="1" customHeight="1" outlineLevel="2" x14ac:dyDescent="0.25">
      <c r="B8551" s="704" t="s">
        <v>678</v>
      </c>
      <c r="C8551" s="704" t="s">
        <v>892</v>
      </c>
      <c r="D8551" s="704" t="s">
        <v>563</v>
      </c>
      <c r="E8551" s="704" t="s">
        <v>861</v>
      </c>
      <c r="F8551" s="708"/>
      <c r="G8551" s="705">
        <v>14435.690907101165</v>
      </c>
    </row>
    <row r="8552" spans="2:7" ht="11.25" hidden="1" customHeight="1" outlineLevel="2" x14ac:dyDescent="0.25">
      <c r="B8552" s="704" t="s">
        <v>679</v>
      </c>
      <c r="C8552" s="704" t="s">
        <v>892</v>
      </c>
      <c r="D8552" s="704" t="s">
        <v>563</v>
      </c>
      <c r="E8552" s="704" t="s">
        <v>861</v>
      </c>
      <c r="F8552" s="708"/>
      <c r="G8552" s="705">
        <v>1519.4956602554444</v>
      </c>
    </row>
    <row r="8553" spans="2:7" ht="11.25" hidden="1" customHeight="1" outlineLevel="2" x14ac:dyDescent="0.25">
      <c r="B8553" s="704" t="s">
        <v>680</v>
      </c>
      <c r="C8553" s="704" t="s">
        <v>892</v>
      </c>
      <c r="D8553" s="704" t="s">
        <v>563</v>
      </c>
      <c r="E8553" s="704" t="s">
        <v>861</v>
      </c>
      <c r="F8553" s="708"/>
      <c r="G8553" s="705">
        <v>569.95442395293242</v>
      </c>
    </row>
    <row r="8554" spans="2:7" ht="11.25" hidden="1" customHeight="1" outlineLevel="2" x14ac:dyDescent="0.25">
      <c r="B8554" s="704" t="s">
        <v>681</v>
      </c>
      <c r="C8554" s="704" t="s">
        <v>892</v>
      </c>
      <c r="D8554" s="704" t="s">
        <v>563</v>
      </c>
      <c r="E8554" s="704" t="s">
        <v>861</v>
      </c>
      <c r="F8554" s="708"/>
      <c r="G8554" s="705">
        <v>2992.281414077916</v>
      </c>
    </row>
    <row r="8555" spans="2:7" ht="11.25" hidden="1" customHeight="1" outlineLevel="2" x14ac:dyDescent="0.25">
      <c r="B8555" s="704" t="s">
        <v>682</v>
      </c>
      <c r="C8555" s="704" t="s">
        <v>892</v>
      </c>
      <c r="D8555" s="704" t="s">
        <v>563</v>
      </c>
      <c r="E8555" s="704" t="s">
        <v>861</v>
      </c>
      <c r="F8555" s="708"/>
      <c r="G8555" s="705">
        <v>1697.1855198050157</v>
      </c>
    </row>
    <row r="8556" spans="2:7" ht="11.25" hidden="1" customHeight="1" outlineLevel="2" x14ac:dyDescent="0.25">
      <c r="B8556" s="704" t="s">
        <v>683</v>
      </c>
      <c r="C8556" s="704" t="s">
        <v>892</v>
      </c>
      <c r="D8556" s="704" t="s">
        <v>563</v>
      </c>
      <c r="E8556" s="704" t="s">
        <v>861</v>
      </c>
      <c r="F8556" s="708"/>
      <c r="G8556" s="705">
        <v>2408.0360283179816</v>
      </c>
    </row>
    <row r="8557" spans="2:7" ht="11.25" hidden="1" customHeight="1" outlineLevel="2" x14ac:dyDescent="0.25">
      <c r="B8557" s="704" t="s">
        <v>684</v>
      </c>
      <c r="C8557" s="704" t="s">
        <v>892</v>
      </c>
      <c r="D8557" s="704" t="s">
        <v>563</v>
      </c>
      <c r="E8557" s="704" t="s">
        <v>861</v>
      </c>
      <c r="F8557" s="708"/>
      <c r="G8557" s="705">
        <v>572.7152177249485</v>
      </c>
    </row>
    <row r="8558" spans="2:7" ht="11.25" hidden="1" customHeight="1" outlineLevel="2" x14ac:dyDescent="0.25">
      <c r="B8558" s="704" t="s">
        <v>685</v>
      </c>
      <c r="C8558" s="704" t="s">
        <v>892</v>
      </c>
      <c r="D8558" s="704" t="s">
        <v>563</v>
      </c>
      <c r="E8558" s="704" t="s">
        <v>861</v>
      </c>
      <c r="F8558" s="708"/>
      <c r="G8558" s="705">
        <v>3927.2117245516311</v>
      </c>
    </row>
    <row r="8559" spans="2:7" ht="11.25" hidden="1" customHeight="1" outlineLevel="2" x14ac:dyDescent="0.25">
      <c r="B8559" s="704" t="s">
        <v>686</v>
      </c>
      <c r="C8559" s="704" t="s">
        <v>892</v>
      </c>
      <c r="D8559" s="704" t="s">
        <v>563</v>
      </c>
      <c r="E8559" s="704" t="s">
        <v>861</v>
      </c>
      <c r="F8559" s="708"/>
      <c r="G8559" s="705">
        <v>561.84073363483833</v>
      </c>
    </row>
    <row r="8560" spans="2:7" ht="11.25" hidden="1" customHeight="1" outlineLevel="2" x14ac:dyDescent="0.25">
      <c r="B8560" s="704" t="s">
        <v>687</v>
      </c>
      <c r="C8560" s="704" t="s">
        <v>892</v>
      </c>
      <c r="D8560" s="704" t="s">
        <v>563</v>
      </c>
      <c r="E8560" s="704" t="s">
        <v>861</v>
      </c>
      <c r="F8560" s="708"/>
      <c r="G8560" s="705">
        <v>4270.1208080855749</v>
      </c>
    </row>
    <row r="8561" spans="2:7" ht="11.25" hidden="1" customHeight="1" outlineLevel="2" x14ac:dyDescent="0.25">
      <c r="B8561" s="704" t="s">
        <v>688</v>
      </c>
      <c r="C8561" s="704" t="s">
        <v>892</v>
      </c>
      <c r="D8561" s="704" t="s">
        <v>563</v>
      </c>
      <c r="E8561" s="704" t="s">
        <v>861</v>
      </c>
      <c r="F8561" s="708"/>
      <c r="G8561" s="705">
        <v>4881.2636858415399</v>
      </c>
    </row>
    <row r="8562" spans="2:7" ht="11.25" hidden="1" customHeight="1" outlineLevel="2" x14ac:dyDescent="0.25">
      <c r="B8562" s="704" t="s">
        <v>689</v>
      </c>
      <c r="C8562" s="704" t="s">
        <v>892</v>
      </c>
      <c r="D8562" s="704" t="s">
        <v>563</v>
      </c>
      <c r="E8562" s="704" t="s">
        <v>861</v>
      </c>
      <c r="F8562" s="709"/>
      <c r="G8562" s="705">
        <v>498.73762222152556</v>
      </c>
    </row>
    <row r="8563" spans="2:7" ht="11.25" hidden="1" customHeight="1" outlineLevel="2" x14ac:dyDescent="0.25">
      <c r="B8563" s="704" t="s">
        <v>690</v>
      </c>
      <c r="C8563" s="704" t="s">
        <v>892</v>
      </c>
      <c r="D8563" s="704" t="s">
        <v>563</v>
      </c>
      <c r="E8563" s="704" t="s">
        <v>861</v>
      </c>
      <c r="F8563" s="709"/>
      <c r="G8563" s="705">
        <v>17015.696469152448</v>
      </c>
    </row>
    <row r="8564" spans="2:7" ht="11.25" hidden="1" customHeight="1" outlineLevel="2" x14ac:dyDescent="0.25">
      <c r="B8564" s="704" t="s">
        <v>691</v>
      </c>
      <c r="C8564" s="704" t="s">
        <v>892</v>
      </c>
      <c r="D8564" s="704" t="s">
        <v>563</v>
      </c>
      <c r="E8564" s="704" t="s">
        <v>861</v>
      </c>
      <c r="F8564" s="709"/>
      <c r="G8564" s="705">
        <v>15545.302471621861</v>
      </c>
    </row>
    <row r="8565" spans="2:7" ht="11.25" hidden="1" customHeight="1" outlineLevel="2" x14ac:dyDescent="0.25">
      <c r="B8565" s="704" t="s">
        <v>692</v>
      </c>
      <c r="C8565" s="704" t="s">
        <v>892</v>
      </c>
      <c r="D8565" s="704" t="s">
        <v>563</v>
      </c>
      <c r="E8565" s="704" t="s">
        <v>861</v>
      </c>
      <c r="F8565" s="709"/>
      <c r="G8565" s="705">
        <v>805.26417078854342</v>
      </c>
    </row>
    <row r="8566" spans="2:7" ht="11.25" hidden="1" customHeight="1" outlineLevel="2" x14ac:dyDescent="0.25">
      <c r="B8566" s="704" t="s">
        <v>693</v>
      </c>
      <c r="C8566" s="704" t="s">
        <v>892</v>
      </c>
      <c r="D8566" s="704" t="s">
        <v>563</v>
      </c>
      <c r="E8566" s="704" t="s">
        <v>861</v>
      </c>
      <c r="F8566" s="709"/>
      <c r="G8566" s="705">
        <v>1689.3912250738754</v>
      </c>
    </row>
    <row r="8567" spans="2:7" ht="11.25" hidden="1" customHeight="1" outlineLevel="2" x14ac:dyDescent="0.25">
      <c r="B8567" s="704" t="s">
        <v>694</v>
      </c>
      <c r="C8567" s="704" t="s">
        <v>892</v>
      </c>
      <c r="D8567" s="704" t="s">
        <v>563</v>
      </c>
      <c r="E8567" s="704" t="s">
        <v>861</v>
      </c>
      <c r="F8567" s="709"/>
      <c r="G8567" s="705">
        <v>478.26406213455232</v>
      </c>
    </row>
    <row r="8568" spans="2:7" ht="11.25" hidden="1" customHeight="1" outlineLevel="2" x14ac:dyDescent="0.25">
      <c r="B8568" s="704" t="s">
        <v>695</v>
      </c>
      <c r="C8568" s="704" t="s">
        <v>892</v>
      </c>
      <c r="D8568" s="704" t="s">
        <v>563</v>
      </c>
      <c r="E8568" s="704" t="s">
        <v>861</v>
      </c>
      <c r="F8568" s="709"/>
      <c r="G8568" s="705">
        <v>645.4548798533707</v>
      </c>
    </row>
    <row r="8569" spans="2:7" ht="11.25" hidden="1" customHeight="1" outlineLevel="2" x14ac:dyDescent="0.25">
      <c r="B8569" s="704" t="s">
        <v>696</v>
      </c>
      <c r="C8569" s="704" t="s">
        <v>892</v>
      </c>
      <c r="D8569" s="704" t="s">
        <v>563</v>
      </c>
      <c r="E8569" s="704" t="s">
        <v>861</v>
      </c>
      <c r="F8569" s="709"/>
      <c r="G8569" s="705">
        <v>2531.467368757093</v>
      </c>
    </row>
    <row r="8570" spans="2:7" ht="11.25" hidden="1" customHeight="1" outlineLevel="2" x14ac:dyDescent="0.25">
      <c r="B8570" s="704" t="s">
        <v>697</v>
      </c>
      <c r="C8570" s="704" t="s">
        <v>892</v>
      </c>
      <c r="D8570" s="704" t="s">
        <v>563</v>
      </c>
      <c r="E8570" s="704" t="s">
        <v>861</v>
      </c>
      <c r="F8570" s="709"/>
      <c r="G8570" s="705">
        <v>1618.2292911925458</v>
      </c>
    </row>
    <row r="8571" spans="2:7" ht="11.25" hidden="1" customHeight="1" outlineLevel="2" x14ac:dyDescent="0.25">
      <c r="B8571" s="704" t="s">
        <v>698</v>
      </c>
      <c r="C8571" s="704" t="s">
        <v>892</v>
      </c>
      <c r="D8571" s="704" t="s">
        <v>563</v>
      </c>
      <c r="E8571" s="704" t="s">
        <v>861</v>
      </c>
      <c r="F8571" s="709"/>
      <c r="G8571" s="705">
        <v>901.95047695305709</v>
      </c>
    </row>
    <row r="8572" spans="2:7" ht="11.25" hidden="1" customHeight="1" outlineLevel="2" x14ac:dyDescent="0.25">
      <c r="B8572" s="704" t="s">
        <v>699</v>
      </c>
      <c r="C8572" s="704" t="s">
        <v>892</v>
      </c>
      <c r="D8572" s="704" t="s">
        <v>563</v>
      </c>
      <c r="E8572" s="704" t="s">
        <v>861</v>
      </c>
      <c r="F8572" s="709"/>
      <c r="G8572" s="705">
        <v>11947.517405634475</v>
      </c>
    </row>
    <row r="8573" spans="2:7" ht="11.25" hidden="1" customHeight="1" outlineLevel="2" x14ac:dyDescent="0.25">
      <c r="B8573" s="704" t="s">
        <v>673</v>
      </c>
      <c r="C8573" s="704" t="s">
        <v>893</v>
      </c>
      <c r="D8573" s="704" t="s">
        <v>563</v>
      </c>
      <c r="E8573" s="704" t="s">
        <v>861</v>
      </c>
      <c r="F8573" s="709"/>
      <c r="G8573" s="705">
        <v>607.01783185409033</v>
      </c>
    </row>
    <row r="8574" spans="2:7" ht="11.25" hidden="1" customHeight="1" outlineLevel="2" x14ac:dyDescent="0.25">
      <c r="B8574" s="704" t="s">
        <v>677</v>
      </c>
      <c r="C8574" s="704" t="s">
        <v>893</v>
      </c>
      <c r="D8574" s="704" t="s">
        <v>563</v>
      </c>
      <c r="E8574" s="704" t="s">
        <v>861</v>
      </c>
      <c r="F8574" s="706">
        <v>7.6930378378637684E-2</v>
      </c>
      <c r="G8574" s="705">
        <v>2572.0578003392188</v>
      </c>
    </row>
    <row r="8575" spans="2:7" ht="11.25" hidden="1" customHeight="1" outlineLevel="2" x14ac:dyDescent="0.25">
      <c r="B8575" s="704" t="s">
        <v>678</v>
      </c>
      <c r="C8575" s="704" t="s">
        <v>893</v>
      </c>
      <c r="D8575" s="704" t="s">
        <v>563</v>
      </c>
      <c r="E8575" s="704" t="s">
        <v>861</v>
      </c>
      <c r="F8575" s="709"/>
      <c r="G8575" s="705">
        <v>4707.0697407743173</v>
      </c>
    </row>
    <row r="8576" spans="2:7" ht="11.25" hidden="1" customHeight="1" outlineLevel="2" x14ac:dyDescent="0.25">
      <c r="B8576" s="704" t="s">
        <v>679</v>
      </c>
      <c r="C8576" s="704" t="s">
        <v>893</v>
      </c>
      <c r="D8576" s="704" t="s">
        <v>563</v>
      </c>
      <c r="E8576" s="704" t="s">
        <v>861</v>
      </c>
      <c r="F8576" s="709"/>
      <c r="G8576" s="705">
        <v>125.95339813709955</v>
      </c>
    </row>
    <row r="8577" spans="2:7" ht="11.25" hidden="1" customHeight="1" outlineLevel="2" x14ac:dyDescent="0.25">
      <c r="B8577" s="704" t="s">
        <v>680</v>
      </c>
      <c r="C8577" s="704" t="s">
        <v>893</v>
      </c>
      <c r="D8577" s="704" t="s">
        <v>563</v>
      </c>
      <c r="E8577" s="704" t="s">
        <v>861</v>
      </c>
      <c r="F8577" s="709"/>
      <c r="G8577" s="705">
        <v>305.17360721034731</v>
      </c>
    </row>
    <row r="8578" spans="2:7" ht="11.25" hidden="1" customHeight="1" outlineLevel="2" x14ac:dyDescent="0.25">
      <c r="B8578" s="704" t="s">
        <v>681</v>
      </c>
      <c r="C8578" s="704" t="s">
        <v>893</v>
      </c>
      <c r="D8578" s="704" t="s">
        <v>563</v>
      </c>
      <c r="E8578" s="704" t="s">
        <v>861</v>
      </c>
      <c r="F8578" s="709"/>
      <c r="G8578" s="705">
        <v>656.03013850612604</v>
      </c>
    </row>
    <row r="8579" spans="2:7" ht="11.25" hidden="1" customHeight="1" outlineLevel="2" x14ac:dyDescent="0.25">
      <c r="B8579" s="704" t="s">
        <v>682</v>
      </c>
      <c r="C8579" s="704" t="s">
        <v>893</v>
      </c>
      <c r="D8579" s="704" t="s">
        <v>563</v>
      </c>
      <c r="E8579" s="704" t="s">
        <v>861</v>
      </c>
      <c r="F8579" s="709"/>
      <c r="G8579" s="705">
        <v>598.32503580396838</v>
      </c>
    </row>
    <row r="8580" spans="2:7" ht="11.25" hidden="1" customHeight="1" outlineLevel="2" x14ac:dyDescent="0.25">
      <c r="B8580" s="704" t="s">
        <v>683</v>
      </c>
      <c r="C8580" s="704" t="s">
        <v>893</v>
      </c>
      <c r="D8580" s="704" t="s">
        <v>563</v>
      </c>
      <c r="E8580" s="704" t="s">
        <v>861</v>
      </c>
      <c r="F8580" s="709"/>
      <c r="G8580" s="705">
        <v>207.98024047999135</v>
      </c>
    </row>
    <row r="8581" spans="2:7" ht="11.25" hidden="1" customHeight="1" outlineLevel="2" x14ac:dyDescent="0.25">
      <c r="B8581" s="704" t="s">
        <v>684</v>
      </c>
      <c r="C8581" s="704" t="s">
        <v>893</v>
      </c>
      <c r="D8581" s="704" t="s">
        <v>563</v>
      </c>
      <c r="E8581" s="704" t="s">
        <v>861</v>
      </c>
      <c r="F8581" s="709"/>
      <c r="G8581" s="705">
        <v>426.41071783502503</v>
      </c>
    </row>
    <row r="8582" spans="2:7" ht="11.25" hidden="1" customHeight="1" outlineLevel="2" x14ac:dyDescent="0.25">
      <c r="B8582" s="704" t="s">
        <v>685</v>
      </c>
      <c r="C8582" s="704" t="s">
        <v>893</v>
      </c>
      <c r="D8582" s="704" t="s">
        <v>563</v>
      </c>
      <c r="E8582" s="704" t="s">
        <v>861</v>
      </c>
      <c r="F8582" s="709"/>
      <c r="G8582" s="705">
        <v>1587.4564197371226</v>
      </c>
    </row>
    <row r="8583" spans="2:7" ht="11.25" hidden="1" customHeight="1" outlineLevel="2" x14ac:dyDescent="0.25">
      <c r="B8583" s="704" t="s">
        <v>686</v>
      </c>
      <c r="C8583" s="704" t="s">
        <v>893</v>
      </c>
      <c r="D8583" s="704" t="s">
        <v>563</v>
      </c>
      <c r="E8583" s="704" t="s">
        <v>861</v>
      </c>
      <c r="F8583" s="709"/>
      <c r="G8583" s="705">
        <v>156.00837594152705</v>
      </c>
    </row>
    <row r="8584" spans="2:7" ht="11.25" hidden="1" customHeight="1" outlineLevel="2" x14ac:dyDescent="0.25">
      <c r="B8584" s="704" t="s">
        <v>687</v>
      </c>
      <c r="C8584" s="704" t="s">
        <v>893</v>
      </c>
      <c r="D8584" s="704" t="s">
        <v>563</v>
      </c>
      <c r="E8584" s="704" t="s">
        <v>861</v>
      </c>
      <c r="F8584" s="709"/>
      <c r="G8584" s="705">
        <v>1059.4140776082343</v>
      </c>
    </row>
    <row r="8585" spans="2:7" ht="11.25" hidden="1" customHeight="1" outlineLevel="2" x14ac:dyDescent="0.25">
      <c r="B8585" s="704" t="s">
        <v>688</v>
      </c>
      <c r="C8585" s="704" t="s">
        <v>893</v>
      </c>
      <c r="D8585" s="704" t="s">
        <v>563</v>
      </c>
      <c r="E8585" s="704" t="s">
        <v>861</v>
      </c>
      <c r="F8585" s="709"/>
      <c r="G8585" s="705">
        <v>1438.8467342943018</v>
      </c>
    </row>
    <row r="8586" spans="2:7" ht="11.25" hidden="1" customHeight="1" outlineLevel="2" x14ac:dyDescent="0.25">
      <c r="B8586" s="704" t="s">
        <v>689</v>
      </c>
      <c r="C8586" s="704" t="s">
        <v>893</v>
      </c>
      <c r="D8586" s="704" t="s">
        <v>563</v>
      </c>
      <c r="E8586" s="704" t="s">
        <v>861</v>
      </c>
      <c r="F8586" s="709"/>
      <c r="G8586" s="705">
        <v>193.60686371485122</v>
      </c>
    </row>
    <row r="8587" spans="2:7" ht="11.25" hidden="1" customHeight="1" outlineLevel="2" x14ac:dyDescent="0.25">
      <c r="B8587" s="704" t="s">
        <v>690</v>
      </c>
      <c r="C8587" s="704" t="s">
        <v>893</v>
      </c>
      <c r="D8587" s="704" t="s">
        <v>563</v>
      </c>
      <c r="E8587" s="704" t="s">
        <v>861</v>
      </c>
      <c r="F8587" s="708"/>
      <c r="G8587" s="705">
        <v>2663.2389956805355</v>
      </c>
    </row>
    <row r="8588" spans="2:7" ht="11.25" hidden="1" customHeight="1" outlineLevel="2" x14ac:dyDescent="0.25">
      <c r="B8588" s="704" t="s">
        <v>691</v>
      </c>
      <c r="C8588" s="704" t="s">
        <v>893</v>
      </c>
      <c r="D8588" s="704" t="s">
        <v>563</v>
      </c>
      <c r="E8588" s="704" t="s">
        <v>861</v>
      </c>
      <c r="F8588" s="708"/>
      <c r="G8588" s="705">
        <v>1955.4222215357438</v>
      </c>
    </row>
    <row r="8589" spans="2:7" ht="11.25" hidden="1" customHeight="1" outlineLevel="2" x14ac:dyDescent="0.25">
      <c r="B8589" s="704" t="s">
        <v>692</v>
      </c>
      <c r="C8589" s="704" t="s">
        <v>893</v>
      </c>
      <c r="D8589" s="704" t="s">
        <v>563</v>
      </c>
      <c r="E8589" s="704" t="s">
        <v>861</v>
      </c>
      <c r="F8589" s="708"/>
      <c r="G8589" s="705">
        <v>160.16994117996566</v>
      </c>
    </row>
    <row r="8590" spans="2:7" ht="11.25" hidden="1" customHeight="1" outlineLevel="2" x14ac:dyDescent="0.25">
      <c r="B8590" s="704" t="s">
        <v>693</v>
      </c>
      <c r="C8590" s="704" t="s">
        <v>893</v>
      </c>
      <c r="D8590" s="704" t="s">
        <v>563</v>
      </c>
      <c r="E8590" s="704" t="s">
        <v>861</v>
      </c>
      <c r="F8590" s="708"/>
      <c r="G8590" s="705">
        <v>86.280877570141953</v>
      </c>
    </row>
    <row r="8591" spans="2:7" ht="11.25" hidden="1" customHeight="1" outlineLevel="2" x14ac:dyDescent="0.25">
      <c r="B8591" s="704" t="s">
        <v>694</v>
      </c>
      <c r="C8591" s="704" t="s">
        <v>893</v>
      </c>
      <c r="D8591" s="704" t="s">
        <v>563</v>
      </c>
      <c r="E8591" s="704" t="s">
        <v>861</v>
      </c>
      <c r="F8591" s="708"/>
      <c r="G8591" s="705">
        <v>58.722746654508413</v>
      </c>
    </row>
    <row r="8592" spans="2:7" ht="11.25" hidden="1" customHeight="1" outlineLevel="2" x14ac:dyDescent="0.25">
      <c r="B8592" s="704" t="s">
        <v>695</v>
      </c>
      <c r="C8592" s="704" t="s">
        <v>893</v>
      </c>
      <c r="D8592" s="704" t="s">
        <v>563</v>
      </c>
      <c r="E8592" s="704" t="s">
        <v>861</v>
      </c>
      <c r="F8592" s="708"/>
      <c r="G8592" s="705">
        <v>412.63144561905841</v>
      </c>
    </row>
    <row r="8593" spans="2:7" ht="11.25" hidden="1" customHeight="1" outlineLevel="2" x14ac:dyDescent="0.25">
      <c r="B8593" s="704" t="s">
        <v>696</v>
      </c>
      <c r="C8593" s="704" t="s">
        <v>893</v>
      </c>
      <c r="D8593" s="704" t="s">
        <v>563</v>
      </c>
      <c r="E8593" s="704" t="s">
        <v>861</v>
      </c>
      <c r="F8593" s="708"/>
      <c r="G8593" s="705">
        <v>1481.478106044116</v>
      </c>
    </row>
    <row r="8594" spans="2:7" ht="11.25" hidden="1" customHeight="1" outlineLevel="2" x14ac:dyDescent="0.25">
      <c r="B8594" s="704" t="s">
        <v>697</v>
      </c>
      <c r="C8594" s="704" t="s">
        <v>893</v>
      </c>
      <c r="D8594" s="704" t="s">
        <v>563</v>
      </c>
      <c r="E8594" s="704" t="s">
        <v>861</v>
      </c>
      <c r="F8594" s="708"/>
      <c r="G8594" s="705">
        <v>748.6921368370422</v>
      </c>
    </row>
    <row r="8595" spans="2:7" ht="11.25" hidden="1" customHeight="1" outlineLevel="2" x14ac:dyDescent="0.25">
      <c r="B8595" s="704" t="s">
        <v>698</v>
      </c>
      <c r="C8595" s="704" t="s">
        <v>893</v>
      </c>
      <c r="D8595" s="704" t="s">
        <v>563</v>
      </c>
      <c r="E8595" s="704" t="s">
        <v>861</v>
      </c>
      <c r="F8595" s="708"/>
      <c r="G8595" s="705">
        <v>195.86580753221844</v>
      </c>
    </row>
    <row r="8596" spans="2:7" ht="11.25" hidden="1" customHeight="1" outlineLevel="2" x14ac:dyDescent="0.25">
      <c r="B8596" s="704" t="s">
        <v>699</v>
      </c>
      <c r="C8596" s="704" t="s">
        <v>893</v>
      </c>
      <c r="D8596" s="704" t="s">
        <v>563</v>
      </c>
      <c r="E8596" s="704" t="s">
        <v>861</v>
      </c>
      <c r="F8596" s="708"/>
      <c r="G8596" s="705">
        <v>3571.3621852879669</v>
      </c>
    </row>
    <row r="8597" spans="2:7" ht="11.25" hidden="1" customHeight="1" outlineLevel="1" x14ac:dyDescent="0.25">
      <c r="B8597" s="704"/>
      <c r="C8597" s="704"/>
      <c r="D8597" s="707" t="s">
        <v>931</v>
      </c>
      <c r="E8597" s="704"/>
      <c r="F8597" s="708">
        <f t="shared" ref="F8597:G8597" si="18">SUBTOTAL(9,F7949:F8596)</f>
        <v>133.99284882928967</v>
      </c>
      <c r="G8597" s="705">
        <f t="shared" si="18"/>
        <v>381685.29949188285</v>
      </c>
    </row>
    <row r="8598" spans="2:7" ht="11.25" hidden="1" customHeight="1" outlineLevel="2" x14ac:dyDescent="0.25">
      <c r="B8598" s="704" t="s">
        <v>673</v>
      </c>
      <c r="C8598" s="704" t="s">
        <v>727</v>
      </c>
      <c r="D8598" s="704" t="s">
        <v>728</v>
      </c>
      <c r="E8598" s="704" t="s">
        <v>448</v>
      </c>
      <c r="F8598" s="705">
        <v>6.0088696429767266E-3</v>
      </c>
      <c r="G8598" s="705">
        <v>3.2911559318039401</v>
      </c>
    </row>
    <row r="8599" spans="2:7" ht="11.25" hidden="1" customHeight="1" outlineLevel="2" x14ac:dyDescent="0.25">
      <c r="B8599" s="704" t="s">
        <v>677</v>
      </c>
      <c r="C8599" s="704" t="s">
        <v>727</v>
      </c>
      <c r="D8599" s="704" t="s">
        <v>728</v>
      </c>
      <c r="E8599" s="704" t="s">
        <v>448</v>
      </c>
      <c r="F8599" s="705">
        <v>3.5456564283758381E-2</v>
      </c>
      <c r="G8599" s="705">
        <v>19.391720429346382</v>
      </c>
    </row>
    <row r="8600" spans="2:7" ht="11.25" hidden="1" customHeight="1" outlineLevel="2" x14ac:dyDescent="0.25">
      <c r="B8600" s="704" t="s">
        <v>678</v>
      </c>
      <c r="C8600" s="704" t="s">
        <v>727</v>
      </c>
      <c r="D8600" s="704" t="s">
        <v>728</v>
      </c>
      <c r="E8600" s="704" t="s">
        <v>448</v>
      </c>
      <c r="F8600" s="705">
        <v>5.8668646980978123E-2</v>
      </c>
      <c r="G8600" s="705">
        <v>32.130000750932687</v>
      </c>
    </row>
    <row r="8601" spans="2:7" ht="11.25" hidden="1" customHeight="1" outlineLevel="2" x14ac:dyDescent="0.25">
      <c r="B8601" s="704" t="s">
        <v>679</v>
      </c>
      <c r="C8601" s="704" t="s">
        <v>727</v>
      </c>
      <c r="D8601" s="704" t="s">
        <v>728</v>
      </c>
      <c r="E8601" s="704" t="s">
        <v>448</v>
      </c>
      <c r="F8601" s="705">
        <v>5.4150640348428463E-3</v>
      </c>
      <c r="G8601" s="705">
        <v>2.9655682503632166</v>
      </c>
    </row>
    <row r="8602" spans="2:7" ht="11.25" hidden="1" customHeight="1" outlineLevel="2" x14ac:dyDescent="0.25">
      <c r="B8602" s="704" t="s">
        <v>680</v>
      </c>
      <c r="C8602" s="704" t="s">
        <v>727</v>
      </c>
      <c r="D8602" s="704" t="s">
        <v>728</v>
      </c>
      <c r="E8602" s="704" t="s">
        <v>448</v>
      </c>
      <c r="F8602" s="705">
        <v>2.2567290366958905E-3</v>
      </c>
      <c r="G8602" s="705">
        <v>1.2360479283794858</v>
      </c>
    </row>
    <row r="8603" spans="2:7" ht="11.25" hidden="1" customHeight="1" outlineLevel="2" x14ac:dyDescent="0.25">
      <c r="B8603" s="704" t="s">
        <v>681</v>
      </c>
      <c r="C8603" s="704" t="s">
        <v>727</v>
      </c>
      <c r="D8603" s="704" t="s">
        <v>728</v>
      </c>
      <c r="E8603" s="704" t="s">
        <v>448</v>
      </c>
      <c r="F8603" s="705">
        <v>1.0461197538878367E-2</v>
      </c>
      <c r="G8603" s="705">
        <v>5.7290887584085777</v>
      </c>
    </row>
    <row r="8604" spans="2:7" ht="11.25" hidden="1" customHeight="1" outlineLevel="2" x14ac:dyDescent="0.25">
      <c r="B8604" s="704" t="s">
        <v>682</v>
      </c>
      <c r="C8604" s="704" t="s">
        <v>727</v>
      </c>
      <c r="D8604" s="704" t="s">
        <v>728</v>
      </c>
      <c r="E8604" s="704" t="s">
        <v>448</v>
      </c>
      <c r="F8604" s="705">
        <v>6.6375895025229965E-3</v>
      </c>
      <c r="G8604" s="705">
        <v>3.6350869764318228</v>
      </c>
    </row>
    <row r="8605" spans="2:7" ht="11.25" hidden="1" customHeight="1" outlineLevel="2" x14ac:dyDescent="0.25">
      <c r="B8605" s="704" t="s">
        <v>683</v>
      </c>
      <c r="C8605" s="704" t="s">
        <v>727</v>
      </c>
      <c r="D8605" s="704" t="s">
        <v>728</v>
      </c>
      <c r="E8605" s="704" t="s">
        <v>448</v>
      </c>
      <c r="F8605" s="705">
        <v>8.5768072969746294E-3</v>
      </c>
      <c r="G8605" s="705">
        <v>4.6971017599245304</v>
      </c>
    </row>
    <row r="8606" spans="2:7" ht="11.25" hidden="1" customHeight="1" outlineLevel="2" x14ac:dyDescent="0.25">
      <c r="B8606" s="704" t="s">
        <v>684</v>
      </c>
      <c r="C8606" s="704" t="s">
        <v>727</v>
      </c>
      <c r="D8606" s="704" t="s">
        <v>728</v>
      </c>
      <c r="E8606" s="704" t="s">
        <v>448</v>
      </c>
      <c r="F8606" s="705">
        <v>2.7119016322127614E-3</v>
      </c>
      <c r="G8606" s="705">
        <v>1.4853531006150751</v>
      </c>
    </row>
    <row r="8607" spans="2:7" ht="11.25" hidden="1" customHeight="1" outlineLevel="2" x14ac:dyDescent="0.25">
      <c r="B8607" s="704" t="s">
        <v>685</v>
      </c>
      <c r="C8607" s="704" t="s">
        <v>727</v>
      </c>
      <c r="D8607" s="704" t="s">
        <v>728</v>
      </c>
      <c r="E8607" s="704" t="s">
        <v>448</v>
      </c>
      <c r="F8607" s="705">
        <v>1.4336148526013288E-2</v>
      </c>
      <c r="G8607" s="705">
        <v>7.8512138076507441</v>
      </c>
    </row>
    <row r="8608" spans="2:7" ht="11.25" hidden="1" customHeight="1" outlineLevel="2" x14ac:dyDescent="0.25">
      <c r="B8608" s="704" t="s">
        <v>686</v>
      </c>
      <c r="C8608" s="704" t="s">
        <v>727</v>
      </c>
      <c r="D8608" s="704" t="s">
        <v>728</v>
      </c>
      <c r="E8608" s="704" t="s">
        <v>448</v>
      </c>
      <c r="F8608" s="706">
        <v>3.1499634864433552E-3</v>
      </c>
      <c r="G8608" s="705">
        <v>1.7252874328141172</v>
      </c>
    </row>
    <row r="8609" spans="2:7" ht="11.25" hidden="1" customHeight="1" outlineLevel="2" x14ac:dyDescent="0.25">
      <c r="B8609" s="704" t="s">
        <v>687</v>
      </c>
      <c r="C8609" s="704" t="s">
        <v>727</v>
      </c>
      <c r="D8609" s="704" t="s">
        <v>728</v>
      </c>
      <c r="E8609" s="704" t="s">
        <v>448</v>
      </c>
      <c r="F8609" s="706">
        <v>1.5952622606024133E-2</v>
      </c>
      <c r="G8609" s="705">
        <v>8.7364784624170646</v>
      </c>
    </row>
    <row r="8610" spans="2:7" ht="11.25" hidden="1" customHeight="1" outlineLevel="2" x14ac:dyDescent="0.25">
      <c r="B8610" s="704" t="s">
        <v>688</v>
      </c>
      <c r="C8610" s="704" t="s">
        <v>727</v>
      </c>
      <c r="D8610" s="704" t="s">
        <v>728</v>
      </c>
      <c r="E8610" s="704" t="s">
        <v>448</v>
      </c>
      <c r="F8610" s="706">
        <v>1.7781257262262956E-2</v>
      </c>
      <c r="G8610" s="705">
        <v>9.7379299973697879</v>
      </c>
    </row>
    <row r="8611" spans="2:7" ht="11.25" hidden="1" customHeight="1" outlineLevel="2" x14ac:dyDescent="0.25">
      <c r="B8611" s="704" t="s">
        <v>689</v>
      </c>
      <c r="C8611" s="704" t="s">
        <v>727</v>
      </c>
      <c r="D8611" s="704" t="s">
        <v>728</v>
      </c>
      <c r="E8611" s="704" t="s">
        <v>448</v>
      </c>
      <c r="F8611" s="706">
        <v>2.827961264527775E-3</v>
      </c>
      <c r="G8611" s="705">
        <v>1.5487841462509917</v>
      </c>
    </row>
    <row r="8612" spans="2:7" ht="11.25" hidden="1" customHeight="1" outlineLevel="2" x14ac:dyDescent="0.25">
      <c r="B8612" s="704" t="s">
        <v>690</v>
      </c>
      <c r="C8612" s="704" t="s">
        <v>727</v>
      </c>
      <c r="D8612" s="704" t="s">
        <v>728</v>
      </c>
      <c r="E8612" s="704" t="s">
        <v>448</v>
      </c>
      <c r="F8612" s="706">
        <v>6.3500289116457387E-2</v>
      </c>
      <c r="G8612" s="705">
        <v>34.776028469762615</v>
      </c>
    </row>
    <row r="8613" spans="2:7" ht="11.25" hidden="1" customHeight="1" outlineLevel="2" x14ac:dyDescent="0.25">
      <c r="B8613" s="704" t="s">
        <v>691</v>
      </c>
      <c r="C8613" s="704" t="s">
        <v>727</v>
      </c>
      <c r="D8613" s="704" t="s">
        <v>728</v>
      </c>
      <c r="E8613" s="704" t="s">
        <v>448</v>
      </c>
      <c r="F8613" s="706">
        <v>5.6844270044687534E-2</v>
      </c>
      <c r="G8613" s="705">
        <v>31.130852625913001</v>
      </c>
    </row>
    <row r="8614" spans="2:7" ht="11.25" hidden="1" customHeight="1" outlineLevel="2" x14ac:dyDescent="0.25">
      <c r="B8614" s="704" t="s">
        <v>692</v>
      </c>
      <c r="C8614" s="704" t="s">
        <v>727</v>
      </c>
      <c r="D8614" s="704" t="s">
        <v>728</v>
      </c>
      <c r="E8614" s="704" t="s">
        <v>448</v>
      </c>
      <c r="F8614" s="706">
        <v>3.2279893987211877E-3</v>
      </c>
      <c r="G8614" s="705">
        <v>1.7678116442371403</v>
      </c>
    </row>
    <row r="8615" spans="2:7" ht="11.25" hidden="1" customHeight="1" outlineLevel="2" x14ac:dyDescent="0.25">
      <c r="B8615" s="704" t="s">
        <v>693</v>
      </c>
      <c r="C8615" s="704" t="s">
        <v>727</v>
      </c>
      <c r="D8615" s="704" t="s">
        <v>728</v>
      </c>
      <c r="E8615" s="704" t="s">
        <v>448</v>
      </c>
      <c r="F8615" s="705">
        <v>6.5939301665821938E-3</v>
      </c>
      <c r="G8615" s="705">
        <v>3.6116065970859323</v>
      </c>
    </row>
    <row r="8616" spans="2:7" ht="11.25" hidden="1" customHeight="1" outlineLevel="2" x14ac:dyDescent="0.25">
      <c r="B8616" s="704" t="s">
        <v>694</v>
      </c>
      <c r="C8616" s="704" t="s">
        <v>727</v>
      </c>
      <c r="D8616" s="704" t="s">
        <v>728</v>
      </c>
      <c r="E8616" s="704" t="s">
        <v>448</v>
      </c>
      <c r="F8616" s="705">
        <v>1.8499438600123425E-3</v>
      </c>
      <c r="G8616" s="705">
        <v>1.0132441052801653</v>
      </c>
    </row>
    <row r="8617" spans="2:7" ht="11.25" hidden="1" customHeight="1" outlineLevel="2" x14ac:dyDescent="0.25">
      <c r="B8617" s="704" t="s">
        <v>695</v>
      </c>
      <c r="C8617" s="704" t="s">
        <v>727</v>
      </c>
      <c r="D8617" s="704" t="s">
        <v>728</v>
      </c>
      <c r="E8617" s="704" t="s">
        <v>448</v>
      </c>
      <c r="F8617" s="705">
        <v>3.1418683042425729E-3</v>
      </c>
      <c r="G8617" s="705">
        <v>1.7208536809031674</v>
      </c>
    </row>
    <row r="8618" spans="2:7" ht="11.25" hidden="1" customHeight="1" outlineLevel="2" x14ac:dyDescent="0.25">
      <c r="B8618" s="704" t="s">
        <v>696</v>
      </c>
      <c r="C8618" s="704" t="s">
        <v>727</v>
      </c>
      <c r="D8618" s="704" t="s">
        <v>728</v>
      </c>
      <c r="E8618" s="704" t="s">
        <v>448</v>
      </c>
      <c r="F8618" s="705">
        <v>9.9836221055874183E-3</v>
      </c>
      <c r="G8618" s="705">
        <v>5.4681965961827981</v>
      </c>
    </row>
    <row r="8619" spans="2:7" ht="11.25" hidden="1" customHeight="1" outlineLevel="2" x14ac:dyDescent="0.25">
      <c r="B8619" s="704" t="s">
        <v>697</v>
      </c>
      <c r="C8619" s="704" t="s">
        <v>727</v>
      </c>
      <c r="D8619" s="704" t="s">
        <v>728</v>
      </c>
      <c r="E8619" s="704" t="s">
        <v>448</v>
      </c>
      <c r="F8619" s="705">
        <v>6.5519837354494348E-3</v>
      </c>
      <c r="G8619" s="705">
        <v>3.5886286845693411</v>
      </c>
    </row>
    <row r="8620" spans="2:7" ht="11.25" hidden="1" customHeight="1" outlineLevel="2" x14ac:dyDescent="0.25">
      <c r="B8620" s="704" t="s">
        <v>698</v>
      </c>
      <c r="C8620" s="704" t="s">
        <v>727</v>
      </c>
      <c r="D8620" s="704" t="s">
        <v>728</v>
      </c>
      <c r="E8620" s="704" t="s">
        <v>448</v>
      </c>
      <c r="F8620" s="705">
        <v>8.8582073866051419E-3</v>
      </c>
      <c r="G8620" s="705">
        <v>4.8517806282116549</v>
      </c>
    </row>
    <row r="8621" spans="2:7" ht="11.25" hidden="1" customHeight="1" outlineLevel="2" x14ac:dyDescent="0.25">
      <c r="B8621" s="704" t="s">
        <v>699</v>
      </c>
      <c r="C8621" s="704" t="s">
        <v>727</v>
      </c>
      <c r="D8621" s="704" t="s">
        <v>728</v>
      </c>
      <c r="E8621" s="704" t="s">
        <v>448</v>
      </c>
      <c r="F8621" s="705">
        <v>5.4514246717802285E-2</v>
      </c>
      <c r="G8621" s="705">
        <v>29.85478901724743</v>
      </c>
    </row>
    <row r="8622" spans="2:7" ht="11.25" hidden="1" customHeight="1" outlineLevel="2" x14ac:dyDescent="0.25">
      <c r="B8622" s="704" t="s">
        <v>673</v>
      </c>
      <c r="C8622" s="704" t="s">
        <v>729</v>
      </c>
      <c r="D8622" s="704" t="s">
        <v>728</v>
      </c>
      <c r="E8622" s="704" t="s">
        <v>448</v>
      </c>
      <c r="F8622" s="705">
        <v>6.0660905659068141E-3</v>
      </c>
      <c r="G8622" s="705">
        <v>3.2740856396465974</v>
      </c>
    </row>
    <row r="8623" spans="2:7" ht="11.25" hidden="1" customHeight="1" outlineLevel="2" x14ac:dyDescent="0.25">
      <c r="B8623" s="704" t="s">
        <v>677</v>
      </c>
      <c r="C8623" s="704" t="s">
        <v>729</v>
      </c>
      <c r="D8623" s="704" t="s">
        <v>728</v>
      </c>
      <c r="E8623" s="704" t="s">
        <v>448</v>
      </c>
      <c r="F8623" s="705">
        <v>0.29111278070711355</v>
      </c>
      <c r="G8623" s="705">
        <v>156.89428795720096</v>
      </c>
    </row>
    <row r="8624" spans="2:7" ht="11.25" hidden="1" customHeight="1" outlineLevel="2" x14ac:dyDescent="0.25">
      <c r="B8624" s="704" t="s">
        <v>678</v>
      </c>
      <c r="C8624" s="704" t="s">
        <v>729</v>
      </c>
      <c r="D8624" s="704" t="s">
        <v>728</v>
      </c>
      <c r="E8624" s="704" t="s">
        <v>448</v>
      </c>
      <c r="F8624" s="705">
        <v>0.34944850716245723</v>
      </c>
      <c r="G8624" s="705">
        <v>188.58753859034374</v>
      </c>
    </row>
    <row r="8625" spans="2:7" ht="11.25" hidden="1" customHeight="1" outlineLevel="2" x14ac:dyDescent="0.25">
      <c r="B8625" s="704" t="s">
        <v>679</v>
      </c>
      <c r="C8625" s="704" t="s">
        <v>729</v>
      </c>
      <c r="D8625" s="704" t="s">
        <v>728</v>
      </c>
      <c r="E8625" s="704" t="s">
        <v>448</v>
      </c>
      <c r="F8625" s="705">
        <v>2.0869841206686841E-2</v>
      </c>
      <c r="G8625" s="705">
        <v>11.262867523767431</v>
      </c>
    </row>
    <row r="8626" spans="2:7" ht="11.25" hidden="1" customHeight="1" outlineLevel="2" x14ac:dyDescent="0.25">
      <c r="B8626" s="704" t="s">
        <v>680</v>
      </c>
      <c r="C8626" s="704" t="s">
        <v>729</v>
      </c>
      <c r="D8626" s="704" t="s">
        <v>728</v>
      </c>
      <c r="E8626" s="704" t="s">
        <v>448</v>
      </c>
      <c r="F8626" s="705">
        <v>6.5513757629603953E-3</v>
      </c>
      <c r="G8626" s="705">
        <v>3.5360153260021652</v>
      </c>
    </row>
    <row r="8627" spans="2:7" ht="11.25" hidden="1" customHeight="1" outlineLevel="2" x14ac:dyDescent="0.25">
      <c r="B8627" s="704" t="s">
        <v>681</v>
      </c>
      <c r="C8627" s="704" t="s">
        <v>729</v>
      </c>
      <c r="D8627" s="704" t="s">
        <v>728</v>
      </c>
      <c r="E8627" s="704" t="s">
        <v>448</v>
      </c>
      <c r="F8627" s="705">
        <v>0.11017335627559582</v>
      </c>
      <c r="G8627" s="705">
        <v>59.457486549339926</v>
      </c>
    </row>
    <row r="8628" spans="2:7" ht="11.25" hidden="1" customHeight="1" outlineLevel="2" x14ac:dyDescent="0.25">
      <c r="B8628" s="704" t="s">
        <v>682</v>
      </c>
      <c r="C8628" s="704" t="s">
        <v>729</v>
      </c>
      <c r="D8628" s="704" t="s">
        <v>728</v>
      </c>
      <c r="E8628" s="704" t="s">
        <v>448</v>
      </c>
      <c r="F8628" s="705">
        <v>1.4317684308860086E-2</v>
      </c>
      <c r="G8628" s="705">
        <v>7.726850166205379</v>
      </c>
    </row>
    <row r="8629" spans="2:7" ht="11.25" hidden="1" customHeight="1" outlineLevel="2" x14ac:dyDescent="0.25">
      <c r="B8629" s="704" t="s">
        <v>683</v>
      </c>
      <c r="C8629" s="704" t="s">
        <v>729</v>
      </c>
      <c r="D8629" s="704" t="s">
        <v>728</v>
      </c>
      <c r="E8629" s="704" t="s">
        <v>448</v>
      </c>
      <c r="F8629" s="705">
        <v>3.0091403410875243E-2</v>
      </c>
      <c r="G8629" s="705">
        <v>16.239480319252213</v>
      </c>
    </row>
    <row r="8630" spans="2:7" ht="11.25" hidden="1" customHeight="1" outlineLevel="2" x14ac:dyDescent="0.25">
      <c r="B8630" s="704" t="s">
        <v>684</v>
      </c>
      <c r="C8630" s="704" t="s">
        <v>729</v>
      </c>
      <c r="D8630" s="704" t="s">
        <v>728</v>
      </c>
      <c r="E8630" s="704" t="s">
        <v>448</v>
      </c>
      <c r="F8630" s="705">
        <v>3.8822982438088259E-2</v>
      </c>
      <c r="G8630" s="705">
        <v>20.954179891075828</v>
      </c>
    </row>
    <row r="8631" spans="2:7" ht="11.25" hidden="1" customHeight="1" outlineLevel="2" x14ac:dyDescent="0.25">
      <c r="B8631" s="704" t="s">
        <v>685</v>
      </c>
      <c r="C8631" s="704" t="s">
        <v>729</v>
      </c>
      <c r="D8631" s="704" t="s">
        <v>728</v>
      </c>
      <c r="E8631" s="704" t="s">
        <v>448</v>
      </c>
      <c r="F8631" s="705">
        <v>0.18297514716162203</v>
      </c>
      <c r="G8631" s="705">
        <v>98.74655625194616</v>
      </c>
    </row>
    <row r="8632" spans="2:7" ht="11.25" hidden="1" customHeight="1" outlineLevel="2" x14ac:dyDescent="0.25">
      <c r="B8632" s="704" t="s">
        <v>686</v>
      </c>
      <c r="C8632" s="704" t="s">
        <v>729</v>
      </c>
      <c r="D8632" s="704" t="s">
        <v>728</v>
      </c>
      <c r="E8632" s="704" t="s">
        <v>448</v>
      </c>
      <c r="F8632" s="705">
        <v>3.9065624016866592E-2</v>
      </c>
      <c r="G8632" s="705">
        <v>21.085133820802639</v>
      </c>
    </row>
    <row r="8633" spans="2:7" ht="11.25" hidden="1" customHeight="1" outlineLevel="2" x14ac:dyDescent="0.25">
      <c r="B8633" s="704" t="s">
        <v>687</v>
      </c>
      <c r="C8633" s="704" t="s">
        <v>729</v>
      </c>
      <c r="D8633" s="704" t="s">
        <v>728</v>
      </c>
      <c r="E8633" s="704" t="s">
        <v>448</v>
      </c>
      <c r="F8633" s="705">
        <v>8.0324625755776063E-2</v>
      </c>
      <c r="G8633" s="705">
        <v>43.348956699352343</v>
      </c>
    </row>
    <row r="8634" spans="2:7" ht="11.25" hidden="1" customHeight="1" outlineLevel="2" x14ac:dyDescent="0.25">
      <c r="B8634" s="704" t="s">
        <v>688</v>
      </c>
      <c r="C8634" s="704" t="s">
        <v>729</v>
      </c>
      <c r="D8634" s="704" t="s">
        <v>728</v>
      </c>
      <c r="E8634" s="704" t="s">
        <v>448</v>
      </c>
      <c r="F8634" s="705">
        <v>0.23636317353932682</v>
      </c>
      <c r="G8634" s="705">
        <v>127.55849315348381</v>
      </c>
    </row>
    <row r="8635" spans="2:7" ht="11.25" hidden="1" customHeight="1" outlineLevel="2" x14ac:dyDescent="0.25">
      <c r="B8635" s="704" t="s">
        <v>689</v>
      </c>
      <c r="C8635" s="704" t="s">
        <v>729</v>
      </c>
      <c r="D8635" s="704" t="s">
        <v>728</v>
      </c>
      <c r="E8635" s="704" t="s">
        <v>448</v>
      </c>
      <c r="F8635" s="705">
        <v>2.3006389362558739E-2</v>
      </c>
      <c r="G8635" s="705">
        <v>12.416295022836326</v>
      </c>
    </row>
    <row r="8636" spans="2:7" ht="11.25" hidden="1" customHeight="1" outlineLevel="2" x14ac:dyDescent="0.25">
      <c r="B8636" s="704" t="s">
        <v>690</v>
      </c>
      <c r="C8636" s="704" t="s">
        <v>729</v>
      </c>
      <c r="D8636" s="704" t="s">
        <v>728</v>
      </c>
      <c r="E8636" s="704" t="s">
        <v>448</v>
      </c>
      <c r="F8636" s="705">
        <v>0.72267897403535108</v>
      </c>
      <c r="G8636" s="705">
        <v>390.00944570253438</v>
      </c>
    </row>
    <row r="8637" spans="2:7" ht="11.25" hidden="1" customHeight="1" outlineLevel="2" x14ac:dyDescent="0.25">
      <c r="B8637" s="704" t="s">
        <v>691</v>
      </c>
      <c r="C8637" s="704" t="s">
        <v>729</v>
      </c>
      <c r="D8637" s="704" t="s">
        <v>728</v>
      </c>
      <c r="E8637" s="704" t="s">
        <v>448</v>
      </c>
      <c r="F8637" s="705">
        <v>0.35308885871357498</v>
      </c>
      <c r="G8637" s="705">
        <v>190.55201093279871</v>
      </c>
    </row>
    <row r="8638" spans="2:7" ht="11.25" hidden="1" customHeight="1" outlineLevel="2" x14ac:dyDescent="0.25">
      <c r="B8638" s="704" t="s">
        <v>692</v>
      </c>
      <c r="C8638" s="704" t="s">
        <v>729</v>
      </c>
      <c r="D8638" s="704" t="s">
        <v>728</v>
      </c>
      <c r="E8638" s="704" t="s">
        <v>448</v>
      </c>
      <c r="F8638" s="705">
        <v>2.305389681475517E-2</v>
      </c>
      <c r="G8638" s="705">
        <v>12.441540323518446</v>
      </c>
    </row>
    <row r="8639" spans="2:7" ht="11.25" hidden="1" customHeight="1" outlineLevel="2" x14ac:dyDescent="0.25">
      <c r="B8639" s="704" t="s">
        <v>693</v>
      </c>
      <c r="C8639" s="704" t="s">
        <v>729</v>
      </c>
      <c r="D8639" s="704" t="s">
        <v>728</v>
      </c>
      <c r="E8639" s="704" t="s">
        <v>448</v>
      </c>
      <c r="F8639" s="705">
        <v>1.771298384376898E-2</v>
      </c>
      <c r="G8639" s="705">
        <v>9.5603385635727829</v>
      </c>
    </row>
    <row r="8640" spans="2:7" ht="11.25" hidden="1" customHeight="1" outlineLevel="2" x14ac:dyDescent="0.25">
      <c r="B8640" s="704" t="s">
        <v>694</v>
      </c>
      <c r="C8640" s="704" t="s">
        <v>729</v>
      </c>
      <c r="D8640" s="704" t="s">
        <v>728</v>
      </c>
      <c r="E8640" s="704" t="s">
        <v>448</v>
      </c>
      <c r="F8640" s="705">
        <v>3.9065624016866592E-2</v>
      </c>
      <c r="G8640" s="705">
        <v>21.085133820802639</v>
      </c>
    </row>
    <row r="8641" spans="2:7" ht="11.25" hidden="1" customHeight="1" outlineLevel="2" x14ac:dyDescent="0.25">
      <c r="B8641" s="704" t="s">
        <v>695</v>
      </c>
      <c r="C8641" s="704" t="s">
        <v>729</v>
      </c>
      <c r="D8641" s="704" t="s">
        <v>728</v>
      </c>
      <c r="E8641" s="704" t="s">
        <v>448</v>
      </c>
      <c r="F8641" s="705">
        <v>3.8337672535551461E-2</v>
      </c>
      <c r="G8641" s="705">
        <v>20.692238393943601</v>
      </c>
    </row>
    <row r="8642" spans="2:7" ht="11.25" hidden="1" customHeight="1" outlineLevel="2" x14ac:dyDescent="0.25">
      <c r="B8642" s="704" t="s">
        <v>696</v>
      </c>
      <c r="C8642" s="704" t="s">
        <v>729</v>
      </c>
      <c r="D8642" s="704" t="s">
        <v>728</v>
      </c>
      <c r="E8642" s="704" t="s">
        <v>448</v>
      </c>
      <c r="F8642" s="705">
        <v>5.4837456705275608E-2</v>
      </c>
      <c r="G8642" s="705">
        <v>29.5977667880905</v>
      </c>
    </row>
    <row r="8643" spans="2:7" ht="11.25" hidden="1" customHeight="1" outlineLevel="2" x14ac:dyDescent="0.25">
      <c r="B8643" s="704" t="s">
        <v>697</v>
      </c>
      <c r="C8643" s="704" t="s">
        <v>729</v>
      </c>
      <c r="D8643" s="704" t="s">
        <v>728</v>
      </c>
      <c r="E8643" s="704" t="s">
        <v>448</v>
      </c>
      <c r="F8643" s="705">
        <v>2.4749640163307916E-2</v>
      </c>
      <c r="G8643" s="705">
        <v>13.358280765501567</v>
      </c>
    </row>
    <row r="8644" spans="2:7" ht="11.25" hidden="1" customHeight="1" outlineLevel="2" x14ac:dyDescent="0.25">
      <c r="B8644" s="704" t="s">
        <v>698</v>
      </c>
      <c r="C8644" s="704" t="s">
        <v>729</v>
      </c>
      <c r="D8644" s="704" t="s">
        <v>728</v>
      </c>
      <c r="E8644" s="704" t="s">
        <v>448</v>
      </c>
      <c r="F8644" s="705">
        <v>3.9065624018477463E-2</v>
      </c>
      <c r="G8644" s="705">
        <v>21.085133820712965</v>
      </c>
    </row>
    <row r="8645" spans="2:7" ht="11.25" hidden="1" customHeight="1" outlineLevel="2" x14ac:dyDescent="0.25">
      <c r="B8645" s="704" t="s">
        <v>699</v>
      </c>
      <c r="C8645" s="704" t="s">
        <v>729</v>
      </c>
      <c r="D8645" s="704" t="s">
        <v>728</v>
      </c>
      <c r="E8645" s="704" t="s">
        <v>448</v>
      </c>
      <c r="F8645" s="705">
        <v>4.3923747815527894E-2</v>
      </c>
      <c r="G8645" s="705">
        <v>23.704400752645409</v>
      </c>
    </row>
    <row r="8646" spans="2:7" ht="11.25" hidden="1" customHeight="1" outlineLevel="2" x14ac:dyDescent="0.25">
      <c r="B8646" s="704" t="s">
        <v>673</v>
      </c>
      <c r="C8646" s="704" t="s">
        <v>730</v>
      </c>
      <c r="D8646" s="704" t="s">
        <v>728</v>
      </c>
      <c r="E8646" s="704" t="s">
        <v>448</v>
      </c>
      <c r="F8646" s="705">
        <v>8.6232075369762212E-2</v>
      </c>
      <c r="G8646" s="705">
        <v>44.95990295533214</v>
      </c>
    </row>
    <row r="8647" spans="2:7" ht="11.25" hidden="1" customHeight="1" outlineLevel="2" x14ac:dyDescent="0.25">
      <c r="B8647" s="704" t="s">
        <v>677</v>
      </c>
      <c r="C8647" s="704" t="s">
        <v>730</v>
      </c>
      <c r="D8647" s="704" t="s">
        <v>728</v>
      </c>
      <c r="E8647" s="704" t="s">
        <v>448</v>
      </c>
      <c r="F8647" s="706">
        <v>0.50889545808077941</v>
      </c>
      <c r="G8647" s="705">
        <v>264.90708518681004</v>
      </c>
    </row>
    <row r="8648" spans="2:7" ht="11.25" hidden="1" customHeight="1" outlineLevel="2" x14ac:dyDescent="0.25">
      <c r="B8648" s="704" t="s">
        <v>678</v>
      </c>
      <c r="C8648" s="704" t="s">
        <v>730</v>
      </c>
      <c r="D8648" s="704" t="s">
        <v>728</v>
      </c>
      <c r="E8648" s="704" t="s">
        <v>448</v>
      </c>
      <c r="F8648" s="706">
        <v>0.84176923743124532</v>
      </c>
      <c r="G8648" s="705">
        <v>438.9223020432799</v>
      </c>
    </row>
    <row r="8649" spans="2:7" ht="11.25" hidden="1" customHeight="1" outlineLevel="2" x14ac:dyDescent="0.25">
      <c r="B8649" s="704" t="s">
        <v>679</v>
      </c>
      <c r="C8649" s="704" t="s">
        <v>730</v>
      </c>
      <c r="D8649" s="704" t="s">
        <v>728</v>
      </c>
      <c r="E8649" s="704" t="s">
        <v>448</v>
      </c>
      <c r="F8649" s="706">
        <v>7.7694422066920982E-2</v>
      </c>
      <c r="G8649" s="705">
        <v>40.512062783689387</v>
      </c>
    </row>
    <row r="8650" spans="2:7" ht="11.25" hidden="1" customHeight="1" outlineLevel="2" x14ac:dyDescent="0.25">
      <c r="B8650" s="704" t="s">
        <v>680</v>
      </c>
      <c r="C8650" s="704" t="s">
        <v>730</v>
      </c>
      <c r="D8650" s="704" t="s">
        <v>728</v>
      </c>
      <c r="E8650" s="704" t="s">
        <v>448</v>
      </c>
      <c r="F8650" s="706">
        <v>3.2385867959789198E-2</v>
      </c>
      <c r="G8650" s="705">
        <v>16.885429518341432</v>
      </c>
    </row>
    <row r="8651" spans="2:7" ht="11.25" hidden="1" customHeight="1" outlineLevel="2" x14ac:dyDescent="0.25">
      <c r="B8651" s="704" t="s">
        <v>681</v>
      </c>
      <c r="C8651" s="704" t="s">
        <v>730</v>
      </c>
      <c r="D8651" s="704" t="s">
        <v>728</v>
      </c>
      <c r="E8651" s="704" t="s">
        <v>448</v>
      </c>
      <c r="F8651" s="706">
        <v>0.1500956340912184</v>
      </c>
      <c r="G8651" s="705">
        <v>78.264140033826919</v>
      </c>
    </row>
    <row r="8652" spans="2:7" ht="11.25" hidden="1" customHeight="1" outlineLevel="2" x14ac:dyDescent="0.25">
      <c r="B8652" s="704" t="s">
        <v>682</v>
      </c>
      <c r="C8652" s="704" t="s">
        <v>730</v>
      </c>
      <c r="D8652" s="704" t="s">
        <v>728</v>
      </c>
      <c r="E8652" s="704" t="s">
        <v>448</v>
      </c>
      <c r="F8652" s="706">
        <v>9.5235074282028181E-2</v>
      </c>
      <c r="G8652" s="705">
        <v>49.658225856263527</v>
      </c>
    </row>
    <row r="8653" spans="2:7" ht="11.25" hidden="1" customHeight="1" outlineLevel="2" x14ac:dyDescent="0.25">
      <c r="B8653" s="704" t="s">
        <v>683</v>
      </c>
      <c r="C8653" s="704" t="s">
        <v>730</v>
      </c>
      <c r="D8653" s="704" t="s">
        <v>728</v>
      </c>
      <c r="E8653" s="704" t="s">
        <v>448</v>
      </c>
      <c r="F8653" s="706">
        <v>0.12305875093065141</v>
      </c>
      <c r="G8653" s="705">
        <v>64.166326787783504</v>
      </c>
    </row>
    <row r="8654" spans="2:7" ht="11.25" hidden="1" customHeight="1" outlineLevel="2" x14ac:dyDescent="0.25">
      <c r="B8654" s="704" t="s">
        <v>684</v>
      </c>
      <c r="C8654" s="704" t="s">
        <v>730</v>
      </c>
      <c r="D8654" s="704" t="s">
        <v>728</v>
      </c>
      <c r="E8654" s="704" t="s">
        <v>448</v>
      </c>
      <c r="F8654" s="705">
        <v>3.8917971321611615E-2</v>
      </c>
      <c r="G8654" s="705">
        <v>20.291149644466142</v>
      </c>
    </row>
    <row r="8655" spans="2:7" ht="11.25" hidden="1" customHeight="1" outlineLevel="2" x14ac:dyDescent="0.25">
      <c r="B8655" s="704" t="s">
        <v>685</v>
      </c>
      <c r="C8655" s="704" t="s">
        <v>730</v>
      </c>
      <c r="D8655" s="704" t="s">
        <v>728</v>
      </c>
      <c r="E8655" s="704" t="s">
        <v>448</v>
      </c>
      <c r="F8655" s="705">
        <v>0.20569284316595038</v>
      </c>
      <c r="G8655" s="705">
        <v>107.25392952876894</v>
      </c>
    </row>
    <row r="8656" spans="2:7" ht="11.25" hidden="1" customHeight="1" outlineLevel="2" x14ac:dyDescent="0.25">
      <c r="B8656" s="704" t="s">
        <v>686</v>
      </c>
      <c r="C8656" s="704" t="s">
        <v>730</v>
      </c>
      <c r="D8656" s="704" t="s">
        <v>728</v>
      </c>
      <c r="E8656" s="704" t="s">
        <v>448</v>
      </c>
      <c r="F8656" s="705">
        <v>4.5204497572062102E-2</v>
      </c>
      <c r="G8656" s="705">
        <v>23.568847667500346</v>
      </c>
    </row>
    <row r="8657" spans="2:7" ht="11.25" hidden="1" customHeight="1" outlineLevel="2" x14ac:dyDescent="0.25">
      <c r="B8657" s="704" t="s">
        <v>687</v>
      </c>
      <c r="C8657" s="704" t="s">
        <v>730</v>
      </c>
      <c r="D8657" s="704" t="s">
        <v>728</v>
      </c>
      <c r="E8657" s="704" t="s">
        <v>448</v>
      </c>
      <c r="F8657" s="706">
        <v>0.22888577791907611</v>
      </c>
      <c r="G8657" s="705">
        <v>119.3475241537588</v>
      </c>
    </row>
    <row r="8658" spans="2:7" ht="11.25" hidden="1" customHeight="1" outlineLevel="2" x14ac:dyDescent="0.25">
      <c r="B8658" s="704" t="s">
        <v>688</v>
      </c>
      <c r="C8658" s="704" t="s">
        <v>730</v>
      </c>
      <c r="D8658" s="704" t="s">
        <v>728</v>
      </c>
      <c r="E8658" s="704" t="s">
        <v>448</v>
      </c>
      <c r="F8658" s="705">
        <v>0.25512273141818348</v>
      </c>
      <c r="G8658" s="705">
        <v>133.02818602394538</v>
      </c>
    </row>
    <row r="8659" spans="2:7" ht="11.25" hidden="1" customHeight="1" outlineLevel="2" x14ac:dyDescent="0.25">
      <c r="B8659" s="704" t="s">
        <v>689</v>
      </c>
      <c r="C8659" s="704" t="s">
        <v>730</v>
      </c>
      <c r="D8659" s="704" t="s">
        <v>728</v>
      </c>
      <c r="E8659" s="704" t="s">
        <v>448</v>
      </c>
      <c r="F8659" s="705">
        <v>4.2248244679823382E-2</v>
      </c>
      <c r="G8659" s="705">
        <v>22.030155550163485</v>
      </c>
    </row>
    <row r="8660" spans="2:7" ht="11.25" hidden="1" customHeight="1" outlineLevel="2" x14ac:dyDescent="0.25">
      <c r="B8660" s="704" t="s">
        <v>690</v>
      </c>
      <c r="C8660" s="704" t="s">
        <v>730</v>
      </c>
      <c r="D8660" s="704" t="s">
        <v>728</v>
      </c>
      <c r="E8660" s="704" t="s">
        <v>448</v>
      </c>
      <c r="F8660" s="706">
        <v>0.91109170347466861</v>
      </c>
      <c r="G8660" s="705">
        <v>475.06938273817013</v>
      </c>
    </row>
    <row r="8661" spans="2:7" ht="11.25" hidden="1" customHeight="1" outlineLevel="2" x14ac:dyDescent="0.25">
      <c r="B8661" s="704" t="s">
        <v>691</v>
      </c>
      <c r="C8661" s="704" t="s">
        <v>730</v>
      </c>
      <c r="D8661" s="704" t="s">
        <v>728</v>
      </c>
      <c r="E8661" s="704" t="s">
        <v>448</v>
      </c>
      <c r="F8661" s="705">
        <v>0.815592931436667</v>
      </c>
      <c r="G8661" s="705">
        <v>425.27313916790996</v>
      </c>
    </row>
    <row r="8662" spans="2:7" ht="11.25" hidden="1" customHeight="1" outlineLevel="2" x14ac:dyDescent="0.25">
      <c r="B8662" s="704" t="s">
        <v>692</v>
      </c>
      <c r="C8662" s="704" t="s">
        <v>730</v>
      </c>
      <c r="D8662" s="704" t="s">
        <v>728</v>
      </c>
      <c r="E8662" s="704" t="s">
        <v>448</v>
      </c>
      <c r="F8662" s="705">
        <v>4.6314686102606487E-2</v>
      </c>
      <c r="G8662" s="705">
        <v>24.14978190262805</v>
      </c>
    </row>
    <row r="8663" spans="2:7" ht="11.25" hidden="1" customHeight="1" outlineLevel="2" x14ac:dyDescent="0.25">
      <c r="B8663" s="704" t="s">
        <v>693</v>
      </c>
      <c r="C8663" s="704" t="s">
        <v>730</v>
      </c>
      <c r="D8663" s="704" t="s">
        <v>728</v>
      </c>
      <c r="E8663" s="704" t="s">
        <v>448</v>
      </c>
      <c r="F8663" s="705">
        <v>9.4628220963536736E-2</v>
      </c>
      <c r="G8663" s="705">
        <v>49.337484952298126</v>
      </c>
    </row>
    <row r="8664" spans="2:7" ht="11.25" hidden="1" customHeight="1" outlineLevel="2" x14ac:dyDescent="0.25">
      <c r="B8664" s="704" t="s">
        <v>694</v>
      </c>
      <c r="C8664" s="704" t="s">
        <v>730</v>
      </c>
      <c r="D8664" s="704" t="s">
        <v>728</v>
      </c>
      <c r="E8664" s="704" t="s">
        <v>448</v>
      </c>
      <c r="F8664" s="706">
        <v>2.6548172637157197E-2</v>
      </c>
      <c r="G8664" s="705">
        <v>13.841763766213282</v>
      </c>
    </row>
    <row r="8665" spans="2:7" ht="11.25" hidden="1" customHeight="1" outlineLevel="2" x14ac:dyDescent="0.25">
      <c r="B8665" s="704" t="s">
        <v>695</v>
      </c>
      <c r="C8665" s="704" t="s">
        <v>730</v>
      </c>
      <c r="D8665" s="704" t="s">
        <v>728</v>
      </c>
      <c r="E8665" s="704" t="s">
        <v>448</v>
      </c>
      <c r="F8665" s="706">
        <v>4.5088320204112034E-2</v>
      </c>
      <c r="G8665" s="705">
        <v>23.508285122011895</v>
      </c>
    </row>
    <row r="8666" spans="2:7" ht="11.25" hidden="1" customHeight="1" outlineLevel="2" x14ac:dyDescent="0.25">
      <c r="B8666" s="704" t="s">
        <v>696</v>
      </c>
      <c r="C8666" s="704" t="s">
        <v>730</v>
      </c>
      <c r="D8666" s="704" t="s">
        <v>728</v>
      </c>
      <c r="E8666" s="704" t="s">
        <v>448</v>
      </c>
      <c r="F8666" s="706">
        <v>0.14327301532974249</v>
      </c>
      <c r="G8666" s="705">
        <v>74.700099253373494</v>
      </c>
    </row>
    <row r="8667" spans="2:7" ht="11.25" hidden="1" customHeight="1" outlineLevel="2" x14ac:dyDescent="0.25">
      <c r="B8667" s="704" t="s">
        <v>697</v>
      </c>
      <c r="C8667" s="704" t="s">
        <v>730</v>
      </c>
      <c r="D8667" s="704" t="s">
        <v>728</v>
      </c>
      <c r="E8667" s="704" t="s">
        <v>448</v>
      </c>
      <c r="F8667" s="705">
        <v>9.402617313322785E-2</v>
      </c>
      <c r="G8667" s="705">
        <v>49.023612044238035</v>
      </c>
    </row>
    <row r="8668" spans="2:7" ht="11.25" hidden="1" customHeight="1" outlineLevel="2" x14ac:dyDescent="0.25">
      <c r="B8668" s="704" t="s">
        <v>698</v>
      </c>
      <c r="C8668" s="704" t="s">
        <v>730</v>
      </c>
      <c r="D8668" s="704" t="s">
        <v>728</v>
      </c>
      <c r="E8668" s="704" t="s">
        <v>448</v>
      </c>
      <c r="F8668" s="705">
        <v>0.12712232765276865</v>
      </c>
      <c r="G8668" s="705">
        <v>66.279265620808289</v>
      </c>
    </row>
    <row r="8669" spans="2:7" ht="11.25" hidden="1" customHeight="1" outlineLevel="2" x14ac:dyDescent="0.25">
      <c r="B8669" s="704" t="s">
        <v>699</v>
      </c>
      <c r="C8669" s="704" t="s">
        <v>730</v>
      </c>
      <c r="D8669" s="704" t="s">
        <v>728</v>
      </c>
      <c r="E8669" s="704" t="s">
        <v>448</v>
      </c>
      <c r="F8669" s="705">
        <v>0.78216170953669961</v>
      </c>
      <c r="G8669" s="705">
        <v>407.84088805570002</v>
      </c>
    </row>
    <row r="8670" spans="2:7" ht="11.25" hidden="1" customHeight="1" outlineLevel="2" x14ac:dyDescent="0.25">
      <c r="B8670" s="704" t="s">
        <v>673</v>
      </c>
      <c r="C8670" s="704" t="s">
        <v>731</v>
      </c>
      <c r="D8670" s="704" t="s">
        <v>728</v>
      </c>
      <c r="E8670" s="704" t="s">
        <v>448</v>
      </c>
      <c r="F8670" s="705">
        <v>6.6457514559632488E-2</v>
      </c>
      <c r="G8670" s="705">
        <v>36.437103385874593</v>
      </c>
    </row>
    <row r="8671" spans="2:7" ht="11.25" hidden="1" customHeight="1" outlineLevel="2" x14ac:dyDescent="0.25">
      <c r="B8671" s="704" t="s">
        <v>677</v>
      </c>
      <c r="C8671" s="704" t="s">
        <v>731</v>
      </c>
      <c r="D8671" s="704" t="s">
        <v>728</v>
      </c>
      <c r="E8671" s="704" t="s">
        <v>448</v>
      </c>
      <c r="F8671" s="705">
        <v>3.1897214516403496</v>
      </c>
      <c r="G8671" s="705">
        <v>1746.0658743220004</v>
      </c>
    </row>
    <row r="8672" spans="2:7" ht="11.25" hidden="1" customHeight="1" outlineLevel="2" x14ac:dyDescent="0.25">
      <c r="B8672" s="704" t="s">
        <v>678</v>
      </c>
      <c r="C8672" s="704" t="s">
        <v>731</v>
      </c>
      <c r="D8672" s="704" t="s">
        <v>728</v>
      </c>
      <c r="E8672" s="704" t="s">
        <v>448</v>
      </c>
      <c r="F8672" s="705">
        <v>3.8276304941663843</v>
      </c>
      <c r="G8672" s="705">
        <v>2098.7766237009005</v>
      </c>
    </row>
    <row r="8673" spans="2:7" ht="11.25" hidden="1" customHeight="1" outlineLevel="2" x14ac:dyDescent="0.25">
      <c r="B8673" s="704" t="s">
        <v>679</v>
      </c>
      <c r="C8673" s="704" t="s">
        <v>731</v>
      </c>
      <c r="D8673" s="704" t="s">
        <v>728</v>
      </c>
      <c r="E8673" s="704" t="s">
        <v>448</v>
      </c>
      <c r="F8673" s="705">
        <v>0.22859461796973785</v>
      </c>
      <c r="G8673" s="705">
        <v>125.34361848842487</v>
      </c>
    </row>
    <row r="8674" spans="2:7" ht="11.25" hidden="1" customHeight="1" outlineLevel="2" x14ac:dyDescent="0.25">
      <c r="B8674" s="704" t="s">
        <v>680</v>
      </c>
      <c r="C8674" s="704" t="s">
        <v>731</v>
      </c>
      <c r="D8674" s="704" t="s">
        <v>728</v>
      </c>
      <c r="E8674" s="704" t="s">
        <v>448</v>
      </c>
      <c r="F8674" s="705">
        <v>7.1774075762806186E-2</v>
      </c>
      <c r="G8674" s="705">
        <v>39.352057452812801</v>
      </c>
    </row>
    <row r="8675" spans="2:7" ht="11.25" hidden="1" customHeight="1" outlineLevel="2" x14ac:dyDescent="0.25">
      <c r="B8675" s="704" t="s">
        <v>681</v>
      </c>
      <c r="C8675" s="704" t="s">
        <v>731</v>
      </c>
      <c r="D8675" s="704" t="s">
        <v>728</v>
      </c>
      <c r="E8675" s="704" t="s">
        <v>448</v>
      </c>
      <c r="F8675" s="705">
        <v>1.2067675493790309</v>
      </c>
      <c r="G8675" s="705">
        <v>661.69721803280481</v>
      </c>
    </row>
    <row r="8676" spans="2:7" ht="11.25" hidden="1" customHeight="1" outlineLevel="2" x14ac:dyDescent="0.25">
      <c r="B8676" s="704" t="s">
        <v>682</v>
      </c>
      <c r="C8676" s="704" t="s">
        <v>731</v>
      </c>
      <c r="D8676" s="704" t="s">
        <v>728</v>
      </c>
      <c r="E8676" s="704" t="s">
        <v>448</v>
      </c>
      <c r="F8676" s="705">
        <v>0.15682649136068019</v>
      </c>
      <c r="G8676" s="705">
        <v>85.991571458846579</v>
      </c>
    </row>
    <row r="8677" spans="2:7" ht="11.25" hidden="1" customHeight="1" outlineLevel="2" x14ac:dyDescent="0.25">
      <c r="B8677" s="704" t="s">
        <v>683</v>
      </c>
      <c r="C8677" s="704" t="s">
        <v>731</v>
      </c>
      <c r="D8677" s="704" t="s">
        <v>728</v>
      </c>
      <c r="E8677" s="704" t="s">
        <v>448</v>
      </c>
      <c r="F8677" s="705">
        <v>0.3296014808337831</v>
      </c>
      <c r="G8677" s="705">
        <v>180.7281132546882</v>
      </c>
    </row>
    <row r="8678" spans="2:7" ht="11.25" hidden="1" customHeight="1" outlineLevel="2" x14ac:dyDescent="0.25">
      <c r="B8678" s="704" t="s">
        <v>684</v>
      </c>
      <c r="C8678" s="704" t="s">
        <v>731</v>
      </c>
      <c r="D8678" s="704" t="s">
        <v>728</v>
      </c>
      <c r="E8678" s="704" t="s">
        <v>448</v>
      </c>
      <c r="F8678" s="706">
        <v>0.42532804486223497</v>
      </c>
      <c r="G8678" s="705">
        <v>233.19761041169184</v>
      </c>
    </row>
    <row r="8679" spans="2:7" ht="11.25" hidden="1" customHeight="1" outlineLevel="2" x14ac:dyDescent="0.25">
      <c r="B8679" s="704" t="s">
        <v>685</v>
      </c>
      <c r="C8679" s="704" t="s">
        <v>731</v>
      </c>
      <c r="D8679" s="704" t="s">
        <v>728</v>
      </c>
      <c r="E8679" s="704" t="s">
        <v>448</v>
      </c>
      <c r="F8679" s="706">
        <v>2.0041899857860717</v>
      </c>
      <c r="G8679" s="705">
        <v>1098.9435032258195</v>
      </c>
    </row>
    <row r="8680" spans="2:7" ht="11.25" hidden="1" customHeight="1" outlineLevel="2" x14ac:dyDescent="0.25">
      <c r="B8680" s="704" t="s">
        <v>686</v>
      </c>
      <c r="C8680" s="704" t="s">
        <v>731</v>
      </c>
      <c r="D8680" s="704" t="s">
        <v>728</v>
      </c>
      <c r="E8680" s="704" t="s">
        <v>448</v>
      </c>
      <c r="F8680" s="705">
        <v>0.42798640112190539</v>
      </c>
      <c r="G8680" s="705">
        <v>234.65493805739698</v>
      </c>
    </row>
    <row r="8681" spans="2:7" ht="11.25" hidden="1" customHeight="1" outlineLevel="2" x14ac:dyDescent="0.25">
      <c r="B8681" s="704" t="s">
        <v>687</v>
      </c>
      <c r="C8681" s="704" t="s">
        <v>731</v>
      </c>
      <c r="D8681" s="704" t="s">
        <v>728</v>
      </c>
      <c r="E8681" s="704" t="s">
        <v>448</v>
      </c>
      <c r="F8681" s="705">
        <v>0.87982313677781809</v>
      </c>
      <c r="G8681" s="705">
        <v>482.42756643922843</v>
      </c>
    </row>
    <row r="8682" spans="2:7" ht="11.25" hidden="1" customHeight="1" outlineLevel="2" x14ac:dyDescent="0.25">
      <c r="B8682" s="704" t="s">
        <v>688</v>
      </c>
      <c r="C8682" s="704" t="s">
        <v>731</v>
      </c>
      <c r="D8682" s="704" t="s">
        <v>728</v>
      </c>
      <c r="E8682" s="704" t="s">
        <v>448</v>
      </c>
      <c r="F8682" s="705">
        <v>2.5889672557559034</v>
      </c>
      <c r="G8682" s="705">
        <v>1419.589265394183</v>
      </c>
    </row>
    <row r="8683" spans="2:7" ht="11.25" hidden="1" customHeight="1" outlineLevel="2" x14ac:dyDescent="0.25">
      <c r="B8683" s="704" t="s">
        <v>689</v>
      </c>
      <c r="C8683" s="704" t="s">
        <v>731</v>
      </c>
      <c r="D8683" s="704" t="s">
        <v>728</v>
      </c>
      <c r="E8683" s="704" t="s">
        <v>448</v>
      </c>
      <c r="F8683" s="705">
        <v>0.2609189811742722</v>
      </c>
      <c r="G8683" s="705">
        <v>143.07296852625987</v>
      </c>
    </row>
    <row r="8684" spans="2:7" ht="11.25" hidden="1" customHeight="1" outlineLevel="2" x14ac:dyDescent="0.25">
      <c r="B8684" s="704" t="s">
        <v>690</v>
      </c>
      <c r="C8684" s="704" t="s">
        <v>731</v>
      </c>
      <c r="D8684" s="704" t="s">
        <v>728</v>
      </c>
      <c r="E8684" s="704" t="s">
        <v>448</v>
      </c>
      <c r="F8684" s="705">
        <v>7.9157510985661741</v>
      </c>
      <c r="G8684" s="705">
        <v>4340.3865681003299</v>
      </c>
    </row>
    <row r="8685" spans="2:7" ht="11.25" hidden="1" customHeight="1" outlineLevel="2" x14ac:dyDescent="0.25">
      <c r="B8685" s="704" t="s">
        <v>691</v>
      </c>
      <c r="C8685" s="704" t="s">
        <v>731</v>
      </c>
      <c r="D8685" s="704" t="s">
        <v>728</v>
      </c>
      <c r="E8685" s="704" t="s">
        <v>448</v>
      </c>
      <c r="F8685" s="705">
        <v>3.8675014829247756</v>
      </c>
      <c r="G8685" s="705">
        <v>2120.64049170611</v>
      </c>
    </row>
    <row r="8686" spans="2:7" ht="11.25" hidden="1" customHeight="1" outlineLevel="2" x14ac:dyDescent="0.25">
      <c r="B8686" s="704" t="s">
        <v>692</v>
      </c>
      <c r="C8686" s="704" t="s">
        <v>731</v>
      </c>
      <c r="D8686" s="704" t="s">
        <v>728</v>
      </c>
      <c r="E8686" s="704" t="s">
        <v>448</v>
      </c>
      <c r="F8686" s="705">
        <v>0.25251729605477263</v>
      </c>
      <c r="G8686" s="705">
        <v>138.46100559364416</v>
      </c>
    </row>
    <row r="8687" spans="2:7" ht="11.25" hidden="1" customHeight="1" outlineLevel="2" x14ac:dyDescent="0.25">
      <c r="B8687" s="704" t="s">
        <v>693</v>
      </c>
      <c r="C8687" s="704" t="s">
        <v>731</v>
      </c>
      <c r="D8687" s="704" t="s">
        <v>728</v>
      </c>
      <c r="E8687" s="704" t="s">
        <v>448</v>
      </c>
      <c r="F8687" s="705">
        <v>0.19405580253836735</v>
      </c>
      <c r="G8687" s="705">
        <v>106.39638049355761</v>
      </c>
    </row>
    <row r="8688" spans="2:7" ht="11.25" hidden="1" customHeight="1" outlineLevel="2" x14ac:dyDescent="0.25">
      <c r="B8688" s="704" t="s">
        <v>694</v>
      </c>
      <c r="C8688" s="704" t="s">
        <v>731</v>
      </c>
      <c r="D8688" s="704" t="s">
        <v>728</v>
      </c>
      <c r="E8688" s="704" t="s">
        <v>448</v>
      </c>
      <c r="F8688" s="705">
        <v>0.42798640112190539</v>
      </c>
      <c r="G8688" s="705">
        <v>234.65493805739698</v>
      </c>
    </row>
    <row r="8689" spans="2:7" ht="11.25" hidden="1" customHeight="1" outlineLevel="2" x14ac:dyDescent="0.25">
      <c r="B8689" s="704" t="s">
        <v>695</v>
      </c>
      <c r="C8689" s="704" t="s">
        <v>731</v>
      </c>
      <c r="D8689" s="704" t="s">
        <v>728</v>
      </c>
      <c r="E8689" s="704" t="s">
        <v>448</v>
      </c>
      <c r="F8689" s="705">
        <v>0.42001157135810202</v>
      </c>
      <c r="G8689" s="705">
        <v>230.282575774935</v>
      </c>
    </row>
    <row r="8690" spans="2:7" ht="11.25" hidden="1" customHeight="1" outlineLevel="2" x14ac:dyDescent="0.25">
      <c r="B8690" s="704" t="s">
        <v>696</v>
      </c>
      <c r="C8690" s="704" t="s">
        <v>731</v>
      </c>
      <c r="D8690" s="704" t="s">
        <v>728</v>
      </c>
      <c r="E8690" s="704" t="s">
        <v>448</v>
      </c>
      <c r="F8690" s="705">
        <v>0.60077613051794565</v>
      </c>
      <c r="G8690" s="705">
        <v>329.39162501691618</v>
      </c>
    </row>
    <row r="8691" spans="2:7" ht="11.25" hidden="1" customHeight="1" outlineLevel="2" x14ac:dyDescent="0.25">
      <c r="B8691" s="704" t="s">
        <v>697</v>
      </c>
      <c r="C8691" s="704" t="s">
        <v>731</v>
      </c>
      <c r="D8691" s="704" t="s">
        <v>728</v>
      </c>
      <c r="E8691" s="704" t="s">
        <v>448</v>
      </c>
      <c r="F8691" s="705">
        <v>0.27114672933561607</v>
      </c>
      <c r="G8691" s="705">
        <v>148.66350700146478</v>
      </c>
    </row>
    <row r="8692" spans="2:7" ht="11.25" hidden="1" customHeight="1" outlineLevel="2" x14ac:dyDescent="0.25">
      <c r="B8692" s="704" t="s">
        <v>698</v>
      </c>
      <c r="C8692" s="704" t="s">
        <v>731</v>
      </c>
      <c r="D8692" s="704" t="s">
        <v>728</v>
      </c>
      <c r="E8692" s="704" t="s">
        <v>448</v>
      </c>
      <c r="F8692" s="705">
        <v>0.42798640113034081</v>
      </c>
      <c r="G8692" s="705">
        <v>234.65493805465331</v>
      </c>
    </row>
    <row r="8693" spans="2:7" ht="11.25" hidden="1" customHeight="1" outlineLevel="2" x14ac:dyDescent="0.25">
      <c r="B8693" s="704" t="s">
        <v>699</v>
      </c>
      <c r="C8693" s="704" t="s">
        <v>731</v>
      </c>
      <c r="D8693" s="704" t="s">
        <v>728</v>
      </c>
      <c r="E8693" s="704" t="s">
        <v>448</v>
      </c>
      <c r="F8693" s="705">
        <v>0.48111144622480817</v>
      </c>
      <c r="G8693" s="705">
        <v>263.80452078356552</v>
      </c>
    </row>
    <row r="8694" spans="2:7" ht="11.25" hidden="1" customHeight="1" outlineLevel="2" x14ac:dyDescent="0.25">
      <c r="B8694" s="704" t="s">
        <v>673</v>
      </c>
      <c r="C8694" s="704" t="s">
        <v>732</v>
      </c>
      <c r="D8694" s="704" t="s">
        <v>728</v>
      </c>
      <c r="E8694" s="704" t="s">
        <v>448</v>
      </c>
      <c r="F8694" s="705">
        <v>0.10630655876500736</v>
      </c>
      <c r="G8694" s="705">
        <v>62.653801976408573</v>
      </c>
    </row>
    <row r="8695" spans="2:7" ht="11.25" hidden="1" customHeight="1" outlineLevel="2" x14ac:dyDescent="0.25">
      <c r="B8695" s="704" t="s">
        <v>677</v>
      </c>
      <c r="C8695" s="704" t="s">
        <v>732</v>
      </c>
      <c r="D8695" s="704" t="s">
        <v>728</v>
      </c>
      <c r="E8695" s="704" t="s">
        <v>448</v>
      </c>
      <c r="F8695" s="706">
        <v>0.62728309348157096</v>
      </c>
      <c r="G8695" s="705">
        <v>369.1606211990607</v>
      </c>
    </row>
    <row r="8696" spans="2:7" ht="11.25" hidden="1" customHeight="1" outlineLevel="2" x14ac:dyDescent="0.25">
      <c r="B8696" s="704" t="s">
        <v>678</v>
      </c>
      <c r="C8696" s="704" t="s">
        <v>732</v>
      </c>
      <c r="D8696" s="704" t="s">
        <v>728</v>
      </c>
      <c r="E8696" s="704" t="s">
        <v>448</v>
      </c>
      <c r="F8696" s="706">
        <v>1.0379425401120674</v>
      </c>
      <c r="G8696" s="705">
        <v>611.65941814167695</v>
      </c>
    </row>
    <row r="8697" spans="2:7" ht="11.25" hidden="1" customHeight="1" outlineLevel="2" x14ac:dyDescent="0.25">
      <c r="B8697" s="704" t="s">
        <v>679</v>
      </c>
      <c r="C8697" s="704" t="s">
        <v>732</v>
      </c>
      <c r="D8697" s="704" t="s">
        <v>728</v>
      </c>
      <c r="E8697" s="704" t="s">
        <v>448</v>
      </c>
      <c r="F8697" s="706">
        <v>9.5801137191246222E-2</v>
      </c>
      <c r="G8697" s="705">
        <v>56.455595058927429</v>
      </c>
    </row>
    <row r="8698" spans="2:7" ht="11.25" hidden="1" customHeight="1" outlineLevel="2" x14ac:dyDescent="0.25">
      <c r="B8698" s="704" t="s">
        <v>680</v>
      </c>
      <c r="C8698" s="704" t="s">
        <v>732</v>
      </c>
      <c r="D8698" s="704" t="s">
        <v>728</v>
      </c>
      <c r="E8698" s="704" t="s">
        <v>448</v>
      </c>
      <c r="F8698" s="706">
        <v>3.9925159733289195E-2</v>
      </c>
      <c r="G8698" s="705">
        <v>23.530666017882723</v>
      </c>
    </row>
    <row r="8699" spans="2:7" ht="11.25" hidden="1" customHeight="1" outlineLevel="2" x14ac:dyDescent="0.25">
      <c r="B8699" s="704" t="s">
        <v>681</v>
      </c>
      <c r="C8699" s="704" t="s">
        <v>732</v>
      </c>
      <c r="D8699" s="704" t="s">
        <v>728</v>
      </c>
      <c r="E8699" s="704" t="s">
        <v>448</v>
      </c>
      <c r="F8699" s="706">
        <v>0.18507533175085367</v>
      </c>
      <c r="G8699" s="705">
        <v>109.06484100013508</v>
      </c>
    </row>
    <row r="8700" spans="2:7" ht="11.25" hidden="1" customHeight="1" outlineLevel="2" x14ac:dyDescent="0.25">
      <c r="B8700" s="704" t="s">
        <v>682</v>
      </c>
      <c r="C8700" s="704" t="s">
        <v>732</v>
      </c>
      <c r="D8700" s="704" t="s">
        <v>728</v>
      </c>
      <c r="E8700" s="704" t="s">
        <v>448</v>
      </c>
      <c r="F8700" s="706">
        <v>0.11742960526167431</v>
      </c>
      <c r="G8700" s="705">
        <v>69.201194745933918</v>
      </c>
    </row>
    <row r="8701" spans="2:7" ht="11.25" hidden="1" customHeight="1" outlineLevel="2" x14ac:dyDescent="0.25">
      <c r="B8701" s="704" t="s">
        <v>683</v>
      </c>
      <c r="C8701" s="704" t="s">
        <v>732</v>
      </c>
      <c r="D8701" s="704" t="s">
        <v>728</v>
      </c>
      <c r="E8701" s="704" t="s">
        <v>448</v>
      </c>
      <c r="F8701" s="706">
        <v>0.15173744014584001</v>
      </c>
      <c r="G8701" s="705">
        <v>89.418835406650558</v>
      </c>
    </row>
    <row r="8702" spans="2:7" ht="11.25" hidden="1" customHeight="1" outlineLevel="2" x14ac:dyDescent="0.25">
      <c r="B8702" s="704" t="s">
        <v>684</v>
      </c>
      <c r="C8702" s="704" t="s">
        <v>732</v>
      </c>
      <c r="D8702" s="704" t="s">
        <v>728</v>
      </c>
      <c r="E8702" s="704" t="s">
        <v>448</v>
      </c>
      <c r="F8702" s="706">
        <v>4.7977879290904801E-2</v>
      </c>
      <c r="G8702" s="705">
        <v>28.276715208600169</v>
      </c>
    </row>
    <row r="8703" spans="2:7" ht="11.25" hidden="1" customHeight="1" outlineLevel="2" x14ac:dyDescent="0.25">
      <c r="B8703" s="704" t="s">
        <v>685</v>
      </c>
      <c r="C8703" s="704" t="s">
        <v>732</v>
      </c>
      <c r="D8703" s="704" t="s">
        <v>728</v>
      </c>
      <c r="E8703" s="704" t="s">
        <v>448</v>
      </c>
      <c r="F8703" s="706">
        <v>0.25362937591336115</v>
      </c>
      <c r="G8703" s="705">
        <v>149.46369545743215</v>
      </c>
    </row>
    <row r="8704" spans="2:7" ht="11.25" hidden="1" customHeight="1" outlineLevel="2" x14ac:dyDescent="0.25">
      <c r="B8704" s="704" t="s">
        <v>686</v>
      </c>
      <c r="C8704" s="704" t="s">
        <v>732</v>
      </c>
      <c r="D8704" s="704" t="s">
        <v>728</v>
      </c>
      <c r="E8704" s="704" t="s">
        <v>448</v>
      </c>
      <c r="F8704" s="706">
        <v>5.5727905760071986E-2</v>
      </c>
      <c r="G8704" s="705">
        <v>32.844324334965805</v>
      </c>
    </row>
    <row r="8705" spans="2:7" ht="11.25" hidden="1" customHeight="1" outlineLevel="2" x14ac:dyDescent="0.25">
      <c r="B8705" s="704" t="s">
        <v>687</v>
      </c>
      <c r="C8705" s="704" t="s">
        <v>732</v>
      </c>
      <c r="D8705" s="704" t="s">
        <v>728</v>
      </c>
      <c r="E8705" s="704" t="s">
        <v>448</v>
      </c>
      <c r="F8705" s="705">
        <v>0.28222735063658472</v>
      </c>
      <c r="G8705" s="705">
        <v>166.31656606306547</v>
      </c>
    </row>
    <row r="8706" spans="2:7" ht="11.25" hidden="1" customHeight="1" outlineLevel="2" x14ac:dyDescent="0.25">
      <c r="B8706" s="704" t="s">
        <v>688</v>
      </c>
      <c r="C8706" s="704" t="s">
        <v>732</v>
      </c>
      <c r="D8706" s="704" t="s">
        <v>728</v>
      </c>
      <c r="E8706" s="704" t="s">
        <v>448</v>
      </c>
      <c r="F8706" s="705">
        <v>0.3145789983116401</v>
      </c>
      <c r="G8706" s="705">
        <v>185.38119166082183</v>
      </c>
    </row>
    <row r="8707" spans="2:7" ht="11.25" hidden="1" customHeight="1" outlineLevel="2" x14ac:dyDescent="0.25">
      <c r="B8707" s="704" t="s">
        <v>689</v>
      </c>
      <c r="C8707" s="704" t="s">
        <v>732</v>
      </c>
      <c r="D8707" s="704" t="s">
        <v>728</v>
      </c>
      <c r="E8707" s="704" t="s">
        <v>448</v>
      </c>
      <c r="F8707" s="706">
        <v>5.0031172895165704E-2</v>
      </c>
      <c r="G8707" s="705">
        <v>29.484234203459732</v>
      </c>
    </row>
    <row r="8708" spans="2:7" ht="11.25" hidden="1" customHeight="1" outlineLevel="2" x14ac:dyDescent="0.25">
      <c r="B8708" s="704" t="s">
        <v>690</v>
      </c>
      <c r="C8708" s="704" t="s">
        <v>732</v>
      </c>
      <c r="D8708" s="704" t="s">
        <v>728</v>
      </c>
      <c r="E8708" s="704" t="s">
        <v>448</v>
      </c>
      <c r="F8708" s="705">
        <v>1.1234208844732974</v>
      </c>
      <c r="G8708" s="705">
        <v>662.03188349107904</v>
      </c>
    </row>
    <row r="8709" spans="2:7" ht="11.25" hidden="1" customHeight="1" outlineLevel="2" x14ac:dyDescent="0.25">
      <c r="B8709" s="704" t="s">
        <v>691</v>
      </c>
      <c r="C8709" s="704" t="s">
        <v>732</v>
      </c>
      <c r="D8709" s="704" t="s">
        <v>728</v>
      </c>
      <c r="E8709" s="704" t="s">
        <v>448</v>
      </c>
      <c r="F8709" s="705">
        <v>1.0056662383109296</v>
      </c>
      <c r="G8709" s="705">
        <v>592.63869303085403</v>
      </c>
    </row>
    <row r="8710" spans="2:7" ht="11.25" hidden="1" customHeight="1" outlineLevel="2" x14ac:dyDescent="0.25">
      <c r="B8710" s="704" t="s">
        <v>692</v>
      </c>
      <c r="C8710" s="704" t="s">
        <v>732</v>
      </c>
      <c r="D8710" s="704" t="s">
        <v>728</v>
      </c>
      <c r="E8710" s="704" t="s">
        <v>448</v>
      </c>
      <c r="F8710" s="705">
        <v>5.7108290397329495E-2</v>
      </c>
      <c r="G8710" s="705">
        <v>33.653883732180873</v>
      </c>
    </row>
    <row r="8711" spans="2:7" ht="11.25" hidden="1" customHeight="1" outlineLevel="2" x14ac:dyDescent="0.25">
      <c r="B8711" s="704" t="s">
        <v>693</v>
      </c>
      <c r="C8711" s="704" t="s">
        <v>732</v>
      </c>
      <c r="D8711" s="704" t="s">
        <v>728</v>
      </c>
      <c r="E8711" s="704" t="s">
        <v>448</v>
      </c>
      <c r="F8711" s="705">
        <v>0.1166572458994487</v>
      </c>
      <c r="G8711" s="705">
        <v>68.754231890228894</v>
      </c>
    </row>
    <row r="8712" spans="2:7" ht="11.25" hidden="1" customHeight="1" outlineLevel="2" x14ac:dyDescent="0.25">
      <c r="B8712" s="704" t="s">
        <v>694</v>
      </c>
      <c r="C8712" s="704" t="s">
        <v>732</v>
      </c>
      <c r="D8712" s="704" t="s">
        <v>728</v>
      </c>
      <c r="E8712" s="704" t="s">
        <v>448</v>
      </c>
      <c r="F8712" s="705">
        <v>3.2728462406434643E-2</v>
      </c>
      <c r="G8712" s="705">
        <v>19.289164748837958</v>
      </c>
    </row>
    <row r="8713" spans="2:7" ht="11.25" hidden="1" customHeight="1" outlineLevel="2" x14ac:dyDescent="0.25">
      <c r="B8713" s="704" t="s">
        <v>695</v>
      </c>
      <c r="C8713" s="704" t="s">
        <v>732</v>
      </c>
      <c r="D8713" s="704" t="s">
        <v>728</v>
      </c>
      <c r="E8713" s="704" t="s">
        <v>448</v>
      </c>
      <c r="F8713" s="705">
        <v>5.5584699544110529E-2</v>
      </c>
      <c r="G8713" s="705">
        <v>32.759928500607607</v>
      </c>
    </row>
    <row r="8714" spans="2:7" ht="11.25" hidden="1" customHeight="1" outlineLevel="2" x14ac:dyDescent="0.25">
      <c r="B8714" s="704" t="s">
        <v>696</v>
      </c>
      <c r="C8714" s="704" t="s">
        <v>732</v>
      </c>
      <c r="D8714" s="704" t="s">
        <v>728</v>
      </c>
      <c r="E8714" s="704" t="s">
        <v>448</v>
      </c>
      <c r="F8714" s="705">
        <v>0.17662631431873171</v>
      </c>
      <c r="G8714" s="705">
        <v>104.09813107282822</v>
      </c>
    </row>
    <row r="8715" spans="2:7" ht="11.25" hidden="1" customHeight="1" outlineLevel="2" x14ac:dyDescent="0.25">
      <c r="B8715" s="704" t="s">
        <v>697</v>
      </c>
      <c r="C8715" s="704" t="s">
        <v>732</v>
      </c>
      <c r="D8715" s="704" t="s">
        <v>728</v>
      </c>
      <c r="E8715" s="704" t="s">
        <v>448</v>
      </c>
      <c r="F8715" s="705">
        <v>0.11591506774051616</v>
      </c>
      <c r="G8715" s="705">
        <v>68.31685410302228</v>
      </c>
    </row>
    <row r="8716" spans="2:7" ht="11.25" hidden="1" customHeight="1" outlineLevel="2" x14ac:dyDescent="0.25">
      <c r="B8716" s="704" t="s">
        <v>698</v>
      </c>
      <c r="C8716" s="704" t="s">
        <v>732</v>
      </c>
      <c r="D8716" s="704" t="s">
        <v>728</v>
      </c>
      <c r="E8716" s="704" t="s">
        <v>448</v>
      </c>
      <c r="F8716" s="705">
        <v>0.15671578781813225</v>
      </c>
      <c r="G8716" s="705">
        <v>92.363595287757789</v>
      </c>
    </row>
    <row r="8717" spans="2:7" ht="11.25" hidden="1" customHeight="1" outlineLevel="2" x14ac:dyDescent="0.25">
      <c r="B8717" s="704" t="s">
        <v>699</v>
      </c>
      <c r="C8717" s="704" t="s">
        <v>732</v>
      </c>
      <c r="D8717" s="704" t="s">
        <v>728</v>
      </c>
      <c r="E8717" s="704" t="s">
        <v>448</v>
      </c>
      <c r="F8717" s="705">
        <v>0.96444406037473485</v>
      </c>
      <c r="G8717" s="705">
        <v>568.34634115836855</v>
      </c>
    </row>
    <row r="8718" spans="2:7" ht="11.25" hidden="1" customHeight="1" outlineLevel="2" x14ac:dyDescent="0.25">
      <c r="B8718" s="704" t="s">
        <v>673</v>
      </c>
      <c r="C8718" s="704" t="s">
        <v>733</v>
      </c>
      <c r="D8718" s="704" t="s">
        <v>728</v>
      </c>
      <c r="E8718" s="704" t="s">
        <v>448</v>
      </c>
      <c r="F8718" s="705">
        <v>6.274423415274169E-2</v>
      </c>
      <c r="G8718" s="705">
        <v>31.772529458901229</v>
      </c>
    </row>
    <row r="8719" spans="2:7" ht="11.25" hidden="1" customHeight="1" outlineLevel="2" x14ac:dyDescent="0.25">
      <c r="B8719" s="704" t="s">
        <v>677</v>
      </c>
      <c r="C8719" s="704" t="s">
        <v>733</v>
      </c>
      <c r="D8719" s="704" t="s">
        <v>728</v>
      </c>
      <c r="E8719" s="704" t="s">
        <v>448</v>
      </c>
      <c r="F8719" s="705">
        <v>3.011111626906247</v>
      </c>
      <c r="G8719" s="705">
        <v>1522.5390313362384</v>
      </c>
    </row>
    <row r="8720" spans="2:7" ht="11.25" hidden="1" customHeight="1" outlineLevel="2" x14ac:dyDescent="0.25">
      <c r="B8720" s="704" t="s">
        <v>678</v>
      </c>
      <c r="C8720" s="704" t="s">
        <v>733</v>
      </c>
      <c r="D8720" s="704" t="s">
        <v>728</v>
      </c>
      <c r="E8720" s="704" t="s">
        <v>448</v>
      </c>
      <c r="F8720" s="705">
        <v>3.6145035107630936</v>
      </c>
      <c r="G8720" s="705">
        <v>1830.09783824186</v>
      </c>
    </row>
    <row r="8721" spans="2:7" ht="11.25" hidden="1" customHeight="1" outlineLevel="2" x14ac:dyDescent="0.25">
      <c r="B8721" s="704" t="s">
        <v>679</v>
      </c>
      <c r="C8721" s="704" t="s">
        <v>733</v>
      </c>
      <c r="D8721" s="704" t="s">
        <v>728</v>
      </c>
      <c r="E8721" s="704" t="s">
        <v>448</v>
      </c>
      <c r="F8721" s="705">
        <v>0.21586615002739545</v>
      </c>
      <c r="G8721" s="705">
        <v>109.29753235882926</v>
      </c>
    </row>
    <row r="8722" spans="2:7" ht="11.25" hidden="1" customHeight="1" outlineLevel="2" x14ac:dyDescent="0.25">
      <c r="B8722" s="704" t="s">
        <v>680</v>
      </c>
      <c r="C8722" s="704" t="s">
        <v>733</v>
      </c>
      <c r="D8722" s="704" t="s">
        <v>728</v>
      </c>
      <c r="E8722" s="704" t="s">
        <v>448</v>
      </c>
      <c r="F8722" s="705">
        <v>6.7763832229460905E-2</v>
      </c>
      <c r="G8722" s="705">
        <v>34.314335067492415</v>
      </c>
    </row>
    <row r="8723" spans="2:7" ht="11.25" hidden="1" customHeight="1" outlineLevel="2" x14ac:dyDescent="0.25">
      <c r="B8723" s="704" t="s">
        <v>681</v>
      </c>
      <c r="C8723" s="704" t="s">
        <v>733</v>
      </c>
      <c r="D8723" s="704" t="s">
        <v>728</v>
      </c>
      <c r="E8723" s="704" t="s">
        <v>448</v>
      </c>
      <c r="F8723" s="705">
        <v>1.1395727971343332</v>
      </c>
      <c r="G8723" s="705">
        <v>576.98861548392199</v>
      </c>
    </row>
    <row r="8724" spans="2:7" ht="11.25" hidden="1" customHeight="1" outlineLevel="2" x14ac:dyDescent="0.25">
      <c r="B8724" s="704" t="s">
        <v>682</v>
      </c>
      <c r="C8724" s="704" t="s">
        <v>733</v>
      </c>
      <c r="D8724" s="704" t="s">
        <v>728</v>
      </c>
      <c r="E8724" s="704" t="s">
        <v>448</v>
      </c>
      <c r="F8724" s="705">
        <v>0.14809426589085195</v>
      </c>
      <c r="G8724" s="705">
        <v>74.983179006339142</v>
      </c>
    </row>
    <row r="8725" spans="2:7" ht="11.25" hidden="1" customHeight="1" outlineLevel="2" x14ac:dyDescent="0.25">
      <c r="B8725" s="704" t="s">
        <v>683</v>
      </c>
      <c r="C8725" s="704" t="s">
        <v>733</v>
      </c>
      <c r="D8725" s="704" t="s">
        <v>728</v>
      </c>
      <c r="E8725" s="704" t="s">
        <v>448</v>
      </c>
      <c r="F8725" s="705">
        <v>0.3112488984792432</v>
      </c>
      <c r="G8725" s="705">
        <v>157.59169837484561</v>
      </c>
    </row>
    <row r="8726" spans="2:7" ht="11.25" hidden="1" customHeight="1" outlineLevel="2" x14ac:dyDescent="0.25">
      <c r="B8726" s="704" t="s">
        <v>684</v>
      </c>
      <c r="C8726" s="704" t="s">
        <v>733</v>
      </c>
      <c r="D8726" s="704" t="s">
        <v>728</v>
      </c>
      <c r="E8726" s="704" t="s">
        <v>448</v>
      </c>
      <c r="F8726" s="705">
        <v>0.40156348182353258</v>
      </c>
      <c r="G8726" s="705">
        <v>203.3441980538646</v>
      </c>
    </row>
    <row r="8727" spans="2:7" ht="11.25" hidden="1" customHeight="1" outlineLevel="2" x14ac:dyDescent="0.25">
      <c r="B8727" s="704" t="s">
        <v>685</v>
      </c>
      <c r="C8727" s="704" t="s">
        <v>733</v>
      </c>
      <c r="D8727" s="704" t="s">
        <v>728</v>
      </c>
      <c r="E8727" s="704" t="s">
        <v>448</v>
      </c>
      <c r="F8727" s="705">
        <v>1.8925941612634065</v>
      </c>
      <c r="G8727" s="705">
        <v>958.25978614907149</v>
      </c>
    </row>
    <row r="8728" spans="2:7" ht="11.25" hidden="1" customHeight="1" outlineLevel="2" x14ac:dyDescent="0.25">
      <c r="B8728" s="704" t="s">
        <v>686</v>
      </c>
      <c r="C8728" s="704" t="s">
        <v>733</v>
      </c>
      <c r="D8728" s="704" t="s">
        <v>728</v>
      </c>
      <c r="E8728" s="704" t="s">
        <v>448</v>
      </c>
      <c r="F8728" s="706">
        <v>0.40407305556923873</v>
      </c>
      <c r="G8728" s="705">
        <v>204.61511726444061</v>
      </c>
    </row>
    <row r="8729" spans="2:7" ht="11.25" hidden="1" customHeight="1" outlineLevel="2" x14ac:dyDescent="0.25">
      <c r="B8729" s="704" t="s">
        <v>687</v>
      </c>
      <c r="C8729" s="704" t="s">
        <v>733</v>
      </c>
      <c r="D8729" s="704" t="s">
        <v>728</v>
      </c>
      <c r="E8729" s="704" t="s">
        <v>448</v>
      </c>
      <c r="F8729" s="706">
        <v>0.83083387869847658</v>
      </c>
      <c r="G8729" s="705">
        <v>420.66841930600651</v>
      </c>
    </row>
    <row r="8730" spans="2:7" ht="11.25" hidden="1" customHeight="1" outlineLevel="2" x14ac:dyDescent="0.25">
      <c r="B8730" s="704" t="s">
        <v>688</v>
      </c>
      <c r="C8730" s="704" t="s">
        <v>733</v>
      </c>
      <c r="D8730" s="704" t="s">
        <v>728</v>
      </c>
      <c r="E8730" s="704" t="s">
        <v>448</v>
      </c>
      <c r="F8730" s="706">
        <v>2.4448097687127293</v>
      </c>
      <c r="G8730" s="705">
        <v>1237.8578582483194</v>
      </c>
    </row>
    <row r="8731" spans="2:7" ht="11.25" hidden="1" customHeight="1" outlineLevel="2" x14ac:dyDescent="0.25">
      <c r="B8731" s="704" t="s">
        <v>689</v>
      </c>
      <c r="C8731" s="704" t="s">
        <v>733</v>
      </c>
      <c r="D8731" s="704" t="s">
        <v>728</v>
      </c>
      <c r="E8731" s="704" t="s">
        <v>448</v>
      </c>
      <c r="F8731" s="706">
        <v>0.23796546170722918</v>
      </c>
      <c r="G8731" s="705">
        <v>120.49065504300292</v>
      </c>
    </row>
    <row r="8732" spans="2:7" ht="11.25" hidden="1" customHeight="1" outlineLevel="2" x14ac:dyDescent="0.25">
      <c r="B8732" s="704" t="s">
        <v>690</v>
      </c>
      <c r="C8732" s="704" t="s">
        <v>733</v>
      </c>
      <c r="D8732" s="704" t="s">
        <v>728</v>
      </c>
      <c r="E8732" s="704" t="s">
        <v>448</v>
      </c>
      <c r="F8732" s="706">
        <v>7.4749929779883839</v>
      </c>
      <c r="G8732" s="705">
        <v>3784.7428901301801</v>
      </c>
    </row>
    <row r="8733" spans="2:7" ht="11.25" hidden="1" customHeight="1" outlineLevel="2" x14ac:dyDescent="0.25">
      <c r="B8733" s="704" t="s">
        <v>691</v>
      </c>
      <c r="C8733" s="704" t="s">
        <v>733</v>
      </c>
      <c r="D8733" s="704" t="s">
        <v>728</v>
      </c>
      <c r="E8733" s="704" t="s">
        <v>448</v>
      </c>
      <c r="F8733" s="706">
        <v>3.6521520129274716</v>
      </c>
      <c r="G8733" s="705">
        <v>1849.1615913088087</v>
      </c>
    </row>
    <row r="8734" spans="2:7" ht="11.25" hidden="1" customHeight="1" outlineLevel="2" x14ac:dyDescent="0.25">
      <c r="B8734" s="704" t="s">
        <v>692</v>
      </c>
      <c r="C8734" s="704" t="s">
        <v>733</v>
      </c>
      <c r="D8734" s="704" t="s">
        <v>728</v>
      </c>
      <c r="E8734" s="704" t="s">
        <v>448</v>
      </c>
      <c r="F8734" s="705">
        <v>0.23845677528658513</v>
      </c>
      <c r="G8734" s="705">
        <v>120.73558897304059</v>
      </c>
    </row>
    <row r="8735" spans="2:7" ht="11.25" hidden="1" customHeight="1" outlineLevel="2" x14ac:dyDescent="0.25">
      <c r="B8735" s="704" t="s">
        <v>693</v>
      </c>
      <c r="C8735" s="704" t="s">
        <v>733</v>
      </c>
      <c r="D8735" s="704" t="s">
        <v>728</v>
      </c>
      <c r="E8735" s="704" t="s">
        <v>448</v>
      </c>
      <c r="F8735" s="705">
        <v>0.18321330200027308</v>
      </c>
      <c r="G8735" s="705">
        <v>92.775815335775306</v>
      </c>
    </row>
    <row r="8736" spans="2:7" ht="11.25" hidden="1" customHeight="1" outlineLevel="2" x14ac:dyDescent="0.25">
      <c r="B8736" s="704" t="s">
        <v>694</v>
      </c>
      <c r="C8736" s="704" t="s">
        <v>733</v>
      </c>
      <c r="D8736" s="704" t="s">
        <v>728</v>
      </c>
      <c r="E8736" s="704" t="s">
        <v>448</v>
      </c>
      <c r="F8736" s="705">
        <v>0.40407305556923873</v>
      </c>
      <c r="G8736" s="705">
        <v>204.61511726444061</v>
      </c>
    </row>
    <row r="8737" spans="2:7" ht="11.25" hidden="1" customHeight="1" outlineLevel="2" x14ac:dyDescent="0.25">
      <c r="B8737" s="704" t="s">
        <v>695</v>
      </c>
      <c r="C8737" s="704" t="s">
        <v>733</v>
      </c>
      <c r="D8737" s="704" t="s">
        <v>728</v>
      </c>
      <c r="E8737" s="704" t="s">
        <v>448</v>
      </c>
      <c r="F8737" s="705">
        <v>0.39654386215713749</v>
      </c>
      <c r="G8737" s="705">
        <v>200.80243002769316</v>
      </c>
    </row>
    <row r="8738" spans="2:7" ht="11.25" hidden="1" customHeight="1" outlineLevel="2" x14ac:dyDescent="0.25">
      <c r="B8738" s="704" t="s">
        <v>696</v>
      </c>
      <c r="C8738" s="704" t="s">
        <v>733</v>
      </c>
      <c r="D8738" s="704" t="s">
        <v>728</v>
      </c>
      <c r="E8738" s="704" t="s">
        <v>448</v>
      </c>
      <c r="F8738" s="705">
        <v>0.56720814482890192</v>
      </c>
      <c r="G8738" s="705">
        <v>287.22356114839448</v>
      </c>
    </row>
    <row r="8739" spans="2:7" ht="11.25" hidden="1" customHeight="1" outlineLevel="2" x14ac:dyDescent="0.25">
      <c r="B8739" s="704" t="s">
        <v>697</v>
      </c>
      <c r="C8739" s="704" t="s">
        <v>733</v>
      </c>
      <c r="D8739" s="704" t="s">
        <v>728</v>
      </c>
      <c r="E8739" s="704" t="s">
        <v>448</v>
      </c>
      <c r="F8739" s="705">
        <v>0.25599655754754702</v>
      </c>
      <c r="G8739" s="705">
        <v>129.63190358786494</v>
      </c>
    </row>
    <row r="8740" spans="2:7" ht="11.25" hidden="1" customHeight="1" outlineLevel="2" x14ac:dyDescent="0.25">
      <c r="B8740" s="704" t="s">
        <v>698</v>
      </c>
      <c r="C8740" s="704" t="s">
        <v>733</v>
      </c>
      <c r="D8740" s="704" t="s">
        <v>728</v>
      </c>
      <c r="E8740" s="704" t="s">
        <v>448</v>
      </c>
      <c r="F8740" s="705">
        <v>0.40407305555667256</v>
      </c>
      <c r="G8740" s="705">
        <v>204.61511726666242</v>
      </c>
    </row>
    <row r="8741" spans="2:7" ht="11.25" hidden="1" customHeight="1" outlineLevel="2" x14ac:dyDescent="0.25">
      <c r="B8741" s="704" t="s">
        <v>699</v>
      </c>
      <c r="C8741" s="704" t="s">
        <v>733</v>
      </c>
      <c r="D8741" s="704" t="s">
        <v>728</v>
      </c>
      <c r="E8741" s="704" t="s">
        <v>448</v>
      </c>
      <c r="F8741" s="705">
        <v>0.45432280485815424</v>
      </c>
      <c r="G8741" s="705">
        <v>230.03310488764376</v>
      </c>
    </row>
    <row r="8742" spans="2:7" ht="11.25" hidden="1" customHeight="1" outlineLevel="2" x14ac:dyDescent="0.25">
      <c r="B8742" s="704" t="s">
        <v>673</v>
      </c>
      <c r="C8742" s="704" t="s">
        <v>734</v>
      </c>
      <c r="D8742" s="704" t="s">
        <v>728</v>
      </c>
      <c r="E8742" s="704" t="s">
        <v>448</v>
      </c>
      <c r="F8742" s="705">
        <v>7.4931532246820309E-2</v>
      </c>
      <c r="G8742" s="705">
        <v>40.323839803129083</v>
      </c>
    </row>
    <row r="8743" spans="2:7" ht="11.25" hidden="1" customHeight="1" outlineLevel="2" x14ac:dyDescent="0.25">
      <c r="B8743" s="704" t="s">
        <v>677</v>
      </c>
      <c r="C8743" s="704" t="s">
        <v>734</v>
      </c>
      <c r="D8743" s="704" t="s">
        <v>728</v>
      </c>
      <c r="E8743" s="704" t="s">
        <v>448</v>
      </c>
      <c r="F8743" s="705">
        <v>0.44214824707057743</v>
      </c>
      <c r="G8743" s="705">
        <v>237.59108192634793</v>
      </c>
    </row>
    <row r="8744" spans="2:7" ht="11.25" hidden="1" customHeight="1" outlineLevel="2" x14ac:dyDescent="0.25">
      <c r="B8744" s="704" t="s">
        <v>678</v>
      </c>
      <c r="C8744" s="704" t="s">
        <v>734</v>
      </c>
      <c r="D8744" s="704" t="s">
        <v>728</v>
      </c>
      <c r="E8744" s="704" t="s">
        <v>448</v>
      </c>
      <c r="F8744" s="705">
        <v>0.73160744738203065</v>
      </c>
      <c r="G8744" s="705">
        <v>393.66259090017599</v>
      </c>
    </row>
    <row r="8745" spans="2:7" ht="11.25" hidden="1" customHeight="1" outlineLevel="2" x14ac:dyDescent="0.25">
      <c r="B8745" s="704" t="s">
        <v>679</v>
      </c>
      <c r="C8745" s="704" t="s">
        <v>734</v>
      </c>
      <c r="D8745" s="704" t="s">
        <v>728</v>
      </c>
      <c r="E8745" s="704" t="s">
        <v>448</v>
      </c>
      <c r="F8745" s="705">
        <v>6.7526689351383867E-2</v>
      </c>
      <c r="G8745" s="705">
        <v>36.334687950946616</v>
      </c>
    </row>
    <row r="8746" spans="2:7" ht="11.25" hidden="1" customHeight="1" outlineLevel="2" x14ac:dyDescent="0.25">
      <c r="B8746" s="704" t="s">
        <v>680</v>
      </c>
      <c r="C8746" s="704" t="s">
        <v>734</v>
      </c>
      <c r="D8746" s="704" t="s">
        <v>728</v>
      </c>
      <c r="E8746" s="704" t="s">
        <v>448</v>
      </c>
      <c r="F8746" s="705">
        <v>2.8141755968393453E-2</v>
      </c>
      <c r="G8746" s="705">
        <v>15.144293798613969</v>
      </c>
    </row>
    <row r="8747" spans="2:7" ht="11.25" hidden="1" customHeight="1" outlineLevel="2" x14ac:dyDescent="0.25">
      <c r="B8747" s="704" t="s">
        <v>681</v>
      </c>
      <c r="C8747" s="704" t="s">
        <v>734</v>
      </c>
      <c r="D8747" s="704" t="s">
        <v>728</v>
      </c>
      <c r="E8747" s="704" t="s">
        <v>448</v>
      </c>
      <c r="F8747" s="705">
        <v>0.1304527567900986</v>
      </c>
      <c r="G8747" s="705">
        <v>70.193870966780977</v>
      </c>
    </row>
    <row r="8748" spans="2:7" ht="11.25" hidden="1" customHeight="1" outlineLevel="2" x14ac:dyDescent="0.25">
      <c r="B8748" s="704" t="s">
        <v>682</v>
      </c>
      <c r="C8748" s="704" t="s">
        <v>734</v>
      </c>
      <c r="D8748" s="704" t="s">
        <v>728</v>
      </c>
      <c r="E8748" s="704" t="s">
        <v>448</v>
      </c>
      <c r="F8748" s="705">
        <v>8.2771768823201822E-2</v>
      </c>
      <c r="G8748" s="705">
        <v>44.537775668977609</v>
      </c>
    </row>
    <row r="8749" spans="2:7" ht="11.25" hidden="1" customHeight="1" outlineLevel="2" x14ac:dyDescent="0.25">
      <c r="B8749" s="704" t="s">
        <v>683</v>
      </c>
      <c r="C8749" s="704" t="s">
        <v>734</v>
      </c>
      <c r="D8749" s="704" t="s">
        <v>728</v>
      </c>
      <c r="E8749" s="704" t="s">
        <v>448</v>
      </c>
      <c r="F8749" s="705">
        <v>0.1069541625967861</v>
      </c>
      <c r="G8749" s="705">
        <v>57.549801655713274</v>
      </c>
    </row>
    <row r="8750" spans="2:7" ht="11.25" hidden="1" customHeight="1" outlineLevel="2" x14ac:dyDescent="0.25">
      <c r="B8750" s="704" t="s">
        <v>684</v>
      </c>
      <c r="C8750" s="704" t="s">
        <v>734</v>
      </c>
      <c r="D8750" s="704" t="s">
        <v>728</v>
      </c>
      <c r="E8750" s="704" t="s">
        <v>448</v>
      </c>
      <c r="F8750" s="705">
        <v>3.3817845280865538E-2</v>
      </c>
      <c r="G8750" s="705">
        <v>18.198832612451138</v>
      </c>
    </row>
    <row r="8751" spans="2:7" ht="11.25" hidden="1" customHeight="1" outlineLevel="2" x14ac:dyDescent="0.25">
      <c r="B8751" s="704" t="s">
        <v>685</v>
      </c>
      <c r="C8751" s="704" t="s">
        <v>734</v>
      </c>
      <c r="D8751" s="704" t="s">
        <v>728</v>
      </c>
      <c r="E8751" s="704" t="s">
        <v>448</v>
      </c>
      <c r="F8751" s="705">
        <v>0.17877393350564746</v>
      </c>
      <c r="G8751" s="705">
        <v>96.194494516443513</v>
      </c>
    </row>
    <row r="8752" spans="2:7" ht="11.25" hidden="1" customHeight="1" outlineLevel="2" x14ac:dyDescent="0.25">
      <c r="B8752" s="704" t="s">
        <v>686</v>
      </c>
      <c r="C8752" s="704" t="s">
        <v>734</v>
      </c>
      <c r="D8752" s="704" t="s">
        <v>728</v>
      </c>
      <c r="E8752" s="704" t="s">
        <v>448</v>
      </c>
      <c r="F8752" s="705">
        <v>3.9280523714084803E-2</v>
      </c>
      <c r="G8752" s="705">
        <v>21.13854605479051</v>
      </c>
    </row>
    <row r="8753" spans="2:7" ht="11.25" hidden="1" customHeight="1" outlineLevel="2" x14ac:dyDescent="0.25">
      <c r="B8753" s="704" t="s">
        <v>687</v>
      </c>
      <c r="C8753" s="704" t="s">
        <v>734</v>
      </c>
      <c r="D8753" s="704" t="s">
        <v>728</v>
      </c>
      <c r="E8753" s="704" t="s">
        <v>448</v>
      </c>
      <c r="F8753" s="705">
        <v>0.19893173516141682</v>
      </c>
      <c r="G8753" s="705">
        <v>107.04097688539052</v>
      </c>
    </row>
    <row r="8754" spans="2:7" ht="11.25" hidden="1" customHeight="1" outlineLevel="2" x14ac:dyDescent="0.25">
      <c r="B8754" s="704" t="s">
        <v>688</v>
      </c>
      <c r="C8754" s="704" t="s">
        <v>734</v>
      </c>
      <c r="D8754" s="704" t="s">
        <v>728</v>
      </c>
      <c r="E8754" s="704" t="s">
        <v>448</v>
      </c>
      <c r="F8754" s="705">
        <v>0.22173499323588475</v>
      </c>
      <c r="G8754" s="705">
        <v>119.31100899286926</v>
      </c>
    </row>
    <row r="8755" spans="2:7" ht="11.25" hidden="1" customHeight="1" outlineLevel="2" x14ac:dyDescent="0.25">
      <c r="B8755" s="704" t="s">
        <v>689</v>
      </c>
      <c r="C8755" s="704" t="s">
        <v>734</v>
      </c>
      <c r="D8755" s="704" t="s">
        <v>728</v>
      </c>
      <c r="E8755" s="704" t="s">
        <v>448</v>
      </c>
      <c r="F8755" s="705">
        <v>3.5265107981360788E-2</v>
      </c>
      <c r="G8755" s="705">
        <v>18.97599368187446</v>
      </c>
    </row>
    <row r="8756" spans="2:7" ht="11.25" hidden="1" customHeight="1" outlineLevel="2" x14ac:dyDescent="0.25">
      <c r="B8756" s="704" t="s">
        <v>690</v>
      </c>
      <c r="C8756" s="704" t="s">
        <v>734</v>
      </c>
      <c r="D8756" s="704" t="s">
        <v>728</v>
      </c>
      <c r="E8756" s="704" t="s">
        <v>448</v>
      </c>
      <c r="F8756" s="705">
        <v>0.79185771868745247</v>
      </c>
      <c r="G8756" s="705">
        <v>426.08232660224161</v>
      </c>
    </row>
    <row r="8757" spans="2:7" ht="11.25" hidden="1" customHeight="1" outlineLevel="2" x14ac:dyDescent="0.25">
      <c r="B8757" s="704" t="s">
        <v>691</v>
      </c>
      <c r="C8757" s="704" t="s">
        <v>734</v>
      </c>
      <c r="D8757" s="704" t="s">
        <v>728</v>
      </c>
      <c r="E8757" s="704" t="s">
        <v>448</v>
      </c>
      <c r="F8757" s="705">
        <v>0.70885670416222013</v>
      </c>
      <c r="G8757" s="705">
        <v>381.42120793259079</v>
      </c>
    </row>
    <row r="8758" spans="2:7" ht="11.25" hidden="1" customHeight="1" outlineLevel="2" x14ac:dyDescent="0.25">
      <c r="B8758" s="704" t="s">
        <v>692</v>
      </c>
      <c r="C8758" s="704" t="s">
        <v>734</v>
      </c>
      <c r="D8758" s="704" t="s">
        <v>728</v>
      </c>
      <c r="E8758" s="704" t="s">
        <v>448</v>
      </c>
      <c r="F8758" s="705">
        <v>4.025349446983028E-2</v>
      </c>
      <c r="G8758" s="705">
        <v>21.659575923813698</v>
      </c>
    </row>
    <row r="8759" spans="2:7" ht="11.25" hidden="1" customHeight="1" outlineLevel="2" x14ac:dyDescent="0.25">
      <c r="B8759" s="704" t="s">
        <v>693</v>
      </c>
      <c r="C8759" s="704" t="s">
        <v>734</v>
      </c>
      <c r="D8759" s="704" t="s">
        <v>728</v>
      </c>
      <c r="E8759" s="704" t="s">
        <v>448</v>
      </c>
      <c r="F8759" s="705">
        <v>8.2227388994341233E-2</v>
      </c>
      <c r="G8759" s="705">
        <v>44.250086028411005</v>
      </c>
    </row>
    <row r="8760" spans="2:7" ht="11.25" hidden="1" customHeight="1" outlineLevel="2" x14ac:dyDescent="0.25">
      <c r="B8760" s="704" t="s">
        <v>694</v>
      </c>
      <c r="C8760" s="704" t="s">
        <v>734</v>
      </c>
      <c r="D8760" s="704" t="s">
        <v>728</v>
      </c>
      <c r="E8760" s="704" t="s">
        <v>448</v>
      </c>
      <c r="F8760" s="705">
        <v>2.3069082600463389E-2</v>
      </c>
      <c r="G8760" s="705">
        <v>12.414461766056258</v>
      </c>
    </row>
    <row r="8761" spans="2:7" ht="11.25" hidden="1" customHeight="1" outlineLevel="2" x14ac:dyDescent="0.25">
      <c r="B8761" s="704" t="s">
        <v>695</v>
      </c>
      <c r="C8761" s="704" t="s">
        <v>734</v>
      </c>
      <c r="D8761" s="704" t="s">
        <v>728</v>
      </c>
      <c r="E8761" s="704" t="s">
        <v>448</v>
      </c>
      <c r="F8761" s="705">
        <v>3.9179571351829319E-2</v>
      </c>
      <c r="G8761" s="705">
        <v>21.084223208862834</v>
      </c>
    </row>
    <row r="8762" spans="2:7" ht="11.25" hidden="1" customHeight="1" outlineLevel="2" x14ac:dyDescent="0.25">
      <c r="B8762" s="704" t="s">
        <v>696</v>
      </c>
      <c r="C8762" s="704" t="s">
        <v>734</v>
      </c>
      <c r="D8762" s="704" t="s">
        <v>728</v>
      </c>
      <c r="E8762" s="704" t="s">
        <v>448</v>
      </c>
      <c r="F8762" s="705">
        <v>0.12449732322631317</v>
      </c>
      <c r="G8762" s="705">
        <v>66.997349014560001</v>
      </c>
    </row>
    <row r="8763" spans="2:7" ht="11.25" hidden="1" customHeight="1" outlineLevel="2" x14ac:dyDescent="0.25">
      <c r="B8763" s="704" t="s">
        <v>697</v>
      </c>
      <c r="C8763" s="704" t="s">
        <v>734</v>
      </c>
      <c r="D8763" s="704" t="s">
        <v>728</v>
      </c>
      <c r="E8763" s="704" t="s">
        <v>448</v>
      </c>
      <c r="F8763" s="705">
        <v>8.170427418343168E-2</v>
      </c>
      <c r="G8763" s="705">
        <v>43.968601191284357</v>
      </c>
    </row>
    <row r="8764" spans="2:7" ht="11.25" hidden="1" customHeight="1" outlineLevel="2" x14ac:dyDescent="0.25">
      <c r="B8764" s="704" t="s">
        <v>698</v>
      </c>
      <c r="C8764" s="704" t="s">
        <v>734</v>
      </c>
      <c r="D8764" s="704" t="s">
        <v>728</v>
      </c>
      <c r="E8764" s="704" t="s">
        <v>448</v>
      </c>
      <c r="F8764" s="705">
        <v>0.11046318719649088</v>
      </c>
      <c r="G8764" s="705">
        <v>59.444958678803808</v>
      </c>
    </row>
    <row r="8765" spans="2:7" ht="11.25" hidden="1" customHeight="1" outlineLevel="2" x14ac:dyDescent="0.25">
      <c r="B8765" s="704" t="s">
        <v>699</v>
      </c>
      <c r="C8765" s="704" t="s">
        <v>734</v>
      </c>
      <c r="D8765" s="704" t="s">
        <v>728</v>
      </c>
      <c r="E8765" s="704" t="s">
        <v>448</v>
      </c>
      <c r="F8765" s="705">
        <v>0.67980107359838038</v>
      </c>
      <c r="G8765" s="705">
        <v>365.78648457262403</v>
      </c>
    </row>
    <row r="8766" spans="2:7" ht="11.25" hidden="1" customHeight="1" outlineLevel="2" x14ac:dyDescent="0.25">
      <c r="B8766" s="704" t="s">
        <v>673</v>
      </c>
      <c r="C8766" s="704" t="s">
        <v>735</v>
      </c>
      <c r="D8766" s="704" t="s">
        <v>728</v>
      </c>
      <c r="E8766" s="704" t="s">
        <v>448</v>
      </c>
      <c r="F8766" s="705">
        <v>5.5378745732760866E-2</v>
      </c>
      <c r="G8766" s="705">
        <v>29.667979638745773</v>
      </c>
    </row>
    <row r="8767" spans="2:7" ht="11.25" hidden="1" customHeight="1" outlineLevel="2" x14ac:dyDescent="0.25">
      <c r="B8767" s="704" t="s">
        <v>677</v>
      </c>
      <c r="C8767" s="704" t="s">
        <v>735</v>
      </c>
      <c r="D8767" s="704" t="s">
        <v>728</v>
      </c>
      <c r="E8767" s="704" t="s">
        <v>448</v>
      </c>
      <c r="F8767" s="705">
        <v>2.6576377534383653</v>
      </c>
      <c r="G8767" s="705">
        <v>1421.6890469635975</v>
      </c>
    </row>
    <row r="8768" spans="2:7" ht="11.25" hidden="1" customHeight="1" outlineLevel="2" x14ac:dyDescent="0.25">
      <c r="B8768" s="704" t="s">
        <v>678</v>
      </c>
      <c r="C8768" s="704" t="s">
        <v>735</v>
      </c>
      <c r="D8768" s="704" t="s">
        <v>728</v>
      </c>
      <c r="E8768" s="704" t="s">
        <v>448</v>
      </c>
      <c r="F8768" s="705">
        <v>3.1901987332675223</v>
      </c>
      <c r="G8768" s="705">
        <v>1708.8762696834744</v>
      </c>
    </row>
    <row r="8769" spans="2:7" ht="11.25" hidden="1" customHeight="1" outlineLevel="2" x14ac:dyDescent="0.25">
      <c r="B8769" s="704" t="s">
        <v>679</v>
      </c>
      <c r="C8769" s="704" t="s">
        <v>735</v>
      </c>
      <c r="D8769" s="704" t="s">
        <v>728</v>
      </c>
      <c r="E8769" s="704" t="s">
        <v>448</v>
      </c>
      <c r="F8769" s="705">
        <v>0.19052566008056318</v>
      </c>
      <c r="G8769" s="705">
        <v>102.05782172114117</v>
      </c>
    </row>
    <row r="8770" spans="2:7" ht="11.25" hidden="1" customHeight="1" outlineLevel="2" x14ac:dyDescent="0.25">
      <c r="B8770" s="704" t="s">
        <v>680</v>
      </c>
      <c r="C8770" s="704" t="s">
        <v>735</v>
      </c>
      <c r="D8770" s="704" t="s">
        <v>728</v>
      </c>
      <c r="E8770" s="704" t="s">
        <v>448</v>
      </c>
      <c r="F8770" s="705">
        <v>5.9809038606353858E-2</v>
      </c>
      <c r="G8770" s="705">
        <v>32.041402570077771</v>
      </c>
    </row>
    <row r="8771" spans="2:7" ht="11.25" hidden="1" customHeight="1" outlineLevel="2" x14ac:dyDescent="0.25">
      <c r="B8771" s="704" t="s">
        <v>681</v>
      </c>
      <c r="C8771" s="704" t="s">
        <v>735</v>
      </c>
      <c r="D8771" s="704" t="s">
        <v>728</v>
      </c>
      <c r="E8771" s="704" t="s">
        <v>448</v>
      </c>
      <c r="F8771" s="705">
        <v>1.0057988513757505</v>
      </c>
      <c r="G8771" s="705">
        <v>538.77037371702261</v>
      </c>
    </row>
    <row r="8772" spans="2:7" ht="11.25" hidden="1" customHeight="1" outlineLevel="2" x14ac:dyDescent="0.25">
      <c r="B8772" s="704" t="s">
        <v>682</v>
      </c>
      <c r="C8772" s="704" t="s">
        <v>735</v>
      </c>
      <c r="D8772" s="704" t="s">
        <v>728</v>
      </c>
      <c r="E8772" s="704" t="s">
        <v>448</v>
      </c>
      <c r="F8772" s="705">
        <v>0.13070948389985065</v>
      </c>
      <c r="G8772" s="705">
        <v>70.016445793809979</v>
      </c>
    </row>
    <row r="8773" spans="2:7" ht="11.25" hidden="1" customHeight="1" outlineLevel="2" x14ac:dyDescent="0.25">
      <c r="B8773" s="704" t="s">
        <v>683</v>
      </c>
      <c r="C8773" s="704" t="s">
        <v>735</v>
      </c>
      <c r="D8773" s="704" t="s">
        <v>728</v>
      </c>
      <c r="E8773" s="704" t="s">
        <v>448</v>
      </c>
      <c r="F8773" s="705">
        <v>0.27471140523035309</v>
      </c>
      <c r="G8773" s="705">
        <v>147.15320898713574</v>
      </c>
    </row>
    <row r="8774" spans="2:7" ht="11.25" hidden="1" customHeight="1" outlineLevel="2" x14ac:dyDescent="0.25">
      <c r="B8774" s="704" t="s">
        <v>684</v>
      </c>
      <c r="C8774" s="704" t="s">
        <v>735</v>
      </c>
      <c r="D8774" s="704" t="s">
        <v>728</v>
      </c>
      <c r="E8774" s="704" t="s">
        <v>448</v>
      </c>
      <c r="F8774" s="706">
        <v>0.35442395053111242</v>
      </c>
      <c r="G8774" s="705">
        <v>189.87493253649592</v>
      </c>
    </row>
    <row r="8775" spans="2:7" ht="11.25" hidden="1" customHeight="1" outlineLevel="2" x14ac:dyDescent="0.25">
      <c r="B8775" s="704" t="s">
        <v>685</v>
      </c>
      <c r="C8775" s="704" t="s">
        <v>735</v>
      </c>
      <c r="D8775" s="704" t="s">
        <v>728</v>
      </c>
      <c r="E8775" s="704" t="s">
        <v>448</v>
      </c>
      <c r="F8775" s="706">
        <v>1.6704233816576537</v>
      </c>
      <c r="G8775" s="705">
        <v>894.78594013127713</v>
      </c>
    </row>
    <row r="8776" spans="2:7" ht="11.25" hidden="1" customHeight="1" outlineLevel="2" x14ac:dyDescent="0.25">
      <c r="B8776" s="704" t="s">
        <v>686</v>
      </c>
      <c r="C8776" s="704" t="s">
        <v>735</v>
      </c>
      <c r="D8776" s="704" t="s">
        <v>728</v>
      </c>
      <c r="E8776" s="704" t="s">
        <v>448</v>
      </c>
      <c r="F8776" s="706">
        <v>0.35663897917856452</v>
      </c>
      <c r="G8776" s="705">
        <v>191.06180248909658</v>
      </c>
    </row>
    <row r="8777" spans="2:7" ht="11.25" hidden="1" customHeight="1" outlineLevel="2" x14ac:dyDescent="0.25">
      <c r="B8777" s="704" t="s">
        <v>687</v>
      </c>
      <c r="C8777" s="704" t="s">
        <v>735</v>
      </c>
      <c r="D8777" s="704" t="s">
        <v>728</v>
      </c>
      <c r="E8777" s="704" t="s">
        <v>448</v>
      </c>
      <c r="F8777" s="706">
        <v>0.7333021530320657</v>
      </c>
      <c r="G8777" s="705">
        <v>392.80398754151156</v>
      </c>
    </row>
    <row r="8778" spans="2:7" ht="11.25" hidden="1" customHeight="1" outlineLevel="2" x14ac:dyDescent="0.25">
      <c r="B8778" s="704" t="s">
        <v>688</v>
      </c>
      <c r="C8778" s="704" t="s">
        <v>735</v>
      </c>
      <c r="D8778" s="704" t="s">
        <v>728</v>
      </c>
      <c r="E8778" s="704" t="s">
        <v>448</v>
      </c>
      <c r="F8778" s="706">
        <v>2.1578148016677074</v>
      </c>
      <c r="G8778" s="705">
        <v>1155.8635971056042</v>
      </c>
    </row>
    <row r="8779" spans="2:7" ht="11.25" hidden="1" customHeight="1" outlineLevel="2" x14ac:dyDescent="0.25">
      <c r="B8779" s="704" t="s">
        <v>689</v>
      </c>
      <c r="C8779" s="704" t="s">
        <v>735</v>
      </c>
      <c r="D8779" s="704" t="s">
        <v>728</v>
      </c>
      <c r="E8779" s="704" t="s">
        <v>448</v>
      </c>
      <c r="F8779" s="706">
        <v>0.21003069726523713</v>
      </c>
      <c r="G8779" s="705">
        <v>112.50945288311824</v>
      </c>
    </row>
    <row r="8780" spans="2:7" ht="11.25" hidden="1" customHeight="1" outlineLevel="2" x14ac:dyDescent="0.25">
      <c r="B8780" s="704" t="s">
        <v>690</v>
      </c>
      <c r="C8780" s="704" t="s">
        <v>735</v>
      </c>
      <c r="D8780" s="704" t="s">
        <v>728</v>
      </c>
      <c r="E8780" s="704" t="s">
        <v>448</v>
      </c>
      <c r="F8780" s="706">
        <v>6.5975082230540725</v>
      </c>
      <c r="G8780" s="705">
        <v>3534.0494739974606</v>
      </c>
    </row>
    <row r="8781" spans="2:7" ht="11.25" hidden="1" customHeight="1" outlineLevel="2" x14ac:dyDescent="0.25">
      <c r="B8781" s="704" t="s">
        <v>691</v>
      </c>
      <c r="C8781" s="704" t="s">
        <v>735</v>
      </c>
      <c r="D8781" s="704" t="s">
        <v>728</v>
      </c>
      <c r="E8781" s="704" t="s">
        <v>448</v>
      </c>
      <c r="F8781" s="706">
        <v>3.2234286115465851</v>
      </c>
      <c r="G8781" s="705">
        <v>1726.6762498268934</v>
      </c>
    </row>
    <row r="8782" spans="2:7" ht="11.25" hidden="1" customHeight="1" outlineLevel="2" x14ac:dyDescent="0.25">
      <c r="B8782" s="704" t="s">
        <v>692</v>
      </c>
      <c r="C8782" s="704" t="s">
        <v>735</v>
      </c>
      <c r="D8782" s="704" t="s">
        <v>728</v>
      </c>
      <c r="E8782" s="704" t="s">
        <v>448</v>
      </c>
      <c r="F8782" s="706">
        <v>0.21046445845364589</v>
      </c>
      <c r="G8782" s="705">
        <v>112.73842024248974</v>
      </c>
    </row>
    <row r="8783" spans="2:7" ht="11.25" hidden="1" customHeight="1" outlineLevel="2" x14ac:dyDescent="0.25">
      <c r="B8783" s="704" t="s">
        <v>693</v>
      </c>
      <c r="C8783" s="704" t="s">
        <v>735</v>
      </c>
      <c r="D8783" s="704" t="s">
        <v>728</v>
      </c>
      <c r="E8783" s="704" t="s">
        <v>448</v>
      </c>
      <c r="F8783" s="706">
        <v>0.16170589971301674</v>
      </c>
      <c r="G8783" s="705">
        <v>86.630559596121202</v>
      </c>
    </row>
    <row r="8784" spans="2:7" ht="11.25" hidden="1" customHeight="1" outlineLevel="2" x14ac:dyDescent="0.25">
      <c r="B8784" s="704" t="s">
        <v>694</v>
      </c>
      <c r="C8784" s="704" t="s">
        <v>735</v>
      </c>
      <c r="D8784" s="704" t="s">
        <v>728</v>
      </c>
      <c r="E8784" s="704" t="s">
        <v>448</v>
      </c>
      <c r="F8784" s="706">
        <v>0.35663897917856452</v>
      </c>
      <c r="G8784" s="705">
        <v>191.06180248909658</v>
      </c>
    </row>
    <row r="8785" spans="2:7" ht="11.25" hidden="1" customHeight="1" outlineLevel="2" x14ac:dyDescent="0.25">
      <c r="B8785" s="704" t="s">
        <v>695</v>
      </c>
      <c r="C8785" s="704" t="s">
        <v>735</v>
      </c>
      <c r="D8785" s="704" t="s">
        <v>728</v>
      </c>
      <c r="E8785" s="704" t="s">
        <v>448</v>
      </c>
      <c r="F8785" s="706">
        <v>0.34999369796539648</v>
      </c>
      <c r="G8785" s="705">
        <v>187.50159520050425</v>
      </c>
    </row>
    <row r="8786" spans="2:7" ht="11.25" hidden="1" customHeight="1" outlineLevel="2" x14ac:dyDescent="0.25">
      <c r="B8786" s="704" t="s">
        <v>696</v>
      </c>
      <c r="C8786" s="704" t="s">
        <v>735</v>
      </c>
      <c r="D8786" s="704" t="s">
        <v>728</v>
      </c>
      <c r="E8786" s="704" t="s">
        <v>448</v>
      </c>
      <c r="F8786" s="706">
        <v>0.50062389142601016</v>
      </c>
      <c r="G8786" s="705">
        <v>268.19850488421292</v>
      </c>
    </row>
    <row r="8787" spans="2:7" ht="11.25" hidden="1" customHeight="1" outlineLevel="2" x14ac:dyDescent="0.25">
      <c r="B8787" s="704" t="s">
        <v>697</v>
      </c>
      <c r="C8787" s="704" t="s">
        <v>735</v>
      </c>
      <c r="D8787" s="704" t="s">
        <v>728</v>
      </c>
      <c r="E8787" s="704" t="s">
        <v>448</v>
      </c>
      <c r="F8787" s="706">
        <v>0.22594528465569386</v>
      </c>
      <c r="G8787" s="705">
        <v>121.04534528099919</v>
      </c>
    </row>
    <row r="8788" spans="2:7" ht="11.25" hidden="1" customHeight="1" outlineLevel="2" x14ac:dyDescent="0.25">
      <c r="B8788" s="704" t="s">
        <v>698</v>
      </c>
      <c r="C8788" s="704" t="s">
        <v>735</v>
      </c>
      <c r="D8788" s="704" t="s">
        <v>728</v>
      </c>
      <c r="E8788" s="704" t="s">
        <v>448</v>
      </c>
      <c r="F8788" s="706">
        <v>0.3566389792046637</v>
      </c>
      <c r="G8788" s="705">
        <v>191.06180249424025</v>
      </c>
    </row>
    <row r="8789" spans="2:7" ht="11.25" hidden="1" customHeight="1" outlineLevel="2" x14ac:dyDescent="0.25">
      <c r="B8789" s="704" t="s">
        <v>699</v>
      </c>
      <c r="C8789" s="704" t="s">
        <v>735</v>
      </c>
      <c r="D8789" s="704" t="s">
        <v>728</v>
      </c>
      <c r="E8789" s="704" t="s">
        <v>448</v>
      </c>
      <c r="F8789" s="706">
        <v>0.40099018893817173</v>
      </c>
      <c r="G8789" s="705">
        <v>214.79612426189715</v>
      </c>
    </row>
    <row r="8790" spans="2:7" ht="11.25" hidden="1" customHeight="1" outlineLevel="2" x14ac:dyDescent="0.25">
      <c r="B8790" s="704" t="s">
        <v>673</v>
      </c>
      <c r="C8790" s="704" t="s">
        <v>736</v>
      </c>
      <c r="D8790" s="704" t="s">
        <v>728</v>
      </c>
      <c r="E8790" s="704" t="s">
        <v>448</v>
      </c>
      <c r="F8790" s="706">
        <v>0.13049815093121178</v>
      </c>
      <c r="G8790" s="705">
        <v>19.191831458053741</v>
      </c>
    </row>
    <row r="8791" spans="2:7" ht="11.25" hidden="1" customHeight="1" outlineLevel="2" x14ac:dyDescent="0.25">
      <c r="B8791" s="704" t="s">
        <v>677</v>
      </c>
      <c r="C8791" s="704" t="s">
        <v>736</v>
      </c>
      <c r="D8791" s="704" t="s">
        <v>728</v>
      </c>
      <c r="E8791" s="704" t="s">
        <v>448</v>
      </c>
      <c r="F8791" s="706">
        <v>0.7704165333447357</v>
      </c>
      <c r="G8791" s="705">
        <v>113.07970190747871</v>
      </c>
    </row>
    <row r="8792" spans="2:7" ht="11.25" hidden="1" customHeight="1" outlineLevel="2" x14ac:dyDescent="0.25">
      <c r="B8792" s="704" t="s">
        <v>678</v>
      </c>
      <c r="C8792" s="704" t="s">
        <v>736</v>
      </c>
      <c r="D8792" s="704" t="s">
        <v>728</v>
      </c>
      <c r="E8792" s="704" t="s">
        <v>448</v>
      </c>
      <c r="F8792" s="706">
        <v>1.2728762363362254</v>
      </c>
      <c r="G8792" s="705">
        <v>187.36077369212845</v>
      </c>
    </row>
    <row r="8793" spans="2:7" ht="11.25" hidden="1" customHeight="1" outlineLevel="2" x14ac:dyDescent="0.25">
      <c r="B8793" s="704" t="s">
        <v>679</v>
      </c>
      <c r="C8793" s="704" t="s">
        <v>736</v>
      </c>
      <c r="D8793" s="704" t="s">
        <v>728</v>
      </c>
      <c r="E8793" s="704" t="s">
        <v>448</v>
      </c>
      <c r="F8793" s="706">
        <v>0.11748529684641761</v>
      </c>
      <c r="G8793" s="705">
        <v>17.293218167474112</v>
      </c>
    </row>
    <row r="8794" spans="2:7" ht="11.25" hidden="1" customHeight="1" outlineLevel="2" x14ac:dyDescent="0.25">
      <c r="B8794" s="704" t="s">
        <v>680</v>
      </c>
      <c r="C8794" s="704" t="s">
        <v>736</v>
      </c>
      <c r="D8794" s="704" t="s">
        <v>728</v>
      </c>
      <c r="E8794" s="704" t="s">
        <v>448</v>
      </c>
      <c r="F8794" s="706">
        <v>1.7546773625768003E-31</v>
      </c>
      <c r="G8794" s="705">
        <v>2.5805309712978553E-29</v>
      </c>
    </row>
    <row r="8795" spans="2:7" ht="11.25" hidden="1" customHeight="1" outlineLevel="2" x14ac:dyDescent="0.25">
      <c r="B8795" s="704" t="s">
        <v>681</v>
      </c>
      <c r="C8795" s="704" t="s">
        <v>736</v>
      </c>
      <c r="D8795" s="704" t="s">
        <v>728</v>
      </c>
      <c r="E8795" s="704" t="s">
        <v>448</v>
      </c>
      <c r="F8795" s="706">
        <v>0.226966294082597</v>
      </c>
      <c r="G8795" s="705">
        <v>33.408235837355591</v>
      </c>
    </row>
    <row r="8796" spans="2:7" ht="11.25" hidden="1" customHeight="1" outlineLevel="2" x14ac:dyDescent="0.25">
      <c r="B8796" s="704" t="s">
        <v>682</v>
      </c>
      <c r="C8796" s="704" t="s">
        <v>736</v>
      </c>
      <c r="D8796" s="704" t="s">
        <v>728</v>
      </c>
      <c r="E8796" s="704" t="s">
        <v>448</v>
      </c>
      <c r="F8796" s="706">
        <v>0.14400923034185256</v>
      </c>
      <c r="G8796" s="705">
        <v>21.197394835948202</v>
      </c>
    </row>
    <row r="8797" spans="2:7" ht="11.25" hidden="1" customHeight="1" outlineLevel="2" x14ac:dyDescent="0.25">
      <c r="B8797" s="704" t="s">
        <v>683</v>
      </c>
      <c r="C8797" s="704" t="s">
        <v>736</v>
      </c>
      <c r="D8797" s="704" t="s">
        <v>728</v>
      </c>
      <c r="E8797" s="704" t="s">
        <v>448</v>
      </c>
      <c r="F8797" s="706">
        <v>0.18608258845993064</v>
      </c>
      <c r="G8797" s="705">
        <v>27.390400045116149</v>
      </c>
    </row>
    <row r="8798" spans="2:7" ht="11.25" hidden="1" customHeight="1" outlineLevel="2" x14ac:dyDescent="0.25">
      <c r="B8798" s="704" t="s">
        <v>684</v>
      </c>
      <c r="C8798" s="704" t="s">
        <v>736</v>
      </c>
      <c r="D8798" s="704" t="s">
        <v>728</v>
      </c>
      <c r="E8798" s="704" t="s">
        <v>448</v>
      </c>
      <c r="F8798" s="706">
        <v>4.5555325274805243E-32</v>
      </c>
      <c r="G8798" s="705">
        <v>6.699639315255911E-30</v>
      </c>
    </row>
    <row r="8799" spans="2:7" ht="11.25" hidden="1" customHeight="1" outlineLevel="2" x14ac:dyDescent="0.25">
      <c r="B8799" s="704" t="s">
        <v>685</v>
      </c>
      <c r="C8799" s="704" t="s">
        <v>736</v>
      </c>
      <c r="D8799" s="704" t="s">
        <v>728</v>
      </c>
      <c r="E8799" s="704" t="s">
        <v>448</v>
      </c>
      <c r="F8799" s="705">
        <v>0.31103717630931699</v>
      </c>
      <c r="G8799" s="705">
        <v>45.783072881988964</v>
      </c>
    </row>
    <row r="8800" spans="2:7" ht="11.25" hidden="1" customHeight="1" outlineLevel="2" x14ac:dyDescent="0.25">
      <c r="B8800" s="704" t="s">
        <v>686</v>
      </c>
      <c r="C8800" s="704" t="s">
        <v>736</v>
      </c>
      <c r="D8800" s="704" t="s">
        <v>728</v>
      </c>
      <c r="E8800" s="704" t="s">
        <v>448</v>
      </c>
      <c r="F8800" s="705">
        <v>6.8409625214587377E-2</v>
      </c>
      <c r="G8800" s="705">
        <v>10.060733253109849</v>
      </c>
    </row>
    <row r="8801" spans="2:7" ht="11.25" hidden="1" customHeight="1" outlineLevel="2" x14ac:dyDescent="0.25">
      <c r="B8801" s="704" t="s">
        <v>687</v>
      </c>
      <c r="C8801" s="704" t="s">
        <v>736</v>
      </c>
      <c r="D8801" s="704" t="s">
        <v>728</v>
      </c>
      <c r="E8801" s="704" t="s">
        <v>448</v>
      </c>
      <c r="F8801" s="705">
        <v>0.34610834897943032</v>
      </c>
      <c r="G8801" s="705">
        <v>50.945365110676093</v>
      </c>
    </row>
    <row r="8802" spans="2:7" ht="11.25" hidden="1" customHeight="1" outlineLevel="2" x14ac:dyDescent="0.25">
      <c r="B8802" s="704" t="s">
        <v>688</v>
      </c>
      <c r="C8802" s="704" t="s">
        <v>736</v>
      </c>
      <c r="D8802" s="704" t="s">
        <v>728</v>
      </c>
      <c r="E8802" s="704" t="s">
        <v>448</v>
      </c>
      <c r="F8802" s="705">
        <v>0.38578245689182517</v>
      </c>
      <c r="G8802" s="705">
        <v>56.78519465890777</v>
      </c>
    </row>
    <row r="8803" spans="2:7" ht="11.25" hidden="1" customHeight="1" outlineLevel="2" x14ac:dyDescent="0.25">
      <c r="B8803" s="704" t="s">
        <v>689</v>
      </c>
      <c r="C8803" s="704" t="s">
        <v>736</v>
      </c>
      <c r="D8803" s="704" t="s">
        <v>728</v>
      </c>
      <c r="E8803" s="704" t="s">
        <v>448</v>
      </c>
      <c r="F8803" s="705">
        <v>6.9345806056048551E-2</v>
      </c>
      <c r="G8803" s="705">
        <v>10.206899538925951</v>
      </c>
    </row>
    <row r="8804" spans="2:7" ht="11.25" hidden="1" customHeight="1" outlineLevel="2" x14ac:dyDescent="0.25">
      <c r="B8804" s="704" t="s">
        <v>690</v>
      </c>
      <c r="C8804" s="704" t="s">
        <v>736</v>
      </c>
      <c r="D8804" s="704" t="s">
        <v>728</v>
      </c>
      <c r="E8804" s="704" t="s">
        <v>448</v>
      </c>
      <c r="F8804" s="705">
        <v>1.3777028249947108</v>
      </c>
      <c r="G8804" s="705">
        <v>202.79054393194093</v>
      </c>
    </row>
    <row r="8805" spans="2:7" ht="11.25" hidden="1" customHeight="1" outlineLevel="2" x14ac:dyDescent="0.25">
      <c r="B8805" s="704" t="s">
        <v>691</v>
      </c>
      <c r="C8805" s="704" t="s">
        <v>736</v>
      </c>
      <c r="D8805" s="704" t="s">
        <v>728</v>
      </c>
      <c r="E8805" s="704" t="s">
        <v>448</v>
      </c>
      <c r="F8805" s="705">
        <v>1.2332944002917117</v>
      </c>
      <c r="G8805" s="705">
        <v>181.53453181719902</v>
      </c>
    </row>
    <row r="8806" spans="2:7" ht="11.25" hidden="1" customHeight="1" outlineLevel="2" x14ac:dyDescent="0.25">
      <c r="B8806" s="704" t="s">
        <v>692</v>
      </c>
      <c r="C8806" s="704" t="s">
        <v>736</v>
      </c>
      <c r="D8806" s="704" t="s">
        <v>728</v>
      </c>
      <c r="E8806" s="704" t="s">
        <v>448</v>
      </c>
      <c r="F8806" s="705">
        <v>6.2095682530123702E-35</v>
      </c>
      <c r="G8806" s="705">
        <v>9.1401560370201349E-33</v>
      </c>
    </row>
    <row r="8807" spans="2:7" ht="11.25" hidden="1" customHeight="1" outlineLevel="2" x14ac:dyDescent="0.25">
      <c r="B8807" s="704" t="s">
        <v>693</v>
      </c>
      <c r="C8807" s="704" t="s">
        <v>736</v>
      </c>
      <c r="D8807" s="704" t="s">
        <v>728</v>
      </c>
      <c r="E8807" s="704" t="s">
        <v>448</v>
      </c>
      <c r="F8807" s="705">
        <v>0.14320440408333346</v>
      </c>
      <c r="G8807" s="705">
        <v>21.060485522645081</v>
      </c>
    </row>
    <row r="8808" spans="2:7" ht="11.25" hidden="1" customHeight="1" outlineLevel="2" x14ac:dyDescent="0.25">
      <c r="B8808" s="704" t="s">
        <v>694</v>
      </c>
      <c r="C8808" s="704" t="s">
        <v>736</v>
      </c>
      <c r="D8808" s="704" t="s">
        <v>728</v>
      </c>
      <c r="E8808" s="704" t="s">
        <v>448</v>
      </c>
      <c r="F8808" s="705">
        <v>1.1518694534264608E-31</v>
      </c>
      <c r="G8808" s="705">
        <v>1.6940080318879719E-29</v>
      </c>
    </row>
    <row r="8809" spans="2:7" ht="11.25" hidden="1" customHeight="1" outlineLevel="2" x14ac:dyDescent="0.25">
      <c r="B8809" s="704" t="s">
        <v>695</v>
      </c>
      <c r="C8809" s="704" t="s">
        <v>736</v>
      </c>
      <c r="D8809" s="704" t="s">
        <v>728</v>
      </c>
      <c r="E8809" s="704" t="s">
        <v>448</v>
      </c>
      <c r="F8809" s="705">
        <v>9.5451059140232872E-37</v>
      </c>
      <c r="G8809" s="705">
        <v>1.403759964414025E-34</v>
      </c>
    </row>
    <row r="8810" spans="2:7" ht="11.25" hidden="1" customHeight="1" outlineLevel="2" x14ac:dyDescent="0.25">
      <c r="B8810" s="704" t="s">
        <v>696</v>
      </c>
      <c r="C8810" s="704" t="s">
        <v>736</v>
      </c>
      <c r="D8810" s="704" t="s">
        <v>728</v>
      </c>
      <c r="E8810" s="704" t="s">
        <v>448</v>
      </c>
      <c r="F8810" s="705">
        <v>0.2168205070359345</v>
      </c>
      <c r="G8810" s="705">
        <v>31.886896620437032</v>
      </c>
    </row>
    <row r="8811" spans="2:7" ht="11.25" hidden="1" customHeight="1" outlineLevel="2" x14ac:dyDescent="0.25">
      <c r="B8811" s="704" t="s">
        <v>697</v>
      </c>
      <c r="C8811" s="704" t="s">
        <v>736</v>
      </c>
      <c r="D8811" s="704" t="s">
        <v>728</v>
      </c>
      <c r="E8811" s="704" t="s">
        <v>448</v>
      </c>
      <c r="F8811" s="705">
        <v>1.7703098600000002E-34</v>
      </c>
      <c r="G8811" s="705">
        <v>2.6023334480000002E-32</v>
      </c>
    </row>
    <row r="8812" spans="2:7" ht="11.25" hidden="1" customHeight="1" outlineLevel="2" x14ac:dyDescent="0.25">
      <c r="B8812" s="704" t="s">
        <v>698</v>
      </c>
      <c r="C8812" s="704" t="s">
        <v>736</v>
      </c>
      <c r="D8812" s="704" t="s">
        <v>728</v>
      </c>
      <c r="E8812" s="704" t="s">
        <v>448</v>
      </c>
      <c r="F8812" s="705">
        <v>1.1512746101999998E-31</v>
      </c>
      <c r="G8812" s="705">
        <v>1.6918253879999999E-29</v>
      </c>
    </row>
    <row r="8813" spans="2:7" ht="11.25" hidden="1" customHeight="1" outlineLevel="2" x14ac:dyDescent="0.25">
      <c r="B8813" s="704" t="s">
        <v>699</v>
      </c>
      <c r="C8813" s="704" t="s">
        <v>736</v>
      </c>
      <c r="D8813" s="704" t="s">
        <v>728</v>
      </c>
      <c r="E8813" s="704" t="s">
        <v>448</v>
      </c>
      <c r="F8813" s="705">
        <v>1.1827410213327216</v>
      </c>
      <c r="G8813" s="705">
        <v>174.09334996715754</v>
      </c>
    </row>
    <row r="8814" spans="2:7" ht="11.25" hidden="1" customHeight="1" outlineLevel="2" x14ac:dyDescent="0.25">
      <c r="B8814" s="704" t="s">
        <v>673</v>
      </c>
      <c r="C8814" s="704" t="s">
        <v>737</v>
      </c>
      <c r="D8814" s="704" t="s">
        <v>728</v>
      </c>
      <c r="E8814" s="704" t="s">
        <v>448</v>
      </c>
      <c r="F8814" s="705">
        <v>6.4460967931616847E-2</v>
      </c>
      <c r="G8814" s="705">
        <v>9.480349901710543</v>
      </c>
    </row>
    <row r="8815" spans="2:7" ht="11.25" hidden="1" customHeight="1" outlineLevel="2" x14ac:dyDescent="0.25">
      <c r="B8815" s="704" t="s">
        <v>677</v>
      </c>
      <c r="C8815" s="704" t="s">
        <v>737</v>
      </c>
      <c r="D8815" s="704" t="s">
        <v>728</v>
      </c>
      <c r="E8815" s="704" t="s">
        <v>448</v>
      </c>
      <c r="F8815" s="705">
        <v>3.0950530964024674</v>
      </c>
      <c r="G8815" s="705">
        <v>454.29836691316001</v>
      </c>
    </row>
    <row r="8816" spans="2:7" ht="11.25" hidden="1" customHeight="1" outlineLevel="2" x14ac:dyDescent="0.25">
      <c r="B8816" s="704" t="s">
        <v>678</v>
      </c>
      <c r="C8816" s="704" t="s">
        <v>737</v>
      </c>
      <c r="D8816" s="704" t="s">
        <v>728</v>
      </c>
      <c r="E8816" s="704" t="s">
        <v>448</v>
      </c>
      <c r="F8816" s="705">
        <v>3.7097983509280494</v>
      </c>
      <c r="G8816" s="705">
        <v>546.06868812869993</v>
      </c>
    </row>
    <row r="8817" spans="2:7" ht="11.25" hidden="1" customHeight="1" outlineLevel="2" x14ac:dyDescent="0.25">
      <c r="B8817" s="704" t="s">
        <v>679</v>
      </c>
      <c r="C8817" s="704" t="s">
        <v>737</v>
      </c>
      <c r="D8817" s="704" t="s">
        <v>728</v>
      </c>
      <c r="E8817" s="704" t="s">
        <v>448</v>
      </c>
      <c r="F8817" s="705">
        <v>0.22155748870418376</v>
      </c>
      <c r="G8817" s="705">
        <v>32.612420951918025</v>
      </c>
    </row>
    <row r="8818" spans="2:7" ht="11.25" hidden="1" customHeight="1" outlineLevel="2" x14ac:dyDescent="0.25">
      <c r="B8818" s="704" t="s">
        <v>680</v>
      </c>
      <c r="C8818" s="704" t="s">
        <v>737</v>
      </c>
      <c r="D8818" s="704" t="s">
        <v>728</v>
      </c>
      <c r="E8818" s="704" t="s">
        <v>448</v>
      </c>
      <c r="F8818" s="705">
        <v>1.2564761528336011E-35</v>
      </c>
      <c r="G8818" s="705">
        <v>1.8479142756648053E-33</v>
      </c>
    </row>
    <row r="8819" spans="2:7" ht="11.25" hidden="1" customHeight="1" outlineLevel="2" x14ac:dyDescent="0.25">
      <c r="B8819" s="704" t="s">
        <v>681</v>
      </c>
      <c r="C8819" s="704" t="s">
        <v>737</v>
      </c>
      <c r="D8819" s="704" t="s">
        <v>728</v>
      </c>
      <c r="E8819" s="704" t="s">
        <v>448</v>
      </c>
      <c r="F8819" s="706">
        <v>1.1696171710994465</v>
      </c>
      <c r="G8819" s="705">
        <v>172.16318386879561</v>
      </c>
    </row>
    <row r="8820" spans="2:7" ht="11.25" hidden="1" customHeight="1" outlineLevel="2" x14ac:dyDescent="0.25">
      <c r="B8820" s="704" t="s">
        <v>682</v>
      </c>
      <c r="C8820" s="704" t="s">
        <v>737</v>
      </c>
      <c r="D8820" s="704" t="s">
        <v>728</v>
      </c>
      <c r="E8820" s="704" t="s">
        <v>448</v>
      </c>
      <c r="F8820" s="706">
        <v>0.15199872166775952</v>
      </c>
      <c r="G8820" s="705">
        <v>22.373642561234554</v>
      </c>
    </row>
    <row r="8821" spans="2:7" ht="11.25" hidden="1" customHeight="1" outlineLevel="2" x14ac:dyDescent="0.25">
      <c r="B8821" s="704" t="s">
        <v>683</v>
      </c>
      <c r="C8821" s="704" t="s">
        <v>737</v>
      </c>
      <c r="D8821" s="704" t="s">
        <v>728</v>
      </c>
      <c r="E8821" s="704" t="s">
        <v>448</v>
      </c>
      <c r="F8821" s="706">
        <v>0.31945480451186631</v>
      </c>
      <c r="G8821" s="705">
        <v>47.022549875325232</v>
      </c>
    </row>
    <row r="8822" spans="2:7" ht="11.25" hidden="1" customHeight="1" outlineLevel="2" x14ac:dyDescent="0.25">
      <c r="B8822" s="704" t="s">
        <v>684</v>
      </c>
      <c r="C8822" s="704" t="s">
        <v>737</v>
      </c>
      <c r="D8822" s="704" t="s">
        <v>728</v>
      </c>
      <c r="E8822" s="704" t="s">
        <v>448</v>
      </c>
      <c r="F8822" s="706">
        <v>7.1053686662659441E-32</v>
      </c>
      <c r="G8822" s="705">
        <v>1.0449945038557977E-29</v>
      </c>
    </row>
    <row r="8823" spans="2:7" ht="11.25" hidden="1" customHeight="1" outlineLevel="2" x14ac:dyDescent="0.25">
      <c r="B8823" s="704" t="s">
        <v>685</v>
      </c>
      <c r="C8823" s="704" t="s">
        <v>737</v>
      </c>
      <c r="D8823" s="704" t="s">
        <v>728</v>
      </c>
      <c r="E8823" s="704" t="s">
        <v>448</v>
      </c>
      <c r="F8823" s="706">
        <v>1.9424922564786755</v>
      </c>
      <c r="G8823" s="705">
        <v>285.92764987247313</v>
      </c>
    </row>
    <row r="8824" spans="2:7" ht="11.25" hidden="1" customHeight="1" outlineLevel="2" x14ac:dyDescent="0.25">
      <c r="B8824" s="704" t="s">
        <v>686</v>
      </c>
      <c r="C8824" s="704" t="s">
        <v>737</v>
      </c>
      <c r="D8824" s="704" t="s">
        <v>728</v>
      </c>
      <c r="E8824" s="704" t="s">
        <v>448</v>
      </c>
      <c r="F8824" s="706">
        <v>0.31456917153550812</v>
      </c>
      <c r="G8824" s="705">
        <v>46.264150599182017</v>
      </c>
    </row>
    <row r="8825" spans="2:7" ht="11.25" hidden="1" customHeight="1" outlineLevel="2" x14ac:dyDescent="0.25">
      <c r="B8825" s="704" t="s">
        <v>687</v>
      </c>
      <c r="C8825" s="704" t="s">
        <v>737</v>
      </c>
      <c r="D8825" s="704" t="s">
        <v>728</v>
      </c>
      <c r="E8825" s="704" t="s">
        <v>448</v>
      </c>
      <c r="F8825" s="706">
        <v>0.85273848081784132</v>
      </c>
      <c r="G8825" s="705">
        <v>125.51978880390985</v>
      </c>
    </row>
    <row r="8826" spans="2:7" ht="11.25" hidden="1" customHeight="1" outlineLevel="2" x14ac:dyDescent="0.25">
      <c r="B8826" s="704" t="s">
        <v>688</v>
      </c>
      <c r="C8826" s="704" t="s">
        <v>737</v>
      </c>
      <c r="D8826" s="704" t="s">
        <v>728</v>
      </c>
      <c r="E8826" s="704" t="s">
        <v>448</v>
      </c>
      <c r="F8826" s="705">
        <v>2.5092686504481168</v>
      </c>
      <c r="G8826" s="705">
        <v>369.35423575006689</v>
      </c>
    </row>
    <row r="8827" spans="2:7" ht="11.25" hidden="1" customHeight="1" outlineLevel="2" x14ac:dyDescent="0.25">
      <c r="B8827" s="704" t="s">
        <v>689</v>
      </c>
      <c r="C8827" s="704" t="s">
        <v>737</v>
      </c>
      <c r="D8827" s="704" t="s">
        <v>728</v>
      </c>
      <c r="E8827" s="704" t="s">
        <v>448</v>
      </c>
      <c r="F8827" s="705">
        <v>0.26932882707511768</v>
      </c>
      <c r="G8827" s="705">
        <v>39.643392956792546</v>
      </c>
    </row>
    <row r="8828" spans="2:7" ht="11.25" hidden="1" customHeight="1" outlineLevel="2" x14ac:dyDescent="0.25">
      <c r="B8828" s="704" t="s">
        <v>690</v>
      </c>
      <c r="C8828" s="704" t="s">
        <v>737</v>
      </c>
      <c r="D8828" s="704" t="s">
        <v>728</v>
      </c>
      <c r="E8828" s="704" t="s">
        <v>448</v>
      </c>
      <c r="F8828" s="705">
        <v>7.6720698415783719</v>
      </c>
      <c r="G8828" s="705">
        <v>1129.2994959672799</v>
      </c>
    </row>
    <row r="8829" spans="2:7" ht="11.25" hidden="1" customHeight="1" outlineLevel="2" x14ac:dyDescent="0.25">
      <c r="B8829" s="704" t="s">
        <v>691</v>
      </c>
      <c r="C8829" s="704" t="s">
        <v>737</v>
      </c>
      <c r="D8829" s="704" t="s">
        <v>728</v>
      </c>
      <c r="E8829" s="704" t="s">
        <v>448</v>
      </c>
      <c r="F8829" s="705">
        <v>3.7484435343477323</v>
      </c>
      <c r="G8829" s="705">
        <v>551.75671355046006</v>
      </c>
    </row>
    <row r="8830" spans="2:7" ht="11.25" hidden="1" customHeight="1" outlineLevel="2" x14ac:dyDescent="0.25">
      <c r="B8830" s="704" t="s">
        <v>692</v>
      </c>
      <c r="C8830" s="704" t="s">
        <v>737</v>
      </c>
      <c r="D8830" s="704" t="s">
        <v>728</v>
      </c>
      <c r="E8830" s="704" t="s">
        <v>448</v>
      </c>
      <c r="F8830" s="705">
        <v>1.5050351894020445E-32</v>
      </c>
      <c r="G8830" s="705">
        <v>2.21535422210695E-30</v>
      </c>
    </row>
    <row r="8831" spans="2:7" ht="11.25" hidden="1" customHeight="1" outlineLevel="2" x14ac:dyDescent="0.25">
      <c r="B8831" s="704" t="s">
        <v>693</v>
      </c>
      <c r="C8831" s="704" t="s">
        <v>737</v>
      </c>
      <c r="D8831" s="704" t="s">
        <v>728</v>
      </c>
      <c r="E8831" s="704" t="s">
        <v>448</v>
      </c>
      <c r="F8831" s="705">
        <v>0.18822603049881942</v>
      </c>
      <c r="G8831" s="705">
        <v>27.682631035760075</v>
      </c>
    </row>
    <row r="8832" spans="2:7" ht="11.25" hidden="1" customHeight="1" outlineLevel="2" x14ac:dyDescent="0.25">
      <c r="B8832" s="704" t="s">
        <v>694</v>
      </c>
      <c r="C8832" s="704" t="s">
        <v>737</v>
      </c>
      <c r="D8832" s="704" t="s">
        <v>728</v>
      </c>
      <c r="E8832" s="704" t="s">
        <v>448</v>
      </c>
      <c r="F8832" s="705">
        <v>2.4329076379818316E-33</v>
      </c>
      <c r="G8832" s="705">
        <v>3.5781082307048835E-31</v>
      </c>
    </row>
    <row r="8833" spans="2:7" ht="11.25" hidden="1" customHeight="1" outlineLevel="2" x14ac:dyDescent="0.25">
      <c r="B8833" s="704" t="s">
        <v>695</v>
      </c>
      <c r="C8833" s="704" t="s">
        <v>737</v>
      </c>
      <c r="D8833" s="704" t="s">
        <v>728</v>
      </c>
      <c r="E8833" s="704" t="s">
        <v>448</v>
      </c>
      <c r="F8833" s="705">
        <v>5.9878333050808895E-32</v>
      </c>
      <c r="G8833" s="705">
        <v>8.806380859610538E-30</v>
      </c>
    </row>
    <row r="8834" spans="2:7" ht="11.25" hidden="1" customHeight="1" outlineLevel="2" x14ac:dyDescent="0.25">
      <c r="B8834" s="704" t="s">
        <v>696</v>
      </c>
      <c r="C8834" s="704" t="s">
        <v>737</v>
      </c>
      <c r="D8834" s="704" t="s">
        <v>728</v>
      </c>
      <c r="E8834" s="704" t="s">
        <v>448</v>
      </c>
      <c r="F8834" s="705">
        <v>0.58272653972717281</v>
      </c>
      <c r="G8834" s="705">
        <v>85.702315637339836</v>
      </c>
    </row>
    <row r="8835" spans="2:7" ht="11.25" hidden="1" customHeight="1" outlineLevel="2" x14ac:dyDescent="0.25">
      <c r="B8835" s="704" t="s">
        <v>697</v>
      </c>
      <c r="C8835" s="704" t="s">
        <v>737</v>
      </c>
      <c r="D8835" s="704" t="s">
        <v>728</v>
      </c>
      <c r="E8835" s="704" t="s">
        <v>448</v>
      </c>
      <c r="F8835" s="705">
        <v>7.1032856400000004E-32</v>
      </c>
      <c r="G8835" s="705">
        <v>1.042564798E-29</v>
      </c>
    </row>
    <row r="8836" spans="2:7" ht="11.25" hidden="1" customHeight="1" outlineLevel="2" x14ac:dyDescent="0.25">
      <c r="B8836" s="704" t="s">
        <v>698</v>
      </c>
      <c r="C8836" s="704" t="s">
        <v>737</v>
      </c>
      <c r="D8836" s="704" t="s">
        <v>728</v>
      </c>
      <c r="E8836" s="704" t="s">
        <v>448</v>
      </c>
      <c r="F8836" s="705">
        <v>2.4347823280000003E-33</v>
      </c>
      <c r="G8836" s="705">
        <v>3.5763345640000004E-31</v>
      </c>
    </row>
    <row r="8837" spans="2:7" ht="11.25" hidden="1" customHeight="1" outlineLevel="2" x14ac:dyDescent="0.25">
      <c r="B8837" s="704" t="s">
        <v>699</v>
      </c>
      <c r="C8837" s="704" t="s">
        <v>737</v>
      </c>
      <c r="D8837" s="704" t="s">
        <v>728</v>
      </c>
      <c r="E8837" s="704" t="s">
        <v>448</v>
      </c>
      <c r="F8837" s="705">
        <v>0.46630107496665163</v>
      </c>
      <c r="G8837" s="705">
        <v>68.637787231194409</v>
      </c>
    </row>
    <row r="8838" spans="2:7" ht="11.25" hidden="1" customHeight="1" outlineLevel="2" x14ac:dyDescent="0.25">
      <c r="B8838" s="704" t="s">
        <v>673</v>
      </c>
      <c r="C8838" s="704" t="s">
        <v>738</v>
      </c>
      <c r="D8838" s="704" t="s">
        <v>728</v>
      </c>
      <c r="E8838" s="704" t="s">
        <v>448</v>
      </c>
      <c r="F8838" s="705">
        <v>2.713018292373933E-5</v>
      </c>
      <c r="G8838" s="705">
        <v>1.3560782379484939E-2</v>
      </c>
    </row>
    <row r="8839" spans="2:7" ht="11.25" hidden="1" customHeight="1" outlineLevel="2" x14ac:dyDescent="0.25">
      <c r="B8839" s="704" t="s">
        <v>677</v>
      </c>
      <c r="C8839" s="704" t="s">
        <v>738</v>
      </c>
      <c r="D8839" s="704" t="s">
        <v>728</v>
      </c>
      <c r="E8839" s="704" t="s">
        <v>448</v>
      </c>
      <c r="F8839" s="705">
        <v>1.3019821715585893E-3</v>
      </c>
      <c r="G8839" s="705">
        <v>0.64983246829680452</v>
      </c>
    </row>
    <row r="8840" spans="2:7" ht="11.25" hidden="1" customHeight="1" outlineLevel="2" x14ac:dyDescent="0.25">
      <c r="B8840" s="704" t="s">
        <v>678</v>
      </c>
      <c r="C8840" s="704" t="s">
        <v>738</v>
      </c>
      <c r="D8840" s="704" t="s">
        <v>728</v>
      </c>
      <c r="E8840" s="704" t="s">
        <v>448</v>
      </c>
      <c r="F8840" s="705">
        <v>1.562886253024141E-3</v>
      </c>
      <c r="G8840" s="705">
        <v>0.78110193225954994</v>
      </c>
    </row>
    <row r="8841" spans="2:7" ht="11.25" hidden="1" customHeight="1" outlineLevel="2" x14ac:dyDescent="0.25">
      <c r="B8841" s="704" t="s">
        <v>679</v>
      </c>
      <c r="C8841" s="704" t="s">
        <v>738</v>
      </c>
      <c r="D8841" s="704" t="s">
        <v>728</v>
      </c>
      <c r="E8841" s="704" t="s">
        <v>448</v>
      </c>
      <c r="F8841" s="705">
        <v>9.3339029635263816E-5</v>
      </c>
      <c r="G8841" s="705">
        <v>4.6649166843565064E-2</v>
      </c>
    </row>
    <row r="8842" spans="2:7" ht="11.25" hidden="1" customHeight="1" outlineLevel="2" x14ac:dyDescent="0.25">
      <c r="B8842" s="704" t="s">
        <v>680</v>
      </c>
      <c r="C8842" s="704" t="s">
        <v>738</v>
      </c>
      <c r="D8842" s="704" t="s">
        <v>728</v>
      </c>
      <c r="E8842" s="704" t="s">
        <v>448</v>
      </c>
      <c r="F8842" s="705">
        <v>2.9300608406094043E-5</v>
      </c>
      <c r="G8842" s="705">
        <v>1.4645641714769534E-2</v>
      </c>
    </row>
    <row r="8843" spans="2:7" ht="11.25" hidden="1" customHeight="1" outlineLevel="2" x14ac:dyDescent="0.25">
      <c r="B8843" s="704" t="s">
        <v>681</v>
      </c>
      <c r="C8843" s="704" t="s">
        <v>738</v>
      </c>
      <c r="D8843" s="704" t="s">
        <v>728</v>
      </c>
      <c r="E8843" s="704" t="s">
        <v>448</v>
      </c>
      <c r="F8843" s="705">
        <v>4.9274332274712061E-4</v>
      </c>
      <c r="G8843" s="705">
        <v>0.24626379757805272</v>
      </c>
    </row>
    <row r="8844" spans="2:7" ht="11.25" hidden="1" customHeight="1" outlineLevel="2" x14ac:dyDescent="0.25">
      <c r="B8844" s="704" t="s">
        <v>682</v>
      </c>
      <c r="C8844" s="704" t="s">
        <v>738</v>
      </c>
      <c r="D8844" s="704" t="s">
        <v>728</v>
      </c>
      <c r="E8844" s="704" t="s">
        <v>448</v>
      </c>
      <c r="F8844" s="705">
        <v>6.403495857478837E-5</v>
      </c>
      <c r="G8844" s="705">
        <v>3.2003425616917602E-2</v>
      </c>
    </row>
    <row r="8845" spans="2:7" ht="11.25" hidden="1" customHeight="1" outlineLevel="2" x14ac:dyDescent="0.25">
      <c r="B8845" s="704" t="s">
        <v>683</v>
      </c>
      <c r="C8845" s="704" t="s">
        <v>738</v>
      </c>
      <c r="D8845" s="704" t="s">
        <v>728</v>
      </c>
      <c r="E8845" s="704" t="s">
        <v>448</v>
      </c>
      <c r="F8845" s="705">
        <v>1.3458189667558778E-4</v>
      </c>
      <c r="G8845" s="705">
        <v>6.7261497345630472E-2</v>
      </c>
    </row>
    <row r="8846" spans="2:7" ht="11.25" hidden="1" customHeight="1" outlineLevel="2" x14ac:dyDescent="0.25">
      <c r="B8846" s="704" t="s">
        <v>684</v>
      </c>
      <c r="C8846" s="704" t="s">
        <v>738</v>
      </c>
      <c r="D8846" s="704" t="s">
        <v>728</v>
      </c>
      <c r="E8846" s="704" t="s">
        <v>448</v>
      </c>
      <c r="F8846" s="705">
        <v>1.7363324094411424E-4</v>
      </c>
      <c r="G8846" s="705">
        <v>8.6789034897465062E-2</v>
      </c>
    </row>
    <row r="8847" spans="2:7" ht="11.25" hidden="1" customHeight="1" outlineLevel="2" x14ac:dyDescent="0.25">
      <c r="B8847" s="704" t="s">
        <v>685</v>
      </c>
      <c r="C8847" s="704" t="s">
        <v>738</v>
      </c>
      <c r="D8847" s="704" t="s">
        <v>728</v>
      </c>
      <c r="E8847" s="704" t="s">
        <v>448</v>
      </c>
      <c r="F8847" s="705">
        <v>8.1834464093759839E-4</v>
      </c>
      <c r="G8847" s="705">
        <v>0.40899306828313209</v>
      </c>
    </row>
    <row r="8848" spans="2:7" ht="11.25" hidden="1" customHeight="1" outlineLevel="2" x14ac:dyDescent="0.25">
      <c r="B8848" s="704" t="s">
        <v>686</v>
      </c>
      <c r="C8848" s="704" t="s">
        <v>738</v>
      </c>
      <c r="D8848" s="704" t="s">
        <v>728</v>
      </c>
      <c r="E8848" s="704" t="s">
        <v>448</v>
      </c>
      <c r="F8848" s="705">
        <v>1.7471834919243742E-4</v>
      </c>
      <c r="G8848" s="705">
        <v>8.7331409108793806E-2</v>
      </c>
    </row>
    <row r="8849" spans="2:7" ht="11.25" hidden="1" customHeight="1" outlineLevel="2" x14ac:dyDescent="0.25">
      <c r="B8849" s="704" t="s">
        <v>687</v>
      </c>
      <c r="C8849" s="704" t="s">
        <v>738</v>
      </c>
      <c r="D8849" s="704" t="s">
        <v>728</v>
      </c>
      <c r="E8849" s="704" t="s">
        <v>448</v>
      </c>
      <c r="F8849" s="705">
        <v>3.5924657043586176E-4</v>
      </c>
      <c r="G8849" s="705">
        <v>0.17954472285777612</v>
      </c>
    </row>
    <row r="8850" spans="2:7" ht="11.25" hidden="1" customHeight="1" outlineLevel="2" x14ac:dyDescent="0.25">
      <c r="B8850" s="704" t="s">
        <v>688</v>
      </c>
      <c r="C8850" s="704" t="s">
        <v>738</v>
      </c>
      <c r="D8850" s="704" t="s">
        <v>728</v>
      </c>
      <c r="E8850" s="704" t="s">
        <v>448</v>
      </c>
      <c r="F8850" s="705">
        <v>1.0571186783588917E-3</v>
      </c>
      <c r="G8850" s="705">
        <v>0.52832816136905736</v>
      </c>
    </row>
    <row r="8851" spans="2:7" ht="11.25" hidden="1" customHeight="1" outlineLevel="2" x14ac:dyDescent="0.25">
      <c r="B8851" s="704" t="s">
        <v>689</v>
      </c>
      <c r="C8851" s="704" t="s">
        <v>738</v>
      </c>
      <c r="D8851" s="704" t="s">
        <v>728</v>
      </c>
      <c r="E8851" s="704" t="s">
        <v>448</v>
      </c>
      <c r="F8851" s="705">
        <v>1.0289459199036142E-4</v>
      </c>
      <c r="G8851" s="705">
        <v>5.1426406325813558E-2</v>
      </c>
    </row>
    <row r="8852" spans="2:7" ht="11.25" hidden="1" customHeight="1" outlineLevel="2" x14ac:dyDescent="0.25">
      <c r="B8852" s="704" t="s">
        <v>690</v>
      </c>
      <c r="C8852" s="704" t="s">
        <v>738</v>
      </c>
      <c r="D8852" s="704" t="s">
        <v>728</v>
      </c>
      <c r="E8852" s="704" t="s">
        <v>448</v>
      </c>
      <c r="F8852" s="705">
        <v>3.2321343652388021E-3</v>
      </c>
      <c r="G8852" s="705">
        <v>1.6153601711763252</v>
      </c>
    </row>
    <row r="8853" spans="2:7" ht="11.25" hidden="1" customHeight="1" outlineLevel="2" x14ac:dyDescent="0.25">
      <c r="B8853" s="704" t="s">
        <v>691</v>
      </c>
      <c r="C8853" s="704" t="s">
        <v>738</v>
      </c>
      <c r="D8853" s="704" t="s">
        <v>728</v>
      </c>
      <c r="E8853" s="704" t="s">
        <v>448</v>
      </c>
      <c r="F8853" s="705">
        <v>1.5791665061667718E-3</v>
      </c>
      <c r="G8853" s="705">
        <v>0.78923764756665715</v>
      </c>
    </row>
    <row r="8854" spans="2:7" ht="11.25" hidden="1" customHeight="1" outlineLevel="2" x14ac:dyDescent="0.25">
      <c r="B8854" s="704" t="s">
        <v>692</v>
      </c>
      <c r="C8854" s="704" t="s">
        <v>738</v>
      </c>
      <c r="D8854" s="704" t="s">
        <v>728</v>
      </c>
      <c r="E8854" s="704" t="s">
        <v>448</v>
      </c>
      <c r="F8854" s="705">
        <v>1.0310703220993256E-4</v>
      </c>
      <c r="G8854" s="705">
        <v>5.1531026095210743E-2</v>
      </c>
    </row>
    <row r="8855" spans="2:7" ht="11.25" hidden="1" customHeight="1" outlineLevel="2" x14ac:dyDescent="0.25">
      <c r="B8855" s="704" t="s">
        <v>693</v>
      </c>
      <c r="C8855" s="704" t="s">
        <v>738</v>
      </c>
      <c r="D8855" s="704" t="s">
        <v>728</v>
      </c>
      <c r="E8855" s="704" t="s">
        <v>448</v>
      </c>
      <c r="F8855" s="705">
        <v>7.9220169374241632E-5</v>
      </c>
      <c r="G8855" s="705">
        <v>3.9597458951758445E-2</v>
      </c>
    </row>
    <row r="8856" spans="2:7" ht="11.25" hidden="1" customHeight="1" outlineLevel="2" x14ac:dyDescent="0.25">
      <c r="B8856" s="704" t="s">
        <v>694</v>
      </c>
      <c r="C8856" s="704" t="s">
        <v>738</v>
      </c>
      <c r="D8856" s="704" t="s">
        <v>728</v>
      </c>
      <c r="E8856" s="704" t="s">
        <v>448</v>
      </c>
      <c r="F8856" s="705">
        <v>1.7471834919243742E-4</v>
      </c>
      <c r="G8856" s="705">
        <v>8.7331409108793806E-2</v>
      </c>
    </row>
    <row r="8857" spans="2:7" ht="11.25" hidden="1" customHeight="1" outlineLevel="2" x14ac:dyDescent="0.25">
      <c r="B8857" s="704" t="s">
        <v>695</v>
      </c>
      <c r="C8857" s="704" t="s">
        <v>738</v>
      </c>
      <c r="D8857" s="704" t="s">
        <v>728</v>
      </c>
      <c r="E8857" s="704" t="s">
        <v>448</v>
      </c>
      <c r="F8857" s="705">
        <v>1.7146268115446515E-4</v>
      </c>
      <c r="G8857" s="705">
        <v>8.5704126599405656E-2</v>
      </c>
    </row>
    <row r="8858" spans="2:7" ht="11.25" hidden="1" customHeight="1" outlineLevel="2" x14ac:dyDescent="0.25">
      <c r="B8858" s="704" t="s">
        <v>696</v>
      </c>
      <c r="C8858" s="704" t="s">
        <v>738</v>
      </c>
      <c r="D8858" s="704" t="s">
        <v>728</v>
      </c>
      <c r="E8858" s="704" t="s">
        <v>448</v>
      </c>
      <c r="F8858" s="706">
        <v>2.4525688544656656E-4</v>
      </c>
      <c r="G8858" s="705">
        <v>0.12258946757710555</v>
      </c>
    </row>
    <row r="8859" spans="2:7" ht="11.25" hidden="1" customHeight="1" outlineLevel="2" x14ac:dyDescent="0.25">
      <c r="B8859" s="704" t="s">
        <v>697</v>
      </c>
      <c r="C8859" s="704" t="s">
        <v>738</v>
      </c>
      <c r="D8859" s="704" t="s">
        <v>728</v>
      </c>
      <c r="E8859" s="704" t="s">
        <v>448</v>
      </c>
      <c r="F8859" s="706">
        <v>1.1069120048298309E-4</v>
      </c>
      <c r="G8859" s="705">
        <v>5.5327979205064992E-2</v>
      </c>
    </row>
    <row r="8860" spans="2:7" ht="11.25" hidden="1" customHeight="1" outlineLevel="2" x14ac:dyDescent="0.25">
      <c r="B8860" s="704" t="s">
        <v>698</v>
      </c>
      <c r="C8860" s="704" t="s">
        <v>738</v>
      </c>
      <c r="D8860" s="704" t="s">
        <v>728</v>
      </c>
      <c r="E8860" s="704" t="s">
        <v>448</v>
      </c>
      <c r="F8860" s="706">
        <v>1.7471834919576698E-4</v>
      </c>
      <c r="G8860" s="705">
        <v>8.7331409107599109E-2</v>
      </c>
    </row>
    <row r="8861" spans="2:7" ht="11.25" hidden="1" customHeight="1" outlineLevel="2" x14ac:dyDescent="0.25">
      <c r="B8861" s="704" t="s">
        <v>699</v>
      </c>
      <c r="C8861" s="704" t="s">
        <v>738</v>
      </c>
      <c r="D8861" s="704" t="s">
        <v>728</v>
      </c>
      <c r="E8861" s="704" t="s">
        <v>448</v>
      </c>
      <c r="F8861" s="706">
        <v>1.9644607023462223E-4</v>
      </c>
      <c r="G8861" s="705">
        <v>9.8180029863385046E-2</v>
      </c>
    </row>
    <row r="8862" spans="2:7" ht="11.25" hidden="1" customHeight="1" outlineLevel="2" x14ac:dyDescent="0.25">
      <c r="B8862" s="704" t="s">
        <v>673</v>
      </c>
      <c r="C8862" s="704" t="s">
        <v>776</v>
      </c>
      <c r="D8862" s="704" t="s">
        <v>728</v>
      </c>
      <c r="E8862" s="704" t="s">
        <v>448</v>
      </c>
      <c r="F8862" s="706">
        <v>0.90853161191334786</v>
      </c>
      <c r="G8862" s="705">
        <v>561.68519784646469</v>
      </c>
    </row>
    <row r="8863" spans="2:7" ht="11.25" hidden="1" customHeight="1" outlineLevel="2" x14ac:dyDescent="0.25">
      <c r="B8863" s="704" t="s">
        <v>677</v>
      </c>
      <c r="C8863" s="704" t="s">
        <v>776</v>
      </c>
      <c r="D8863" s="704" t="s">
        <v>728</v>
      </c>
      <c r="E8863" s="704" t="s">
        <v>448</v>
      </c>
      <c r="F8863" s="706">
        <v>5.4104964967075615</v>
      </c>
      <c r="G8863" s="705">
        <v>3309.4882379777764</v>
      </c>
    </row>
    <row r="8864" spans="2:7" ht="11.25" hidden="1" customHeight="1" outlineLevel="2" x14ac:dyDescent="0.25">
      <c r="B8864" s="704" t="s">
        <v>678</v>
      </c>
      <c r="C8864" s="704" t="s">
        <v>776</v>
      </c>
      <c r="D8864" s="704" t="s">
        <v>728</v>
      </c>
      <c r="E8864" s="704" t="s">
        <v>448</v>
      </c>
      <c r="F8864" s="706">
        <v>8.8576080613081398</v>
      </c>
      <c r="G8864" s="705">
        <v>5483.465092252236</v>
      </c>
    </row>
    <row r="8865" spans="2:7" ht="11.25" hidden="1" customHeight="1" outlineLevel="2" x14ac:dyDescent="0.25">
      <c r="B8865" s="704" t="s">
        <v>679</v>
      </c>
      <c r="C8865" s="704" t="s">
        <v>776</v>
      </c>
      <c r="D8865" s="704" t="s">
        <v>728</v>
      </c>
      <c r="E8865" s="704" t="s">
        <v>448</v>
      </c>
      <c r="F8865" s="705">
        <v>0.81508317572152045</v>
      </c>
      <c r="G8865" s="705">
        <v>506.11876351899286</v>
      </c>
    </row>
    <row r="8866" spans="2:7" ht="11.25" hidden="1" customHeight="1" outlineLevel="2" x14ac:dyDescent="0.25">
      <c r="B8866" s="704" t="s">
        <v>680</v>
      </c>
      <c r="C8866" s="704" t="s">
        <v>776</v>
      </c>
      <c r="D8866" s="704" t="s">
        <v>728</v>
      </c>
      <c r="E8866" s="704" t="s">
        <v>448</v>
      </c>
      <c r="F8866" s="705">
        <v>0.33892226817567273</v>
      </c>
      <c r="G8866" s="705">
        <v>210.95006910375324</v>
      </c>
    </row>
    <row r="8867" spans="2:7" ht="11.25" hidden="1" customHeight="1" outlineLevel="2" x14ac:dyDescent="0.25">
      <c r="B8867" s="704" t="s">
        <v>681</v>
      </c>
      <c r="C8867" s="704" t="s">
        <v>776</v>
      </c>
      <c r="D8867" s="704" t="s">
        <v>728</v>
      </c>
      <c r="E8867" s="704" t="s">
        <v>448</v>
      </c>
      <c r="F8867" s="705">
        <v>1.5793974358671667</v>
      </c>
      <c r="G8867" s="705">
        <v>977.75519147137391</v>
      </c>
    </row>
    <row r="8868" spans="2:7" ht="11.25" hidden="1" customHeight="1" outlineLevel="2" x14ac:dyDescent="0.25">
      <c r="B8868" s="704" t="s">
        <v>682</v>
      </c>
      <c r="C8868" s="704" t="s">
        <v>776</v>
      </c>
      <c r="D8868" s="704" t="s">
        <v>728</v>
      </c>
      <c r="E8868" s="704" t="s">
        <v>448</v>
      </c>
      <c r="F8868" s="706">
        <v>1.002011592574815</v>
      </c>
      <c r="G8868" s="705">
        <v>620.38203771528606</v>
      </c>
    </row>
    <row r="8869" spans="2:7" ht="11.25" hidden="1" customHeight="1" outlineLevel="2" x14ac:dyDescent="0.25">
      <c r="B8869" s="704" t="s">
        <v>683</v>
      </c>
      <c r="C8869" s="704" t="s">
        <v>776</v>
      </c>
      <c r="D8869" s="704" t="s">
        <v>728</v>
      </c>
      <c r="E8869" s="704" t="s">
        <v>448</v>
      </c>
      <c r="F8869" s="705">
        <v>1.2909933443198975</v>
      </c>
      <c r="G8869" s="705">
        <v>801.6312234729013</v>
      </c>
    </row>
    <row r="8870" spans="2:7" ht="11.25" hidden="1" customHeight="1" outlineLevel="2" x14ac:dyDescent="0.25">
      <c r="B8870" s="704" t="s">
        <v>684</v>
      </c>
      <c r="C8870" s="704" t="s">
        <v>776</v>
      </c>
      <c r="D8870" s="704" t="s">
        <v>728</v>
      </c>
      <c r="E8870" s="704" t="s">
        <v>448</v>
      </c>
      <c r="F8870" s="705">
        <v>0.40728147722490798</v>
      </c>
      <c r="G8870" s="705">
        <v>253.49785178084431</v>
      </c>
    </row>
    <row r="8871" spans="2:7" ht="11.25" hidden="1" customHeight="1" outlineLevel="2" x14ac:dyDescent="0.25">
      <c r="B8871" s="704" t="s">
        <v>685</v>
      </c>
      <c r="C8871" s="704" t="s">
        <v>776</v>
      </c>
      <c r="D8871" s="704" t="s">
        <v>728</v>
      </c>
      <c r="E8871" s="704" t="s">
        <v>448</v>
      </c>
      <c r="F8871" s="706">
        <v>2.1578966875864363</v>
      </c>
      <c r="G8871" s="705">
        <v>1339.9273685202074</v>
      </c>
    </row>
    <row r="8872" spans="2:7" ht="11.25" hidden="1" customHeight="1" outlineLevel="2" x14ac:dyDescent="0.25">
      <c r="B8872" s="704" t="s">
        <v>686</v>
      </c>
      <c r="C8872" s="704" t="s">
        <v>776</v>
      </c>
      <c r="D8872" s="704" t="s">
        <v>728</v>
      </c>
      <c r="E8872" s="704" t="s">
        <v>448</v>
      </c>
      <c r="F8872" s="705">
        <v>0.47626977056805614</v>
      </c>
      <c r="G8872" s="705">
        <v>294.44627041435342</v>
      </c>
    </row>
    <row r="8873" spans="2:7" ht="11.25" hidden="1" customHeight="1" outlineLevel="2" x14ac:dyDescent="0.25">
      <c r="B8873" s="704" t="s">
        <v>687</v>
      </c>
      <c r="C8873" s="704" t="s">
        <v>776</v>
      </c>
      <c r="D8873" s="704" t="s">
        <v>728</v>
      </c>
      <c r="E8873" s="704" t="s">
        <v>448</v>
      </c>
      <c r="F8873" s="705">
        <v>2.4084748319945444</v>
      </c>
      <c r="G8873" s="705">
        <v>1491.011237677865</v>
      </c>
    </row>
    <row r="8874" spans="2:7" ht="11.25" hidden="1" customHeight="1" outlineLevel="2" x14ac:dyDescent="0.25">
      <c r="B8874" s="704" t="s">
        <v>688</v>
      </c>
      <c r="C8874" s="704" t="s">
        <v>776</v>
      </c>
      <c r="D8874" s="704" t="s">
        <v>728</v>
      </c>
      <c r="E8874" s="704" t="s">
        <v>448</v>
      </c>
      <c r="F8874" s="705">
        <v>2.68455564570045</v>
      </c>
      <c r="G8874" s="705">
        <v>1661.9235739302026</v>
      </c>
    </row>
    <row r="8875" spans="2:7" ht="11.25" hidden="1" customHeight="1" outlineLevel="2" x14ac:dyDescent="0.25">
      <c r="B8875" s="704" t="s">
        <v>689</v>
      </c>
      <c r="C8875" s="704" t="s">
        <v>776</v>
      </c>
      <c r="D8875" s="704" t="s">
        <v>728</v>
      </c>
      <c r="E8875" s="704" t="s">
        <v>448</v>
      </c>
      <c r="F8875" s="706">
        <v>0.42754120583649252</v>
      </c>
      <c r="G8875" s="705">
        <v>264.32309461666063</v>
      </c>
    </row>
    <row r="8876" spans="2:7" ht="11.25" hidden="1" customHeight="1" outlineLevel="2" x14ac:dyDescent="0.25">
      <c r="B8876" s="704" t="s">
        <v>690</v>
      </c>
      <c r="C8876" s="704" t="s">
        <v>776</v>
      </c>
      <c r="D8876" s="704" t="s">
        <v>728</v>
      </c>
      <c r="E8876" s="704" t="s">
        <v>448</v>
      </c>
      <c r="F8876" s="706">
        <v>9.5581488770674383</v>
      </c>
      <c r="G8876" s="705">
        <v>5935.050573343965</v>
      </c>
    </row>
    <row r="8877" spans="2:7" ht="11.25" hidden="1" customHeight="1" outlineLevel="2" x14ac:dyDescent="0.25">
      <c r="B8877" s="704" t="s">
        <v>691</v>
      </c>
      <c r="C8877" s="704" t="s">
        <v>776</v>
      </c>
      <c r="D8877" s="704" t="s">
        <v>728</v>
      </c>
      <c r="E8877" s="704" t="s">
        <v>448</v>
      </c>
      <c r="F8877" s="706">
        <v>8.5562796408432629</v>
      </c>
      <c r="G8877" s="705">
        <v>5312.9472412177165</v>
      </c>
    </row>
    <row r="8878" spans="2:7" ht="11.25" hidden="1" customHeight="1" outlineLevel="2" x14ac:dyDescent="0.25">
      <c r="B8878" s="704" t="s">
        <v>692</v>
      </c>
      <c r="C8878" s="704" t="s">
        <v>776</v>
      </c>
      <c r="D8878" s="704" t="s">
        <v>728</v>
      </c>
      <c r="E8878" s="704" t="s">
        <v>448</v>
      </c>
      <c r="F8878" s="705">
        <v>0.48735117625956331</v>
      </c>
      <c r="G8878" s="705">
        <v>301.70364357940821</v>
      </c>
    </row>
    <row r="8879" spans="2:7" ht="11.25" hidden="1" customHeight="1" outlineLevel="2" x14ac:dyDescent="0.25">
      <c r="B8879" s="704" t="s">
        <v>693</v>
      </c>
      <c r="C8879" s="704" t="s">
        <v>776</v>
      </c>
      <c r="D8879" s="704" t="s">
        <v>728</v>
      </c>
      <c r="E8879" s="704" t="s">
        <v>448</v>
      </c>
      <c r="F8879" s="705">
        <v>0.99029643563521075</v>
      </c>
      <c r="G8879" s="705">
        <v>616.37459912082682</v>
      </c>
    </row>
    <row r="8880" spans="2:7" ht="11.25" hidden="1" customHeight="1" outlineLevel="2" x14ac:dyDescent="0.25">
      <c r="B8880" s="704" t="s">
        <v>694</v>
      </c>
      <c r="C8880" s="704" t="s">
        <v>776</v>
      </c>
      <c r="D8880" s="704" t="s">
        <v>728</v>
      </c>
      <c r="E8880" s="704" t="s">
        <v>448</v>
      </c>
      <c r="F8880" s="705">
        <v>0.27783007438909291</v>
      </c>
      <c r="G8880" s="705">
        <v>172.92535766511733</v>
      </c>
    </row>
    <row r="8881" spans="2:7" ht="11.25" hidden="1" customHeight="1" outlineLevel="2" x14ac:dyDescent="0.25">
      <c r="B8881" s="704" t="s">
        <v>695</v>
      </c>
      <c r="C8881" s="704" t="s">
        <v>776</v>
      </c>
      <c r="D8881" s="704" t="s">
        <v>728</v>
      </c>
      <c r="E8881" s="704" t="s">
        <v>448</v>
      </c>
      <c r="F8881" s="705">
        <v>0.47185505745968237</v>
      </c>
      <c r="G8881" s="705">
        <v>293.68944454126392</v>
      </c>
    </row>
    <row r="8882" spans="2:7" ht="11.25" hidden="1" customHeight="1" outlineLevel="2" x14ac:dyDescent="0.25">
      <c r="B8882" s="704" t="s">
        <v>696</v>
      </c>
      <c r="C8882" s="704" t="s">
        <v>776</v>
      </c>
      <c r="D8882" s="704" t="s">
        <v>728</v>
      </c>
      <c r="E8882" s="704" t="s">
        <v>448</v>
      </c>
      <c r="F8882" s="705">
        <v>1.5095083632085156</v>
      </c>
      <c r="G8882" s="705">
        <v>933.22945498479169</v>
      </c>
    </row>
    <row r="8883" spans="2:7" ht="11.25" hidden="1" customHeight="1" outlineLevel="2" x14ac:dyDescent="0.25">
      <c r="B8883" s="704" t="s">
        <v>697</v>
      </c>
      <c r="C8883" s="704" t="s">
        <v>776</v>
      </c>
      <c r="D8883" s="704" t="s">
        <v>728</v>
      </c>
      <c r="E8883" s="704" t="s">
        <v>448</v>
      </c>
      <c r="F8883" s="705">
        <v>0.98399626266990137</v>
      </c>
      <c r="G8883" s="705">
        <v>612.4535827099777</v>
      </c>
    </row>
    <row r="8884" spans="2:7" ht="11.25" hidden="1" customHeight="1" outlineLevel="2" x14ac:dyDescent="0.25">
      <c r="B8884" s="704" t="s">
        <v>698</v>
      </c>
      <c r="C8884" s="704" t="s">
        <v>776</v>
      </c>
      <c r="D8884" s="704" t="s">
        <v>728</v>
      </c>
      <c r="E8884" s="704" t="s">
        <v>448</v>
      </c>
      <c r="F8884" s="705">
        <v>1.3303512427459439</v>
      </c>
      <c r="G8884" s="705">
        <v>828.03007425536555</v>
      </c>
    </row>
    <row r="8885" spans="2:7" ht="11.25" hidden="1" customHeight="1" outlineLevel="2" x14ac:dyDescent="0.25">
      <c r="B8885" s="704" t="s">
        <v>699</v>
      </c>
      <c r="C8885" s="704" t="s">
        <v>776</v>
      </c>
      <c r="D8885" s="704" t="s">
        <v>728</v>
      </c>
      <c r="E8885" s="704" t="s">
        <v>448</v>
      </c>
      <c r="F8885" s="705">
        <v>8.2303804139269889</v>
      </c>
      <c r="G8885" s="705">
        <v>5095.1686995312657</v>
      </c>
    </row>
    <row r="8886" spans="2:7" ht="11.25" hidden="1" customHeight="1" outlineLevel="2" x14ac:dyDescent="0.25">
      <c r="B8886" s="704" t="s">
        <v>673</v>
      </c>
      <c r="C8886" s="704" t="s">
        <v>777</v>
      </c>
      <c r="D8886" s="704" t="s">
        <v>728</v>
      </c>
      <c r="E8886" s="704" t="s">
        <v>448</v>
      </c>
      <c r="F8886" s="705">
        <v>7.7982543407905391E-2</v>
      </c>
      <c r="G8886" s="705">
        <v>92.616456155292056</v>
      </c>
    </row>
    <row r="8887" spans="2:7" ht="11.25" hidden="1" customHeight="1" outlineLevel="2" x14ac:dyDescent="0.25">
      <c r="B8887" s="704" t="s">
        <v>677</v>
      </c>
      <c r="C8887" s="704" t="s">
        <v>777</v>
      </c>
      <c r="D8887" s="704" t="s">
        <v>728</v>
      </c>
      <c r="E8887" s="704" t="s">
        <v>448</v>
      </c>
      <c r="F8887" s="705">
        <v>3.7769372079889179</v>
      </c>
      <c r="G8887" s="705">
        <v>4438.1776183954744</v>
      </c>
    </row>
    <row r="8888" spans="2:7" ht="11.25" hidden="1" customHeight="1" outlineLevel="2" x14ac:dyDescent="0.25">
      <c r="B8888" s="704" t="s">
        <v>678</v>
      </c>
      <c r="C8888" s="704" t="s">
        <v>777</v>
      </c>
      <c r="D8888" s="704" t="s">
        <v>728</v>
      </c>
      <c r="E8888" s="704" t="s">
        <v>448</v>
      </c>
      <c r="F8888" s="705">
        <v>4.4857682309318774</v>
      </c>
      <c r="G8888" s="705">
        <v>5334.707499995131</v>
      </c>
    </row>
    <row r="8889" spans="2:7" ht="11.25" hidden="1" customHeight="1" outlineLevel="2" x14ac:dyDescent="0.25">
      <c r="B8889" s="704" t="s">
        <v>679</v>
      </c>
      <c r="C8889" s="704" t="s">
        <v>777</v>
      </c>
      <c r="D8889" s="704" t="s">
        <v>728</v>
      </c>
      <c r="E8889" s="704" t="s">
        <v>448</v>
      </c>
      <c r="F8889" s="706">
        <v>0.26708465373600138</v>
      </c>
      <c r="G8889" s="705">
        <v>318.6006315521177</v>
      </c>
    </row>
    <row r="8890" spans="2:7" ht="11.25" hidden="1" customHeight="1" outlineLevel="2" x14ac:dyDescent="0.25">
      <c r="B8890" s="704" t="s">
        <v>680</v>
      </c>
      <c r="C8890" s="704" t="s">
        <v>777</v>
      </c>
      <c r="D8890" s="704" t="s">
        <v>728</v>
      </c>
      <c r="E8890" s="704" t="s">
        <v>448</v>
      </c>
      <c r="F8890" s="706">
        <v>8.3654045117393994E-2</v>
      </c>
      <c r="G8890" s="705">
        <v>100.02583994553802</v>
      </c>
    </row>
    <row r="8891" spans="2:7" ht="11.25" hidden="1" customHeight="1" outlineLevel="2" x14ac:dyDescent="0.25">
      <c r="B8891" s="704" t="s">
        <v>681</v>
      </c>
      <c r="C8891" s="704" t="s">
        <v>777</v>
      </c>
      <c r="D8891" s="704" t="s">
        <v>728</v>
      </c>
      <c r="E8891" s="704" t="s">
        <v>448</v>
      </c>
      <c r="F8891" s="705">
        <v>1.4142623480176471</v>
      </c>
      <c r="G8891" s="705">
        <v>1681.9143720117956</v>
      </c>
    </row>
    <row r="8892" spans="2:7" ht="11.25" hidden="1" customHeight="1" outlineLevel="2" x14ac:dyDescent="0.25">
      <c r="B8892" s="704" t="s">
        <v>682</v>
      </c>
      <c r="C8892" s="704" t="s">
        <v>777</v>
      </c>
      <c r="D8892" s="704" t="s">
        <v>728</v>
      </c>
      <c r="E8892" s="704" t="s">
        <v>448</v>
      </c>
      <c r="F8892" s="705">
        <v>0.18377139851382257</v>
      </c>
      <c r="G8892" s="705">
        <v>218.5747888909969</v>
      </c>
    </row>
    <row r="8893" spans="2:7" ht="11.25" hidden="1" customHeight="1" outlineLevel="2" x14ac:dyDescent="0.25">
      <c r="B8893" s="704" t="s">
        <v>683</v>
      </c>
      <c r="C8893" s="704" t="s">
        <v>777</v>
      </c>
      <c r="D8893" s="704" t="s">
        <v>728</v>
      </c>
      <c r="E8893" s="704" t="s">
        <v>448</v>
      </c>
      <c r="F8893" s="705">
        <v>0.3850987219207016</v>
      </c>
      <c r="G8893" s="705">
        <v>459.37769890089885</v>
      </c>
    </row>
    <row r="8894" spans="2:7" ht="11.25" hidden="1" customHeight="1" outlineLevel="2" x14ac:dyDescent="0.25">
      <c r="B8894" s="704" t="s">
        <v>684</v>
      </c>
      <c r="C8894" s="704" t="s">
        <v>777</v>
      </c>
      <c r="D8894" s="704" t="s">
        <v>728</v>
      </c>
      <c r="E8894" s="704" t="s">
        <v>448</v>
      </c>
      <c r="F8894" s="705">
        <v>0.49572748868863015</v>
      </c>
      <c r="G8894" s="705">
        <v>592.74535199045658</v>
      </c>
    </row>
    <row r="8895" spans="2:7" ht="11.25" hidden="1" customHeight="1" outlineLevel="2" x14ac:dyDescent="0.25">
      <c r="B8895" s="704" t="s">
        <v>685</v>
      </c>
      <c r="C8895" s="704" t="s">
        <v>777</v>
      </c>
      <c r="D8895" s="704" t="s">
        <v>728</v>
      </c>
      <c r="E8895" s="704" t="s">
        <v>448</v>
      </c>
      <c r="F8895" s="705">
        <v>2.3416497467892468</v>
      </c>
      <c r="G8895" s="705">
        <v>2793.3113830240013</v>
      </c>
    </row>
    <row r="8896" spans="2:7" ht="11.25" hidden="1" customHeight="1" outlineLevel="2" x14ac:dyDescent="0.25">
      <c r="B8896" s="704" t="s">
        <v>686</v>
      </c>
      <c r="C8896" s="704" t="s">
        <v>777</v>
      </c>
      <c r="D8896" s="704" t="s">
        <v>728</v>
      </c>
      <c r="E8896" s="704" t="s">
        <v>448</v>
      </c>
      <c r="F8896" s="705">
        <v>0.50220790528260972</v>
      </c>
      <c r="G8896" s="705">
        <v>596.45022914984884</v>
      </c>
    </row>
    <row r="8897" spans="2:7" ht="11.25" hidden="1" customHeight="1" outlineLevel="2" x14ac:dyDescent="0.25">
      <c r="B8897" s="704" t="s">
        <v>687</v>
      </c>
      <c r="C8897" s="704" t="s">
        <v>777</v>
      </c>
      <c r="D8897" s="704" t="s">
        <v>728</v>
      </c>
      <c r="E8897" s="704" t="s">
        <v>448</v>
      </c>
      <c r="F8897" s="705">
        <v>1.0311035924969092</v>
      </c>
      <c r="G8897" s="705">
        <v>1226.241488383562</v>
      </c>
    </row>
    <row r="8898" spans="2:7" ht="11.25" hidden="1" customHeight="1" outlineLevel="2" x14ac:dyDescent="0.25">
      <c r="B8898" s="704" t="s">
        <v>688</v>
      </c>
      <c r="C8898" s="704" t="s">
        <v>777</v>
      </c>
      <c r="D8898" s="704" t="s">
        <v>728</v>
      </c>
      <c r="E8898" s="704" t="s">
        <v>448</v>
      </c>
      <c r="F8898" s="705">
        <v>3.0341234073538783</v>
      </c>
      <c r="G8898" s="705">
        <v>3608.3370312330862</v>
      </c>
    </row>
    <row r="8899" spans="2:7" ht="11.25" hidden="1" customHeight="1" outlineLevel="2" x14ac:dyDescent="0.25">
      <c r="B8899" s="704" t="s">
        <v>689</v>
      </c>
      <c r="C8899" s="704" t="s">
        <v>777</v>
      </c>
      <c r="D8899" s="704" t="s">
        <v>728</v>
      </c>
      <c r="E8899" s="704" t="s">
        <v>448</v>
      </c>
      <c r="F8899" s="705">
        <v>0.29580195513298496</v>
      </c>
      <c r="G8899" s="705">
        <v>351.2284675593898</v>
      </c>
    </row>
    <row r="8900" spans="2:7" ht="11.25" hidden="1" customHeight="1" outlineLevel="2" x14ac:dyDescent="0.25">
      <c r="B8900" s="704" t="s">
        <v>690</v>
      </c>
      <c r="C8900" s="704" t="s">
        <v>777</v>
      </c>
      <c r="D8900" s="704" t="s">
        <v>728</v>
      </c>
      <c r="E8900" s="704" t="s">
        <v>448</v>
      </c>
      <c r="F8900" s="705">
        <v>9.2485863957064929</v>
      </c>
      <c r="G8900" s="705">
        <v>11032.472451265405</v>
      </c>
    </row>
    <row r="8901" spans="2:7" ht="11.25" hidden="1" customHeight="1" outlineLevel="2" x14ac:dyDescent="0.25">
      <c r="B8901" s="704" t="s">
        <v>691</v>
      </c>
      <c r="C8901" s="704" t="s">
        <v>777</v>
      </c>
      <c r="D8901" s="704" t="s">
        <v>728</v>
      </c>
      <c r="E8901" s="704" t="s">
        <v>448</v>
      </c>
      <c r="F8901" s="705">
        <v>4.5187012086987339</v>
      </c>
      <c r="G8901" s="705">
        <v>5390.2768245761563</v>
      </c>
    </row>
    <row r="8902" spans="2:7" ht="11.25" hidden="1" customHeight="1" outlineLevel="2" x14ac:dyDescent="0.25">
      <c r="B8902" s="704" t="s">
        <v>692</v>
      </c>
      <c r="C8902" s="704" t="s">
        <v>777</v>
      </c>
      <c r="D8902" s="704" t="s">
        <v>728</v>
      </c>
      <c r="E8902" s="704" t="s">
        <v>448</v>
      </c>
      <c r="F8902" s="705">
        <v>0.29593611438135226</v>
      </c>
      <c r="G8902" s="705">
        <v>351.94245727383708</v>
      </c>
    </row>
    <row r="8903" spans="2:7" ht="11.25" hidden="1" customHeight="1" outlineLevel="2" x14ac:dyDescent="0.25">
      <c r="B8903" s="704" t="s">
        <v>693</v>
      </c>
      <c r="C8903" s="704" t="s">
        <v>777</v>
      </c>
      <c r="D8903" s="704" t="s">
        <v>728</v>
      </c>
      <c r="E8903" s="704" t="s">
        <v>448</v>
      </c>
      <c r="F8903" s="705">
        <v>0.22617577345529424</v>
      </c>
      <c r="G8903" s="705">
        <v>270.44000628741702</v>
      </c>
    </row>
    <row r="8904" spans="2:7" ht="11.25" hidden="1" customHeight="1" outlineLevel="2" x14ac:dyDescent="0.25">
      <c r="B8904" s="704" t="s">
        <v>694</v>
      </c>
      <c r="C8904" s="704" t="s">
        <v>777</v>
      </c>
      <c r="D8904" s="704" t="s">
        <v>728</v>
      </c>
      <c r="E8904" s="704" t="s">
        <v>448</v>
      </c>
      <c r="F8904" s="705">
        <v>0.49882593444337542</v>
      </c>
      <c r="G8904" s="705">
        <v>596.45022914984884</v>
      </c>
    </row>
    <row r="8905" spans="2:7" ht="11.25" hidden="1" customHeight="1" outlineLevel="2" x14ac:dyDescent="0.25">
      <c r="B8905" s="704" t="s">
        <v>695</v>
      </c>
      <c r="C8905" s="704" t="s">
        <v>777</v>
      </c>
      <c r="D8905" s="704" t="s">
        <v>728</v>
      </c>
      <c r="E8905" s="704" t="s">
        <v>448</v>
      </c>
      <c r="F8905" s="705">
        <v>0.48953102411727517</v>
      </c>
      <c r="G8905" s="705">
        <v>585.3355481759113</v>
      </c>
    </row>
    <row r="8906" spans="2:7" ht="11.25" hidden="1" customHeight="1" outlineLevel="2" x14ac:dyDescent="0.25">
      <c r="B8906" s="704" t="s">
        <v>696</v>
      </c>
      <c r="C8906" s="704" t="s">
        <v>777</v>
      </c>
      <c r="D8906" s="704" t="s">
        <v>728</v>
      </c>
      <c r="E8906" s="704" t="s">
        <v>448</v>
      </c>
      <c r="F8906" s="706">
        <v>0.70496220797167486</v>
      </c>
      <c r="G8906" s="705">
        <v>837.25251789663832</v>
      </c>
    </row>
    <row r="8907" spans="2:7" ht="11.25" hidden="1" customHeight="1" outlineLevel="2" x14ac:dyDescent="0.25">
      <c r="B8907" s="704" t="s">
        <v>697</v>
      </c>
      <c r="C8907" s="704" t="s">
        <v>777</v>
      </c>
      <c r="D8907" s="704" t="s">
        <v>728</v>
      </c>
      <c r="E8907" s="704" t="s">
        <v>448</v>
      </c>
      <c r="F8907" s="706">
        <v>0.31602646971731285</v>
      </c>
      <c r="G8907" s="705">
        <v>377.87507884516469</v>
      </c>
    </row>
    <row r="8908" spans="2:7" ht="11.25" hidden="1" customHeight="1" outlineLevel="2" x14ac:dyDescent="0.25">
      <c r="B8908" s="704" t="s">
        <v>698</v>
      </c>
      <c r="C8908" s="704" t="s">
        <v>777</v>
      </c>
      <c r="D8908" s="704" t="s">
        <v>728</v>
      </c>
      <c r="E8908" s="704" t="s">
        <v>448</v>
      </c>
      <c r="F8908" s="706">
        <v>0.49882593440176909</v>
      </c>
      <c r="G8908" s="705">
        <v>596.45022910061107</v>
      </c>
    </row>
    <row r="8909" spans="2:7" ht="11.25" hidden="1" customHeight="1" outlineLevel="2" x14ac:dyDescent="0.25">
      <c r="B8909" s="704" t="s">
        <v>699</v>
      </c>
      <c r="C8909" s="704" t="s">
        <v>777</v>
      </c>
      <c r="D8909" s="704" t="s">
        <v>728</v>
      </c>
      <c r="E8909" s="704" t="s">
        <v>448</v>
      </c>
      <c r="F8909" s="706">
        <v>0.56383620125560252</v>
      </c>
      <c r="G8909" s="705">
        <v>670.54318202807542</v>
      </c>
    </row>
    <row r="8910" spans="2:7" ht="11.25" hidden="1" customHeight="1" outlineLevel="2" x14ac:dyDescent="0.25">
      <c r="B8910" s="704" t="s">
        <v>673</v>
      </c>
      <c r="C8910" s="704" t="s">
        <v>778</v>
      </c>
      <c r="D8910" s="704" t="s">
        <v>728</v>
      </c>
      <c r="E8910" s="704" t="s">
        <v>448</v>
      </c>
      <c r="F8910" s="706">
        <v>7.6802950533157041E-2</v>
      </c>
      <c r="G8910" s="705">
        <v>47.098069005728441</v>
      </c>
    </row>
    <row r="8911" spans="2:7" ht="11.25" hidden="1" customHeight="1" outlineLevel="2" x14ac:dyDescent="0.25">
      <c r="B8911" s="704" t="s">
        <v>677</v>
      </c>
      <c r="C8911" s="704" t="s">
        <v>778</v>
      </c>
      <c r="D8911" s="704" t="s">
        <v>728</v>
      </c>
      <c r="E8911" s="704" t="s">
        <v>448</v>
      </c>
      <c r="F8911" s="706">
        <v>0.45737767016965858</v>
      </c>
      <c r="G8911" s="705">
        <v>277.50510824223437</v>
      </c>
    </row>
    <row r="8912" spans="2:7" ht="11.25" hidden="1" customHeight="1" outlineLevel="2" x14ac:dyDescent="0.25">
      <c r="B8912" s="704" t="s">
        <v>678</v>
      </c>
      <c r="C8912" s="704" t="s">
        <v>778</v>
      </c>
      <c r="D8912" s="704" t="s">
        <v>728</v>
      </c>
      <c r="E8912" s="704" t="s">
        <v>448</v>
      </c>
      <c r="F8912" s="706">
        <v>0.74877999096572545</v>
      </c>
      <c r="G8912" s="705">
        <v>459.79596029053789</v>
      </c>
    </row>
    <row r="8913" spans="2:7" ht="11.25" hidden="1" customHeight="1" outlineLevel="2" x14ac:dyDescent="0.25">
      <c r="B8913" s="704" t="s">
        <v>679</v>
      </c>
      <c r="C8913" s="704" t="s">
        <v>778</v>
      </c>
      <c r="D8913" s="704" t="s">
        <v>728</v>
      </c>
      <c r="E8913" s="704" t="s">
        <v>448</v>
      </c>
      <c r="F8913" s="706">
        <v>6.8903252115819671E-2</v>
      </c>
      <c r="G8913" s="705">
        <v>42.43873405099454</v>
      </c>
    </row>
    <row r="8914" spans="2:7" ht="11.25" hidden="1" customHeight="1" outlineLevel="2" x14ac:dyDescent="0.25">
      <c r="B8914" s="704" t="s">
        <v>680</v>
      </c>
      <c r="C8914" s="704" t="s">
        <v>778</v>
      </c>
      <c r="D8914" s="704" t="s">
        <v>728</v>
      </c>
      <c r="E8914" s="704" t="s">
        <v>448</v>
      </c>
      <c r="F8914" s="706">
        <v>2.86508839148506E-2</v>
      </c>
      <c r="G8914" s="705">
        <v>17.688451336527876</v>
      </c>
    </row>
    <row r="8915" spans="2:7" ht="11.25" hidden="1" customHeight="1" outlineLevel="2" x14ac:dyDescent="0.25">
      <c r="B8915" s="704" t="s">
        <v>681</v>
      </c>
      <c r="C8915" s="704" t="s">
        <v>778</v>
      </c>
      <c r="D8915" s="704" t="s">
        <v>728</v>
      </c>
      <c r="E8915" s="704" t="s">
        <v>448</v>
      </c>
      <c r="F8915" s="706">
        <v>0.13351477576033471</v>
      </c>
      <c r="G8915" s="705">
        <v>81.986067373831204</v>
      </c>
    </row>
    <row r="8916" spans="2:7" ht="11.25" hidden="1" customHeight="1" outlineLevel="2" x14ac:dyDescent="0.25">
      <c r="B8916" s="704" t="s">
        <v>682</v>
      </c>
      <c r="C8916" s="704" t="s">
        <v>778</v>
      </c>
      <c r="D8916" s="704" t="s">
        <v>728</v>
      </c>
      <c r="E8916" s="704" t="s">
        <v>448</v>
      </c>
      <c r="F8916" s="705">
        <v>8.4705299187257527E-2</v>
      </c>
      <c r="G8916" s="705">
        <v>52.019863971807141</v>
      </c>
    </row>
    <row r="8917" spans="2:7" ht="11.25" hidden="1" customHeight="1" outlineLevel="2" x14ac:dyDescent="0.25">
      <c r="B8917" s="704" t="s">
        <v>683</v>
      </c>
      <c r="C8917" s="704" t="s">
        <v>778</v>
      </c>
      <c r="D8917" s="704" t="s">
        <v>728</v>
      </c>
      <c r="E8917" s="704" t="s">
        <v>448</v>
      </c>
      <c r="F8917" s="705">
        <v>0.10913448927354881</v>
      </c>
      <c r="G8917" s="705">
        <v>67.217842974182858</v>
      </c>
    </row>
    <row r="8918" spans="2:7" ht="11.25" hidden="1" customHeight="1" outlineLevel="2" x14ac:dyDescent="0.25">
      <c r="B8918" s="704" t="s">
        <v>684</v>
      </c>
      <c r="C8918" s="704" t="s">
        <v>778</v>
      </c>
      <c r="D8918" s="704" t="s">
        <v>728</v>
      </c>
      <c r="E8918" s="704" t="s">
        <v>448</v>
      </c>
      <c r="F8918" s="706">
        <v>3.4429655133726388E-2</v>
      </c>
      <c r="G8918" s="705">
        <v>21.256143205017676</v>
      </c>
    </row>
    <row r="8919" spans="2:7" ht="11.25" hidden="1" customHeight="1" outlineLevel="2" x14ac:dyDescent="0.25">
      <c r="B8919" s="704" t="s">
        <v>685</v>
      </c>
      <c r="C8919" s="704" t="s">
        <v>778</v>
      </c>
      <c r="D8919" s="704" t="s">
        <v>728</v>
      </c>
      <c r="E8919" s="704" t="s">
        <v>448</v>
      </c>
      <c r="F8919" s="705">
        <v>0.18241840558724184</v>
      </c>
      <c r="G8919" s="705">
        <v>112.35472646643153</v>
      </c>
    </row>
    <row r="8920" spans="2:7" ht="11.25" hidden="1" customHeight="1" outlineLevel="2" x14ac:dyDescent="0.25">
      <c r="B8920" s="704" t="s">
        <v>686</v>
      </c>
      <c r="C8920" s="704" t="s">
        <v>778</v>
      </c>
      <c r="D8920" s="704" t="s">
        <v>728</v>
      </c>
      <c r="E8920" s="704" t="s">
        <v>448</v>
      </c>
      <c r="F8920" s="705">
        <v>4.0261590493761511E-2</v>
      </c>
      <c r="G8920" s="705">
        <v>24.689717185154581</v>
      </c>
    </row>
    <row r="8921" spans="2:7" ht="11.25" hidden="1" customHeight="1" outlineLevel="2" x14ac:dyDescent="0.25">
      <c r="B8921" s="704" t="s">
        <v>687</v>
      </c>
      <c r="C8921" s="704" t="s">
        <v>778</v>
      </c>
      <c r="D8921" s="704" t="s">
        <v>728</v>
      </c>
      <c r="E8921" s="704" t="s">
        <v>448</v>
      </c>
      <c r="F8921" s="705">
        <v>0.20360107491506871</v>
      </c>
      <c r="G8921" s="705">
        <v>125.02334947688469</v>
      </c>
    </row>
    <row r="8922" spans="2:7" ht="11.25" hidden="1" customHeight="1" outlineLevel="2" x14ac:dyDescent="0.25">
      <c r="B8922" s="704" t="s">
        <v>688</v>
      </c>
      <c r="C8922" s="704" t="s">
        <v>778</v>
      </c>
      <c r="D8922" s="704" t="s">
        <v>728</v>
      </c>
      <c r="E8922" s="704" t="s">
        <v>448</v>
      </c>
      <c r="F8922" s="705">
        <v>0.22693972441782626</v>
      </c>
      <c r="G8922" s="705">
        <v>139.35462353955057</v>
      </c>
    </row>
    <row r="8923" spans="2:7" ht="11.25" hidden="1" customHeight="1" outlineLevel="2" x14ac:dyDescent="0.25">
      <c r="B8923" s="704" t="s">
        <v>689</v>
      </c>
      <c r="C8923" s="704" t="s">
        <v>778</v>
      </c>
      <c r="D8923" s="704" t="s">
        <v>728</v>
      </c>
      <c r="E8923" s="704" t="s">
        <v>448</v>
      </c>
      <c r="F8923" s="705">
        <v>3.6142320124081403E-2</v>
      </c>
      <c r="G8923" s="705">
        <v>22.163861136109212</v>
      </c>
    </row>
    <row r="8924" spans="2:7" ht="11.25" hidden="1" customHeight="1" outlineLevel="2" x14ac:dyDescent="0.25">
      <c r="B8924" s="704" t="s">
        <v>690</v>
      </c>
      <c r="C8924" s="704" t="s">
        <v>778</v>
      </c>
      <c r="D8924" s="704" t="s">
        <v>728</v>
      </c>
      <c r="E8924" s="704" t="s">
        <v>448</v>
      </c>
      <c r="F8924" s="705">
        <v>0.80800048946855096</v>
      </c>
      <c r="G8924" s="705">
        <v>497.66191666199398</v>
      </c>
    </row>
    <row r="8925" spans="2:7" ht="11.25" hidden="1" customHeight="1" outlineLevel="2" x14ac:dyDescent="0.25">
      <c r="B8925" s="704" t="s">
        <v>691</v>
      </c>
      <c r="C8925" s="704" t="s">
        <v>778</v>
      </c>
      <c r="D8925" s="704" t="s">
        <v>728</v>
      </c>
      <c r="E8925" s="704" t="s">
        <v>448</v>
      </c>
      <c r="F8925" s="705">
        <v>0.72330730688715095</v>
      </c>
      <c r="G8925" s="705">
        <v>445.49774777083979</v>
      </c>
    </row>
    <row r="8926" spans="2:7" ht="11.25" hidden="1" customHeight="1" outlineLevel="2" x14ac:dyDescent="0.25">
      <c r="B8926" s="704" t="s">
        <v>692</v>
      </c>
      <c r="C8926" s="704" t="s">
        <v>778</v>
      </c>
      <c r="D8926" s="704" t="s">
        <v>728</v>
      </c>
      <c r="E8926" s="704" t="s">
        <v>448</v>
      </c>
      <c r="F8926" s="705">
        <v>4.1198362907856022E-2</v>
      </c>
      <c r="G8926" s="705">
        <v>25.298262586869807</v>
      </c>
    </row>
    <row r="8927" spans="2:7" ht="11.25" hidden="1" customHeight="1" outlineLevel="2" x14ac:dyDescent="0.25">
      <c r="B8927" s="704" t="s">
        <v>693</v>
      </c>
      <c r="C8927" s="704" t="s">
        <v>778</v>
      </c>
      <c r="D8927" s="704" t="s">
        <v>728</v>
      </c>
      <c r="E8927" s="704" t="s">
        <v>448</v>
      </c>
      <c r="F8927" s="705">
        <v>8.3714974231263825E-2</v>
      </c>
      <c r="G8927" s="705">
        <v>51.683864747733139</v>
      </c>
    </row>
    <row r="8928" spans="2:7" ht="11.25" hidden="1" customHeight="1" outlineLevel="2" x14ac:dyDescent="0.25">
      <c r="B8928" s="704" t="s">
        <v>694</v>
      </c>
      <c r="C8928" s="704" t="s">
        <v>778</v>
      </c>
      <c r="D8928" s="704" t="s">
        <v>728</v>
      </c>
      <c r="E8928" s="704" t="s">
        <v>448</v>
      </c>
      <c r="F8928" s="705">
        <v>2.3486437377170696E-2</v>
      </c>
      <c r="G8928" s="705">
        <v>14.500029428075043</v>
      </c>
    </row>
    <row r="8929" spans="2:7" ht="11.25" hidden="1" customHeight="1" outlineLevel="2" x14ac:dyDescent="0.25">
      <c r="B8929" s="704" t="s">
        <v>695</v>
      </c>
      <c r="C8929" s="704" t="s">
        <v>778</v>
      </c>
      <c r="D8929" s="704" t="s">
        <v>728</v>
      </c>
      <c r="E8929" s="704" t="s">
        <v>448</v>
      </c>
      <c r="F8929" s="705">
        <v>3.9888399436051276E-2</v>
      </c>
      <c r="G8929" s="705">
        <v>24.626265870206044</v>
      </c>
    </row>
    <row r="8930" spans="2:7" ht="11.25" hidden="1" customHeight="1" outlineLevel="2" x14ac:dyDescent="0.25">
      <c r="B8930" s="704" t="s">
        <v>696</v>
      </c>
      <c r="C8930" s="704" t="s">
        <v>778</v>
      </c>
      <c r="D8930" s="704" t="s">
        <v>728</v>
      </c>
      <c r="E8930" s="704" t="s">
        <v>448</v>
      </c>
      <c r="F8930" s="705">
        <v>0.12760677902467896</v>
      </c>
      <c r="G8930" s="705">
        <v>78.252612168423738</v>
      </c>
    </row>
    <row r="8931" spans="2:7" ht="11.25" hidden="1" customHeight="1" outlineLevel="2" x14ac:dyDescent="0.25">
      <c r="B8931" s="704" t="s">
        <v>697</v>
      </c>
      <c r="C8931" s="704" t="s">
        <v>778</v>
      </c>
      <c r="D8931" s="704" t="s">
        <v>728</v>
      </c>
      <c r="E8931" s="704" t="s">
        <v>448</v>
      </c>
      <c r="F8931" s="705">
        <v>8.3182412470919911E-2</v>
      </c>
      <c r="G8931" s="705">
        <v>51.3550665395382</v>
      </c>
    </row>
    <row r="8932" spans="2:7" ht="11.25" hidden="1" customHeight="1" outlineLevel="2" x14ac:dyDescent="0.25">
      <c r="B8932" s="704" t="s">
        <v>698</v>
      </c>
      <c r="C8932" s="704" t="s">
        <v>778</v>
      </c>
      <c r="D8932" s="704" t="s">
        <v>728</v>
      </c>
      <c r="E8932" s="704" t="s">
        <v>448</v>
      </c>
      <c r="F8932" s="705">
        <v>0.1124616283727933</v>
      </c>
      <c r="G8932" s="705">
        <v>69.431438588500754</v>
      </c>
    </row>
    <row r="8933" spans="2:7" ht="11.25" hidden="1" customHeight="1" outlineLevel="2" x14ac:dyDescent="0.25">
      <c r="B8933" s="704" t="s">
        <v>699</v>
      </c>
      <c r="C8933" s="704" t="s">
        <v>778</v>
      </c>
      <c r="D8933" s="704" t="s">
        <v>728</v>
      </c>
      <c r="E8933" s="704" t="s">
        <v>448</v>
      </c>
      <c r="F8933" s="705">
        <v>0.69575755416122609</v>
      </c>
      <c r="G8933" s="705">
        <v>427.2368203019787</v>
      </c>
    </row>
    <row r="8934" spans="2:7" ht="11.25" hidden="1" customHeight="1" outlineLevel="2" x14ac:dyDescent="0.25">
      <c r="B8934" s="704" t="s">
        <v>673</v>
      </c>
      <c r="C8934" s="704" t="s">
        <v>779</v>
      </c>
      <c r="D8934" s="704" t="s">
        <v>728</v>
      </c>
      <c r="E8934" s="704" t="s">
        <v>448</v>
      </c>
      <c r="F8934" s="705">
        <v>6.3209981428719544E-2</v>
      </c>
      <c r="G8934" s="705">
        <v>47.14261590316498</v>
      </c>
    </row>
    <row r="8935" spans="2:7" ht="11.25" hidden="1" customHeight="1" outlineLevel="2" x14ac:dyDescent="0.25">
      <c r="B8935" s="704" t="s">
        <v>677</v>
      </c>
      <c r="C8935" s="704" t="s">
        <v>779</v>
      </c>
      <c r="D8935" s="704" t="s">
        <v>728</v>
      </c>
      <c r="E8935" s="704" t="s">
        <v>448</v>
      </c>
      <c r="F8935" s="705">
        <v>3.0614546718316933</v>
      </c>
      <c r="G8935" s="705">
        <v>2259.0744484784232</v>
      </c>
    </row>
    <row r="8936" spans="2:7" ht="11.25" hidden="1" customHeight="1" outlineLevel="2" x14ac:dyDescent="0.25">
      <c r="B8936" s="704" t="s">
        <v>678</v>
      </c>
      <c r="C8936" s="704" t="s">
        <v>779</v>
      </c>
      <c r="D8936" s="704" t="s">
        <v>728</v>
      </c>
      <c r="E8936" s="704" t="s">
        <v>448</v>
      </c>
      <c r="F8936" s="705">
        <v>3.6360090759118697</v>
      </c>
      <c r="G8936" s="705">
        <v>2715.4145049435756</v>
      </c>
    </row>
    <row r="8937" spans="2:7" ht="11.25" hidden="1" customHeight="1" outlineLevel="2" x14ac:dyDescent="0.25">
      <c r="B8937" s="704" t="s">
        <v>679</v>
      </c>
      <c r="C8937" s="704" t="s">
        <v>779</v>
      </c>
      <c r="D8937" s="704" t="s">
        <v>728</v>
      </c>
      <c r="E8937" s="704" t="s">
        <v>448</v>
      </c>
      <c r="F8937" s="705">
        <v>0.2164895827002663</v>
      </c>
      <c r="G8937" s="705">
        <v>162.17059251034311</v>
      </c>
    </row>
    <row r="8938" spans="2:7" ht="11.25" hidden="1" customHeight="1" outlineLevel="2" x14ac:dyDescent="0.25">
      <c r="B8938" s="704" t="s">
        <v>680</v>
      </c>
      <c r="C8938" s="704" t="s">
        <v>779</v>
      </c>
      <c r="D8938" s="704" t="s">
        <v>728</v>
      </c>
      <c r="E8938" s="704" t="s">
        <v>448</v>
      </c>
      <c r="F8938" s="705">
        <v>6.7807067962274287E-2</v>
      </c>
      <c r="G8938" s="705">
        <v>50.914029350585515</v>
      </c>
    </row>
    <row r="8939" spans="2:7" ht="11.25" hidden="1" customHeight="1" outlineLevel="2" x14ac:dyDescent="0.25">
      <c r="B8939" s="704" t="s">
        <v>681</v>
      </c>
      <c r="C8939" s="704" t="s">
        <v>779</v>
      </c>
      <c r="D8939" s="704" t="s">
        <v>728</v>
      </c>
      <c r="E8939" s="704" t="s">
        <v>448</v>
      </c>
      <c r="F8939" s="706">
        <v>1.1463526505487931</v>
      </c>
      <c r="G8939" s="705">
        <v>856.10999014208221</v>
      </c>
    </row>
    <row r="8940" spans="2:7" ht="11.25" hidden="1" customHeight="1" outlineLevel="2" x14ac:dyDescent="0.25">
      <c r="B8940" s="704" t="s">
        <v>682</v>
      </c>
      <c r="C8940" s="704" t="s">
        <v>779</v>
      </c>
      <c r="D8940" s="704" t="s">
        <v>728</v>
      </c>
      <c r="E8940" s="704" t="s">
        <v>448</v>
      </c>
      <c r="F8940" s="706">
        <v>0.14895866854300394</v>
      </c>
      <c r="G8940" s="705">
        <v>111.25659498579671</v>
      </c>
    </row>
    <row r="8941" spans="2:7" ht="11.25" hidden="1" customHeight="1" outlineLevel="2" x14ac:dyDescent="0.25">
      <c r="B8941" s="704" t="s">
        <v>683</v>
      </c>
      <c r="C8941" s="704" t="s">
        <v>779</v>
      </c>
      <c r="D8941" s="704" t="s">
        <v>728</v>
      </c>
      <c r="E8941" s="704" t="s">
        <v>448</v>
      </c>
      <c r="F8941" s="706">
        <v>0.3121478945168803</v>
      </c>
      <c r="G8941" s="705">
        <v>233.82733557430015</v>
      </c>
    </row>
    <row r="8942" spans="2:7" ht="11.25" hidden="1" customHeight="1" outlineLevel="2" x14ac:dyDescent="0.25">
      <c r="B8942" s="704" t="s">
        <v>684</v>
      </c>
      <c r="C8942" s="704" t="s">
        <v>779</v>
      </c>
      <c r="D8942" s="704" t="s">
        <v>728</v>
      </c>
      <c r="E8942" s="704" t="s">
        <v>448</v>
      </c>
      <c r="F8942" s="706">
        <v>0.40181975119570262</v>
      </c>
      <c r="G8942" s="705">
        <v>301.71281792980062</v>
      </c>
    </row>
    <row r="8943" spans="2:7" ht="11.25" hidden="1" customHeight="1" outlineLevel="2" x14ac:dyDescent="0.25">
      <c r="B8943" s="704" t="s">
        <v>685</v>
      </c>
      <c r="C8943" s="704" t="s">
        <v>779</v>
      </c>
      <c r="D8943" s="704" t="s">
        <v>728</v>
      </c>
      <c r="E8943" s="704" t="s">
        <v>448</v>
      </c>
      <c r="F8943" s="706">
        <v>1.8980596209081346</v>
      </c>
      <c r="G8943" s="705">
        <v>1421.8207519742837</v>
      </c>
    </row>
    <row r="8944" spans="2:7" ht="11.25" hidden="1" customHeight="1" outlineLevel="2" x14ac:dyDescent="0.25">
      <c r="B8944" s="704" t="s">
        <v>686</v>
      </c>
      <c r="C8944" s="704" t="s">
        <v>779</v>
      </c>
      <c r="D8944" s="704" t="s">
        <v>728</v>
      </c>
      <c r="E8944" s="704" t="s">
        <v>448</v>
      </c>
      <c r="F8944" s="706">
        <v>0.40707215265289987</v>
      </c>
      <c r="G8944" s="705">
        <v>303.59851290387462</v>
      </c>
    </row>
    <row r="8945" spans="2:7" ht="11.25" hidden="1" customHeight="1" outlineLevel="2" x14ac:dyDescent="0.25">
      <c r="B8945" s="704" t="s">
        <v>687</v>
      </c>
      <c r="C8945" s="704" t="s">
        <v>779</v>
      </c>
      <c r="D8945" s="704" t="s">
        <v>728</v>
      </c>
      <c r="E8945" s="704" t="s">
        <v>448</v>
      </c>
      <c r="F8945" s="705">
        <v>0.83577667961559543</v>
      </c>
      <c r="G8945" s="705">
        <v>624.1679443607826</v>
      </c>
    </row>
    <row r="8946" spans="2:7" ht="11.25" hidden="1" customHeight="1" outlineLevel="2" x14ac:dyDescent="0.25">
      <c r="B8946" s="704" t="s">
        <v>688</v>
      </c>
      <c r="C8946" s="704" t="s">
        <v>779</v>
      </c>
      <c r="D8946" s="704" t="s">
        <v>728</v>
      </c>
      <c r="E8946" s="704" t="s">
        <v>448</v>
      </c>
      <c r="F8946" s="705">
        <v>2.4593553373194403</v>
      </c>
      <c r="G8946" s="705">
        <v>1836.6770666359594</v>
      </c>
    </row>
    <row r="8947" spans="2:7" ht="11.25" hidden="1" customHeight="1" outlineLevel="2" x14ac:dyDescent="0.25">
      <c r="B8947" s="704" t="s">
        <v>689</v>
      </c>
      <c r="C8947" s="704" t="s">
        <v>779</v>
      </c>
      <c r="D8947" s="704" t="s">
        <v>728</v>
      </c>
      <c r="E8947" s="704" t="s">
        <v>448</v>
      </c>
      <c r="F8947" s="705">
        <v>0.23976687280929201</v>
      </c>
      <c r="G8947" s="705">
        <v>178.77846147235539</v>
      </c>
    </row>
    <row r="8948" spans="2:7" ht="11.25" hidden="1" customHeight="1" outlineLevel="2" x14ac:dyDescent="0.25">
      <c r="B8948" s="704" t="s">
        <v>690</v>
      </c>
      <c r="C8948" s="704" t="s">
        <v>779</v>
      </c>
      <c r="D8948" s="704" t="s">
        <v>728</v>
      </c>
      <c r="E8948" s="704" t="s">
        <v>448</v>
      </c>
      <c r="F8948" s="705">
        <v>7.4965801255609588</v>
      </c>
      <c r="G8948" s="705">
        <v>5615.6269396657945</v>
      </c>
    </row>
    <row r="8949" spans="2:7" ht="11.25" hidden="1" customHeight="1" outlineLevel="2" x14ac:dyDescent="0.25">
      <c r="B8949" s="704" t="s">
        <v>691</v>
      </c>
      <c r="C8949" s="704" t="s">
        <v>779</v>
      </c>
      <c r="D8949" s="704" t="s">
        <v>728</v>
      </c>
      <c r="E8949" s="704" t="s">
        <v>448</v>
      </c>
      <c r="F8949" s="705">
        <v>3.6627030226113635</v>
      </c>
      <c r="G8949" s="705">
        <v>2743.6994991906613</v>
      </c>
    </row>
    <row r="8950" spans="2:7" ht="11.25" hidden="1" customHeight="1" outlineLevel="2" x14ac:dyDescent="0.25">
      <c r="B8950" s="704" t="s">
        <v>692</v>
      </c>
      <c r="C8950" s="704" t="s">
        <v>779</v>
      </c>
      <c r="D8950" s="704" t="s">
        <v>728</v>
      </c>
      <c r="E8950" s="704" t="s">
        <v>448</v>
      </c>
      <c r="F8950" s="705">
        <v>0.2398754986845324</v>
      </c>
      <c r="G8950" s="705">
        <v>179.14193895399345</v>
      </c>
    </row>
    <row r="8951" spans="2:7" ht="11.25" hidden="1" customHeight="1" outlineLevel="2" x14ac:dyDescent="0.25">
      <c r="B8951" s="704" t="s">
        <v>693</v>
      </c>
      <c r="C8951" s="704" t="s">
        <v>779</v>
      </c>
      <c r="D8951" s="704" t="s">
        <v>728</v>
      </c>
      <c r="E8951" s="704" t="s">
        <v>448</v>
      </c>
      <c r="F8951" s="705">
        <v>0.18333020615908327</v>
      </c>
      <c r="G8951" s="705">
        <v>137.65650855658427</v>
      </c>
    </row>
    <row r="8952" spans="2:7" ht="11.25" hidden="1" customHeight="1" outlineLevel="2" x14ac:dyDescent="0.25">
      <c r="B8952" s="704" t="s">
        <v>694</v>
      </c>
      <c r="C8952" s="704" t="s">
        <v>779</v>
      </c>
      <c r="D8952" s="704" t="s">
        <v>728</v>
      </c>
      <c r="E8952" s="704" t="s">
        <v>448</v>
      </c>
      <c r="F8952" s="705">
        <v>0.40433112353902301</v>
      </c>
      <c r="G8952" s="705">
        <v>303.59851290387462</v>
      </c>
    </row>
    <row r="8953" spans="2:7" ht="11.25" hidden="1" customHeight="1" outlineLevel="2" x14ac:dyDescent="0.25">
      <c r="B8953" s="704" t="s">
        <v>695</v>
      </c>
      <c r="C8953" s="704" t="s">
        <v>779</v>
      </c>
      <c r="D8953" s="704" t="s">
        <v>728</v>
      </c>
      <c r="E8953" s="704" t="s">
        <v>448</v>
      </c>
      <c r="F8953" s="705">
        <v>0.39679704385768477</v>
      </c>
      <c r="G8953" s="705">
        <v>297.94141249690188</v>
      </c>
    </row>
    <row r="8954" spans="2:7" ht="11.25" hidden="1" customHeight="1" outlineLevel="2" x14ac:dyDescent="0.25">
      <c r="B8954" s="704" t="s">
        <v>696</v>
      </c>
      <c r="C8954" s="704" t="s">
        <v>779</v>
      </c>
      <c r="D8954" s="704" t="s">
        <v>728</v>
      </c>
      <c r="E8954" s="704" t="s">
        <v>448</v>
      </c>
      <c r="F8954" s="705">
        <v>0.57141793280067166</v>
      </c>
      <c r="G8954" s="705">
        <v>426.16929808940921</v>
      </c>
    </row>
    <row r="8955" spans="2:7" ht="11.25" hidden="1" customHeight="1" outlineLevel="2" x14ac:dyDescent="0.25">
      <c r="B8955" s="704" t="s">
        <v>697</v>
      </c>
      <c r="C8955" s="704" t="s">
        <v>779</v>
      </c>
      <c r="D8955" s="704" t="s">
        <v>728</v>
      </c>
      <c r="E8955" s="704" t="s">
        <v>448</v>
      </c>
      <c r="F8955" s="705">
        <v>0.25616015185944291</v>
      </c>
      <c r="G8955" s="705">
        <v>192.34185849741365</v>
      </c>
    </row>
    <row r="8956" spans="2:7" ht="11.25" hidden="1" customHeight="1" outlineLevel="2" x14ac:dyDescent="0.25">
      <c r="B8956" s="704" t="s">
        <v>698</v>
      </c>
      <c r="C8956" s="704" t="s">
        <v>779</v>
      </c>
      <c r="D8956" s="704" t="s">
        <v>728</v>
      </c>
      <c r="E8956" s="704" t="s">
        <v>448</v>
      </c>
      <c r="F8956" s="705">
        <v>0.40433112353010198</v>
      </c>
      <c r="G8956" s="705">
        <v>303.59851289968123</v>
      </c>
    </row>
    <row r="8957" spans="2:7" ht="11.25" hidden="1" customHeight="1" outlineLevel="2" x14ac:dyDescent="0.25">
      <c r="B8957" s="704" t="s">
        <v>699</v>
      </c>
      <c r="C8957" s="704" t="s">
        <v>779</v>
      </c>
      <c r="D8957" s="704" t="s">
        <v>728</v>
      </c>
      <c r="E8957" s="704" t="s">
        <v>448</v>
      </c>
      <c r="F8957" s="705">
        <v>0.45702606837572712</v>
      </c>
      <c r="G8957" s="705">
        <v>341.31246034135665</v>
      </c>
    </row>
    <row r="8958" spans="2:7" ht="11.25" hidden="1" customHeight="1" outlineLevel="2" x14ac:dyDescent="0.25">
      <c r="B8958" s="704" t="s">
        <v>673</v>
      </c>
      <c r="C8958" s="704" t="s">
        <v>780</v>
      </c>
      <c r="D8958" s="704" t="s">
        <v>728</v>
      </c>
      <c r="E8958" s="704" t="s">
        <v>448</v>
      </c>
      <c r="F8958" s="705">
        <v>4.1628208638618616E-3</v>
      </c>
      <c r="G8958" s="705">
        <v>3.1268944743017131</v>
      </c>
    </row>
    <row r="8959" spans="2:7" ht="11.25" hidden="1" customHeight="1" outlineLevel="2" x14ac:dyDescent="0.25">
      <c r="B8959" s="704" t="s">
        <v>677</v>
      </c>
      <c r="C8959" s="704" t="s">
        <v>780</v>
      </c>
      <c r="D8959" s="704" t="s">
        <v>728</v>
      </c>
      <c r="E8959" s="704" t="s">
        <v>448</v>
      </c>
      <c r="F8959" s="705">
        <v>2.4790479153226092E-2</v>
      </c>
      <c r="G8959" s="705">
        <v>18.423881008037394</v>
      </c>
    </row>
    <row r="8960" spans="2:7" ht="11.25" hidden="1" customHeight="1" outlineLevel="2" x14ac:dyDescent="0.25">
      <c r="B8960" s="704" t="s">
        <v>678</v>
      </c>
      <c r="C8960" s="704" t="s">
        <v>780</v>
      </c>
      <c r="D8960" s="704" t="s">
        <v>728</v>
      </c>
      <c r="E8960" s="704" t="s">
        <v>448</v>
      </c>
      <c r="F8960" s="705">
        <v>4.0584866856016373E-2</v>
      </c>
      <c r="G8960" s="705">
        <v>30.526368127477141</v>
      </c>
    </row>
    <row r="8961" spans="2:7" ht="11.25" hidden="1" customHeight="1" outlineLevel="2" x14ac:dyDescent="0.25">
      <c r="B8961" s="704" t="s">
        <v>679</v>
      </c>
      <c r="C8961" s="704" t="s">
        <v>780</v>
      </c>
      <c r="D8961" s="704" t="s">
        <v>728</v>
      </c>
      <c r="E8961" s="704" t="s">
        <v>448</v>
      </c>
      <c r="F8961" s="705">
        <v>3.7346476703223729E-3</v>
      </c>
      <c r="G8961" s="705">
        <v>2.8175559082497403</v>
      </c>
    </row>
    <row r="8962" spans="2:7" ht="11.25" hidden="1" customHeight="1" outlineLevel="2" x14ac:dyDescent="0.25">
      <c r="B8962" s="704" t="s">
        <v>680</v>
      </c>
      <c r="C8962" s="704" t="s">
        <v>780</v>
      </c>
      <c r="D8962" s="704" t="s">
        <v>728</v>
      </c>
      <c r="E8962" s="704" t="s">
        <v>448</v>
      </c>
      <c r="F8962" s="705">
        <v>1.5529157576370622E-3</v>
      </c>
      <c r="G8962" s="705">
        <v>1.1743563579336862</v>
      </c>
    </row>
    <row r="8963" spans="2:7" ht="11.25" hidden="1" customHeight="1" outlineLevel="2" x14ac:dyDescent="0.25">
      <c r="B8963" s="704" t="s">
        <v>681</v>
      </c>
      <c r="C8963" s="704" t="s">
        <v>780</v>
      </c>
      <c r="D8963" s="704" t="s">
        <v>728</v>
      </c>
      <c r="E8963" s="704" t="s">
        <v>448</v>
      </c>
      <c r="F8963" s="705">
        <v>7.2366792895445457E-3</v>
      </c>
      <c r="G8963" s="705">
        <v>5.4431500655199629</v>
      </c>
    </row>
    <row r="8964" spans="2:7" ht="11.25" hidden="1" customHeight="1" outlineLevel="2" x14ac:dyDescent="0.25">
      <c r="B8964" s="704" t="s">
        <v>682</v>
      </c>
      <c r="C8964" s="704" t="s">
        <v>780</v>
      </c>
      <c r="D8964" s="704" t="s">
        <v>728</v>
      </c>
      <c r="E8964" s="704" t="s">
        <v>448</v>
      </c>
      <c r="F8964" s="705">
        <v>4.5911402718409461E-3</v>
      </c>
      <c r="G8964" s="705">
        <v>3.4536585158607314</v>
      </c>
    </row>
    <row r="8965" spans="2:7" ht="11.25" hidden="1" customHeight="1" outlineLevel="2" x14ac:dyDescent="0.25">
      <c r="B8965" s="704" t="s">
        <v>683</v>
      </c>
      <c r="C8965" s="704" t="s">
        <v>780</v>
      </c>
      <c r="D8965" s="704" t="s">
        <v>728</v>
      </c>
      <c r="E8965" s="704" t="s">
        <v>448</v>
      </c>
      <c r="F8965" s="705">
        <v>5.9152307862599353E-3</v>
      </c>
      <c r="G8965" s="705">
        <v>4.4626683080922778</v>
      </c>
    </row>
    <row r="8966" spans="2:7" ht="11.25" hidden="1" customHeight="1" outlineLevel="2" x14ac:dyDescent="0.25">
      <c r="B8966" s="704" t="s">
        <v>684</v>
      </c>
      <c r="C8966" s="704" t="s">
        <v>780</v>
      </c>
      <c r="D8966" s="704" t="s">
        <v>728</v>
      </c>
      <c r="E8966" s="704" t="s">
        <v>448</v>
      </c>
      <c r="F8966" s="705">
        <v>1.866132254513324E-3</v>
      </c>
      <c r="G8966" s="705">
        <v>1.4112185830425306</v>
      </c>
    </row>
    <row r="8967" spans="2:7" ht="11.25" hidden="1" customHeight="1" outlineLevel="2" x14ac:dyDescent="0.25">
      <c r="B8967" s="704" t="s">
        <v>685</v>
      </c>
      <c r="C8967" s="704" t="s">
        <v>780</v>
      </c>
      <c r="D8967" s="704" t="s">
        <v>728</v>
      </c>
      <c r="E8967" s="704" t="s">
        <v>448</v>
      </c>
      <c r="F8967" s="705">
        <v>9.8873205812754043E-3</v>
      </c>
      <c r="G8967" s="705">
        <v>7.4593548632208346</v>
      </c>
    </row>
    <row r="8968" spans="2:7" ht="11.25" hidden="1" customHeight="1" outlineLevel="2" x14ac:dyDescent="0.25">
      <c r="B8968" s="704" t="s">
        <v>686</v>
      </c>
      <c r="C8968" s="704" t="s">
        <v>780</v>
      </c>
      <c r="D8968" s="704" t="s">
        <v>728</v>
      </c>
      <c r="E8968" s="704" t="s">
        <v>448</v>
      </c>
      <c r="F8968" s="705">
        <v>2.1822313280790984E-3</v>
      </c>
      <c r="G8968" s="705">
        <v>1.6391783187954665</v>
      </c>
    </row>
    <row r="8969" spans="2:7" ht="11.25" hidden="1" customHeight="1" outlineLevel="2" x14ac:dyDescent="0.25">
      <c r="B8969" s="704" t="s">
        <v>687</v>
      </c>
      <c r="C8969" s="704" t="s">
        <v>780</v>
      </c>
      <c r="D8969" s="704" t="s">
        <v>728</v>
      </c>
      <c r="E8969" s="704" t="s">
        <v>448</v>
      </c>
      <c r="F8969" s="705">
        <v>1.103544757040619E-2</v>
      </c>
      <c r="G8969" s="705">
        <v>8.3004362067055588</v>
      </c>
    </row>
    <row r="8970" spans="2:7" ht="11.25" hidden="1" customHeight="1" outlineLevel="2" x14ac:dyDescent="0.25">
      <c r="B8970" s="704" t="s">
        <v>688</v>
      </c>
      <c r="C8970" s="704" t="s">
        <v>780</v>
      </c>
      <c r="D8970" s="704" t="s">
        <v>728</v>
      </c>
      <c r="E8970" s="704" t="s">
        <v>448</v>
      </c>
      <c r="F8970" s="705">
        <v>1.230043303911062E-2</v>
      </c>
      <c r="G8970" s="705">
        <v>9.2519110909485676</v>
      </c>
    </row>
    <row r="8971" spans="2:7" ht="11.25" hidden="1" customHeight="1" outlineLevel="2" x14ac:dyDescent="0.25">
      <c r="B8971" s="704" t="s">
        <v>689</v>
      </c>
      <c r="C8971" s="704" t="s">
        <v>780</v>
      </c>
      <c r="D8971" s="704" t="s">
        <v>728</v>
      </c>
      <c r="E8971" s="704" t="s">
        <v>448</v>
      </c>
      <c r="F8971" s="705">
        <v>1.9589605267272582E-3</v>
      </c>
      <c r="G8971" s="705">
        <v>1.4714840365951214</v>
      </c>
    </row>
    <row r="8972" spans="2:7" ht="11.25" hidden="1" customHeight="1" outlineLevel="2" x14ac:dyDescent="0.25">
      <c r="B8972" s="704" t="s">
        <v>690</v>
      </c>
      <c r="C8972" s="704" t="s">
        <v>780</v>
      </c>
      <c r="D8972" s="704" t="s">
        <v>728</v>
      </c>
      <c r="E8972" s="704" t="s">
        <v>448</v>
      </c>
      <c r="F8972" s="705">
        <v>4.3794712554457459E-2</v>
      </c>
      <c r="G8972" s="705">
        <v>33.040350895167691</v>
      </c>
    </row>
    <row r="8973" spans="2:7" ht="11.25" hidden="1" customHeight="1" outlineLevel="2" x14ac:dyDescent="0.25">
      <c r="B8973" s="704" t="s">
        <v>691</v>
      </c>
      <c r="C8973" s="704" t="s">
        <v>780</v>
      </c>
      <c r="D8973" s="704" t="s">
        <v>728</v>
      </c>
      <c r="E8973" s="704" t="s">
        <v>448</v>
      </c>
      <c r="F8973" s="705">
        <v>3.920421132097348E-2</v>
      </c>
      <c r="G8973" s="705">
        <v>29.577094794905726</v>
      </c>
    </row>
    <row r="8974" spans="2:7" ht="11.25" hidden="1" customHeight="1" outlineLevel="2" x14ac:dyDescent="0.25">
      <c r="B8974" s="704" t="s">
        <v>692</v>
      </c>
      <c r="C8974" s="704" t="s">
        <v>780</v>
      </c>
      <c r="D8974" s="704" t="s">
        <v>728</v>
      </c>
      <c r="E8974" s="704" t="s">
        <v>448</v>
      </c>
      <c r="F8974" s="705">
        <v>2.2330049679702567E-3</v>
      </c>
      <c r="G8974" s="705">
        <v>1.6795803670081322</v>
      </c>
    </row>
    <row r="8975" spans="2:7" ht="11.25" hidden="1" customHeight="1" outlineLevel="2" x14ac:dyDescent="0.25">
      <c r="B8975" s="704" t="s">
        <v>693</v>
      </c>
      <c r="C8975" s="704" t="s">
        <v>780</v>
      </c>
      <c r="D8975" s="704" t="s">
        <v>728</v>
      </c>
      <c r="E8975" s="704" t="s">
        <v>448</v>
      </c>
      <c r="F8975" s="705">
        <v>4.5374613580186907E-3</v>
      </c>
      <c r="G8975" s="705">
        <v>3.431348942167308</v>
      </c>
    </row>
    <row r="8976" spans="2:7" ht="11.25" hidden="1" customHeight="1" outlineLevel="2" x14ac:dyDescent="0.25">
      <c r="B8976" s="704" t="s">
        <v>694</v>
      </c>
      <c r="C8976" s="704" t="s">
        <v>780</v>
      </c>
      <c r="D8976" s="704" t="s">
        <v>728</v>
      </c>
      <c r="E8976" s="704" t="s">
        <v>448</v>
      </c>
      <c r="F8976" s="705">
        <v>1.2729959281181904E-3</v>
      </c>
      <c r="G8976" s="705">
        <v>0.9626730864176799</v>
      </c>
    </row>
    <row r="8977" spans="2:7" ht="11.25" hidden="1" customHeight="1" outlineLevel="2" x14ac:dyDescent="0.25">
      <c r="B8977" s="704" t="s">
        <v>695</v>
      </c>
      <c r="C8977" s="704" t="s">
        <v>780</v>
      </c>
      <c r="D8977" s="704" t="s">
        <v>728</v>
      </c>
      <c r="E8977" s="704" t="s">
        <v>448</v>
      </c>
      <c r="F8977" s="705">
        <v>2.1620039144902808E-3</v>
      </c>
      <c r="G8977" s="705">
        <v>1.6349655810265</v>
      </c>
    </row>
    <row r="8978" spans="2:7" ht="11.25" hidden="1" customHeight="1" outlineLevel="2" x14ac:dyDescent="0.25">
      <c r="B8978" s="704" t="s">
        <v>696</v>
      </c>
      <c r="C8978" s="704" t="s">
        <v>780</v>
      </c>
      <c r="D8978" s="704" t="s">
        <v>728</v>
      </c>
      <c r="E8978" s="704" t="s">
        <v>448</v>
      </c>
      <c r="F8978" s="705">
        <v>6.9164528859776385E-3</v>
      </c>
      <c r="G8978" s="705">
        <v>5.1952783089270529</v>
      </c>
    </row>
    <row r="8979" spans="2:7" ht="11.25" hidden="1" customHeight="1" outlineLevel="2" x14ac:dyDescent="0.25">
      <c r="B8979" s="704" t="s">
        <v>697</v>
      </c>
      <c r="C8979" s="704" t="s">
        <v>780</v>
      </c>
      <c r="D8979" s="704" t="s">
        <v>728</v>
      </c>
      <c r="E8979" s="704" t="s">
        <v>448</v>
      </c>
      <c r="F8979" s="705">
        <v>4.5085951610475397E-3</v>
      </c>
      <c r="G8979" s="705">
        <v>3.4095201763166845</v>
      </c>
    </row>
    <row r="8980" spans="2:7" ht="11.25" hidden="1" customHeight="1" outlineLevel="2" x14ac:dyDescent="0.25">
      <c r="B8980" s="704" t="s">
        <v>698</v>
      </c>
      <c r="C8980" s="704" t="s">
        <v>780</v>
      </c>
      <c r="D8980" s="704" t="s">
        <v>728</v>
      </c>
      <c r="E8980" s="704" t="s">
        <v>448</v>
      </c>
      <c r="F8980" s="705">
        <v>6.0955697877047898E-3</v>
      </c>
      <c r="G8980" s="705">
        <v>4.6096307573425079</v>
      </c>
    </row>
    <row r="8981" spans="2:7" ht="11.25" hidden="1" customHeight="1" outlineLevel="2" x14ac:dyDescent="0.25">
      <c r="B8981" s="704" t="s">
        <v>699</v>
      </c>
      <c r="C8981" s="704" t="s">
        <v>780</v>
      </c>
      <c r="D8981" s="704" t="s">
        <v>728</v>
      </c>
      <c r="E8981" s="704" t="s">
        <v>448</v>
      </c>
      <c r="F8981" s="705">
        <v>3.7710981157727905E-2</v>
      </c>
      <c r="G8981" s="705">
        <v>28.364736816453856</v>
      </c>
    </row>
    <row r="8982" spans="2:7" ht="11.25" hidden="1" customHeight="1" outlineLevel="2" x14ac:dyDescent="0.25">
      <c r="B8982" s="704" t="s">
        <v>673</v>
      </c>
      <c r="C8982" s="704" t="s">
        <v>781</v>
      </c>
      <c r="D8982" s="704" t="s">
        <v>728</v>
      </c>
      <c r="E8982" s="704" t="s">
        <v>448</v>
      </c>
      <c r="F8982" s="705">
        <v>1.7329488036997383E-3</v>
      </c>
      <c r="G8982" s="705">
        <v>2.1454478635684042</v>
      </c>
    </row>
    <row r="8983" spans="2:7" ht="11.25" hidden="1" customHeight="1" outlineLevel="2" x14ac:dyDescent="0.25">
      <c r="B8983" s="704" t="s">
        <v>677</v>
      </c>
      <c r="C8983" s="704" t="s">
        <v>781</v>
      </c>
      <c r="D8983" s="704" t="s">
        <v>728</v>
      </c>
      <c r="E8983" s="704" t="s">
        <v>448</v>
      </c>
      <c r="F8983" s="705">
        <v>8.3932076843363068E-2</v>
      </c>
      <c r="G8983" s="705">
        <v>102.80984131424373</v>
      </c>
    </row>
    <row r="8984" spans="2:7" ht="11.25" hidden="1" customHeight="1" outlineLevel="2" x14ac:dyDescent="0.25">
      <c r="B8984" s="704" t="s">
        <v>678</v>
      </c>
      <c r="C8984" s="704" t="s">
        <v>781</v>
      </c>
      <c r="D8984" s="704" t="s">
        <v>728</v>
      </c>
      <c r="E8984" s="704" t="s">
        <v>448</v>
      </c>
      <c r="F8984" s="705">
        <v>9.9683879049597676E-2</v>
      </c>
      <c r="G8984" s="705">
        <v>123.5778169920234</v>
      </c>
    </row>
    <row r="8985" spans="2:7" ht="11.25" hidden="1" customHeight="1" outlineLevel="2" x14ac:dyDescent="0.25">
      <c r="B8985" s="704" t="s">
        <v>679</v>
      </c>
      <c r="C8985" s="704" t="s">
        <v>781</v>
      </c>
      <c r="D8985" s="704" t="s">
        <v>728</v>
      </c>
      <c r="E8985" s="704" t="s">
        <v>448</v>
      </c>
      <c r="F8985" s="706">
        <v>5.9352252969964107E-3</v>
      </c>
      <c r="G8985" s="705">
        <v>7.3803416010510112</v>
      </c>
    </row>
    <row r="8986" spans="2:7" ht="11.25" hidden="1" customHeight="1" outlineLevel="2" x14ac:dyDescent="0.25">
      <c r="B8986" s="704" t="s">
        <v>680</v>
      </c>
      <c r="C8986" s="704" t="s">
        <v>781</v>
      </c>
      <c r="D8986" s="704" t="s">
        <v>728</v>
      </c>
      <c r="E8986" s="704" t="s">
        <v>448</v>
      </c>
      <c r="F8986" s="706">
        <v>1.8589823021649562E-3</v>
      </c>
      <c r="G8986" s="705">
        <v>2.3170840918514504</v>
      </c>
    </row>
    <row r="8987" spans="2:7" ht="11.25" hidden="1" customHeight="1" outlineLevel="2" x14ac:dyDescent="0.25">
      <c r="B8987" s="704" t="s">
        <v>681</v>
      </c>
      <c r="C8987" s="704" t="s">
        <v>781</v>
      </c>
      <c r="D8987" s="704" t="s">
        <v>728</v>
      </c>
      <c r="E8987" s="704" t="s">
        <v>448</v>
      </c>
      <c r="F8987" s="706">
        <v>3.142812215069607E-2</v>
      </c>
      <c r="G8987" s="705">
        <v>38.961348434442257</v>
      </c>
    </row>
    <row r="8988" spans="2:7" ht="11.25" hidden="1" customHeight="1" outlineLevel="2" x14ac:dyDescent="0.25">
      <c r="B8988" s="704" t="s">
        <v>682</v>
      </c>
      <c r="C8988" s="704" t="s">
        <v>781</v>
      </c>
      <c r="D8988" s="704" t="s">
        <v>728</v>
      </c>
      <c r="E8988" s="704" t="s">
        <v>448</v>
      </c>
      <c r="F8988" s="706">
        <v>4.083815621789005E-3</v>
      </c>
      <c r="G8988" s="705">
        <v>5.0632577985168288</v>
      </c>
    </row>
    <row r="8989" spans="2:7" ht="11.25" hidden="1" customHeight="1" outlineLevel="2" x14ac:dyDescent="0.25">
      <c r="B8989" s="704" t="s">
        <v>683</v>
      </c>
      <c r="C8989" s="704" t="s">
        <v>781</v>
      </c>
      <c r="D8989" s="704" t="s">
        <v>728</v>
      </c>
      <c r="E8989" s="704" t="s">
        <v>448</v>
      </c>
      <c r="F8989" s="706">
        <v>8.5577683909762274E-3</v>
      </c>
      <c r="G8989" s="705">
        <v>10.641424192095986</v>
      </c>
    </row>
    <row r="8990" spans="2:7" ht="11.25" hidden="1" customHeight="1" outlineLevel="2" x14ac:dyDescent="0.25">
      <c r="B8990" s="704" t="s">
        <v>684</v>
      </c>
      <c r="C8990" s="704" t="s">
        <v>781</v>
      </c>
      <c r="D8990" s="704" t="s">
        <v>728</v>
      </c>
      <c r="E8990" s="704" t="s">
        <v>448</v>
      </c>
      <c r="F8990" s="706">
        <v>1.1016191768539615E-2</v>
      </c>
      <c r="G8990" s="705">
        <v>13.730869005468239</v>
      </c>
    </row>
    <row r="8991" spans="2:7" ht="11.25" hidden="1" customHeight="1" outlineLevel="2" x14ac:dyDescent="0.25">
      <c r="B8991" s="704" t="s">
        <v>685</v>
      </c>
      <c r="C8991" s="704" t="s">
        <v>781</v>
      </c>
      <c r="D8991" s="704" t="s">
        <v>728</v>
      </c>
      <c r="E8991" s="704" t="s">
        <v>448</v>
      </c>
      <c r="F8991" s="706">
        <v>5.2036749005345335E-2</v>
      </c>
      <c r="G8991" s="705">
        <v>64.70670103121563</v>
      </c>
    </row>
    <row r="8992" spans="2:7" ht="11.25" hidden="1" customHeight="1" outlineLevel="2" x14ac:dyDescent="0.25">
      <c r="B8992" s="704" t="s">
        <v>686</v>
      </c>
      <c r="C8992" s="704" t="s">
        <v>781</v>
      </c>
      <c r="D8992" s="704" t="s">
        <v>728</v>
      </c>
      <c r="E8992" s="704" t="s">
        <v>448</v>
      </c>
      <c r="F8992" s="706">
        <v>1.1160194965785405E-2</v>
      </c>
      <c r="G8992" s="705">
        <v>13.816686375781579</v>
      </c>
    </row>
    <row r="8993" spans="2:7" ht="11.25" hidden="1" customHeight="1" outlineLevel="2" x14ac:dyDescent="0.25">
      <c r="B8993" s="704" t="s">
        <v>687</v>
      </c>
      <c r="C8993" s="704" t="s">
        <v>781</v>
      </c>
      <c r="D8993" s="704" t="s">
        <v>728</v>
      </c>
      <c r="E8993" s="704" t="s">
        <v>448</v>
      </c>
      <c r="F8993" s="706">
        <v>2.2913451305979479E-2</v>
      </c>
      <c r="G8993" s="705">
        <v>28.40573250943946</v>
      </c>
    </row>
    <row r="8994" spans="2:7" ht="11.25" hidden="1" customHeight="1" outlineLevel="2" x14ac:dyDescent="0.25">
      <c r="B8994" s="704" t="s">
        <v>688</v>
      </c>
      <c r="C8994" s="704" t="s">
        <v>781</v>
      </c>
      <c r="D8994" s="704" t="s">
        <v>728</v>
      </c>
      <c r="E8994" s="704" t="s">
        <v>448</v>
      </c>
      <c r="F8994" s="706">
        <v>6.7425078372294278E-2</v>
      </c>
      <c r="G8994" s="705">
        <v>83.586660635322644</v>
      </c>
    </row>
    <row r="8995" spans="2:7" ht="11.25" hidden="1" customHeight="1" outlineLevel="2" x14ac:dyDescent="0.25">
      <c r="B8995" s="704" t="s">
        <v>689</v>
      </c>
      <c r="C8995" s="704" t="s">
        <v>781</v>
      </c>
      <c r="D8995" s="704" t="s">
        <v>728</v>
      </c>
      <c r="E8995" s="704" t="s">
        <v>448</v>
      </c>
      <c r="F8995" s="706">
        <v>6.5733882538863194E-3</v>
      </c>
      <c r="G8995" s="705">
        <v>8.1361581816652269</v>
      </c>
    </row>
    <row r="8996" spans="2:7" ht="11.25" hidden="1" customHeight="1" outlineLevel="2" x14ac:dyDescent="0.25">
      <c r="B8996" s="704" t="s">
        <v>690</v>
      </c>
      <c r="C8996" s="704" t="s">
        <v>781</v>
      </c>
      <c r="D8996" s="704" t="s">
        <v>728</v>
      </c>
      <c r="E8996" s="704" t="s">
        <v>448</v>
      </c>
      <c r="F8996" s="706">
        <v>0.20552443354877667</v>
      </c>
      <c r="G8996" s="705">
        <v>255.56581943046629</v>
      </c>
    </row>
    <row r="8997" spans="2:7" ht="11.25" hidden="1" customHeight="1" outlineLevel="2" x14ac:dyDescent="0.25">
      <c r="B8997" s="704" t="s">
        <v>691</v>
      </c>
      <c r="C8997" s="704" t="s">
        <v>781</v>
      </c>
      <c r="D8997" s="704" t="s">
        <v>728</v>
      </c>
      <c r="E8997" s="704" t="s">
        <v>448</v>
      </c>
      <c r="F8997" s="706">
        <v>0.10041574967168394</v>
      </c>
      <c r="G8997" s="705">
        <v>124.86514184879769</v>
      </c>
    </row>
    <row r="8998" spans="2:7" ht="11.25" hidden="1" customHeight="1" outlineLevel="2" x14ac:dyDescent="0.25">
      <c r="B8998" s="704" t="s">
        <v>692</v>
      </c>
      <c r="C8998" s="704" t="s">
        <v>781</v>
      </c>
      <c r="D8998" s="704" t="s">
        <v>728</v>
      </c>
      <c r="E8998" s="704" t="s">
        <v>448</v>
      </c>
      <c r="F8998" s="706">
        <v>6.5763689810474117E-3</v>
      </c>
      <c r="G8998" s="705">
        <v>8.1526997287410623</v>
      </c>
    </row>
    <row r="8999" spans="2:7" ht="11.25" hidden="1" customHeight="1" outlineLevel="2" x14ac:dyDescent="0.25">
      <c r="B8999" s="704" t="s">
        <v>693</v>
      </c>
      <c r="C8999" s="704" t="s">
        <v>781</v>
      </c>
      <c r="D8999" s="704" t="s">
        <v>728</v>
      </c>
      <c r="E8999" s="704" t="s">
        <v>448</v>
      </c>
      <c r="F8999" s="706">
        <v>5.0261366734313719E-3</v>
      </c>
      <c r="G8999" s="705">
        <v>6.2647065065134191</v>
      </c>
    </row>
    <row r="9000" spans="2:7" ht="11.25" hidden="1" customHeight="1" outlineLevel="2" x14ac:dyDescent="0.25">
      <c r="B9000" s="704" t="s">
        <v>694</v>
      </c>
      <c r="C9000" s="704" t="s">
        <v>781</v>
      </c>
      <c r="D9000" s="704" t="s">
        <v>728</v>
      </c>
      <c r="E9000" s="704" t="s">
        <v>448</v>
      </c>
      <c r="F9000" s="706">
        <v>1.1085039339179677E-2</v>
      </c>
      <c r="G9000" s="705">
        <v>13.816686375781579</v>
      </c>
    </row>
    <row r="9001" spans="2:7" ht="11.25" hidden="1" customHeight="1" outlineLevel="2" x14ac:dyDescent="0.25">
      <c r="B9001" s="704" t="s">
        <v>695</v>
      </c>
      <c r="C9001" s="704" t="s">
        <v>781</v>
      </c>
      <c r="D9001" s="704" t="s">
        <v>728</v>
      </c>
      <c r="E9001" s="704" t="s">
        <v>448</v>
      </c>
      <c r="F9001" s="706">
        <v>1.0878488993128443E-2</v>
      </c>
      <c r="G9001" s="705">
        <v>13.559234523397317</v>
      </c>
    </row>
    <row r="9002" spans="2:7" ht="11.25" hidden="1" customHeight="1" outlineLevel="2" x14ac:dyDescent="0.25">
      <c r="B9002" s="704" t="s">
        <v>696</v>
      </c>
      <c r="C9002" s="704" t="s">
        <v>781</v>
      </c>
      <c r="D9002" s="704" t="s">
        <v>728</v>
      </c>
      <c r="E9002" s="704" t="s">
        <v>448</v>
      </c>
      <c r="F9002" s="706">
        <v>1.5665855611360344E-2</v>
      </c>
      <c r="G9002" s="705">
        <v>19.394858267559929</v>
      </c>
    </row>
    <row r="9003" spans="2:7" ht="11.25" hidden="1" customHeight="1" outlineLevel="2" x14ac:dyDescent="0.25">
      <c r="B9003" s="704" t="s">
        <v>697</v>
      </c>
      <c r="C9003" s="704" t="s">
        <v>781</v>
      </c>
      <c r="D9003" s="704" t="s">
        <v>728</v>
      </c>
      <c r="E9003" s="704" t="s">
        <v>448</v>
      </c>
      <c r="F9003" s="706">
        <v>7.022819659721756E-3</v>
      </c>
      <c r="G9003" s="705">
        <v>8.7534270043001463</v>
      </c>
    </row>
    <row r="9004" spans="2:7" ht="11.25" hidden="1" customHeight="1" outlineLevel="2" x14ac:dyDescent="0.25">
      <c r="B9004" s="704" t="s">
        <v>698</v>
      </c>
      <c r="C9004" s="704" t="s">
        <v>781</v>
      </c>
      <c r="D9004" s="704" t="s">
        <v>728</v>
      </c>
      <c r="E9004" s="704" t="s">
        <v>448</v>
      </c>
      <c r="F9004" s="706">
        <v>1.108503933920937E-2</v>
      </c>
      <c r="G9004" s="705">
        <v>13.816686375189573</v>
      </c>
    </row>
    <row r="9005" spans="2:7" ht="11.25" hidden="1" customHeight="1" outlineLevel="2" x14ac:dyDescent="0.25">
      <c r="B9005" s="704" t="s">
        <v>699</v>
      </c>
      <c r="C9005" s="704" t="s">
        <v>781</v>
      </c>
      <c r="D9005" s="704" t="s">
        <v>728</v>
      </c>
      <c r="E9005" s="704" t="s">
        <v>448</v>
      </c>
      <c r="F9005" s="706">
        <v>1.2529718241078172E-2</v>
      </c>
      <c r="G9005" s="705">
        <v>15.533041920129079</v>
      </c>
    </row>
    <row r="9006" spans="2:7" ht="11.25" hidden="1" customHeight="1" outlineLevel="2" x14ac:dyDescent="0.25">
      <c r="B9006" s="704" t="s">
        <v>673</v>
      </c>
      <c r="C9006" s="704" t="s">
        <v>782</v>
      </c>
      <c r="D9006" s="704" t="s">
        <v>728</v>
      </c>
      <c r="E9006" s="704" t="s">
        <v>448</v>
      </c>
      <c r="F9006" s="706">
        <v>7.9229285568175704E-3</v>
      </c>
      <c r="G9006" s="705">
        <v>5.9655548726052565</v>
      </c>
    </row>
    <row r="9007" spans="2:7" ht="11.25" hidden="1" customHeight="1" outlineLevel="2" x14ac:dyDescent="0.25">
      <c r="B9007" s="704" t="s">
        <v>677</v>
      </c>
      <c r="C9007" s="704" t="s">
        <v>782</v>
      </c>
      <c r="D9007" s="704" t="s">
        <v>728</v>
      </c>
      <c r="E9007" s="704" t="s">
        <v>448</v>
      </c>
      <c r="F9007" s="706">
        <v>4.7182712761836311E-2</v>
      </c>
      <c r="G9007" s="705">
        <v>35.149479872858116</v>
      </c>
    </row>
    <row r="9008" spans="2:7" ht="11.25" hidden="1" customHeight="1" outlineLevel="2" x14ac:dyDescent="0.25">
      <c r="B9008" s="704" t="s">
        <v>678</v>
      </c>
      <c r="C9008" s="704" t="s">
        <v>782</v>
      </c>
      <c r="D9008" s="704" t="s">
        <v>728</v>
      </c>
      <c r="E9008" s="704" t="s">
        <v>448</v>
      </c>
      <c r="F9008" s="706">
        <v>7.7243541170195829E-2</v>
      </c>
      <c r="G9008" s="705">
        <v>58.238887082100881</v>
      </c>
    </row>
    <row r="9009" spans="2:7" ht="11.25" hidden="1" customHeight="1" outlineLevel="2" x14ac:dyDescent="0.25">
      <c r="B9009" s="704" t="s">
        <v>679</v>
      </c>
      <c r="C9009" s="704" t="s">
        <v>782</v>
      </c>
      <c r="D9009" s="704" t="s">
        <v>728</v>
      </c>
      <c r="E9009" s="704" t="s">
        <v>448</v>
      </c>
      <c r="F9009" s="706">
        <v>7.1080053173934524E-3</v>
      </c>
      <c r="G9009" s="705">
        <v>5.375392913384176</v>
      </c>
    </row>
    <row r="9010" spans="2:7" ht="11.25" hidden="1" customHeight="1" outlineLevel="2" x14ac:dyDescent="0.25">
      <c r="B9010" s="704" t="s">
        <v>680</v>
      </c>
      <c r="C9010" s="704" t="s">
        <v>782</v>
      </c>
      <c r="D9010" s="704" t="s">
        <v>728</v>
      </c>
      <c r="E9010" s="704" t="s">
        <v>448</v>
      </c>
      <c r="F9010" s="705">
        <v>2.9556018252010043E-3</v>
      </c>
      <c r="G9010" s="705">
        <v>2.2404617575464676</v>
      </c>
    </row>
    <row r="9011" spans="2:7" ht="11.25" hidden="1" customHeight="1" outlineLevel="2" x14ac:dyDescent="0.25">
      <c r="B9011" s="704" t="s">
        <v>681</v>
      </c>
      <c r="C9011" s="704" t="s">
        <v>782</v>
      </c>
      <c r="D9011" s="704" t="s">
        <v>728</v>
      </c>
      <c r="E9011" s="704" t="s">
        <v>448</v>
      </c>
      <c r="F9011" s="705">
        <v>1.3773282491756002E-2</v>
      </c>
      <c r="G9011" s="705">
        <v>10.384557325396745</v>
      </c>
    </row>
    <row r="9012" spans="2:7" ht="11.25" hidden="1" customHeight="1" outlineLevel="2" x14ac:dyDescent="0.25">
      <c r="B9012" s="704" t="s">
        <v>682</v>
      </c>
      <c r="C9012" s="704" t="s">
        <v>782</v>
      </c>
      <c r="D9012" s="704" t="s">
        <v>728</v>
      </c>
      <c r="E9012" s="704" t="s">
        <v>448</v>
      </c>
      <c r="F9012" s="705">
        <v>8.7381310020513015E-3</v>
      </c>
      <c r="G9012" s="705">
        <v>6.5889616972277905</v>
      </c>
    </row>
    <row r="9013" spans="2:7" ht="11.25" hidden="1" customHeight="1" outlineLevel="2" x14ac:dyDescent="0.25">
      <c r="B9013" s="704" t="s">
        <v>683</v>
      </c>
      <c r="C9013" s="704" t="s">
        <v>782</v>
      </c>
      <c r="D9013" s="704" t="s">
        <v>728</v>
      </c>
      <c r="E9013" s="704" t="s">
        <v>448</v>
      </c>
      <c r="F9013" s="705">
        <v>1.1258222819641422E-2</v>
      </c>
      <c r="G9013" s="705">
        <v>8.5139774189503612</v>
      </c>
    </row>
    <row r="9014" spans="2:7" ht="11.25" hidden="1" customHeight="1" outlineLevel="2" x14ac:dyDescent="0.25">
      <c r="B9014" s="704" t="s">
        <v>684</v>
      </c>
      <c r="C9014" s="704" t="s">
        <v>782</v>
      </c>
      <c r="D9014" s="704" t="s">
        <v>728</v>
      </c>
      <c r="E9014" s="704" t="s">
        <v>448</v>
      </c>
      <c r="F9014" s="705">
        <v>3.5517338888386846E-3</v>
      </c>
      <c r="G9014" s="705">
        <v>2.6923538218325271</v>
      </c>
    </row>
    <row r="9015" spans="2:7" ht="11.25" hidden="1" customHeight="1" outlineLevel="2" x14ac:dyDescent="0.25">
      <c r="B9015" s="704" t="s">
        <v>685</v>
      </c>
      <c r="C9015" s="704" t="s">
        <v>782</v>
      </c>
      <c r="D9015" s="704" t="s">
        <v>728</v>
      </c>
      <c r="E9015" s="704" t="s">
        <v>448</v>
      </c>
      <c r="F9015" s="705">
        <v>1.8818128543833797E-2</v>
      </c>
      <c r="G9015" s="705">
        <v>14.231125342373938</v>
      </c>
    </row>
    <row r="9016" spans="2:7" ht="11.25" hidden="1" customHeight="1" outlineLevel="2" x14ac:dyDescent="0.25">
      <c r="B9016" s="704" t="s">
        <v>686</v>
      </c>
      <c r="C9016" s="704" t="s">
        <v>782</v>
      </c>
      <c r="D9016" s="704" t="s">
        <v>728</v>
      </c>
      <c r="E9016" s="704" t="s">
        <v>448</v>
      </c>
      <c r="F9016" s="705">
        <v>4.1533536899511217E-3</v>
      </c>
      <c r="G9016" s="705">
        <v>3.127259386108395</v>
      </c>
    </row>
    <row r="9017" spans="2:7" ht="11.25" hidden="1" customHeight="1" outlineLevel="2" x14ac:dyDescent="0.25">
      <c r="B9017" s="704" t="s">
        <v>687</v>
      </c>
      <c r="C9017" s="704" t="s">
        <v>782</v>
      </c>
      <c r="D9017" s="704" t="s">
        <v>728</v>
      </c>
      <c r="E9017" s="704" t="s">
        <v>448</v>
      </c>
      <c r="F9017" s="705">
        <v>2.100331964854869E-2</v>
      </c>
      <c r="G9017" s="705">
        <v>15.835758656513894</v>
      </c>
    </row>
    <row r="9018" spans="2:7" ht="11.25" hidden="1" customHeight="1" outlineLevel="2" x14ac:dyDescent="0.25">
      <c r="B9018" s="704" t="s">
        <v>688</v>
      </c>
      <c r="C9018" s="704" t="s">
        <v>782</v>
      </c>
      <c r="D9018" s="704" t="s">
        <v>728</v>
      </c>
      <c r="E9018" s="704" t="s">
        <v>448</v>
      </c>
      <c r="F9018" s="705">
        <v>2.3410914392065461E-2</v>
      </c>
      <c r="G9018" s="705">
        <v>17.650988512365451</v>
      </c>
    </row>
    <row r="9019" spans="2:7" ht="11.25" hidden="1" customHeight="1" outlineLevel="2" x14ac:dyDescent="0.25">
      <c r="B9019" s="704" t="s">
        <v>689</v>
      </c>
      <c r="C9019" s="704" t="s">
        <v>782</v>
      </c>
      <c r="D9019" s="704" t="s">
        <v>728</v>
      </c>
      <c r="E9019" s="704" t="s">
        <v>448</v>
      </c>
      <c r="F9019" s="705">
        <v>3.7284121591413246E-3</v>
      </c>
      <c r="G9019" s="705">
        <v>2.8073282250379168</v>
      </c>
    </row>
    <row r="9020" spans="2:7" ht="11.25" hidden="1" customHeight="1" outlineLevel="2" x14ac:dyDescent="0.25">
      <c r="B9020" s="704" t="s">
        <v>690</v>
      </c>
      <c r="C9020" s="704" t="s">
        <v>782</v>
      </c>
      <c r="D9020" s="704" t="s">
        <v>728</v>
      </c>
      <c r="E9020" s="704" t="s">
        <v>448</v>
      </c>
      <c r="F9020" s="705">
        <v>8.3352681215213081E-2</v>
      </c>
      <c r="G9020" s="705">
        <v>63.035076563080395</v>
      </c>
    </row>
    <row r="9021" spans="2:7" ht="11.25" hidden="1" customHeight="1" outlineLevel="2" x14ac:dyDescent="0.25">
      <c r="B9021" s="704" t="s">
        <v>691</v>
      </c>
      <c r="C9021" s="704" t="s">
        <v>782</v>
      </c>
      <c r="D9021" s="704" t="s">
        <v>728</v>
      </c>
      <c r="E9021" s="704" t="s">
        <v>448</v>
      </c>
      <c r="F9021" s="705">
        <v>7.4615803472281333E-2</v>
      </c>
      <c r="G9021" s="705">
        <v>56.427838455203428</v>
      </c>
    </row>
    <row r="9022" spans="2:7" ht="11.25" hidden="1" customHeight="1" outlineLevel="2" x14ac:dyDescent="0.25">
      <c r="B9022" s="704" t="s">
        <v>692</v>
      </c>
      <c r="C9022" s="704" t="s">
        <v>782</v>
      </c>
      <c r="D9022" s="704" t="s">
        <v>728</v>
      </c>
      <c r="E9022" s="704" t="s">
        <v>448</v>
      </c>
      <c r="F9022" s="705">
        <v>4.2499890304874711E-3</v>
      </c>
      <c r="G9022" s="705">
        <v>3.2043402270400527</v>
      </c>
    </row>
    <row r="9023" spans="2:7" ht="11.25" hidden="1" customHeight="1" outlineLevel="2" x14ac:dyDescent="0.25">
      <c r="B9023" s="704" t="s">
        <v>693</v>
      </c>
      <c r="C9023" s="704" t="s">
        <v>782</v>
      </c>
      <c r="D9023" s="704" t="s">
        <v>728</v>
      </c>
      <c r="E9023" s="704" t="s">
        <v>448</v>
      </c>
      <c r="F9023" s="705">
        <v>8.6359647545529491E-3</v>
      </c>
      <c r="G9023" s="705">
        <v>6.5464041557885775</v>
      </c>
    </row>
    <row r="9024" spans="2:7" ht="11.25" hidden="1" customHeight="1" outlineLevel="2" x14ac:dyDescent="0.25">
      <c r="B9024" s="704" t="s">
        <v>694</v>
      </c>
      <c r="C9024" s="704" t="s">
        <v>782</v>
      </c>
      <c r="D9024" s="704" t="s">
        <v>728</v>
      </c>
      <c r="E9024" s="704" t="s">
        <v>448</v>
      </c>
      <c r="F9024" s="705">
        <v>2.4228416618381093E-3</v>
      </c>
      <c r="G9024" s="705">
        <v>1.8366092864556509</v>
      </c>
    </row>
    <row r="9025" spans="2:7" ht="11.25" hidden="1" customHeight="1" outlineLevel="2" x14ac:dyDescent="0.25">
      <c r="B9025" s="704" t="s">
        <v>695</v>
      </c>
      <c r="C9025" s="704" t="s">
        <v>782</v>
      </c>
      <c r="D9025" s="704" t="s">
        <v>728</v>
      </c>
      <c r="E9025" s="704" t="s">
        <v>448</v>
      </c>
      <c r="F9025" s="705">
        <v>4.1148542636542601E-3</v>
      </c>
      <c r="G9025" s="705">
        <v>3.1192223101648229</v>
      </c>
    </row>
    <row r="9026" spans="2:7" ht="11.25" hidden="1" customHeight="1" outlineLevel="2" x14ac:dyDescent="0.25">
      <c r="B9026" s="704" t="s">
        <v>696</v>
      </c>
      <c r="C9026" s="704" t="s">
        <v>782</v>
      </c>
      <c r="D9026" s="704" t="s">
        <v>728</v>
      </c>
      <c r="E9026" s="704" t="s">
        <v>448</v>
      </c>
      <c r="F9026" s="705">
        <v>1.3163806985250947E-2</v>
      </c>
      <c r="G9026" s="705">
        <v>9.911665150409501</v>
      </c>
    </row>
    <row r="9027" spans="2:7" ht="11.25" hidden="1" customHeight="1" outlineLevel="2" x14ac:dyDescent="0.25">
      <c r="B9027" s="704" t="s">
        <v>697</v>
      </c>
      <c r="C9027" s="704" t="s">
        <v>782</v>
      </c>
      <c r="D9027" s="704" t="s">
        <v>728</v>
      </c>
      <c r="E9027" s="704" t="s">
        <v>448</v>
      </c>
      <c r="F9027" s="705">
        <v>8.5810268020994635E-3</v>
      </c>
      <c r="G9027" s="705">
        <v>6.5047611182327083</v>
      </c>
    </row>
    <row r="9028" spans="2:7" ht="11.25" hidden="1" customHeight="1" outlineLevel="2" x14ac:dyDescent="0.25">
      <c r="B9028" s="704" t="s">
        <v>698</v>
      </c>
      <c r="C9028" s="704" t="s">
        <v>782</v>
      </c>
      <c r="D9028" s="704" t="s">
        <v>728</v>
      </c>
      <c r="E9028" s="704" t="s">
        <v>448</v>
      </c>
      <c r="F9028" s="705">
        <v>1.1601445483541386E-2</v>
      </c>
      <c r="G9028" s="705">
        <v>8.7943568215763896</v>
      </c>
    </row>
    <row r="9029" spans="2:7" ht="11.25" hidden="1" customHeight="1" outlineLevel="2" x14ac:dyDescent="0.25">
      <c r="B9029" s="704" t="s">
        <v>699</v>
      </c>
      <c r="C9029" s="704" t="s">
        <v>782</v>
      </c>
      <c r="D9029" s="704" t="s">
        <v>728</v>
      </c>
      <c r="E9029" s="704" t="s">
        <v>448</v>
      </c>
      <c r="F9029" s="705">
        <v>7.1773741121301415E-2</v>
      </c>
      <c r="G9029" s="705">
        <v>54.114864116798621</v>
      </c>
    </row>
    <row r="9030" spans="2:7" ht="11.25" hidden="1" customHeight="1" outlineLevel="2" x14ac:dyDescent="0.25">
      <c r="B9030" s="704" t="s">
        <v>673</v>
      </c>
      <c r="C9030" s="704" t="s">
        <v>783</v>
      </c>
      <c r="D9030" s="704" t="s">
        <v>728</v>
      </c>
      <c r="E9030" s="704" t="s">
        <v>448</v>
      </c>
      <c r="F9030" s="706">
        <v>5.6889140516091008E-2</v>
      </c>
      <c r="G9030" s="705">
        <v>88.510750044489853</v>
      </c>
    </row>
    <row r="9031" spans="2:7" ht="11.25" hidden="1" customHeight="1" outlineLevel="2" x14ac:dyDescent="0.25">
      <c r="B9031" s="704" t="s">
        <v>677</v>
      </c>
      <c r="C9031" s="704" t="s">
        <v>783</v>
      </c>
      <c r="D9031" s="704" t="s">
        <v>728</v>
      </c>
      <c r="E9031" s="704" t="s">
        <v>448</v>
      </c>
      <c r="F9031" s="706">
        <v>2.7547829782272633</v>
      </c>
      <c r="G9031" s="705">
        <v>4241.4337711204171</v>
      </c>
    </row>
    <row r="9032" spans="2:7" ht="11.25" hidden="1" customHeight="1" outlineLevel="2" x14ac:dyDescent="0.25">
      <c r="B9032" s="704" t="s">
        <v>678</v>
      </c>
      <c r="C9032" s="704" t="s">
        <v>783</v>
      </c>
      <c r="D9032" s="704" t="s">
        <v>728</v>
      </c>
      <c r="E9032" s="704" t="s">
        <v>448</v>
      </c>
      <c r="F9032" s="706">
        <v>3.2724966193503988</v>
      </c>
      <c r="G9032" s="705">
        <v>5098.2207070683289</v>
      </c>
    </row>
    <row r="9033" spans="2:7" ht="11.25" hidden="1" customHeight="1" outlineLevel="2" x14ac:dyDescent="0.25">
      <c r="B9033" s="704" t="s">
        <v>679</v>
      </c>
      <c r="C9033" s="704" t="s">
        <v>783</v>
      </c>
      <c r="D9033" s="704" t="s">
        <v>728</v>
      </c>
      <c r="E9033" s="704" t="s">
        <v>448</v>
      </c>
      <c r="F9033" s="706">
        <v>0.19485688924370431</v>
      </c>
      <c r="G9033" s="705">
        <v>304.47701044737863</v>
      </c>
    </row>
    <row r="9034" spans="2:7" ht="11.25" hidden="1" customHeight="1" outlineLevel="2" x14ac:dyDescent="0.25">
      <c r="B9034" s="704" t="s">
        <v>680</v>
      </c>
      <c r="C9034" s="704" t="s">
        <v>783</v>
      </c>
      <c r="D9034" s="704" t="s">
        <v>728</v>
      </c>
      <c r="E9034" s="704" t="s">
        <v>448</v>
      </c>
      <c r="F9034" s="706">
        <v>6.1034081280975115E-2</v>
      </c>
      <c r="G9034" s="705">
        <v>95.591674657777318</v>
      </c>
    </row>
    <row r="9035" spans="2:7" ht="11.25" hidden="1" customHeight="1" outlineLevel="2" x14ac:dyDescent="0.25">
      <c r="B9035" s="704" t="s">
        <v>681</v>
      </c>
      <c r="C9035" s="704" t="s">
        <v>783</v>
      </c>
      <c r="D9035" s="704" t="s">
        <v>728</v>
      </c>
      <c r="E9035" s="704" t="s">
        <v>448</v>
      </c>
      <c r="F9035" s="706">
        <v>1.0317451046963184</v>
      </c>
      <c r="G9035" s="705">
        <v>1607.355122150127</v>
      </c>
    </row>
    <row r="9036" spans="2:7" ht="11.25" hidden="1" customHeight="1" outlineLevel="2" x14ac:dyDescent="0.25">
      <c r="B9036" s="704" t="s">
        <v>682</v>
      </c>
      <c r="C9036" s="704" t="s">
        <v>783</v>
      </c>
      <c r="D9036" s="704" t="s">
        <v>728</v>
      </c>
      <c r="E9036" s="704" t="s">
        <v>448</v>
      </c>
      <c r="F9036" s="706">
        <v>0.13406674422057993</v>
      </c>
      <c r="G9036" s="705">
        <v>208.8854248164123</v>
      </c>
    </row>
    <row r="9037" spans="2:7" ht="11.25" hidden="1" customHeight="1" outlineLevel="2" x14ac:dyDescent="0.25">
      <c r="B9037" s="704" t="s">
        <v>683</v>
      </c>
      <c r="C9037" s="704" t="s">
        <v>783</v>
      </c>
      <c r="D9037" s="704" t="s">
        <v>728</v>
      </c>
      <c r="E9037" s="704" t="s">
        <v>448</v>
      </c>
      <c r="F9037" s="705">
        <v>0.2809564021833541</v>
      </c>
      <c r="G9037" s="705">
        <v>439.01355547551594</v>
      </c>
    </row>
    <row r="9038" spans="2:7" ht="11.25" hidden="1" customHeight="1" outlineLevel="2" x14ac:dyDescent="0.25">
      <c r="B9038" s="704" t="s">
        <v>684</v>
      </c>
      <c r="C9038" s="704" t="s">
        <v>783</v>
      </c>
      <c r="D9038" s="704" t="s">
        <v>728</v>
      </c>
      <c r="E9038" s="704" t="s">
        <v>448</v>
      </c>
      <c r="F9038" s="705">
        <v>0.36168351279990529</v>
      </c>
      <c r="G9038" s="705">
        <v>566.46829167564181</v>
      </c>
    </row>
    <row r="9039" spans="2:7" ht="11.25" hidden="1" customHeight="1" outlineLevel="2" x14ac:dyDescent="0.25">
      <c r="B9039" s="704" t="s">
        <v>685</v>
      </c>
      <c r="C9039" s="704" t="s">
        <v>783</v>
      </c>
      <c r="D9039" s="704" t="s">
        <v>728</v>
      </c>
      <c r="E9039" s="704" t="s">
        <v>448</v>
      </c>
      <c r="F9039" s="705">
        <v>1.7083959673845046</v>
      </c>
      <c r="G9039" s="705">
        <v>2669.4845263913116</v>
      </c>
    </row>
    <row r="9040" spans="2:7" ht="11.25" hidden="1" customHeight="1" outlineLevel="2" x14ac:dyDescent="0.25">
      <c r="B9040" s="704" t="s">
        <v>686</v>
      </c>
      <c r="C9040" s="704" t="s">
        <v>783</v>
      </c>
      <c r="D9040" s="704" t="s">
        <v>728</v>
      </c>
      <c r="E9040" s="704" t="s">
        <v>448</v>
      </c>
      <c r="F9040" s="705">
        <v>0.36636593179894078</v>
      </c>
      <c r="G9040" s="705">
        <v>570.00982972123791</v>
      </c>
    </row>
    <row r="9041" spans="2:7" ht="11.25" hidden="1" customHeight="1" outlineLevel="2" x14ac:dyDescent="0.25">
      <c r="B9041" s="704" t="s">
        <v>687</v>
      </c>
      <c r="C9041" s="704" t="s">
        <v>783</v>
      </c>
      <c r="D9041" s="704" t="s">
        <v>728</v>
      </c>
      <c r="E9041" s="704" t="s">
        <v>448</v>
      </c>
      <c r="F9041" s="705">
        <v>0.75221986867351565</v>
      </c>
      <c r="G9041" s="705">
        <v>1171.8829781388706</v>
      </c>
    </row>
    <row r="9042" spans="2:7" ht="11.25" hidden="1" customHeight="1" outlineLevel="2" x14ac:dyDescent="0.25">
      <c r="B9042" s="704" t="s">
        <v>688</v>
      </c>
      <c r="C9042" s="704" t="s">
        <v>783</v>
      </c>
      <c r="D9042" s="704" t="s">
        <v>728</v>
      </c>
      <c r="E9042" s="704" t="s">
        <v>448</v>
      </c>
      <c r="F9042" s="705">
        <v>2.2134809258710995</v>
      </c>
      <c r="G9042" s="705">
        <v>3448.3789072830286</v>
      </c>
    </row>
    <row r="9043" spans="2:7" ht="11.25" hidden="1" customHeight="1" outlineLevel="2" x14ac:dyDescent="0.25">
      <c r="B9043" s="704" t="s">
        <v>689</v>
      </c>
      <c r="C9043" s="704" t="s">
        <v>783</v>
      </c>
      <c r="D9043" s="704" t="s">
        <v>728</v>
      </c>
      <c r="E9043" s="704" t="s">
        <v>448</v>
      </c>
      <c r="F9043" s="705">
        <v>0.21578993058831603</v>
      </c>
      <c r="G9043" s="705">
        <v>335.65840044533843</v>
      </c>
    </row>
    <row r="9044" spans="2:7" ht="11.25" hidden="1" customHeight="1" outlineLevel="2" x14ac:dyDescent="0.25">
      <c r="B9044" s="704" t="s">
        <v>690</v>
      </c>
      <c r="C9044" s="704" t="s">
        <v>783</v>
      </c>
      <c r="D9044" s="704" t="s">
        <v>728</v>
      </c>
      <c r="E9044" s="704" t="s">
        <v>448</v>
      </c>
      <c r="F9044" s="705">
        <v>6.7474845280753755</v>
      </c>
      <c r="G9044" s="705">
        <v>10543.395074097274</v>
      </c>
    </row>
    <row r="9045" spans="2:7" ht="11.25" hidden="1" customHeight="1" outlineLevel="2" x14ac:dyDescent="0.25">
      <c r="B9045" s="704" t="s">
        <v>691</v>
      </c>
      <c r="C9045" s="704" t="s">
        <v>783</v>
      </c>
      <c r="D9045" s="704" t="s">
        <v>728</v>
      </c>
      <c r="E9045" s="704" t="s">
        <v>448</v>
      </c>
      <c r="F9045" s="705">
        <v>3.296706948415201</v>
      </c>
      <c r="G9045" s="705">
        <v>5151.3258413413114</v>
      </c>
    </row>
    <row r="9046" spans="2:7" ht="11.25" hidden="1" customHeight="1" outlineLevel="2" x14ac:dyDescent="0.25">
      <c r="B9046" s="704" t="s">
        <v>692</v>
      </c>
      <c r="C9046" s="704" t="s">
        <v>783</v>
      </c>
      <c r="D9046" s="704" t="s">
        <v>728</v>
      </c>
      <c r="E9046" s="704" t="s">
        <v>448</v>
      </c>
      <c r="F9046" s="705">
        <v>0.21589390174296622</v>
      </c>
      <c r="G9046" s="705">
        <v>336.34085120632568</v>
      </c>
    </row>
    <row r="9047" spans="2:7" ht="11.25" hidden="1" customHeight="1" outlineLevel="2" x14ac:dyDescent="0.25">
      <c r="B9047" s="704" t="s">
        <v>693</v>
      </c>
      <c r="C9047" s="704" t="s">
        <v>783</v>
      </c>
      <c r="D9047" s="704" t="s">
        <v>728</v>
      </c>
      <c r="E9047" s="704" t="s">
        <v>448</v>
      </c>
      <c r="F9047" s="705">
        <v>0.16501810774488027</v>
      </c>
      <c r="G9047" s="705">
        <v>258.45141461140815</v>
      </c>
    </row>
    <row r="9048" spans="2:7" ht="11.25" hidden="1" customHeight="1" outlineLevel="2" x14ac:dyDescent="0.25">
      <c r="B9048" s="704" t="s">
        <v>694</v>
      </c>
      <c r="C9048" s="704" t="s">
        <v>783</v>
      </c>
      <c r="D9048" s="704" t="s">
        <v>728</v>
      </c>
      <c r="E9048" s="704" t="s">
        <v>448</v>
      </c>
      <c r="F9048" s="705">
        <v>0.36394416272650404</v>
      </c>
      <c r="G9048" s="705">
        <v>570.00982972123791</v>
      </c>
    </row>
    <row r="9049" spans="2:7" ht="11.25" hidden="1" customHeight="1" outlineLevel="2" x14ac:dyDescent="0.25">
      <c r="B9049" s="704" t="s">
        <v>695</v>
      </c>
      <c r="C9049" s="704" t="s">
        <v>783</v>
      </c>
      <c r="D9049" s="704" t="s">
        <v>728</v>
      </c>
      <c r="E9049" s="704" t="s">
        <v>448</v>
      </c>
      <c r="F9049" s="705">
        <v>0.35716252729878289</v>
      </c>
      <c r="G9049" s="705">
        <v>559.38769134598488</v>
      </c>
    </row>
    <row r="9050" spans="2:7" ht="11.25" hidden="1" customHeight="1" outlineLevel="2" x14ac:dyDescent="0.25">
      <c r="B9050" s="704" t="s">
        <v>696</v>
      </c>
      <c r="C9050" s="704" t="s">
        <v>783</v>
      </c>
      <c r="D9050" s="704" t="s">
        <v>728</v>
      </c>
      <c r="E9050" s="704" t="s">
        <v>448</v>
      </c>
      <c r="F9050" s="705">
        <v>0.51427785867372144</v>
      </c>
      <c r="G9050" s="705">
        <v>800.13703796315428</v>
      </c>
    </row>
    <row r="9051" spans="2:7" ht="11.25" hidden="1" customHeight="1" outlineLevel="2" x14ac:dyDescent="0.25">
      <c r="B9051" s="704" t="s">
        <v>697</v>
      </c>
      <c r="C9051" s="704" t="s">
        <v>783</v>
      </c>
      <c r="D9051" s="704" t="s">
        <v>728</v>
      </c>
      <c r="E9051" s="704" t="s">
        <v>448</v>
      </c>
      <c r="F9051" s="705">
        <v>0.23057324666061338</v>
      </c>
      <c r="G9051" s="705">
        <v>361.12386969012368</v>
      </c>
    </row>
    <row r="9052" spans="2:7" ht="11.25" hidden="1" customHeight="1" outlineLevel="2" x14ac:dyDescent="0.25">
      <c r="B9052" s="704" t="s">
        <v>698</v>
      </c>
      <c r="C9052" s="704" t="s">
        <v>783</v>
      </c>
      <c r="D9052" s="704" t="s">
        <v>728</v>
      </c>
      <c r="E9052" s="704" t="s">
        <v>448</v>
      </c>
      <c r="F9052" s="705">
        <v>0.36394416270588015</v>
      </c>
      <c r="G9052" s="705">
        <v>570.00982970278562</v>
      </c>
    </row>
    <row r="9053" spans="2:7" ht="11.25" hidden="1" customHeight="1" outlineLevel="2" x14ac:dyDescent="0.25">
      <c r="B9053" s="704" t="s">
        <v>699</v>
      </c>
      <c r="C9053" s="704" t="s">
        <v>783</v>
      </c>
      <c r="D9053" s="704" t="s">
        <v>728</v>
      </c>
      <c r="E9053" s="704" t="s">
        <v>448</v>
      </c>
      <c r="F9053" s="705">
        <v>0.41133488746687435</v>
      </c>
      <c r="G9053" s="705">
        <v>640.81786967908135</v>
      </c>
    </row>
    <row r="9054" spans="2:7" ht="11.25" hidden="1" customHeight="1" outlineLevel="2" x14ac:dyDescent="0.25">
      <c r="B9054" s="704" t="s">
        <v>673</v>
      </c>
      <c r="C9054" s="704" t="s">
        <v>784</v>
      </c>
      <c r="D9054" s="704" t="s">
        <v>728</v>
      </c>
      <c r="E9054" s="704" t="s">
        <v>448</v>
      </c>
      <c r="F9054" s="705">
        <v>0.11537054485283946</v>
      </c>
      <c r="G9054" s="705">
        <v>62.005873852062422</v>
      </c>
    </row>
    <row r="9055" spans="2:7" ht="11.25" hidden="1" customHeight="1" outlineLevel="2" x14ac:dyDescent="0.25">
      <c r="B9055" s="704" t="s">
        <v>677</v>
      </c>
      <c r="C9055" s="704" t="s">
        <v>784</v>
      </c>
      <c r="D9055" s="704" t="s">
        <v>728</v>
      </c>
      <c r="E9055" s="704" t="s">
        <v>448</v>
      </c>
      <c r="F9055" s="705">
        <v>0.68608543389834287</v>
      </c>
      <c r="G9055" s="705">
        <v>365.34283663543698</v>
      </c>
    </row>
    <row r="9056" spans="2:7" ht="11.25" hidden="1" customHeight="1" outlineLevel="2" x14ac:dyDescent="0.25">
      <c r="B9056" s="704" t="s">
        <v>678</v>
      </c>
      <c r="C9056" s="704" t="s">
        <v>784</v>
      </c>
      <c r="D9056" s="704" t="s">
        <v>728</v>
      </c>
      <c r="E9056" s="704" t="s">
        <v>448</v>
      </c>
      <c r="F9056" s="705">
        <v>1.1104102870692962</v>
      </c>
      <c r="G9056" s="705">
        <v>605.33389073765272</v>
      </c>
    </row>
    <row r="9057" spans="2:7" ht="11.25" hidden="1" customHeight="1" outlineLevel="2" x14ac:dyDescent="0.25">
      <c r="B9057" s="704" t="s">
        <v>679</v>
      </c>
      <c r="C9057" s="704" t="s">
        <v>784</v>
      </c>
      <c r="D9057" s="704" t="s">
        <v>728</v>
      </c>
      <c r="E9057" s="704" t="s">
        <v>448</v>
      </c>
      <c r="F9057" s="705">
        <v>0.10167822909418223</v>
      </c>
      <c r="G9057" s="705">
        <v>55.87171953239497</v>
      </c>
    </row>
    <row r="9058" spans="2:7" ht="11.25" hidden="1" customHeight="1" outlineLevel="2" x14ac:dyDescent="0.25">
      <c r="B9058" s="704" t="s">
        <v>680</v>
      </c>
      <c r="C9058" s="704" t="s">
        <v>784</v>
      </c>
      <c r="D9058" s="704" t="s">
        <v>728</v>
      </c>
      <c r="E9058" s="704" t="s">
        <v>448</v>
      </c>
      <c r="F9058" s="705">
        <v>3.3393031620181911E-36</v>
      </c>
      <c r="G9058" s="705">
        <v>1.8280546195799491E-33</v>
      </c>
    </row>
    <row r="9059" spans="2:7" ht="11.25" hidden="1" customHeight="1" outlineLevel="2" x14ac:dyDescent="0.25">
      <c r="B9059" s="704" t="s">
        <v>681</v>
      </c>
      <c r="C9059" s="704" t="s">
        <v>784</v>
      </c>
      <c r="D9059" s="704" t="s">
        <v>728</v>
      </c>
      <c r="E9059" s="704" t="s">
        <v>448</v>
      </c>
      <c r="F9059" s="705">
        <v>0.19799731732531417</v>
      </c>
      <c r="G9059" s="705">
        <v>107.93695448120063</v>
      </c>
    </row>
    <row r="9060" spans="2:7" ht="11.25" hidden="1" customHeight="1" outlineLevel="2" x14ac:dyDescent="0.25">
      <c r="B9060" s="704" t="s">
        <v>682</v>
      </c>
      <c r="C9060" s="704" t="s">
        <v>784</v>
      </c>
      <c r="D9060" s="704" t="s">
        <v>728</v>
      </c>
      <c r="E9060" s="704" t="s">
        <v>448</v>
      </c>
      <c r="F9060" s="705">
        <v>0.12568791349838898</v>
      </c>
      <c r="G9060" s="705">
        <v>68.485562519634001</v>
      </c>
    </row>
    <row r="9061" spans="2:7" ht="11.25" hidden="1" customHeight="1" outlineLevel="2" x14ac:dyDescent="0.25">
      <c r="B9061" s="704" t="s">
        <v>683</v>
      </c>
      <c r="C9061" s="704" t="s">
        <v>784</v>
      </c>
      <c r="D9061" s="704" t="s">
        <v>728</v>
      </c>
      <c r="E9061" s="704" t="s">
        <v>448</v>
      </c>
      <c r="F9061" s="705">
        <v>0.16104618287691144</v>
      </c>
      <c r="G9061" s="705">
        <v>88.494067723472384</v>
      </c>
    </row>
    <row r="9062" spans="2:7" ht="11.25" hidden="1" customHeight="1" outlineLevel="2" x14ac:dyDescent="0.25">
      <c r="B9062" s="704" t="s">
        <v>684</v>
      </c>
      <c r="C9062" s="704" t="s">
        <v>784</v>
      </c>
      <c r="D9062" s="704" t="s">
        <v>728</v>
      </c>
      <c r="E9062" s="704" t="s">
        <v>448</v>
      </c>
      <c r="F9062" s="705">
        <v>4.926109764354625E-35</v>
      </c>
      <c r="G9062" s="705">
        <v>2.6967279111944965E-32</v>
      </c>
    </row>
    <row r="9063" spans="2:7" ht="11.25" hidden="1" customHeight="1" outlineLevel="2" x14ac:dyDescent="0.25">
      <c r="B9063" s="704" t="s">
        <v>685</v>
      </c>
      <c r="C9063" s="704" t="s">
        <v>784</v>
      </c>
      <c r="D9063" s="704" t="s">
        <v>728</v>
      </c>
      <c r="E9063" s="704" t="s">
        <v>448</v>
      </c>
      <c r="F9063" s="705">
        <v>0.26918847484459324</v>
      </c>
      <c r="G9063" s="705">
        <v>147.91797758700082</v>
      </c>
    </row>
    <row r="9064" spans="2:7" ht="11.25" hidden="1" customHeight="1" outlineLevel="2" x14ac:dyDescent="0.25">
      <c r="B9064" s="704" t="s">
        <v>686</v>
      </c>
      <c r="C9064" s="704" t="s">
        <v>784</v>
      </c>
      <c r="D9064" s="704" t="s">
        <v>728</v>
      </c>
      <c r="E9064" s="704" t="s">
        <v>448</v>
      </c>
      <c r="F9064" s="705">
        <v>6.0479441619014168E-2</v>
      </c>
      <c r="G9064" s="705">
        <v>32.504665878505016</v>
      </c>
    </row>
    <row r="9065" spans="2:7" ht="11.25" hidden="1" customHeight="1" outlineLevel="2" x14ac:dyDescent="0.25">
      <c r="B9065" s="704" t="s">
        <v>687</v>
      </c>
      <c r="C9065" s="704" t="s">
        <v>784</v>
      </c>
      <c r="D9065" s="704" t="s">
        <v>728</v>
      </c>
      <c r="E9065" s="704" t="s">
        <v>448</v>
      </c>
      <c r="F9065" s="705">
        <v>0.30193257215287922</v>
      </c>
      <c r="G9065" s="705">
        <v>164.59647704621688</v>
      </c>
    </row>
    <row r="9066" spans="2:7" ht="11.25" hidden="1" customHeight="1" outlineLevel="2" x14ac:dyDescent="0.25">
      <c r="B9066" s="704" t="s">
        <v>688</v>
      </c>
      <c r="C9066" s="704" t="s">
        <v>784</v>
      </c>
      <c r="D9066" s="704" t="s">
        <v>728</v>
      </c>
      <c r="E9066" s="704" t="s">
        <v>448</v>
      </c>
      <c r="F9066" s="705">
        <v>0.33654243101702325</v>
      </c>
      <c r="G9066" s="705">
        <v>183.46401155362759</v>
      </c>
    </row>
    <row r="9067" spans="2:7" ht="11.25" hidden="1" customHeight="1" outlineLevel="2" x14ac:dyDescent="0.25">
      <c r="B9067" s="704" t="s">
        <v>689</v>
      </c>
      <c r="C9067" s="704" t="s">
        <v>784</v>
      </c>
      <c r="D9067" s="704" t="s">
        <v>728</v>
      </c>
      <c r="E9067" s="704" t="s">
        <v>448</v>
      </c>
      <c r="F9067" s="705">
        <v>6.0537878097586012E-2</v>
      </c>
      <c r="G9067" s="705">
        <v>32.976863760951225</v>
      </c>
    </row>
    <row r="9068" spans="2:7" ht="11.25" hidden="1" customHeight="1" outlineLevel="2" x14ac:dyDescent="0.25">
      <c r="B9068" s="704" t="s">
        <v>690</v>
      </c>
      <c r="C9068" s="704" t="s">
        <v>784</v>
      </c>
      <c r="D9068" s="704" t="s">
        <v>728</v>
      </c>
      <c r="E9068" s="704" t="s">
        <v>448</v>
      </c>
      <c r="F9068" s="705">
        <v>1.1923395344509016</v>
      </c>
      <c r="G9068" s="705">
        <v>655.18506109760767</v>
      </c>
    </row>
    <row r="9069" spans="2:7" ht="11.25" hidden="1" customHeight="1" outlineLevel="2" x14ac:dyDescent="0.25">
      <c r="B9069" s="704" t="s">
        <v>691</v>
      </c>
      <c r="C9069" s="704" t="s">
        <v>784</v>
      </c>
      <c r="D9069" s="704" t="s">
        <v>728</v>
      </c>
      <c r="E9069" s="704" t="s">
        <v>448</v>
      </c>
      <c r="F9069" s="706">
        <v>1.0673596003268115</v>
      </c>
      <c r="G9069" s="705">
        <v>586.50965129724523</v>
      </c>
    </row>
    <row r="9070" spans="2:7" ht="11.25" hidden="1" customHeight="1" outlineLevel="2" x14ac:dyDescent="0.25">
      <c r="B9070" s="704" t="s">
        <v>692</v>
      </c>
      <c r="C9070" s="704" t="s">
        <v>784</v>
      </c>
      <c r="D9070" s="704" t="s">
        <v>728</v>
      </c>
      <c r="E9070" s="704" t="s">
        <v>448</v>
      </c>
      <c r="F9070" s="706">
        <v>8.3108095202818622E-34</v>
      </c>
      <c r="G9070" s="705">
        <v>4.5305901526367279E-31</v>
      </c>
    </row>
    <row r="9071" spans="2:7" ht="11.25" hidden="1" customHeight="1" outlineLevel="2" x14ac:dyDescent="0.25">
      <c r="B9071" s="704" t="s">
        <v>693</v>
      </c>
      <c r="C9071" s="704" t="s">
        <v>784</v>
      </c>
      <c r="D9071" s="704" t="s">
        <v>728</v>
      </c>
      <c r="E9071" s="704" t="s">
        <v>448</v>
      </c>
      <c r="F9071" s="706">
        <v>0.12429447884932329</v>
      </c>
      <c r="G9071" s="705">
        <v>68.043151022259863</v>
      </c>
    </row>
    <row r="9072" spans="2:7" ht="11.25" hidden="1" customHeight="1" outlineLevel="2" x14ac:dyDescent="0.25">
      <c r="B9072" s="704" t="s">
        <v>694</v>
      </c>
      <c r="C9072" s="704" t="s">
        <v>784</v>
      </c>
      <c r="D9072" s="704" t="s">
        <v>728</v>
      </c>
      <c r="E9072" s="704" t="s">
        <v>448</v>
      </c>
      <c r="F9072" s="706">
        <v>8.1651856097961584E-37</v>
      </c>
      <c r="G9072" s="705">
        <v>4.4699090569433649E-34</v>
      </c>
    </row>
    <row r="9073" spans="2:7" ht="11.25" hidden="1" customHeight="1" outlineLevel="2" x14ac:dyDescent="0.25">
      <c r="B9073" s="704" t="s">
        <v>695</v>
      </c>
      <c r="C9073" s="704" t="s">
        <v>784</v>
      </c>
      <c r="D9073" s="704" t="s">
        <v>728</v>
      </c>
      <c r="E9073" s="704" t="s">
        <v>448</v>
      </c>
      <c r="F9073" s="706">
        <v>2.0510680705289451E-31</v>
      </c>
      <c r="G9073" s="705">
        <v>1.1228300050502855E-28</v>
      </c>
    </row>
    <row r="9074" spans="2:7" ht="11.25" hidden="1" customHeight="1" outlineLevel="2" x14ac:dyDescent="0.25">
      <c r="B9074" s="704" t="s">
        <v>696</v>
      </c>
      <c r="C9074" s="704" t="s">
        <v>784</v>
      </c>
      <c r="D9074" s="704" t="s">
        <v>728</v>
      </c>
      <c r="E9074" s="704" t="s">
        <v>448</v>
      </c>
      <c r="F9074" s="706">
        <v>0.19168623490243339</v>
      </c>
      <c r="G9074" s="705">
        <v>103.02151092300956</v>
      </c>
    </row>
    <row r="9075" spans="2:7" ht="11.25" hidden="1" customHeight="1" outlineLevel="2" x14ac:dyDescent="0.25">
      <c r="B9075" s="704" t="s">
        <v>697</v>
      </c>
      <c r="C9075" s="704" t="s">
        <v>784</v>
      </c>
      <c r="D9075" s="704" t="s">
        <v>728</v>
      </c>
      <c r="E9075" s="704" t="s">
        <v>448</v>
      </c>
      <c r="F9075" s="706">
        <v>1.37655811414E-32</v>
      </c>
      <c r="G9075" s="705">
        <v>7.5309819200000002E-30</v>
      </c>
    </row>
    <row r="9076" spans="2:7" ht="11.25" hidden="1" customHeight="1" outlineLevel="2" x14ac:dyDescent="0.25">
      <c r="B9076" s="704" t="s">
        <v>698</v>
      </c>
      <c r="C9076" s="704" t="s">
        <v>784</v>
      </c>
      <c r="D9076" s="704" t="s">
        <v>728</v>
      </c>
      <c r="E9076" s="704" t="s">
        <v>448</v>
      </c>
      <c r="F9076" s="705">
        <v>8.1607757153999983E-37</v>
      </c>
      <c r="G9076" s="705">
        <v>4.4696465880000001E-34</v>
      </c>
    </row>
    <row r="9077" spans="2:7" ht="11.25" hidden="1" customHeight="1" outlineLevel="2" x14ac:dyDescent="0.25">
      <c r="B9077" s="704" t="s">
        <v>699</v>
      </c>
      <c r="C9077" s="704" t="s">
        <v>784</v>
      </c>
      <c r="D9077" s="704" t="s">
        <v>728</v>
      </c>
      <c r="E9077" s="704" t="s">
        <v>448</v>
      </c>
      <c r="F9077" s="705">
        <v>1.0317800098780574</v>
      </c>
      <c r="G9077" s="705">
        <v>562.46872865603495</v>
      </c>
    </row>
    <row r="9078" spans="2:7" ht="11.25" hidden="1" customHeight="1" outlineLevel="2" x14ac:dyDescent="0.25">
      <c r="B9078" s="704" t="s">
        <v>673</v>
      </c>
      <c r="C9078" s="704" t="s">
        <v>785</v>
      </c>
      <c r="D9078" s="704" t="s">
        <v>728</v>
      </c>
      <c r="E9078" s="704" t="s">
        <v>448</v>
      </c>
      <c r="F9078" s="705">
        <v>5.69852747144367E-2</v>
      </c>
      <c r="G9078" s="705">
        <v>30.629543562713476</v>
      </c>
    </row>
    <row r="9079" spans="2:7" ht="11.25" hidden="1" customHeight="1" outlineLevel="2" x14ac:dyDescent="0.25">
      <c r="B9079" s="704" t="s">
        <v>677</v>
      </c>
      <c r="C9079" s="704" t="s">
        <v>785</v>
      </c>
      <c r="D9079" s="704" t="s">
        <v>728</v>
      </c>
      <c r="E9079" s="704" t="s">
        <v>448</v>
      </c>
      <c r="F9079" s="706">
        <v>2.7561703273802154</v>
      </c>
      <c r="G9079" s="705">
        <v>1467.76969866736</v>
      </c>
    </row>
    <row r="9080" spans="2:7" ht="11.25" hidden="1" customHeight="1" outlineLevel="2" x14ac:dyDescent="0.25">
      <c r="B9080" s="704" t="s">
        <v>678</v>
      </c>
      <c r="C9080" s="704" t="s">
        <v>785</v>
      </c>
      <c r="D9080" s="704" t="s">
        <v>728</v>
      </c>
      <c r="E9080" s="704" t="s">
        <v>448</v>
      </c>
      <c r="F9080" s="705">
        <v>3.2367750719120587</v>
      </c>
      <c r="G9080" s="705">
        <v>1764.26212877904</v>
      </c>
    </row>
    <row r="9081" spans="2:7" ht="11.25" hidden="1" customHeight="1" outlineLevel="2" x14ac:dyDescent="0.25">
      <c r="B9081" s="704" t="s">
        <v>679</v>
      </c>
      <c r="C9081" s="704" t="s">
        <v>785</v>
      </c>
      <c r="D9081" s="704" t="s">
        <v>728</v>
      </c>
      <c r="E9081" s="704" t="s">
        <v>448</v>
      </c>
      <c r="F9081" s="705">
        <v>0.19177843132987421</v>
      </c>
      <c r="G9081" s="705">
        <v>105.36567143090613</v>
      </c>
    </row>
    <row r="9082" spans="2:7" ht="11.25" hidden="1" customHeight="1" outlineLevel="2" x14ac:dyDescent="0.25">
      <c r="B9082" s="704" t="s">
        <v>680</v>
      </c>
      <c r="C9082" s="704" t="s">
        <v>785</v>
      </c>
      <c r="D9082" s="704" t="s">
        <v>728</v>
      </c>
      <c r="E9082" s="704" t="s">
        <v>448</v>
      </c>
      <c r="F9082" s="706">
        <v>1.9387143840960953E-34</v>
      </c>
      <c r="G9082" s="705">
        <v>1.0613883623866215E-31</v>
      </c>
    </row>
    <row r="9083" spans="2:7" ht="11.25" hidden="1" customHeight="1" outlineLevel="2" x14ac:dyDescent="0.25">
      <c r="B9083" s="704" t="s">
        <v>681</v>
      </c>
      <c r="C9083" s="704" t="s">
        <v>785</v>
      </c>
      <c r="D9083" s="704" t="s">
        <v>728</v>
      </c>
      <c r="E9083" s="704" t="s">
        <v>448</v>
      </c>
      <c r="F9083" s="705">
        <v>1.0204839371501615</v>
      </c>
      <c r="G9083" s="705">
        <v>556.23243276425001</v>
      </c>
    </row>
    <row r="9084" spans="2:7" ht="11.25" hidden="1" customHeight="1" outlineLevel="2" x14ac:dyDescent="0.25">
      <c r="B9084" s="704" t="s">
        <v>682</v>
      </c>
      <c r="C9084" s="704" t="s">
        <v>785</v>
      </c>
      <c r="D9084" s="704" t="s">
        <v>728</v>
      </c>
      <c r="E9084" s="704" t="s">
        <v>448</v>
      </c>
      <c r="F9084" s="705">
        <v>0.13267653081254621</v>
      </c>
      <c r="G9084" s="705">
        <v>72.285757447234374</v>
      </c>
    </row>
    <row r="9085" spans="2:7" ht="11.25" hidden="1" customHeight="1" outlineLevel="2" x14ac:dyDescent="0.25">
      <c r="B9085" s="704" t="s">
        <v>683</v>
      </c>
      <c r="C9085" s="704" t="s">
        <v>785</v>
      </c>
      <c r="D9085" s="704" t="s">
        <v>728</v>
      </c>
      <c r="E9085" s="704" t="s">
        <v>448</v>
      </c>
      <c r="F9085" s="705">
        <v>0.27651770406334297</v>
      </c>
      <c r="G9085" s="705">
        <v>151.9228297789748</v>
      </c>
    </row>
    <row r="9086" spans="2:7" ht="11.25" hidden="1" customHeight="1" outlineLevel="2" x14ac:dyDescent="0.25">
      <c r="B9086" s="704" t="s">
        <v>684</v>
      </c>
      <c r="C9086" s="704" t="s">
        <v>785</v>
      </c>
      <c r="D9086" s="704" t="s">
        <v>728</v>
      </c>
      <c r="E9086" s="704" t="s">
        <v>448</v>
      </c>
      <c r="F9086" s="706">
        <v>4.2542909981863441E-32</v>
      </c>
      <c r="G9086" s="705">
        <v>2.3290931510745778E-29</v>
      </c>
    </row>
    <row r="9087" spans="2:7" ht="11.25" hidden="1" customHeight="1" outlineLevel="2" x14ac:dyDescent="0.25">
      <c r="B9087" s="704" t="s">
        <v>685</v>
      </c>
      <c r="C9087" s="704" t="s">
        <v>785</v>
      </c>
      <c r="D9087" s="704" t="s">
        <v>728</v>
      </c>
      <c r="E9087" s="704" t="s">
        <v>448</v>
      </c>
      <c r="F9087" s="706">
        <v>1.6814036878707881</v>
      </c>
      <c r="G9087" s="705">
        <v>923.78734075693308</v>
      </c>
    </row>
    <row r="9088" spans="2:7" ht="11.25" hidden="1" customHeight="1" outlineLevel="2" x14ac:dyDescent="0.25">
      <c r="B9088" s="704" t="s">
        <v>686</v>
      </c>
      <c r="C9088" s="704" t="s">
        <v>785</v>
      </c>
      <c r="D9088" s="704" t="s">
        <v>728</v>
      </c>
      <c r="E9088" s="704" t="s">
        <v>448</v>
      </c>
      <c r="F9088" s="706">
        <v>0.27808848736790559</v>
      </c>
      <c r="G9088" s="705">
        <v>149.47205772964566</v>
      </c>
    </row>
    <row r="9089" spans="2:7" ht="11.25" hidden="1" customHeight="1" outlineLevel="2" x14ac:dyDescent="0.25">
      <c r="B9089" s="704" t="s">
        <v>687</v>
      </c>
      <c r="C9089" s="704" t="s">
        <v>785</v>
      </c>
      <c r="D9089" s="704" t="s">
        <v>728</v>
      </c>
      <c r="E9089" s="704" t="s">
        <v>448</v>
      </c>
      <c r="F9089" s="705">
        <v>0.7440087796508823</v>
      </c>
      <c r="G9089" s="705">
        <v>405.5352792533298</v>
      </c>
    </row>
    <row r="9090" spans="2:7" ht="11.25" hidden="1" customHeight="1" outlineLevel="2" x14ac:dyDescent="0.25">
      <c r="B9090" s="704" t="s">
        <v>688</v>
      </c>
      <c r="C9090" s="704" t="s">
        <v>785</v>
      </c>
      <c r="D9090" s="704" t="s">
        <v>728</v>
      </c>
      <c r="E9090" s="704" t="s">
        <v>448</v>
      </c>
      <c r="F9090" s="705">
        <v>2.1893172602242026</v>
      </c>
      <c r="G9090" s="705">
        <v>1193.3272516836</v>
      </c>
    </row>
    <row r="9091" spans="2:7" ht="11.25" hidden="1" customHeight="1" outlineLevel="2" x14ac:dyDescent="0.25">
      <c r="B9091" s="704" t="s">
        <v>689</v>
      </c>
      <c r="C9091" s="704" t="s">
        <v>785</v>
      </c>
      <c r="D9091" s="704" t="s">
        <v>728</v>
      </c>
      <c r="E9091" s="704" t="s">
        <v>448</v>
      </c>
      <c r="F9091" s="705">
        <v>0.23511595442515848</v>
      </c>
      <c r="G9091" s="705">
        <v>128.08168428513736</v>
      </c>
    </row>
    <row r="9092" spans="2:7" ht="11.25" hidden="1" customHeight="1" outlineLevel="2" x14ac:dyDescent="0.25">
      <c r="B9092" s="704" t="s">
        <v>690</v>
      </c>
      <c r="C9092" s="704" t="s">
        <v>785</v>
      </c>
      <c r="D9092" s="704" t="s">
        <v>728</v>
      </c>
      <c r="E9092" s="704" t="s">
        <v>448</v>
      </c>
      <c r="F9092" s="705">
        <v>6.64087649387365</v>
      </c>
      <c r="G9092" s="705">
        <v>3648.5907794703398</v>
      </c>
    </row>
    <row r="9093" spans="2:7" ht="11.25" hidden="1" customHeight="1" outlineLevel="2" x14ac:dyDescent="0.25">
      <c r="B9093" s="704" t="s">
        <v>691</v>
      </c>
      <c r="C9093" s="704" t="s">
        <v>785</v>
      </c>
      <c r="D9093" s="704" t="s">
        <v>728</v>
      </c>
      <c r="E9093" s="704" t="s">
        <v>448</v>
      </c>
      <c r="F9093" s="705">
        <v>3.2446194431459134</v>
      </c>
      <c r="G9093" s="705">
        <v>1782.64103600308</v>
      </c>
    </row>
    <row r="9094" spans="2:7" ht="11.25" hidden="1" customHeight="1" outlineLevel="2" x14ac:dyDescent="0.25">
      <c r="B9094" s="704" t="s">
        <v>692</v>
      </c>
      <c r="C9094" s="704" t="s">
        <v>785</v>
      </c>
      <c r="D9094" s="704" t="s">
        <v>728</v>
      </c>
      <c r="E9094" s="704" t="s">
        <v>448</v>
      </c>
      <c r="F9094" s="705">
        <v>1.4166399937974588E-33</v>
      </c>
      <c r="G9094" s="705">
        <v>7.7216496175236661E-31</v>
      </c>
    </row>
    <row r="9095" spans="2:7" ht="11.25" hidden="1" customHeight="1" outlineLevel="2" x14ac:dyDescent="0.25">
      <c r="B9095" s="704" t="s">
        <v>693</v>
      </c>
      <c r="C9095" s="704" t="s">
        <v>785</v>
      </c>
      <c r="D9095" s="704" t="s">
        <v>728</v>
      </c>
      <c r="E9095" s="704" t="s">
        <v>448</v>
      </c>
      <c r="F9095" s="705">
        <v>0.16336654200826356</v>
      </c>
      <c r="G9095" s="705">
        <v>89.43825773316091</v>
      </c>
    </row>
    <row r="9096" spans="2:7" ht="11.25" hidden="1" customHeight="1" outlineLevel="2" x14ac:dyDescent="0.25">
      <c r="B9096" s="704" t="s">
        <v>694</v>
      </c>
      <c r="C9096" s="704" t="s">
        <v>785</v>
      </c>
      <c r="D9096" s="704" t="s">
        <v>728</v>
      </c>
      <c r="E9096" s="704" t="s">
        <v>448</v>
      </c>
      <c r="F9096" s="705">
        <v>1.0468794339311338E-32</v>
      </c>
      <c r="G9096" s="705">
        <v>5.731359529755185E-30</v>
      </c>
    </row>
    <row r="9097" spans="2:7" ht="11.25" hidden="1" customHeight="1" outlineLevel="2" x14ac:dyDescent="0.25">
      <c r="B9097" s="704" t="s">
        <v>695</v>
      </c>
      <c r="C9097" s="704" t="s">
        <v>785</v>
      </c>
      <c r="D9097" s="704" t="s">
        <v>728</v>
      </c>
      <c r="E9097" s="704" t="s">
        <v>448</v>
      </c>
      <c r="F9097" s="705">
        <v>6.83532789803876E-31</v>
      </c>
      <c r="G9097" s="705">
        <v>3.7421352554373352E-28</v>
      </c>
    </row>
    <row r="9098" spans="2:7" ht="11.25" hidden="1" customHeight="1" outlineLevel="2" x14ac:dyDescent="0.25">
      <c r="B9098" s="704" t="s">
        <v>696</v>
      </c>
      <c r="C9098" s="704" t="s">
        <v>785</v>
      </c>
      <c r="D9098" s="704" t="s">
        <v>728</v>
      </c>
      <c r="E9098" s="704" t="s">
        <v>448</v>
      </c>
      <c r="F9098" s="705">
        <v>0.51514701888428027</v>
      </c>
      <c r="G9098" s="705">
        <v>276.8908339959446</v>
      </c>
    </row>
    <row r="9099" spans="2:7" ht="11.25" hidden="1" customHeight="1" outlineLevel="2" x14ac:dyDescent="0.25">
      <c r="B9099" s="704" t="s">
        <v>697</v>
      </c>
      <c r="C9099" s="704" t="s">
        <v>785</v>
      </c>
      <c r="D9099" s="704" t="s">
        <v>728</v>
      </c>
      <c r="E9099" s="704" t="s">
        <v>448</v>
      </c>
      <c r="F9099" s="706">
        <v>1.17714141666E-32</v>
      </c>
      <c r="G9099" s="705">
        <v>6.4383722479999999E-30</v>
      </c>
    </row>
    <row r="9100" spans="2:7" ht="11.25" hidden="1" customHeight="1" outlineLevel="2" x14ac:dyDescent="0.25">
      <c r="B9100" s="704" t="s">
        <v>698</v>
      </c>
      <c r="C9100" s="704" t="s">
        <v>785</v>
      </c>
      <c r="D9100" s="704" t="s">
        <v>728</v>
      </c>
      <c r="E9100" s="704" t="s">
        <v>448</v>
      </c>
      <c r="F9100" s="706">
        <v>1.04877300792E-32</v>
      </c>
      <c r="G9100" s="705">
        <v>5.7291459939999999E-30</v>
      </c>
    </row>
    <row r="9101" spans="2:7" ht="11.25" hidden="1" customHeight="1" outlineLevel="2" x14ac:dyDescent="0.25">
      <c r="B9101" s="704" t="s">
        <v>699</v>
      </c>
      <c r="C9101" s="704" t="s">
        <v>785</v>
      </c>
      <c r="D9101" s="704" t="s">
        <v>728</v>
      </c>
      <c r="E9101" s="704" t="s">
        <v>448</v>
      </c>
      <c r="F9101" s="705">
        <v>0.40684459846971199</v>
      </c>
      <c r="G9101" s="705">
        <v>221.75802689360029</v>
      </c>
    </row>
    <row r="9102" spans="2:7" ht="11.25" hidden="1" customHeight="1" outlineLevel="2" x14ac:dyDescent="0.25">
      <c r="B9102" s="704" t="s">
        <v>673</v>
      </c>
      <c r="C9102" s="704" t="s">
        <v>786</v>
      </c>
      <c r="D9102" s="704" t="s">
        <v>728</v>
      </c>
      <c r="E9102" s="704" t="s">
        <v>448</v>
      </c>
      <c r="F9102" s="705">
        <v>8.9366902994803918E-2</v>
      </c>
      <c r="G9102" s="705">
        <v>112.70001138933979</v>
      </c>
    </row>
    <row r="9103" spans="2:7" ht="11.25" hidden="1" customHeight="1" outlineLevel="2" x14ac:dyDescent="0.25">
      <c r="B9103" s="704" t="s">
        <v>677</v>
      </c>
      <c r="C9103" s="704" t="s">
        <v>786</v>
      </c>
      <c r="D9103" s="704" t="s">
        <v>728</v>
      </c>
      <c r="E9103" s="704" t="s">
        <v>448</v>
      </c>
      <c r="F9103" s="705">
        <v>0.53219751372268875</v>
      </c>
      <c r="G9103" s="705">
        <v>664.03640313747076</v>
      </c>
    </row>
    <row r="9104" spans="2:7" ht="11.25" hidden="1" customHeight="1" outlineLevel="2" x14ac:dyDescent="0.25">
      <c r="B9104" s="704" t="s">
        <v>678</v>
      </c>
      <c r="C9104" s="704" t="s">
        <v>786</v>
      </c>
      <c r="D9104" s="704" t="s">
        <v>728</v>
      </c>
      <c r="E9104" s="704" t="s">
        <v>448</v>
      </c>
      <c r="F9104" s="705">
        <v>0.87127052083559386</v>
      </c>
      <c r="G9104" s="705">
        <v>1100.2367006424929</v>
      </c>
    </row>
    <row r="9105" spans="2:7" ht="11.25" hidden="1" customHeight="1" outlineLevel="2" x14ac:dyDescent="0.25">
      <c r="B9105" s="704" t="s">
        <v>679</v>
      </c>
      <c r="C9105" s="704" t="s">
        <v>786</v>
      </c>
      <c r="D9105" s="704" t="s">
        <v>728</v>
      </c>
      <c r="E9105" s="704" t="s">
        <v>448</v>
      </c>
      <c r="F9105" s="705">
        <v>8.0174934272124687E-2</v>
      </c>
      <c r="G9105" s="705">
        <v>101.55079946089609</v>
      </c>
    </row>
    <row r="9106" spans="2:7" ht="11.25" hidden="1" customHeight="1" outlineLevel="2" x14ac:dyDescent="0.25">
      <c r="B9106" s="704" t="s">
        <v>680</v>
      </c>
      <c r="C9106" s="704" t="s">
        <v>786</v>
      </c>
      <c r="D9106" s="704" t="s">
        <v>728</v>
      </c>
      <c r="E9106" s="704" t="s">
        <v>448</v>
      </c>
      <c r="F9106" s="705">
        <v>3.3337824951605012E-2</v>
      </c>
      <c r="G9106" s="705">
        <v>42.326356548748251</v>
      </c>
    </row>
    <row r="9107" spans="2:7" ht="11.25" hidden="1" customHeight="1" outlineLevel="2" x14ac:dyDescent="0.25">
      <c r="B9107" s="704" t="s">
        <v>681</v>
      </c>
      <c r="C9107" s="704" t="s">
        <v>786</v>
      </c>
      <c r="D9107" s="704" t="s">
        <v>728</v>
      </c>
      <c r="E9107" s="704" t="s">
        <v>448</v>
      </c>
      <c r="F9107" s="705">
        <v>0.15535598180266397</v>
      </c>
      <c r="G9107" s="705">
        <v>196.182905903061</v>
      </c>
    </row>
    <row r="9108" spans="2:7" ht="11.25" hidden="1" customHeight="1" outlineLevel="2" x14ac:dyDescent="0.25">
      <c r="B9108" s="704" t="s">
        <v>682</v>
      </c>
      <c r="C9108" s="704" t="s">
        <v>786</v>
      </c>
      <c r="D9108" s="704" t="s">
        <v>728</v>
      </c>
      <c r="E9108" s="704" t="s">
        <v>448</v>
      </c>
      <c r="F9108" s="705">
        <v>9.856198544708232E-2</v>
      </c>
      <c r="G9108" s="705">
        <v>124.47733764400783</v>
      </c>
    </row>
    <row r="9109" spans="2:7" ht="11.25" hidden="1" customHeight="1" outlineLevel="2" x14ac:dyDescent="0.25">
      <c r="B9109" s="704" t="s">
        <v>683</v>
      </c>
      <c r="C9109" s="704" t="s">
        <v>786</v>
      </c>
      <c r="D9109" s="704" t="s">
        <v>728</v>
      </c>
      <c r="E9109" s="704" t="s">
        <v>448</v>
      </c>
      <c r="F9109" s="705">
        <v>0.12698746632131813</v>
      </c>
      <c r="G9109" s="705">
        <v>160.84433535969191</v>
      </c>
    </row>
    <row r="9110" spans="2:7" ht="11.25" hidden="1" customHeight="1" outlineLevel="2" x14ac:dyDescent="0.25">
      <c r="B9110" s="704" t="s">
        <v>684</v>
      </c>
      <c r="C9110" s="704" t="s">
        <v>786</v>
      </c>
      <c r="D9110" s="704" t="s">
        <v>728</v>
      </c>
      <c r="E9110" s="704" t="s">
        <v>448</v>
      </c>
      <c r="F9110" s="705">
        <v>4.006191567012915E-2</v>
      </c>
      <c r="G9110" s="705">
        <v>50.863388300478491</v>
      </c>
    </row>
    <row r="9111" spans="2:7" ht="11.25" hidden="1" customHeight="1" outlineLevel="2" x14ac:dyDescent="0.25">
      <c r="B9111" s="704" t="s">
        <v>685</v>
      </c>
      <c r="C9111" s="704" t="s">
        <v>786</v>
      </c>
      <c r="D9111" s="704" t="s">
        <v>728</v>
      </c>
      <c r="E9111" s="704" t="s">
        <v>448</v>
      </c>
      <c r="F9111" s="705">
        <v>0.21225980786290205</v>
      </c>
      <c r="G9111" s="705">
        <v>268.85142034310883</v>
      </c>
    </row>
    <row r="9112" spans="2:7" ht="11.25" hidden="1" customHeight="1" outlineLevel="2" x14ac:dyDescent="0.25">
      <c r="B9112" s="704" t="s">
        <v>686</v>
      </c>
      <c r="C9112" s="704" t="s">
        <v>786</v>
      </c>
      <c r="D9112" s="704" t="s">
        <v>728</v>
      </c>
      <c r="E9112" s="704" t="s">
        <v>448</v>
      </c>
      <c r="F9112" s="705">
        <v>4.6847838437631295E-2</v>
      </c>
      <c r="G9112" s="705">
        <v>59.079533733075046</v>
      </c>
    </row>
    <row r="9113" spans="2:7" ht="11.25" hidden="1" customHeight="1" outlineLevel="2" x14ac:dyDescent="0.25">
      <c r="B9113" s="704" t="s">
        <v>687</v>
      </c>
      <c r="C9113" s="704" t="s">
        <v>786</v>
      </c>
      <c r="D9113" s="704" t="s">
        <v>728</v>
      </c>
      <c r="E9113" s="704" t="s">
        <v>448</v>
      </c>
      <c r="F9113" s="705">
        <v>0.23690754717201495</v>
      </c>
      <c r="G9113" s="705">
        <v>299.16579975151268</v>
      </c>
    </row>
    <row r="9114" spans="2:7" ht="11.25" hidden="1" customHeight="1" outlineLevel="2" x14ac:dyDescent="0.25">
      <c r="B9114" s="704" t="s">
        <v>688</v>
      </c>
      <c r="C9114" s="704" t="s">
        <v>786</v>
      </c>
      <c r="D9114" s="704" t="s">
        <v>728</v>
      </c>
      <c r="E9114" s="704" t="s">
        <v>448</v>
      </c>
      <c r="F9114" s="705">
        <v>0.26406404199581851</v>
      </c>
      <c r="G9114" s="705">
        <v>333.45892716844122</v>
      </c>
    </row>
    <row r="9115" spans="2:7" ht="11.25" hidden="1" customHeight="1" outlineLevel="2" x14ac:dyDescent="0.25">
      <c r="B9115" s="704" t="s">
        <v>689</v>
      </c>
      <c r="C9115" s="704" t="s">
        <v>786</v>
      </c>
      <c r="D9115" s="704" t="s">
        <v>728</v>
      </c>
      <c r="E9115" s="704" t="s">
        <v>448</v>
      </c>
      <c r="F9115" s="705">
        <v>4.2054708213339613E-2</v>
      </c>
      <c r="G9115" s="705">
        <v>53.035479412779203</v>
      </c>
    </row>
    <row r="9116" spans="2:7" ht="11.25" hidden="1" customHeight="1" outlineLevel="2" x14ac:dyDescent="0.25">
      <c r="B9116" s="704" t="s">
        <v>690</v>
      </c>
      <c r="C9116" s="704" t="s">
        <v>786</v>
      </c>
      <c r="D9116" s="704" t="s">
        <v>728</v>
      </c>
      <c r="E9116" s="704" t="s">
        <v>448</v>
      </c>
      <c r="F9116" s="706">
        <v>0.94017933742189774</v>
      </c>
      <c r="G9116" s="705">
        <v>1190.8451641301654</v>
      </c>
    </row>
    <row r="9117" spans="2:7" ht="11.25" hidden="1" customHeight="1" outlineLevel="2" x14ac:dyDescent="0.25">
      <c r="B9117" s="704" t="s">
        <v>691</v>
      </c>
      <c r="C9117" s="704" t="s">
        <v>786</v>
      </c>
      <c r="D9117" s="704" t="s">
        <v>728</v>
      </c>
      <c r="E9117" s="704" t="s">
        <v>448</v>
      </c>
      <c r="F9117" s="706">
        <v>0.84163135812168632</v>
      </c>
      <c r="G9117" s="705">
        <v>1066.0232742313394</v>
      </c>
    </row>
    <row r="9118" spans="2:7" ht="11.25" hidden="1" customHeight="1" outlineLevel="2" x14ac:dyDescent="0.25">
      <c r="B9118" s="704" t="s">
        <v>692</v>
      </c>
      <c r="C9118" s="704" t="s">
        <v>786</v>
      </c>
      <c r="D9118" s="704" t="s">
        <v>728</v>
      </c>
      <c r="E9118" s="704" t="s">
        <v>448</v>
      </c>
      <c r="F9118" s="706">
        <v>4.7937858050997498E-2</v>
      </c>
      <c r="G9118" s="705">
        <v>60.53571396103542</v>
      </c>
    </row>
    <row r="9119" spans="2:7" ht="11.25" hidden="1" customHeight="1" outlineLevel="2" x14ac:dyDescent="0.25">
      <c r="B9119" s="704" t="s">
        <v>693</v>
      </c>
      <c r="C9119" s="704" t="s">
        <v>786</v>
      </c>
      <c r="D9119" s="704" t="s">
        <v>728</v>
      </c>
      <c r="E9119" s="704" t="s">
        <v>448</v>
      </c>
      <c r="F9119" s="706">
        <v>9.7409732009237068E-2</v>
      </c>
      <c r="G9119" s="705">
        <v>123.67324183576041</v>
      </c>
    </row>
    <row r="9120" spans="2:7" ht="11.25" hidden="1" customHeight="1" outlineLevel="2" x14ac:dyDescent="0.25">
      <c r="B9120" s="704" t="s">
        <v>694</v>
      </c>
      <c r="C9120" s="704" t="s">
        <v>786</v>
      </c>
      <c r="D9120" s="704" t="s">
        <v>728</v>
      </c>
      <c r="E9120" s="704" t="s">
        <v>448</v>
      </c>
      <c r="F9120" s="706">
        <v>2.732853017637182E-2</v>
      </c>
      <c r="G9120" s="705">
        <v>34.69683652761907</v>
      </c>
    </row>
    <row r="9121" spans="2:7" ht="11.25" hidden="1" customHeight="1" outlineLevel="2" x14ac:dyDescent="0.25">
      <c r="B9121" s="704" t="s">
        <v>695</v>
      </c>
      <c r="C9121" s="704" t="s">
        <v>786</v>
      </c>
      <c r="D9121" s="704" t="s">
        <v>728</v>
      </c>
      <c r="E9121" s="704" t="s">
        <v>448</v>
      </c>
      <c r="F9121" s="706">
        <v>4.6413657475332819E-2</v>
      </c>
      <c r="G9121" s="705">
        <v>58.927713612354559</v>
      </c>
    </row>
    <row r="9122" spans="2:7" ht="11.25" hidden="1" customHeight="1" outlineLevel="2" x14ac:dyDescent="0.25">
      <c r="B9122" s="704" t="s">
        <v>696</v>
      </c>
      <c r="C9122" s="704" t="s">
        <v>786</v>
      </c>
      <c r="D9122" s="704" t="s">
        <v>728</v>
      </c>
      <c r="E9122" s="704" t="s">
        <v>448</v>
      </c>
      <c r="F9122" s="706">
        <v>0.14848144090433579</v>
      </c>
      <c r="G9122" s="705">
        <v>187.24908861449197</v>
      </c>
    </row>
    <row r="9123" spans="2:7" ht="11.25" hidden="1" customHeight="1" outlineLevel="2" x14ac:dyDescent="0.25">
      <c r="B9123" s="704" t="s">
        <v>697</v>
      </c>
      <c r="C9123" s="704" t="s">
        <v>786</v>
      </c>
      <c r="D9123" s="704" t="s">
        <v>728</v>
      </c>
      <c r="E9123" s="704" t="s">
        <v>448</v>
      </c>
      <c r="F9123" s="706">
        <v>9.6790038927871386E-2</v>
      </c>
      <c r="G9123" s="705">
        <v>122.88653608905017</v>
      </c>
    </row>
    <row r="9124" spans="2:7" ht="11.25" hidden="1" customHeight="1" outlineLevel="2" x14ac:dyDescent="0.25">
      <c r="B9124" s="704" t="s">
        <v>698</v>
      </c>
      <c r="C9124" s="704" t="s">
        <v>786</v>
      </c>
      <c r="D9124" s="704" t="s">
        <v>728</v>
      </c>
      <c r="E9124" s="704" t="s">
        <v>448</v>
      </c>
      <c r="F9124" s="706">
        <v>0.13085901082179421</v>
      </c>
      <c r="G9124" s="705">
        <v>166.14108081985549</v>
      </c>
    </row>
    <row r="9125" spans="2:7" ht="11.25" hidden="1" customHeight="1" outlineLevel="2" x14ac:dyDescent="0.25">
      <c r="B9125" s="704" t="s">
        <v>699</v>
      </c>
      <c r="C9125" s="704" t="s">
        <v>786</v>
      </c>
      <c r="D9125" s="704" t="s">
        <v>728</v>
      </c>
      <c r="E9125" s="704" t="s">
        <v>448</v>
      </c>
      <c r="F9125" s="706">
        <v>0.8095743227241492</v>
      </c>
      <c r="G9125" s="705">
        <v>1022.3264008261222</v>
      </c>
    </row>
    <row r="9126" spans="2:7" ht="11.25" hidden="1" customHeight="1" outlineLevel="2" x14ac:dyDescent="0.25">
      <c r="B9126" s="704" t="s">
        <v>673</v>
      </c>
      <c r="C9126" s="704" t="s">
        <v>787</v>
      </c>
      <c r="D9126" s="704" t="s">
        <v>728</v>
      </c>
      <c r="E9126" s="704" t="s">
        <v>448</v>
      </c>
      <c r="F9126" s="705">
        <v>7.2663141006427548E-3</v>
      </c>
      <c r="G9126" s="705">
        <v>10.225895357995777</v>
      </c>
    </row>
    <row r="9127" spans="2:7" ht="11.25" hidden="1" customHeight="1" outlineLevel="2" x14ac:dyDescent="0.25">
      <c r="B9127" s="704" t="s">
        <v>677</v>
      </c>
      <c r="C9127" s="704" t="s">
        <v>787</v>
      </c>
      <c r="D9127" s="704" t="s">
        <v>728</v>
      </c>
      <c r="E9127" s="704" t="s">
        <v>448</v>
      </c>
      <c r="F9127" s="705">
        <v>0.35193007134621079</v>
      </c>
      <c r="G9127" s="705">
        <v>490.02546778289849</v>
      </c>
    </row>
    <row r="9128" spans="2:7" ht="11.25" hidden="1" customHeight="1" outlineLevel="2" x14ac:dyDescent="0.25">
      <c r="B9128" s="704" t="s">
        <v>678</v>
      </c>
      <c r="C9128" s="704" t="s">
        <v>787</v>
      </c>
      <c r="D9128" s="704" t="s">
        <v>728</v>
      </c>
      <c r="E9128" s="704" t="s">
        <v>448</v>
      </c>
      <c r="F9128" s="706">
        <v>0.41797817614791316</v>
      </c>
      <c r="G9128" s="705">
        <v>589.01222461937959</v>
      </c>
    </row>
    <row r="9129" spans="2:7" ht="11.25" hidden="1" customHeight="1" outlineLevel="2" x14ac:dyDescent="0.25">
      <c r="B9129" s="704" t="s">
        <v>679</v>
      </c>
      <c r="C9129" s="704" t="s">
        <v>787</v>
      </c>
      <c r="D9129" s="704" t="s">
        <v>728</v>
      </c>
      <c r="E9129" s="704" t="s">
        <v>448</v>
      </c>
      <c r="F9129" s="705">
        <v>2.4886597389646922E-2</v>
      </c>
      <c r="G9129" s="705">
        <v>35.177119872465511</v>
      </c>
    </row>
    <row r="9130" spans="2:7" ht="11.25" hidden="1" customHeight="1" outlineLevel="2" x14ac:dyDescent="0.25">
      <c r="B9130" s="704" t="s">
        <v>680</v>
      </c>
      <c r="C9130" s="704" t="s">
        <v>787</v>
      </c>
      <c r="D9130" s="704" t="s">
        <v>728</v>
      </c>
      <c r="E9130" s="704" t="s">
        <v>448</v>
      </c>
      <c r="F9130" s="705">
        <v>7.7947746836251729E-3</v>
      </c>
      <c r="G9130" s="705">
        <v>11.043976939005109</v>
      </c>
    </row>
    <row r="9131" spans="2:7" ht="11.25" hidden="1" customHeight="1" outlineLevel="2" x14ac:dyDescent="0.25">
      <c r="B9131" s="704" t="s">
        <v>681</v>
      </c>
      <c r="C9131" s="704" t="s">
        <v>787</v>
      </c>
      <c r="D9131" s="704" t="s">
        <v>728</v>
      </c>
      <c r="E9131" s="704" t="s">
        <v>448</v>
      </c>
      <c r="F9131" s="705">
        <v>0.13177913778080647</v>
      </c>
      <c r="G9131" s="705">
        <v>185.7024035735225</v>
      </c>
    </row>
    <row r="9132" spans="2:7" ht="11.25" hidden="1" customHeight="1" outlineLevel="2" x14ac:dyDescent="0.25">
      <c r="B9132" s="704" t="s">
        <v>682</v>
      </c>
      <c r="C9132" s="704" t="s">
        <v>787</v>
      </c>
      <c r="D9132" s="704" t="s">
        <v>728</v>
      </c>
      <c r="E9132" s="704" t="s">
        <v>448</v>
      </c>
      <c r="F9132" s="705">
        <v>1.7123567851558781E-2</v>
      </c>
      <c r="G9132" s="705">
        <v>24.133145613258186</v>
      </c>
    </row>
    <row r="9133" spans="2:7" ht="11.25" hidden="1" customHeight="1" outlineLevel="2" x14ac:dyDescent="0.25">
      <c r="B9133" s="704" t="s">
        <v>683</v>
      </c>
      <c r="C9133" s="704" t="s">
        <v>787</v>
      </c>
      <c r="D9133" s="704" t="s">
        <v>728</v>
      </c>
      <c r="E9133" s="704" t="s">
        <v>448</v>
      </c>
      <c r="F9133" s="705">
        <v>3.588300416262722E-2</v>
      </c>
      <c r="G9133" s="705">
        <v>50.72049882410824</v>
      </c>
    </row>
    <row r="9134" spans="2:7" ht="11.25" hidden="1" customHeight="1" outlineLevel="2" x14ac:dyDescent="0.25">
      <c r="B9134" s="704" t="s">
        <v>684</v>
      </c>
      <c r="C9134" s="704" t="s">
        <v>787</v>
      </c>
      <c r="D9134" s="704" t="s">
        <v>728</v>
      </c>
      <c r="E9134" s="704" t="s">
        <v>448</v>
      </c>
      <c r="F9134" s="705">
        <v>4.6191246574305116E-2</v>
      </c>
      <c r="G9134" s="705">
        <v>65.445767438112313</v>
      </c>
    </row>
    <row r="9135" spans="2:7" ht="11.25" hidden="1" customHeight="1" outlineLevel="2" x14ac:dyDescent="0.25">
      <c r="B9135" s="704" t="s">
        <v>685</v>
      </c>
      <c r="C9135" s="704" t="s">
        <v>787</v>
      </c>
      <c r="D9135" s="704" t="s">
        <v>728</v>
      </c>
      <c r="E9135" s="704" t="s">
        <v>448</v>
      </c>
      <c r="F9135" s="705">
        <v>0.2181918792529248</v>
      </c>
      <c r="G9135" s="705">
        <v>308.41335729708044</v>
      </c>
    </row>
    <row r="9136" spans="2:7" ht="11.25" hidden="1" customHeight="1" outlineLevel="2" x14ac:dyDescent="0.25">
      <c r="B9136" s="704" t="s">
        <v>686</v>
      </c>
      <c r="C9136" s="704" t="s">
        <v>787</v>
      </c>
      <c r="D9136" s="704" t="s">
        <v>728</v>
      </c>
      <c r="E9136" s="704" t="s">
        <v>448</v>
      </c>
      <c r="F9136" s="705">
        <v>4.6795073879666998E-2</v>
      </c>
      <c r="G9136" s="705">
        <v>65.854844090840189</v>
      </c>
    </row>
    <row r="9137" spans="2:7" ht="11.25" hidden="1" customHeight="1" outlineLevel="2" x14ac:dyDescent="0.25">
      <c r="B9137" s="704" t="s">
        <v>687</v>
      </c>
      <c r="C9137" s="704" t="s">
        <v>787</v>
      </c>
      <c r="D9137" s="704" t="s">
        <v>728</v>
      </c>
      <c r="E9137" s="704" t="s">
        <v>448</v>
      </c>
      <c r="F9137" s="705">
        <v>9.6076896025881403E-2</v>
      </c>
      <c r="G9137" s="705">
        <v>135.39105714105921</v>
      </c>
    </row>
    <row r="9138" spans="2:7" ht="11.25" hidden="1" customHeight="1" outlineLevel="2" x14ac:dyDescent="0.25">
      <c r="B9138" s="704" t="s">
        <v>688</v>
      </c>
      <c r="C9138" s="704" t="s">
        <v>787</v>
      </c>
      <c r="D9138" s="704" t="s">
        <v>728</v>
      </c>
      <c r="E9138" s="704" t="s">
        <v>448</v>
      </c>
      <c r="F9138" s="705">
        <v>0.28271563879219197</v>
      </c>
      <c r="G9138" s="705">
        <v>398.40132594071628</v>
      </c>
    </row>
    <row r="9139" spans="2:7" ht="11.25" hidden="1" customHeight="1" outlineLevel="2" x14ac:dyDescent="0.25">
      <c r="B9139" s="704" t="s">
        <v>689</v>
      </c>
      <c r="C9139" s="704" t="s">
        <v>787</v>
      </c>
      <c r="D9139" s="704" t="s">
        <v>728</v>
      </c>
      <c r="E9139" s="704" t="s">
        <v>448</v>
      </c>
      <c r="F9139" s="705">
        <v>2.7562440839536153E-2</v>
      </c>
      <c r="G9139" s="705">
        <v>38.779601672481157</v>
      </c>
    </row>
    <row r="9140" spans="2:7" ht="11.25" hidden="1" customHeight="1" outlineLevel="2" x14ac:dyDescent="0.25">
      <c r="B9140" s="704" t="s">
        <v>690</v>
      </c>
      <c r="C9140" s="704" t="s">
        <v>787</v>
      </c>
      <c r="D9140" s="704" t="s">
        <v>728</v>
      </c>
      <c r="E9140" s="704" t="s">
        <v>448</v>
      </c>
      <c r="F9140" s="705">
        <v>0.86177083214165207</v>
      </c>
      <c r="G9140" s="705">
        <v>1218.1101139123061</v>
      </c>
    </row>
    <row r="9141" spans="2:7" ht="11.25" hidden="1" customHeight="1" outlineLevel="2" x14ac:dyDescent="0.25">
      <c r="B9141" s="704" t="s">
        <v>691</v>
      </c>
      <c r="C9141" s="704" t="s">
        <v>787</v>
      </c>
      <c r="D9141" s="704" t="s">
        <v>728</v>
      </c>
      <c r="E9141" s="704" t="s">
        <v>448</v>
      </c>
      <c r="F9141" s="705">
        <v>0.42104648856707638</v>
      </c>
      <c r="G9141" s="705">
        <v>595.14775520075432</v>
      </c>
    </row>
    <row r="9142" spans="2:7" ht="11.25" hidden="1" customHeight="1" outlineLevel="2" x14ac:dyDescent="0.25">
      <c r="B9142" s="704" t="s">
        <v>692</v>
      </c>
      <c r="C9142" s="704" t="s">
        <v>787</v>
      </c>
      <c r="D9142" s="704" t="s">
        <v>728</v>
      </c>
      <c r="E9142" s="704" t="s">
        <v>448</v>
      </c>
      <c r="F9142" s="705">
        <v>2.7574941243579079E-2</v>
      </c>
      <c r="G9142" s="705">
        <v>38.858443660890018</v>
      </c>
    </row>
    <row r="9143" spans="2:7" ht="11.25" hidden="1" customHeight="1" outlineLevel="2" x14ac:dyDescent="0.25">
      <c r="B9143" s="704" t="s">
        <v>693</v>
      </c>
      <c r="C9143" s="704" t="s">
        <v>787</v>
      </c>
      <c r="D9143" s="704" t="s">
        <v>728</v>
      </c>
      <c r="E9143" s="704" t="s">
        <v>448</v>
      </c>
      <c r="F9143" s="705">
        <v>2.1074758593260023E-2</v>
      </c>
      <c r="G9143" s="705">
        <v>29.859646392866267</v>
      </c>
    </row>
    <row r="9144" spans="2:7" ht="11.25" hidden="1" customHeight="1" outlineLevel="2" x14ac:dyDescent="0.25">
      <c r="B9144" s="704" t="s">
        <v>694</v>
      </c>
      <c r="C9144" s="704" t="s">
        <v>787</v>
      </c>
      <c r="D9144" s="704" t="s">
        <v>728</v>
      </c>
      <c r="E9144" s="704" t="s">
        <v>448</v>
      </c>
      <c r="F9144" s="705">
        <v>4.6479952528606441E-2</v>
      </c>
      <c r="G9144" s="705">
        <v>65.854844090840189</v>
      </c>
    </row>
    <row r="9145" spans="2:7" ht="11.25" hidden="1" customHeight="1" outlineLevel="2" x14ac:dyDescent="0.25">
      <c r="B9145" s="704" t="s">
        <v>695</v>
      </c>
      <c r="C9145" s="704" t="s">
        <v>787</v>
      </c>
      <c r="D9145" s="704" t="s">
        <v>728</v>
      </c>
      <c r="E9145" s="704" t="s">
        <v>448</v>
      </c>
      <c r="F9145" s="705">
        <v>4.5613880665873949E-2</v>
      </c>
      <c r="G9145" s="705">
        <v>64.627737669444059</v>
      </c>
    </row>
    <row r="9146" spans="2:7" ht="11.25" hidden="1" customHeight="1" outlineLevel="2" x14ac:dyDescent="0.25">
      <c r="B9146" s="704" t="s">
        <v>696</v>
      </c>
      <c r="C9146" s="704" t="s">
        <v>787</v>
      </c>
      <c r="D9146" s="704" t="s">
        <v>728</v>
      </c>
      <c r="E9146" s="704" t="s">
        <v>448</v>
      </c>
      <c r="F9146" s="705">
        <v>6.5687482087436064E-2</v>
      </c>
      <c r="G9146" s="705">
        <v>92.442158167683814</v>
      </c>
    </row>
    <row r="9147" spans="2:7" ht="11.25" hidden="1" customHeight="1" outlineLevel="2" x14ac:dyDescent="0.25">
      <c r="B9147" s="704" t="s">
        <v>697</v>
      </c>
      <c r="C9147" s="704" t="s">
        <v>787</v>
      </c>
      <c r="D9147" s="704" t="s">
        <v>728</v>
      </c>
      <c r="E9147" s="704" t="s">
        <v>448</v>
      </c>
      <c r="F9147" s="705">
        <v>2.9446929408748202E-2</v>
      </c>
      <c r="G9147" s="705">
        <v>41.721690420725636</v>
      </c>
    </row>
    <row r="9148" spans="2:7" ht="11.25" hidden="1" customHeight="1" outlineLevel="2" x14ac:dyDescent="0.25">
      <c r="B9148" s="704" t="s">
        <v>698</v>
      </c>
      <c r="C9148" s="704" t="s">
        <v>787</v>
      </c>
      <c r="D9148" s="704" t="s">
        <v>728</v>
      </c>
      <c r="E9148" s="704" t="s">
        <v>448</v>
      </c>
      <c r="F9148" s="705">
        <v>4.6479952528141237E-2</v>
      </c>
      <c r="G9148" s="705">
        <v>65.854844091248836</v>
      </c>
    </row>
    <row r="9149" spans="2:7" ht="11.25" hidden="1" customHeight="1" outlineLevel="2" x14ac:dyDescent="0.25">
      <c r="B9149" s="704" t="s">
        <v>699</v>
      </c>
      <c r="C9149" s="704" t="s">
        <v>787</v>
      </c>
      <c r="D9149" s="704" t="s">
        <v>728</v>
      </c>
      <c r="E9149" s="704" t="s">
        <v>448</v>
      </c>
      <c r="F9149" s="706">
        <v>5.2537513155171835E-2</v>
      </c>
      <c r="G9149" s="705">
        <v>74.035576611266166</v>
      </c>
    </row>
    <row r="9150" spans="2:7" ht="11.25" hidden="1" customHeight="1" outlineLevel="2" x14ac:dyDescent="0.25">
      <c r="B9150" s="704" t="s">
        <v>673</v>
      </c>
      <c r="C9150" s="704" t="s">
        <v>788</v>
      </c>
      <c r="D9150" s="704" t="s">
        <v>728</v>
      </c>
      <c r="E9150" s="704" t="s">
        <v>448</v>
      </c>
      <c r="F9150" s="706">
        <v>1.0241550323163826E-2</v>
      </c>
      <c r="G9150" s="705">
        <v>11.639181088941882</v>
      </c>
    </row>
    <row r="9151" spans="2:7" ht="11.25" hidden="1" customHeight="1" outlineLevel="2" x14ac:dyDescent="0.25">
      <c r="B9151" s="704" t="s">
        <v>677</v>
      </c>
      <c r="C9151" s="704" t="s">
        <v>788</v>
      </c>
      <c r="D9151" s="704" t="s">
        <v>728</v>
      </c>
      <c r="E9151" s="704" t="s">
        <v>448</v>
      </c>
      <c r="F9151" s="706">
        <v>0.49600760853637943</v>
      </c>
      <c r="G9151" s="705">
        <v>557.74977159147943</v>
      </c>
    </row>
    <row r="9152" spans="2:7" ht="11.25" hidden="1" customHeight="1" outlineLevel="2" x14ac:dyDescent="0.25">
      <c r="B9152" s="704" t="s">
        <v>678</v>
      </c>
      <c r="C9152" s="704" t="s">
        <v>788</v>
      </c>
      <c r="D9152" s="704" t="s">
        <v>728</v>
      </c>
      <c r="E9152" s="704" t="s">
        <v>448</v>
      </c>
      <c r="F9152" s="706">
        <v>0.58912510252117078</v>
      </c>
      <c r="G9152" s="705">
        <v>670.41695459837513</v>
      </c>
    </row>
    <row r="9153" spans="2:7" ht="11.25" hidden="1" customHeight="1" outlineLevel="2" x14ac:dyDescent="0.25">
      <c r="B9153" s="704" t="s">
        <v>679</v>
      </c>
      <c r="C9153" s="704" t="s">
        <v>788</v>
      </c>
      <c r="D9153" s="704" t="s">
        <v>728</v>
      </c>
      <c r="E9153" s="704" t="s">
        <v>448</v>
      </c>
      <c r="F9153" s="706">
        <v>3.5077236063405133E-2</v>
      </c>
      <c r="G9153" s="705">
        <v>40.038808475626283</v>
      </c>
    </row>
    <row r="9154" spans="2:7" ht="11.25" hidden="1" customHeight="1" outlineLevel="2" x14ac:dyDescent="0.25">
      <c r="B9154" s="704" t="s">
        <v>680</v>
      </c>
      <c r="C9154" s="704" t="s">
        <v>788</v>
      </c>
      <c r="D9154" s="704" t="s">
        <v>728</v>
      </c>
      <c r="E9154" s="704" t="s">
        <v>448</v>
      </c>
      <c r="F9154" s="706">
        <v>1.0986711397004382E-2</v>
      </c>
      <c r="G9154" s="705">
        <v>12.570324915851014</v>
      </c>
    </row>
    <row r="9155" spans="2:7" ht="11.25" hidden="1" customHeight="1" outlineLevel="2" x14ac:dyDescent="0.25">
      <c r="B9155" s="704" t="s">
        <v>681</v>
      </c>
      <c r="C9155" s="704" t="s">
        <v>788</v>
      </c>
      <c r="D9155" s="704" t="s">
        <v>728</v>
      </c>
      <c r="E9155" s="704" t="s">
        <v>448</v>
      </c>
      <c r="F9155" s="705">
        <v>0.18573804622913404</v>
      </c>
      <c r="G9155" s="705">
        <v>211.36761257080076</v>
      </c>
    </row>
    <row r="9156" spans="2:7" ht="11.25" hidden="1" customHeight="1" outlineLevel="2" x14ac:dyDescent="0.25">
      <c r="B9156" s="704" t="s">
        <v>682</v>
      </c>
      <c r="C9156" s="704" t="s">
        <v>788</v>
      </c>
      <c r="D9156" s="704" t="s">
        <v>728</v>
      </c>
      <c r="E9156" s="704" t="s">
        <v>448</v>
      </c>
      <c r="F9156" s="705">
        <v>2.4135081813704617E-2</v>
      </c>
      <c r="G9156" s="705">
        <v>27.468490089060108</v>
      </c>
    </row>
    <row r="9157" spans="2:7" ht="11.25" hidden="1" customHeight="1" outlineLevel="2" x14ac:dyDescent="0.25">
      <c r="B9157" s="704" t="s">
        <v>683</v>
      </c>
      <c r="C9157" s="704" t="s">
        <v>788</v>
      </c>
      <c r="D9157" s="704" t="s">
        <v>728</v>
      </c>
      <c r="E9157" s="704" t="s">
        <v>448</v>
      </c>
      <c r="F9157" s="705">
        <v>5.0576480465292825E-2</v>
      </c>
      <c r="G9157" s="705">
        <v>57.73036129345271</v>
      </c>
    </row>
    <row r="9158" spans="2:7" ht="11.25" hidden="1" customHeight="1" outlineLevel="2" x14ac:dyDescent="0.25">
      <c r="B9158" s="704" t="s">
        <v>684</v>
      </c>
      <c r="C9158" s="704" t="s">
        <v>788</v>
      </c>
      <c r="D9158" s="704" t="s">
        <v>728</v>
      </c>
      <c r="E9158" s="704" t="s">
        <v>448</v>
      </c>
      <c r="F9158" s="705">
        <v>6.5106435671112461E-2</v>
      </c>
      <c r="G9158" s="705">
        <v>74.490775807123867</v>
      </c>
    </row>
    <row r="9159" spans="2:7" ht="11.25" hidden="1" customHeight="1" outlineLevel="2" x14ac:dyDescent="0.25">
      <c r="B9159" s="704" t="s">
        <v>685</v>
      </c>
      <c r="C9159" s="704" t="s">
        <v>788</v>
      </c>
      <c r="D9159" s="704" t="s">
        <v>728</v>
      </c>
      <c r="E9159" s="704" t="s">
        <v>448</v>
      </c>
      <c r="F9159" s="705">
        <v>0.30753758794839586</v>
      </c>
      <c r="G9159" s="705">
        <v>351.03778338959728</v>
      </c>
    </row>
    <row r="9160" spans="2:7" ht="11.25" hidden="1" customHeight="1" outlineLevel="2" x14ac:dyDescent="0.25">
      <c r="B9160" s="704" t="s">
        <v>686</v>
      </c>
      <c r="C9160" s="704" t="s">
        <v>788</v>
      </c>
      <c r="D9160" s="704" t="s">
        <v>728</v>
      </c>
      <c r="E9160" s="704" t="s">
        <v>448</v>
      </c>
      <c r="F9160" s="705">
        <v>6.5955597108701317E-2</v>
      </c>
      <c r="G9160" s="705">
        <v>74.956371908910569</v>
      </c>
    </row>
    <row r="9161" spans="2:7" ht="11.25" hidden="1" customHeight="1" outlineLevel="2" x14ac:dyDescent="0.25">
      <c r="B9161" s="704" t="s">
        <v>687</v>
      </c>
      <c r="C9161" s="704" t="s">
        <v>788</v>
      </c>
      <c r="D9161" s="704" t="s">
        <v>728</v>
      </c>
      <c r="E9161" s="704" t="s">
        <v>448</v>
      </c>
      <c r="F9161" s="705">
        <v>0.13541697316793816</v>
      </c>
      <c r="G9161" s="705">
        <v>154.10280049238017</v>
      </c>
    </row>
    <row r="9162" spans="2:7" ht="11.25" hidden="1" customHeight="1" outlineLevel="2" x14ac:dyDescent="0.25">
      <c r="B9162" s="704" t="s">
        <v>688</v>
      </c>
      <c r="C9162" s="704" t="s">
        <v>788</v>
      </c>
      <c r="D9162" s="704" t="s">
        <v>728</v>
      </c>
      <c r="E9162" s="704" t="s">
        <v>448</v>
      </c>
      <c r="F9162" s="705">
        <v>0.39847768386321464</v>
      </c>
      <c r="G9162" s="705">
        <v>453.46279325130172</v>
      </c>
    </row>
    <row r="9163" spans="2:7" ht="11.25" hidden="1" customHeight="1" outlineLevel="2" x14ac:dyDescent="0.25">
      <c r="B9163" s="704" t="s">
        <v>689</v>
      </c>
      <c r="C9163" s="704" t="s">
        <v>788</v>
      </c>
      <c r="D9163" s="704" t="s">
        <v>728</v>
      </c>
      <c r="E9163" s="704" t="s">
        <v>448</v>
      </c>
      <c r="F9163" s="705">
        <v>3.8848027799850263E-2</v>
      </c>
      <c r="G9163" s="705">
        <v>44.139170094018503</v>
      </c>
    </row>
    <row r="9164" spans="2:7" ht="11.25" hidden="1" customHeight="1" outlineLevel="2" x14ac:dyDescent="0.25">
      <c r="B9164" s="704" t="s">
        <v>690</v>
      </c>
      <c r="C9164" s="704" t="s">
        <v>788</v>
      </c>
      <c r="D9164" s="704" t="s">
        <v>728</v>
      </c>
      <c r="E9164" s="704" t="s">
        <v>448</v>
      </c>
      <c r="F9164" s="705">
        <v>1.2146515518764025</v>
      </c>
      <c r="G9164" s="705">
        <v>1386.4592699974771</v>
      </c>
    </row>
    <row r="9165" spans="2:7" ht="11.25" hidden="1" customHeight="1" outlineLevel="2" x14ac:dyDescent="0.25">
      <c r="B9165" s="704" t="s">
        <v>691</v>
      </c>
      <c r="C9165" s="704" t="s">
        <v>788</v>
      </c>
      <c r="D9165" s="704" t="s">
        <v>728</v>
      </c>
      <c r="E9165" s="704" t="s">
        <v>448</v>
      </c>
      <c r="F9165" s="705">
        <v>0.59345782994561258</v>
      </c>
      <c r="G9165" s="705">
        <v>677.40075170310331</v>
      </c>
    </row>
    <row r="9166" spans="2:7" ht="11.25" hidden="1" customHeight="1" outlineLevel="2" x14ac:dyDescent="0.25">
      <c r="B9166" s="704" t="s">
        <v>692</v>
      </c>
      <c r="C9166" s="704" t="s">
        <v>788</v>
      </c>
      <c r="D9166" s="704" t="s">
        <v>728</v>
      </c>
      <c r="E9166" s="704" t="s">
        <v>448</v>
      </c>
      <c r="F9166" s="705">
        <v>3.886589186089489E-2</v>
      </c>
      <c r="G9166" s="705">
        <v>44.228913452733536</v>
      </c>
    </row>
    <row r="9167" spans="2:7" ht="11.25" hidden="1" customHeight="1" outlineLevel="2" x14ac:dyDescent="0.25">
      <c r="B9167" s="704" t="s">
        <v>693</v>
      </c>
      <c r="C9167" s="704" t="s">
        <v>788</v>
      </c>
      <c r="D9167" s="704" t="s">
        <v>728</v>
      </c>
      <c r="E9167" s="704" t="s">
        <v>448</v>
      </c>
      <c r="F9167" s="705">
        <v>2.970481958217908E-2</v>
      </c>
      <c r="G9167" s="705">
        <v>33.986426437634897</v>
      </c>
    </row>
    <row r="9168" spans="2:7" ht="11.25" hidden="1" customHeight="1" outlineLevel="2" x14ac:dyDescent="0.25">
      <c r="B9168" s="704" t="s">
        <v>694</v>
      </c>
      <c r="C9168" s="704" t="s">
        <v>788</v>
      </c>
      <c r="D9168" s="704" t="s">
        <v>728</v>
      </c>
      <c r="E9168" s="704" t="s">
        <v>448</v>
      </c>
      <c r="F9168" s="705">
        <v>6.5513370316746214E-2</v>
      </c>
      <c r="G9168" s="705">
        <v>74.956371908910569</v>
      </c>
    </row>
    <row r="9169" spans="2:7" ht="11.25" hidden="1" customHeight="1" outlineLevel="2" x14ac:dyDescent="0.25">
      <c r="B9169" s="704" t="s">
        <v>695</v>
      </c>
      <c r="C9169" s="704" t="s">
        <v>788</v>
      </c>
      <c r="D9169" s="704" t="s">
        <v>728</v>
      </c>
      <c r="E9169" s="704" t="s">
        <v>448</v>
      </c>
      <c r="F9169" s="705">
        <v>6.4292609449705621E-2</v>
      </c>
      <c r="G9169" s="705">
        <v>73.559655215475701</v>
      </c>
    </row>
    <row r="9170" spans="2:7" ht="11.25" hidden="1" customHeight="1" outlineLevel="2" x14ac:dyDescent="0.25">
      <c r="B9170" s="704" t="s">
        <v>696</v>
      </c>
      <c r="C9170" s="704" t="s">
        <v>788</v>
      </c>
      <c r="D9170" s="704" t="s">
        <v>728</v>
      </c>
      <c r="E9170" s="704" t="s">
        <v>448</v>
      </c>
      <c r="F9170" s="705">
        <v>9.258361298386629E-2</v>
      </c>
      <c r="G9170" s="705">
        <v>105.21827326427098</v>
      </c>
    </row>
    <row r="9171" spans="2:7" ht="11.25" hidden="1" customHeight="1" outlineLevel="2" x14ac:dyDescent="0.25">
      <c r="B9171" s="704" t="s">
        <v>697</v>
      </c>
      <c r="C9171" s="704" t="s">
        <v>788</v>
      </c>
      <c r="D9171" s="704" t="s">
        <v>728</v>
      </c>
      <c r="E9171" s="704" t="s">
        <v>448</v>
      </c>
      <c r="F9171" s="705">
        <v>4.150534620988889E-2</v>
      </c>
      <c r="G9171" s="705">
        <v>47.487878947667582</v>
      </c>
    </row>
    <row r="9172" spans="2:7" ht="11.25" hidden="1" customHeight="1" outlineLevel="2" x14ac:dyDescent="0.25">
      <c r="B9172" s="704" t="s">
        <v>698</v>
      </c>
      <c r="C9172" s="704" t="s">
        <v>788</v>
      </c>
      <c r="D9172" s="704" t="s">
        <v>728</v>
      </c>
      <c r="E9172" s="704" t="s">
        <v>448</v>
      </c>
      <c r="F9172" s="705">
        <v>6.5513370320643111E-2</v>
      </c>
      <c r="G9172" s="705">
        <v>74.956371908397784</v>
      </c>
    </row>
    <row r="9173" spans="2:7" ht="11.25" hidden="1" customHeight="1" outlineLevel="2" x14ac:dyDescent="0.25">
      <c r="B9173" s="704" t="s">
        <v>699</v>
      </c>
      <c r="C9173" s="704" t="s">
        <v>788</v>
      </c>
      <c r="D9173" s="704" t="s">
        <v>728</v>
      </c>
      <c r="E9173" s="704" t="s">
        <v>448</v>
      </c>
      <c r="F9173" s="705">
        <v>7.4049786390533556E-2</v>
      </c>
      <c r="G9173" s="705">
        <v>84.267680280752941</v>
      </c>
    </row>
    <row r="9174" spans="2:7" ht="11.25" hidden="1" customHeight="1" outlineLevel="2" x14ac:dyDescent="0.25">
      <c r="B9174" s="704" t="s">
        <v>673</v>
      </c>
      <c r="C9174" s="704" t="s">
        <v>789</v>
      </c>
      <c r="D9174" s="704" t="s">
        <v>728</v>
      </c>
      <c r="E9174" s="704" t="s">
        <v>448</v>
      </c>
      <c r="F9174" s="705">
        <v>7.8928660814043747E-3</v>
      </c>
      <c r="G9174" s="705">
        <v>5.4199677442692993</v>
      </c>
    </row>
    <row r="9175" spans="2:7" ht="11.25" hidden="1" customHeight="1" outlineLevel="2" x14ac:dyDescent="0.25">
      <c r="B9175" s="704" t="s">
        <v>677</v>
      </c>
      <c r="C9175" s="704" t="s">
        <v>789</v>
      </c>
      <c r="D9175" s="704" t="s">
        <v>728</v>
      </c>
      <c r="E9175" s="704" t="s">
        <v>448</v>
      </c>
      <c r="F9175" s="705">
        <v>0.38227593610605715</v>
      </c>
      <c r="G9175" s="705">
        <v>259.72488130298979</v>
      </c>
    </row>
    <row r="9176" spans="2:7" ht="11.25" hidden="1" customHeight="1" outlineLevel="2" x14ac:dyDescent="0.25">
      <c r="B9176" s="704" t="s">
        <v>678</v>
      </c>
      <c r="C9176" s="704" t="s">
        <v>789</v>
      </c>
      <c r="D9176" s="704" t="s">
        <v>728</v>
      </c>
      <c r="E9176" s="704" t="s">
        <v>448</v>
      </c>
      <c r="F9176" s="705">
        <v>0.45401902928756116</v>
      </c>
      <c r="G9176" s="705">
        <v>312.19012467063055</v>
      </c>
    </row>
    <row r="9177" spans="2:7" ht="11.25" hidden="1" customHeight="1" outlineLevel="2" x14ac:dyDescent="0.25">
      <c r="B9177" s="704" t="s">
        <v>679</v>
      </c>
      <c r="C9177" s="704" t="s">
        <v>789</v>
      </c>
      <c r="D9177" s="704" t="s">
        <v>728</v>
      </c>
      <c r="E9177" s="704" t="s">
        <v>448</v>
      </c>
      <c r="F9177" s="705">
        <v>2.7032506416204905E-2</v>
      </c>
      <c r="G9177" s="705">
        <v>18.644694718609138</v>
      </c>
    </row>
    <row r="9178" spans="2:7" ht="11.25" hidden="1" customHeight="1" outlineLevel="2" x14ac:dyDescent="0.25">
      <c r="B9178" s="704" t="s">
        <v>680</v>
      </c>
      <c r="C9178" s="704" t="s">
        <v>789</v>
      </c>
      <c r="D9178" s="704" t="s">
        <v>728</v>
      </c>
      <c r="E9178" s="704" t="s">
        <v>448</v>
      </c>
      <c r="F9178" s="705">
        <v>8.4668921873851249E-3</v>
      </c>
      <c r="G9178" s="705">
        <v>5.8535659276671765</v>
      </c>
    </row>
    <row r="9179" spans="2:7" ht="11.25" hidden="1" customHeight="1" outlineLevel="2" x14ac:dyDescent="0.25">
      <c r="B9179" s="704" t="s">
        <v>681</v>
      </c>
      <c r="C9179" s="704" t="s">
        <v>789</v>
      </c>
      <c r="D9179" s="704" t="s">
        <v>728</v>
      </c>
      <c r="E9179" s="704" t="s">
        <v>448</v>
      </c>
      <c r="F9179" s="705">
        <v>0.14314209881539638</v>
      </c>
      <c r="G9179" s="705">
        <v>98.426584322437421</v>
      </c>
    </row>
    <row r="9180" spans="2:7" ht="11.25" hidden="1" customHeight="1" outlineLevel="2" x14ac:dyDescent="0.25">
      <c r="B9180" s="704" t="s">
        <v>682</v>
      </c>
      <c r="C9180" s="704" t="s">
        <v>789</v>
      </c>
      <c r="D9180" s="704" t="s">
        <v>728</v>
      </c>
      <c r="E9180" s="704" t="s">
        <v>448</v>
      </c>
      <c r="F9180" s="705">
        <v>1.8600090557698519E-2</v>
      </c>
      <c r="G9180" s="705">
        <v>12.791118413965359</v>
      </c>
    </row>
    <row r="9181" spans="2:7" ht="11.25" hidden="1" customHeight="1" outlineLevel="2" x14ac:dyDescent="0.25">
      <c r="B9181" s="704" t="s">
        <v>683</v>
      </c>
      <c r="C9181" s="704" t="s">
        <v>789</v>
      </c>
      <c r="D9181" s="704" t="s">
        <v>728</v>
      </c>
      <c r="E9181" s="704" t="s">
        <v>448</v>
      </c>
      <c r="F9181" s="705">
        <v>3.8977085233674158E-2</v>
      </c>
      <c r="G9181" s="705">
        <v>26.883034436553753</v>
      </c>
    </row>
    <row r="9182" spans="2:7" ht="11.25" hidden="1" customHeight="1" outlineLevel="2" x14ac:dyDescent="0.25">
      <c r="B9182" s="704" t="s">
        <v>684</v>
      </c>
      <c r="C9182" s="704" t="s">
        <v>789</v>
      </c>
      <c r="D9182" s="704" t="s">
        <v>728</v>
      </c>
      <c r="E9182" s="704" t="s">
        <v>448</v>
      </c>
      <c r="F9182" s="705">
        <v>5.0174180879656687E-2</v>
      </c>
      <c r="G9182" s="705">
        <v>34.68778783790745</v>
      </c>
    </row>
    <row r="9183" spans="2:7" ht="11.25" hidden="1" customHeight="1" outlineLevel="2" x14ac:dyDescent="0.25">
      <c r="B9183" s="704" t="s">
        <v>685</v>
      </c>
      <c r="C9183" s="704" t="s">
        <v>789</v>
      </c>
      <c r="D9183" s="704" t="s">
        <v>728</v>
      </c>
      <c r="E9183" s="704" t="s">
        <v>448</v>
      </c>
      <c r="F9183" s="705">
        <v>0.23700582270768891</v>
      </c>
      <c r="G9183" s="705">
        <v>163.46629571107277</v>
      </c>
    </row>
    <row r="9184" spans="2:7" ht="11.25" hidden="1" customHeight="1" outlineLevel="2" x14ac:dyDescent="0.25">
      <c r="B9184" s="704" t="s">
        <v>686</v>
      </c>
      <c r="C9184" s="704" t="s">
        <v>789</v>
      </c>
      <c r="D9184" s="704" t="s">
        <v>728</v>
      </c>
      <c r="E9184" s="704" t="s">
        <v>448</v>
      </c>
      <c r="F9184" s="705">
        <v>5.0830057737976247E-2</v>
      </c>
      <c r="G9184" s="705">
        <v>34.904591492195131</v>
      </c>
    </row>
    <row r="9185" spans="2:7" ht="11.25" hidden="1" customHeight="1" outlineLevel="2" x14ac:dyDescent="0.25">
      <c r="B9185" s="704" t="s">
        <v>687</v>
      </c>
      <c r="C9185" s="704" t="s">
        <v>789</v>
      </c>
      <c r="D9185" s="704" t="s">
        <v>728</v>
      </c>
      <c r="E9185" s="704" t="s">
        <v>448</v>
      </c>
      <c r="F9185" s="705">
        <v>0.10436131972655602</v>
      </c>
      <c r="G9185" s="705">
        <v>71.760375104417676</v>
      </c>
    </row>
    <row r="9186" spans="2:7" ht="11.25" hidden="1" customHeight="1" outlineLevel="2" x14ac:dyDescent="0.25">
      <c r="B9186" s="704" t="s">
        <v>688</v>
      </c>
      <c r="C9186" s="704" t="s">
        <v>789</v>
      </c>
      <c r="D9186" s="704" t="s">
        <v>728</v>
      </c>
      <c r="E9186" s="704" t="s">
        <v>448</v>
      </c>
      <c r="F9186" s="705">
        <v>0.30709334450282311</v>
      </c>
      <c r="G9186" s="705">
        <v>211.16191218311207</v>
      </c>
    </row>
    <row r="9187" spans="2:7" ht="11.25" hidden="1" customHeight="1" outlineLevel="2" x14ac:dyDescent="0.25">
      <c r="B9187" s="704" t="s">
        <v>689</v>
      </c>
      <c r="C9187" s="704" t="s">
        <v>789</v>
      </c>
      <c r="D9187" s="704" t="s">
        <v>728</v>
      </c>
      <c r="E9187" s="704" t="s">
        <v>448</v>
      </c>
      <c r="F9187" s="705">
        <v>2.993907007343851E-2</v>
      </c>
      <c r="G9187" s="705">
        <v>20.55407944725631</v>
      </c>
    </row>
    <row r="9188" spans="2:7" ht="11.25" hidden="1" customHeight="1" outlineLevel="2" x14ac:dyDescent="0.25">
      <c r="B9188" s="704" t="s">
        <v>690</v>
      </c>
      <c r="C9188" s="704" t="s">
        <v>789</v>
      </c>
      <c r="D9188" s="704" t="s">
        <v>728</v>
      </c>
      <c r="E9188" s="704" t="s">
        <v>448</v>
      </c>
      <c r="F9188" s="705">
        <v>0.93607878744153783</v>
      </c>
      <c r="G9188" s="705">
        <v>645.62651435798011</v>
      </c>
    </row>
    <row r="9189" spans="2:7" ht="11.25" hidden="1" customHeight="1" outlineLevel="2" x14ac:dyDescent="0.25">
      <c r="B9189" s="704" t="s">
        <v>691</v>
      </c>
      <c r="C9189" s="704" t="s">
        <v>789</v>
      </c>
      <c r="D9189" s="704" t="s">
        <v>728</v>
      </c>
      <c r="E9189" s="704" t="s">
        <v>448</v>
      </c>
      <c r="F9189" s="705">
        <v>0.45735214180069833</v>
      </c>
      <c r="G9189" s="705">
        <v>315.44206036977732</v>
      </c>
    </row>
    <row r="9190" spans="2:7" ht="11.25" hidden="1" customHeight="1" outlineLevel="2" x14ac:dyDescent="0.25">
      <c r="B9190" s="704" t="s">
        <v>692</v>
      </c>
      <c r="C9190" s="704" t="s">
        <v>789</v>
      </c>
      <c r="D9190" s="704" t="s">
        <v>728</v>
      </c>
      <c r="E9190" s="704" t="s">
        <v>448</v>
      </c>
      <c r="F9190" s="705">
        <v>2.9952639208379993E-2</v>
      </c>
      <c r="G9190" s="705">
        <v>20.595875227278903</v>
      </c>
    </row>
    <row r="9191" spans="2:7" ht="11.25" hidden="1" customHeight="1" outlineLevel="2" x14ac:dyDescent="0.25">
      <c r="B9191" s="704" t="s">
        <v>693</v>
      </c>
      <c r="C9191" s="704" t="s">
        <v>789</v>
      </c>
      <c r="D9191" s="704" t="s">
        <v>728</v>
      </c>
      <c r="E9191" s="704" t="s">
        <v>448</v>
      </c>
      <c r="F9191" s="705">
        <v>2.2891973666352324E-2</v>
      </c>
      <c r="G9191" s="705">
        <v>15.826310512441923</v>
      </c>
    </row>
    <row r="9192" spans="2:7" ht="11.25" hidden="1" customHeight="1" outlineLevel="2" x14ac:dyDescent="0.25">
      <c r="B9192" s="704" t="s">
        <v>694</v>
      </c>
      <c r="C9192" s="704" t="s">
        <v>789</v>
      </c>
      <c r="D9192" s="704" t="s">
        <v>728</v>
      </c>
      <c r="E9192" s="704" t="s">
        <v>448</v>
      </c>
      <c r="F9192" s="705">
        <v>5.048777552852711E-2</v>
      </c>
      <c r="G9192" s="705">
        <v>34.904591492195131</v>
      </c>
    </row>
    <row r="9193" spans="2:7" ht="11.25" hidden="1" customHeight="1" outlineLevel="2" x14ac:dyDescent="0.25">
      <c r="B9193" s="704" t="s">
        <v>695</v>
      </c>
      <c r="C9193" s="704" t="s">
        <v>789</v>
      </c>
      <c r="D9193" s="704" t="s">
        <v>728</v>
      </c>
      <c r="E9193" s="704" t="s">
        <v>448</v>
      </c>
      <c r="F9193" s="705">
        <v>4.9547011095867996E-2</v>
      </c>
      <c r="G9193" s="705">
        <v>34.254195095921581</v>
      </c>
    </row>
    <row r="9194" spans="2:7" ht="11.25" hidden="1" customHeight="1" outlineLevel="2" x14ac:dyDescent="0.25">
      <c r="B9194" s="704" t="s">
        <v>696</v>
      </c>
      <c r="C9194" s="704" t="s">
        <v>789</v>
      </c>
      <c r="D9194" s="704" t="s">
        <v>728</v>
      </c>
      <c r="E9194" s="704" t="s">
        <v>448</v>
      </c>
      <c r="F9194" s="705">
        <v>7.1351491600673764E-2</v>
      </c>
      <c r="G9194" s="705">
        <v>48.996508013403641</v>
      </c>
    </row>
    <row r="9195" spans="2:7" ht="11.25" hidden="1" customHeight="1" outlineLevel="2" x14ac:dyDescent="0.25">
      <c r="B9195" s="704" t="s">
        <v>697</v>
      </c>
      <c r="C9195" s="704" t="s">
        <v>789</v>
      </c>
      <c r="D9195" s="704" t="s">
        <v>728</v>
      </c>
      <c r="E9195" s="704" t="s">
        <v>448</v>
      </c>
      <c r="F9195" s="706">
        <v>3.1986044539158813E-2</v>
      </c>
      <c r="G9195" s="705">
        <v>22.113474074826183</v>
      </c>
    </row>
    <row r="9196" spans="2:7" ht="11.25" hidden="1" customHeight="1" outlineLevel="2" x14ac:dyDescent="0.25">
      <c r="B9196" s="704" t="s">
        <v>698</v>
      </c>
      <c r="C9196" s="704" t="s">
        <v>789</v>
      </c>
      <c r="D9196" s="704" t="s">
        <v>728</v>
      </c>
      <c r="E9196" s="704" t="s">
        <v>448</v>
      </c>
      <c r="F9196" s="706">
        <v>5.0487775528002182E-2</v>
      </c>
      <c r="G9196" s="705">
        <v>34.904591494681355</v>
      </c>
    </row>
    <row r="9197" spans="2:7" ht="11.25" hidden="1" customHeight="1" outlineLevel="2" x14ac:dyDescent="0.25">
      <c r="B9197" s="704" t="s">
        <v>699</v>
      </c>
      <c r="C9197" s="704" t="s">
        <v>789</v>
      </c>
      <c r="D9197" s="704" t="s">
        <v>728</v>
      </c>
      <c r="E9197" s="704" t="s">
        <v>448</v>
      </c>
      <c r="F9197" s="706">
        <v>5.7067665192340918E-2</v>
      </c>
      <c r="G9197" s="705">
        <v>39.24055564395362</v>
      </c>
    </row>
    <row r="9198" spans="2:7" ht="11.25" hidden="1" customHeight="1" outlineLevel="2" x14ac:dyDescent="0.25">
      <c r="B9198" s="704" t="s">
        <v>673</v>
      </c>
      <c r="C9198" s="704" t="s">
        <v>790</v>
      </c>
      <c r="D9198" s="704" t="s">
        <v>728</v>
      </c>
      <c r="E9198" s="704" t="s">
        <v>448</v>
      </c>
      <c r="F9198" s="706">
        <v>1.195011996534691</v>
      </c>
      <c r="G9198" s="705">
        <v>1510.6664512089719</v>
      </c>
    </row>
    <row r="9199" spans="2:7" ht="11.25" hidden="1" customHeight="1" outlineLevel="2" x14ac:dyDescent="0.25">
      <c r="B9199" s="704" t="s">
        <v>677</v>
      </c>
      <c r="C9199" s="704" t="s">
        <v>790</v>
      </c>
      <c r="D9199" s="704" t="s">
        <v>728</v>
      </c>
      <c r="E9199" s="704" t="s">
        <v>448</v>
      </c>
      <c r="F9199" s="706">
        <v>7.1165482978162604</v>
      </c>
      <c r="G9199" s="705">
        <v>8900.9507003110939</v>
      </c>
    </row>
    <row r="9200" spans="2:7" ht="11.25" hidden="1" customHeight="1" outlineLevel="2" x14ac:dyDescent="0.25">
      <c r="B9200" s="704" t="s">
        <v>678</v>
      </c>
      <c r="C9200" s="704" t="s">
        <v>790</v>
      </c>
      <c r="D9200" s="704" t="s">
        <v>728</v>
      </c>
      <c r="E9200" s="704" t="s">
        <v>448</v>
      </c>
      <c r="F9200" s="706">
        <v>11.650608660010258</v>
      </c>
      <c r="G9200" s="705">
        <v>14747.916079618695</v>
      </c>
    </row>
    <row r="9201" spans="2:7" ht="11.25" hidden="1" customHeight="1" outlineLevel="2" x14ac:dyDescent="0.25">
      <c r="B9201" s="704" t="s">
        <v>679</v>
      </c>
      <c r="C9201" s="704" t="s">
        <v>790</v>
      </c>
      <c r="D9201" s="704" t="s">
        <v>728</v>
      </c>
      <c r="E9201" s="704" t="s">
        <v>448</v>
      </c>
      <c r="F9201" s="706">
        <v>1.0720969585110609</v>
      </c>
      <c r="G9201" s="705">
        <v>1361.2175513152122</v>
      </c>
    </row>
    <row r="9202" spans="2:7" ht="11.25" hidden="1" customHeight="1" outlineLevel="2" x14ac:dyDescent="0.25">
      <c r="B9202" s="704" t="s">
        <v>680</v>
      </c>
      <c r="C9202" s="704" t="s">
        <v>790</v>
      </c>
      <c r="D9202" s="704" t="s">
        <v>728</v>
      </c>
      <c r="E9202" s="704" t="s">
        <v>448</v>
      </c>
      <c r="F9202" s="706">
        <v>0.44579207947581401</v>
      </c>
      <c r="G9202" s="705">
        <v>567.35531194804105</v>
      </c>
    </row>
    <row r="9203" spans="2:7" ht="11.25" hidden="1" customHeight="1" outlineLevel="2" x14ac:dyDescent="0.25">
      <c r="B9203" s="704" t="s">
        <v>681</v>
      </c>
      <c r="C9203" s="704" t="s">
        <v>790</v>
      </c>
      <c r="D9203" s="704" t="s">
        <v>728</v>
      </c>
      <c r="E9203" s="704" t="s">
        <v>448</v>
      </c>
      <c r="F9203" s="706">
        <v>2.0774176949441649</v>
      </c>
      <c r="G9203" s="705">
        <v>2629.6971067638769</v>
      </c>
    </row>
    <row r="9204" spans="2:7" ht="11.25" hidden="1" customHeight="1" outlineLevel="2" x14ac:dyDescent="0.25">
      <c r="B9204" s="704" t="s">
        <v>682</v>
      </c>
      <c r="C9204" s="704" t="s">
        <v>790</v>
      </c>
      <c r="D9204" s="704" t="s">
        <v>728</v>
      </c>
      <c r="E9204" s="704" t="s">
        <v>448</v>
      </c>
      <c r="F9204" s="706">
        <v>1.3179682021477612</v>
      </c>
      <c r="G9204" s="705">
        <v>1668.5312795365742</v>
      </c>
    </row>
    <row r="9205" spans="2:7" ht="11.25" hidden="1" customHeight="1" outlineLevel="2" x14ac:dyDescent="0.25">
      <c r="B9205" s="704" t="s">
        <v>683</v>
      </c>
      <c r="C9205" s="704" t="s">
        <v>790</v>
      </c>
      <c r="D9205" s="704" t="s">
        <v>728</v>
      </c>
      <c r="E9205" s="704" t="s">
        <v>448</v>
      </c>
      <c r="F9205" s="706">
        <v>1.6980726188548483</v>
      </c>
      <c r="G9205" s="705">
        <v>2156.0060527707142</v>
      </c>
    </row>
    <row r="9206" spans="2:7" ht="11.25" hidden="1" customHeight="1" outlineLevel="2" x14ac:dyDescent="0.25">
      <c r="B9206" s="704" t="s">
        <v>684</v>
      </c>
      <c r="C9206" s="704" t="s">
        <v>790</v>
      </c>
      <c r="D9206" s="704" t="s">
        <v>728</v>
      </c>
      <c r="E9206" s="704" t="s">
        <v>448</v>
      </c>
      <c r="F9206" s="706">
        <v>0.53570644194286676</v>
      </c>
      <c r="G9206" s="705">
        <v>681.7885846632546</v>
      </c>
    </row>
    <row r="9207" spans="2:7" ht="11.25" hidden="1" customHeight="1" outlineLevel="2" x14ac:dyDescent="0.25">
      <c r="B9207" s="704" t="s">
        <v>685</v>
      </c>
      <c r="C9207" s="704" t="s">
        <v>790</v>
      </c>
      <c r="D9207" s="704" t="s">
        <v>728</v>
      </c>
      <c r="E9207" s="704" t="s">
        <v>448</v>
      </c>
      <c r="F9207" s="706">
        <v>2.8383300247772962</v>
      </c>
      <c r="G9207" s="705">
        <v>3603.7668443362363</v>
      </c>
    </row>
    <row r="9208" spans="2:7" ht="11.25" hidden="1" customHeight="1" outlineLevel="2" x14ac:dyDescent="0.25">
      <c r="B9208" s="704" t="s">
        <v>686</v>
      </c>
      <c r="C9208" s="704" t="s">
        <v>790</v>
      </c>
      <c r="D9208" s="704" t="s">
        <v>728</v>
      </c>
      <c r="E9208" s="704" t="s">
        <v>448</v>
      </c>
      <c r="F9208" s="706">
        <v>0.62644835476493144</v>
      </c>
      <c r="G9208" s="705">
        <v>791.92024624533917</v>
      </c>
    </row>
    <row r="9209" spans="2:7" ht="11.25" hidden="1" customHeight="1" outlineLevel="2" x14ac:dyDescent="0.25">
      <c r="B9209" s="704" t="s">
        <v>687</v>
      </c>
      <c r="C9209" s="704" t="s">
        <v>790</v>
      </c>
      <c r="D9209" s="704" t="s">
        <v>728</v>
      </c>
      <c r="E9209" s="704" t="s">
        <v>448</v>
      </c>
      <c r="F9209" s="706">
        <v>3.1679213214483326</v>
      </c>
      <c r="G9209" s="705">
        <v>4010.1103225238126</v>
      </c>
    </row>
    <row r="9210" spans="2:7" ht="11.25" hidden="1" customHeight="1" outlineLevel="2" x14ac:dyDescent="0.25">
      <c r="B9210" s="704" t="s">
        <v>688</v>
      </c>
      <c r="C9210" s="704" t="s">
        <v>790</v>
      </c>
      <c r="D9210" s="704" t="s">
        <v>728</v>
      </c>
      <c r="E9210" s="704" t="s">
        <v>448</v>
      </c>
      <c r="F9210" s="706">
        <v>3.5310578554213126</v>
      </c>
      <c r="G9210" s="705">
        <v>4469.7861974756388</v>
      </c>
    </row>
    <row r="9211" spans="2:7" ht="11.25" hidden="1" customHeight="1" outlineLevel="2" x14ac:dyDescent="0.25">
      <c r="B9211" s="704" t="s">
        <v>689</v>
      </c>
      <c r="C9211" s="704" t="s">
        <v>790</v>
      </c>
      <c r="D9211" s="704" t="s">
        <v>728</v>
      </c>
      <c r="E9211" s="704" t="s">
        <v>448</v>
      </c>
      <c r="F9211" s="706">
        <v>0.56235470343002703</v>
      </c>
      <c r="G9211" s="705">
        <v>710.90330222529269</v>
      </c>
    </row>
    <row r="9212" spans="2:7" ht="11.25" hidden="1" customHeight="1" outlineLevel="2" x14ac:dyDescent="0.25">
      <c r="B9212" s="704" t="s">
        <v>690</v>
      </c>
      <c r="C9212" s="704" t="s">
        <v>790</v>
      </c>
      <c r="D9212" s="704" t="s">
        <v>728</v>
      </c>
      <c r="E9212" s="704" t="s">
        <v>448</v>
      </c>
      <c r="F9212" s="706">
        <v>12.572048433629616</v>
      </c>
      <c r="G9212" s="705">
        <v>15962.454425927719</v>
      </c>
    </row>
    <row r="9213" spans="2:7" ht="11.25" hidden="1" customHeight="1" outlineLevel="2" x14ac:dyDescent="0.25">
      <c r="B9213" s="704" t="s">
        <v>691</v>
      </c>
      <c r="C9213" s="704" t="s">
        <v>790</v>
      </c>
      <c r="D9213" s="704" t="s">
        <v>728</v>
      </c>
      <c r="E9213" s="704" t="s">
        <v>448</v>
      </c>
      <c r="F9213" s="706">
        <v>11.25426698434277</v>
      </c>
      <c r="G9213" s="705">
        <v>14289.30448952854</v>
      </c>
    </row>
    <row r="9214" spans="2:7" ht="11.25" hidden="1" customHeight="1" outlineLevel="2" x14ac:dyDescent="0.25">
      <c r="B9214" s="704" t="s">
        <v>692</v>
      </c>
      <c r="C9214" s="704" t="s">
        <v>790</v>
      </c>
      <c r="D9214" s="704" t="s">
        <v>728</v>
      </c>
      <c r="E9214" s="704" t="s">
        <v>448</v>
      </c>
      <c r="F9214" s="706">
        <v>0.64102394752360337</v>
      </c>
      <c r="G9214" s="705">
        <v>811.4392655361936</v>
      </c>
    </row>
    <row r="9215" spans="2:7" ht="11.25" hidden="1" customHeight="1" outlineLevel="2" x14ac:dyDescent="0.25">
      <c r="B9215" s="704" t="s">
        <v>693</v>
      </c>
      <c r="C9215" s="704" t="s">
        <v>790</v>
      </c>
      <c r="D9215" s="704" t="s">
        <v>728</v>
      </c>
      <c r="E9215" s="704" t="s">
        <v>448</v>
      </c>
      <c r="F9215" s="706">
        <v>1.3025591158974654</v>
      </c>
      <c r="G9215" s="705">
        <v>1657.7539391282301</v>
      </c>
    </row>
    <row r="9216" spans="2:7" ht="11.25" hidden="1" customHeight="1" outlineLevel="2" x14ac:dyDescent="0.25">
      <c r="B9216" s="704" t="s">
        <v>694</v>
      </c>
      <c r="C9216" s="704" t="s">
        <v>790</v>
      </c>
      <c r="D9216" s="704" t="s">
        <v>728</v>
      </c>
      <c r="E9216" s="704" t="s">
        <v>448</v>
      </c>
      <c r="F9216" s="706">
        <v>0.36543610316616648</v>
      </c>
      <c r="G9216" s="705">
        <v>465.08712440586658</v>
      </c>
    </row>
    <row r="9217" spans="2:7" ht="11.25" hidden="1" customHeight="1" outlineLevel="2" x14ac:dyDescent="0.25">
      <c r="B9217" s="704" t="s">
        <v>695</v>
      </c>
      <c r="C9217" s="704" t="s">
        <v>790</v>
      </c>
      <c r="D9217" s="704" t="s">
        <v>728</v>
      </c>
      <c r="E9217" s="704" t="s">
        <v>448</v>
      </c>
      <c r="F9217" s="706">
        <v>0.62064177112519137</v>
      </c>
      <c r="G9217" s="705">
        <v>789.88464638789674</v>
      </c>
    </row>
    <row r="9218" spans="2:7" ht="11.25" hidden="1" customHeight="1" outlineLevel="2" x14ac:dyDescent="0.25">
      <c r="B9218" s="704" t="s">
        <v>696</v>
      </c>
      <c r="C9218" s="704" t="s">
        <v>790</v>
      </c>
      <c r="D9218" s="704" t="s">
        <v>728</v>
      </c>
      <c r="E9218" s="704" t="s">
        <v>448</v>
      </c>
      <c r="F9218" s="706">
        <v>1.9854911789044694</v>
      </c>
      <c r="G9218" s="705">
        <v>2509.9437120859293</v>
      </c>
    </row>
    <row r="9219" spans="2:7" ht="11.25" hidden="1" customHeight="1" outlineLevel="2" x14ac:dyDescent="0.25">
      <c r="B9219" s="704" t="s">
        <v>697</v>
      </c>
      <c r="C9219" s="704" t="s">
        <v>790</v>
      </c>
      <c r="D9219" s="704" t="s">
        <v>728</v>
      </c>
      <c r="E9219" s="704" t="s">
        <v>448</v>
      </c>
      <c r="F9219" s="706">
        <v>1.2942724285890759</v>
      </c>
      <c r="G9219" s="705">
        <v>1647.208429746001</v>
      </c>
    </row>
    <row r="9220" spans="2:7" ht="11.25" hidden="1" customHeight="1" outlineLevel="2" x14ac:dyDescent="0.25">
      <c r="B9220" s="704" t="s">
        <v>698</v>
      </c>
      <c r="C9220" s="704" t="s">
        <v>790</v>
      </c>
      <c r="D9220" s="704" t="s">
        <v>728</v>
      </c>
      <c r="E9220" s="704" t="s">
        <v>448</v>
      </c>
      <c r="F9220" s="705">
        <v>1.7498407621255379</v>
      </c>
      <c r="G9220" s="705">
        <v>2227.0066210709383</v>
      </c>
    </row>
    <row r="9221" spans="2:7" ht="11.25" hidden="1" customHeight="1" outlineLevel="2" x14ac:dyDescent="0.25">
      <c r="B9221" s="704" t="s">
        <v>699</v>
      </c>
      <c r="C9221" s="704" t="s">
        <v>790</v>
      </c>
      <c r="D9221" s="704" t="s">
        <v>728</v>
      </c>
      <c r="E9221" s="704" t="s">
        <v>448</v>
      </c>
      <c r="F9221" s="705">
        <v>10.825603944712267</v>
      </c>
      <c r="G9221" s="705">
        <v>13703.578493284267</v>
      </c>
    </row>
    <row r="9222" spans="2:7" ht="11.25" hidden="1" customHeight="1" outlineLevel="2" x14ac:dyDescent="0.25">
      <c r="B9222" s="704" t="s">
        <v>673</v>
      </c>
      <c r="C9222" s="704" t="s">
        <v>791</v>
      </c>
      <c r="D9222" s="704" t="s">
        <v>728</v>
      </c>
      <c r="E9222" s="704" t="s">
        <v>448</v>
      </c>
      <c r="F9222" s="705">
        <v>9.8731820371513124E-2</v>
      </c>
      <c r="G9222" s="705">
        <v>138.97454405505468</v>
      </c>
    </row>
    <row r="9223" spans="2:7" ht="11.25" hidden="1" customHeight="1" outlineLevel="2" x14ac:dyDescent="0.25">
      <c r="B9223" s="704" t="s">
        <v>677</v>
      </c>
      <c r="C9223" s="704" t="s">
        <v>791</v>
      </c>
      <c r="D9223" s="704" t="s">
        <v>728</v>
      </c>
      <c r="E9223" s="704" t="s">
        <v>448</v>
      </c>
      <c r="F9223" s="705">
        <v>4.7818887861999624</v>
      </c>
      <c r="G9223" s="705">
        <v>6659.6603572267222</v>
      </c>
    </row>
    <row r="9224" spans="2:7" ht="11.25" hidden="1" customHeight="1" outlineLevel="2" x14ac:dyDescent="0.25">
      <c r="B9224" s="704" t="s">
        <v>678</v>
      </c>
      <c r="C9224" s="704" t="s">
        <v>791</v>
      </c>
      <c r="D9224" s="704" t="s">
        <v>728</v>
      </c>
      <c r="E9224" s="704" t="s">
        <v>448</v>
      </c>
      <c r="F9224" s="705">
        <v>5.6793234798267376</v>
      </c>
      <c r="G9224" s="705">
        <v>8004.9319206476112</v>
      </c>
    </row>
    <row r="9225" spans="2:7" ht="11.25" hidden="1" customHeight="1" outlineLevel="2" x14ac:dyDescent="0.25">
      <c r="B9225" s="704" t="s">
        <v>679</v>
      </c>
      <c r="C9225" s="704" t="s">
        <v>791</v>
      </c>
      <c r="D9225" s="704" t="s">
        <v>728</v>
      </c>
      <c r="E9225" s="704" t="s">
        <v>448</v>
      </c>
      <c r="F9225" s="705">
        <v>0.3381494511895532</v>
      </c>
      <c r="G9225" s="705">
        <v>478.0724568013826</v>
      </c>
    </row>
    <row r="9226" spans="2:7" ht="11.25" hidden="1" customHeight="1" outlineLevel="2" x14ac:dyDescent="0.25">
      <c r="B9226" s="704" t="s">
        <v>680</v>
      </c>
      <c r="C9226" s="704" t="s">
        <v>791</v>
      </c>
      <c r="D9226" s="704" t="s">
        <v>728</v>
      </c>
      <c r="E9226" s="704" t="s">
        <v>448</v>
      </c>
      <c r="F9226" s="705">
        <v>0.10591237308504443</v>
      </c>
      <c r="G9226" s="705">
        <v>150.09252137617935</v>
      </c>
    </row>
    <row r="9227" spans="2:7" ht="11.25" hidden="1" customHeight="1" outlineLevel="2" x14ac:dyDescent="0.25">
      <c r="B9227" s="704" t="s">
        <v>681</v>
      </c>
      <c r="C9227" s="704" t="s">
        <v>791</v>
      </c>
      <c r="D9227" s="704" t="s">
        <v>728</v>
      </c>
      <c r="E9227" s="704" t="s">
        <v>448</v>
      </c>
      <c r="F9227" s="705">
        <v>1.7905649039918408</v>
      </c>
      <c r="G9227" s="705">
        <v>2523.7771811154616</v>
      </c>
    </row>
    <row r="9228" spans="2:7" ht="11.25" hidden="1" customHeight="1" outlineLevel="2" x14ac:dyDescent="0.25">
      <c r="B9228" s="704" t="s">
        <v>682</v>
      </c>
      <c r="C9228" s="704" t="s">
        <v>791</v>
      </c>
      <c r="D9228" s="704" t="s">
        <v>728</v>
      </c>
      <c r="E9228" s="704" t="s">
        <v>448</v>
      </c>
      <c r="F9228" s="705">
        <v>0.23266843635139792</v>
      </c>
      <c r="G9228" s="705">
        <v>327.97978264446658</v>
      </c>
    </row>
    <row r="9229" spans="2:7" ht="11.25" hidden="1" customHeight="1" outlineLevel="2" x14ac:dyDescent="0.25">
      <c r="B9229" s="704" t="s">
        <v>683</v>
      </c>
      <c r="C9229" s="704" t="s">
        <v>791</v>
      </c>
      <c r="D9229" s="704" t="s">
        <v>728</v>
      </c>
      <c r="E9229" s="704" t="s">
        <v>448</v>
      </c>
      <c r="F9229" s="705">
        <v>0.48756441859875083</v>
      </c>
      <c r="G9229" s="705">
        <v>689.31295254540021</v>
      </c>
    </row>
    <row r="9230" spans="2:7" ht="11.25" hidden="1" customHeight="1" outlineLevel="2" x14ac:dyDescent="0.25">
      <c r="B9230" s="704" t="s">
        <v>684</v>
      </c>
      <c r="C9230" s="704" t="s">
        <v>791</v>
      </c>
      <c r="D9230" s="704" t="s">
        <v>728</v>
      </c>
      <c r="E9230" s="704" t="s">
        <v>448</v>
      </c>
      <c r="F9230" s="705">
        <v>0.62762888049849674</v>
      </c>
      <c r="G9230" s="705">
        <v>889.43679942306335</v>
      </c>
    </row>
    <row r="9231" spans="2:7" ht="11.25" hidden="1" customHeight="1" outlineLevel="2" x14ac:dyDescent="0.25">
      <c r="B9231" s="704" t="s">
        <v>685</v>
      </c>
      <c r="C9231" s="704" t="s">
        <v>791</v>
      </c>
      <c r="D9231" s="704" t="s">
        <v>728</v>
      </c>
      <c r="E9231" s="704" t="s">
        <v>448</v>
      </c>
      <c r="F9231" s="705">
        <v>2.9647062438839535</v>
      </c>
      <c r="G9231" s="705">
        <v>4191.4732417448495</v>
      </c>
    </row>
    <row r="9232" spans="2:7" ht="11.25" hidden="1" customHeight="1" outlineLevel="2" x14ac:dyDescent="0.25">
      <c r="B9232" s="704" t="s">
        <v>686</v>
      </c>
      <c r="C9232" s="704" t="s">
        <v>791</v>
      </c>
      <c r="D9232" s="704" t="s">
        <v>728</v>
      </c>
      <c r="E9232" s="704" t="s">
        <v>448</v>
      </c>
      <c r="F9232" s="705">
        <v>0.63583311339246396</v>
      </c>
      <c r="G9232" s="705">
        <v>894.99592647328836</v>
      </c>
    </row>
    <row r="9233" spans="2:7" ht="11.25" hidden="1" customHeight="1" outlineLevel="2" x14ac:dyDescent="0.25">
      <c r="B9233" s="704" t="s">
        <v>687</v>
      </c>
      <c r="C9233" s="704" t="s">
        <v>791</v>
      </c>
      <c r="D9233" s="704" t="s">
        <v>728</v>
      </c>
      <c r="E9233" s="704" t="s">
        <v>448</v>
      </c>
      <c r="F9233" s="705">
        <v>1.3054550236245357</v>
      </c>
      <c r="G9233" s="705">
        <v>1840.0212644375199</v>
      </c>
    </row>
    <row r="9234" spans="2:7" ht="11.25" hidden="1" customHeight="1" outlineLevel="2" x14ac:dyDescent="0.25">
      <c r="B9234" s="704" t="s">
        <v>688</v>
      </c>
      <c r="C9234" s="704" t="s">
        <v>791</v>
      </c>
      <c r="D9234" s="704" t="s">
        <v>728</v>
      </c>
      <c r="E9234" s="704" t="s">
        <v>448</v>
      </c>
      <c r="F9234" s="705">
        <v>3.8414314512493908</v>
      </c>
      <c r="G9234" s="705">
        <v>5414.442191126418</v>
      </c>
    </row>
    <row r="9235" spans="2:7" ht="11.25" hidden="1" customHeight="1" outlineLevel="2" x14ac:dyDescent="0.25">
      <c r="B9235" s="704" t="s">
        <v>689</v>
      </c>
      <c r="C9235" s="704" t="s">
        <v>791</v>
      </c>
      <c r="D9235" s="704" t="s">
        <v>728</v>
      </c>
      <c r="E9235" s="704" t="s">
        <v>448</v>
      </c>
      <c r="F9235" s="705">
        <v>0.37450784594457687</v>
      </c>
      <c r="G9235" s="705">
        <v>527.03121638476853</v>
      </c>
    </row>
    <row r="9236" spans="2:7" ht="11.25" hidden="1" customHeight="1" outlineLevel="2" x14ac:dyDescent="0.25">
      <c r="B9236" s="704" t="s">
        <v>690</v>
      </c>
      <c r="C9236" s="704" t="s">
        <v>791</v>
      </c>
      <c r="D9236" s="704" t="s">
        <v>728</v>
      </c>
      <c r="E9236" s="704" t="s">
        <v>448</v>
      </c>
      <c r="F9236" s="705">
        <v>11.709415169861535</v>
      </c>
      <c r="G9236" s="705">
        <v>16554.635813954741</v>
      </c>
    </row>
    <row r="9237" spans="2:7" ht="11.25" hidden="1" customHeight="1" outlineLevel="2" x14ac:dyDescent="0.25">
      <c r="B9237" s="704" t="s">
        <v>691</v>
      </c>
      <c r="C9237" s="704" t="s">
        <v>791</v>
      </c>
      <c r="D9237" s="704" t="s">
        <v>728</v>
      </c>
      <c r="E9237" s="704" t="s">
        <v>448</v>
      </c>
      <c r="F9237" s="705">
        <v>5.7210165253943561</v>
      </c>
      <c r="G9237" s="705">
        <v>8088.3208295379363</v>
      </c>
    </row>
    <row r="9238" spans="2:7" ht="11.25" hidden="1" customHeight="1" outlineLevel="2" x14ac:dyDescent="0.25">
      <c r="B9238" s="704" t="s">
        <v>692</v>
      </c>
      <c r="C9238" s="704" t="s">
        <v>791</v>
      </c>
      <c r="D9238" s="704" t="s">
        <v>728</v>
      </c>
      <c r="E9238" s="704" t="s">
        <v>448</v>
      </c>
      <c r="F9238" s="705">
        <v>0.37467760248391674</v>
      </c>
      <c r="G9238" s="705">
        <v>528.10327636359659</v>
      </c>
    </row>
    <row r="9239" spans="2:7" ht="11.25" hidden="1" customHeight="1" outlineLevel="2" x14ac:dyDescent="0.25">
      <c r="B9239" s="704" t="s">
        <v>693</v>
      </c>
      <c r="C9239" s="704" t="s">
        <v>791</v>
      </c>
      <c r="D9239" s="704" t="s">
        <v>728</v>
      </c>
      <c r="E9239" s="704" t="s">
        <v>448</v>
      </c>
      <c r="F9239" s="705">
        <v>0.28635563477625053</v>
      </c>
      <c r="G9239" s="705">
        <v>405.80544999664579</v>
      </c>
    </row>
    <row r="9240" spans="2:7" ht="11.25" hidden="1" customHeight="1" outlineLevel="2" x14ac:dyDescent="0.25">
      <c r="B9240" s="704" t="s">
        <v>694</v>
      </c>
      <c r="C9240" s="704" t="s">
        <v>791</v>
      </c>
      <c r="D9240" s="704" t="s">
        <v>728</v>
      </c>
      <c r="E9240" s="704" t="s">
        <v>448</v>
      </c>
      <c r="F9240" s="706">
        <v>0.63155137017914453</v>
      </c>
      <c r="G9240" s="705">
        <v>894.99592647328836</v>
      </c>
    </row>
    <row r="9241" spans="2:7" ht="11.25" hidden="1" customHeight="1" outlineLevel="2" x14ac:dyDescent="0.25">
      <c r="B9241" s="704" t="s">
        <v>695</v>
      </c>
      <c r="C9241" s="704" t="s">
        <v>791</v>
      </c>
      <c r="D9241" s="704" t="s">
        <v>728</v>
      </c>
      <c r="E9241" s="704" t="s">
        <v>448</v>
      </c>
      <c r="F9241" s="706">
        <v>0.61978330191632403</v>
      </c>
      <c r="G9241" s="705">
        <v>878.31897624463556</v>
      </c>
    </row>
    <row r="9242" spans="2:7" ht="11.25" hidden="1" customHeight="1" outlineLevel="2" x14ac:dyDescent="0.25">
      <c r="B9242" s="704" t="s">
        <v>696</v>
      </c>
      <c r="C9242" s="704" t="s">
        <v>791</v>
      </c>
      <c r="D9242" s="704" t="s">
        <v>728</v>
      </c>
      <c r="E9242" s="704" t="s">
        <v>448</v>
      </c>
      <c r="F9242" s="706">
        <v>0.89253630052877686</v>
      </c>
      <c r="G9242" s="705">
        <v>1256.3293519711069</v>
      </c>
    </row>
    <row r="9243" spans="2:7" ht="11.25" hidden="1" customHeight="1" outlineLevel="2" x14ac:dyDescent="0.25">
      <c r="B9243" s="704" t="s">
        <v>697</v>
      </c>
      <c r="C9243" s="704" t="s">
        <v>791</v>
      </c>
      <c r="D9243" s="704" t="s">
        <v>728</v>
      </c>
      <c r="E9243" s="704" t="s">
        <v>448</v>
      </c>
      <c r="F9243" s="706">
        <v>0.40011343927687959</v>
      </c>
      <c r="G9243" s="705">
        <v>567.01566853723773</v>
      </c>
    </row>
    <row r="9244" spans="2:7" ht="11.25" hidden="1" customHeight="1" outlineLevel="2" x14ac:dyDescent="0.25">
      <c r="B9244" s="704" t="s">
        <v>698</v>
      </c>
      <c r="C9244" s="704" t="s">
        <v>791</v>
      </c>
      <c r="D9244" s="704" t="s">
        <v>728</v>
      </c>
      <c r="E9244" s="704" t="s">
        <v>448</v>
      </c>
      <c r="F9244" s="706">
        <v>0.63155137013676532</v>
      </c>
      <c r="G9244" s="705">
        <v>894.99592640877063</v>
      </c>
    </row>
    <row r="9245" spans="2:7" ht="11.25" hidden="1" customHeight="1" outlineLevel="2" x14ac:dyDescent="0.25">
      <c r="B9245" s="704" t="s">
        <v>699</v>
      </c>
      <c r="C9245" s="704" t="s">
        <v>791</v>
      </c>
      <c r="D9245" s="704" t="s">
        <v>728</v>
      </c>
      <c r="E9245" s="704" t="s">
        <v>448</v>
      </c>
      <c r="F9245" s="706">
        <v>0.71385943869658741</v>
      </c>
      <c r="G9245" s="705">
        <v>1006.1756249925194</v>
      </c>
    </row>
    <row r="9246" spans="2:7" ht="11.25" hidden="1" customHeight="1" outlineLevel="2" x14ac:dyDescent="0.25">
      <c r="B9246" s="704" t="s">
        <v>673</v>
      </c>
      <c r="C9246" s="704" t="s">
        <v>792</v>
      </c>
      <c r="D9246" s="704" t="s">
        <v>728</v>
      </c>
      <c r="E9246" s="704" t="s">
        <v>448</v>
      </c>
      <c r="F9246" s="706">
        <v>1.111495915818419E-2</v>
      </c>
      <c r="G9246" s="705">
        <v>23.267234694447765</v>
      </c>
    </row>
    <row r="9247" spans="2:7" ht="11.25" hidden="1" customHeight="1" outlineLevel="2" x14ac:dyDescent="0.25">
      <c r="B9247" s="704" t="s">
        <v>677</v>
      </c>
      <c r="C9247" s="704" t="s">
        <v>792</v>
      </c>
      <c r="D9247" s="704" t="s">
        <v>728</v>
      </c>
      <c r="E9247" s="704" t="s">
        <v>448</v>
      </c>
      <c r="F9247" s="705">
        <v>0.53825425033547436</v>
      </c>
      <c r="G9247" s="705">
        <v>1114.9658312192089</v>
      </c>
    </row>
    <row r="9248" spans="2:7" ht="11.25" hidden="1" customHeight="1" outlineLevel="2" x14ac:dyDescent="0.25">
      <c r="B9248" s="704" t="s">
        <v>678</v>
      </c>
      <c r="C9248" s="704" t="s">
        <v>792</v>
      </c>
      <c r="D9248" s="704" t="s">
        <v>728</v>
      </c>
      <c r="E9248" s="704" t="s">
        <v>448</v>
      </c>
      <c r="F9248" s="705">
        <v>0.63937430061916989</v>
      </c>
      <c r="G9248" s="705">
        <v>1340.1929573946832</v>
      </c>
    </row>
    <row r="9249" spans="2:7" ht="11.25" hidden="1" customHeight="1" outlineLevel="2" x14ac:dyDescent="0.25">
      <c r="B9249" s="704" t="s">
        <v>679</v>
      </c>
      <c r="C9249" s="704" t="s">
        <v>792</v>
      </c>
      <c r="D9249" s="704" t="s">
        <v>728</v>
      </c>
      <c r="E9249" s="704" t="s">
        <v>448</v>
      </c>
      <c r="F9249" s="705">
        <v>3.80702306582461E-2</v>
      </c>
      <c r="G9249" s="705">
        <v>80.039269146183671</v>
      </c>
    </row>
    <row r="9250" spans="2:7" ht="11.25" hidden="1" customHeight="1" outlineLevel="2" x14ac:dyDescent="0.25">
      <c r="B9250" s="704" t="s">
        <v>680</v>
      </c>
      <c r="C9250" s="704" t="s">
        <v>792</v>
      </c>
      <c r="D9250" s="704" t="s">
        <v>728</v>
      </c>
      <c r="E9250" s="704" t="s">
        <v>448</v>
      </c>
      <c r="F9250" s="705">
        <v>1.192442424000179E-2</v>
      </c>
      <c r="G9250" s="705">
        <v>25.128615121888387</v>
      </c>
    </row>
    <row r="9251" spans="2:7" ht="11.25" hidden="1" customHeight="1" outlineLevel="2" x14ac:dyDescent="0.25">
      <c r="B9251" s="704" t="s">
        <v>681</v>
      </c>
      <c r="C9251" s="704" t="s">
        <v>792</v>
      </c>
      <c r="D9251" s="704" t="s">
        <v>728</v>
      </c>
      <c r="E9251" s="704" t="s">
        <v>448</v>
      </c>
      <c r="F9251" s="705">
        <v>0.20158049864185737</v>
      </c>
      <c r="G9251" s="705">
        <v>422.53287225050303</v>
      </c>
    </row>
    <row r="9252" spans="2:7" ht="11.25" hidden="1" customHeight="1" outlineLevel="2" x14ac:dyDescent="0.25">
      <c r="B9252" s="704" t="s">
        <v>682</v>
      </c>
      <c r="C9252" s="704" t="s">
        <v>792</v>
      </c>
      <c r="D9252" s="704" t="s">
        <v>728</v>
      </c>
      <c r="E9252" s="704" t="s">
        <v>448</v>
      </c>
      <c r="F9252" s="705">
        <v>2.6193693668600432E-2</v>
      </c>
      <c r="G9252" s="705">
        <v>54.910670559544528</v>
      </c>
    </row>
    <row r="9253" spans="2:7" ht="11.25" hidden="1" customHeight="1" outlineLevel="2" x14ac:dyDescent="0.25">
      <c r="B9253" s="704" t="s">
        <v>683</v>
      </c>
      <c r="C9253" s="704" t="s">
        <v>792</v>
      </c>
      <c r="D9253" s="704" t="s">
        <v>728</v>
      </c>
      <c r="E9253" s="704" t="s">
        <v>448</v>
      </c>
      <c r="F9253" s="705">
        <v>5.4891951156968939E-2</v>
      </c>
      <c r="G9253" s="705">
        <v>115.40551068013789</v>
      </c>
    </row>
    <row r="9254" spans="2:7" ht="11.25" hidden="1" customHeight="1" outlineLevel="2" x14ac:dyDescent="0.25">
      <c r="B9254" s="704" t="s">
        <v>684</v>
      </c>
      <c r="C9254" s="704" t="s">
        <v>792</v>
      </c>
      <c r="D9254" s="704" t="s">
        <v>728</v>
      </c>
      <c r="E9254" s="704" t="s">
        <v>448</v>
      </c>
      <c r="F9254" s="705">
        <v>7.0663275943811707E-2</v>
      </c>
      <c r="G9254" s="705">
        <v>148.91035375745594</v>
      </c>
    </row>
    <row r="9255" spans="2:7" ht="11.25" hidden="1" customHeight="1" outlineLevel="2" x14ac:dyDescent="0.25">
      <c r="B9255" s="704" t="s">
        <v>685</v>
      </c>
      <c r="C9255" s="704" t="s">
        <v>792</v>
      </c>
      <c r="D9255" s="704" t="s">
        <v>728</v>
      </c>
      <c r="E9255" s="704" t="s">
        <v>448</v>
      </c>
      <c r="F9255" s="705">
        <v>0.33377839603271947</v>
      </c>
      <c r="G9255" s="705">
        <v>701.73982459826391</v>
      </c>
    </row>
    <row r="9256" spans="2:7" ht="11.25" hidden="1" customHeight="1" outlineLevel="2" x14ac:dyDescent="0.25">
      <c r="B9256" s="704" t="s">
        <v>686</v>
      </c>
      <c r="C9256" s="704" t="s">
        <v>792</v>
      </c>
      <c r="D9256" s="704" t="s">
        <v>728</v>
      </c>
      <c r="E9256" s="704" t="s">
        <v>448</v>
      </c>
      <c r="F9256" s="705">
        <v>7.1580345296223938E-2</v>
      </c>
      <c r="G9256" s="705">
        <v>149.84093283548589</v>
      </c>
    </row>
    <row r="9257" spans="2:7" ht="11.25" hidden="1" customHeight="1" outlineLevel="2" x14ac:dyDescent="0.25">
      <c r="B9257" s="704" t="s">
        <v>687</v>
      </c>
      <c r="C9257" s="704" t="s">
        <v>792</v>
      </c>
      <c r="D9257" s="704" t="s">
        <v>728</v>
      </c>
      <c r="E9257" s="704" t="s">
        <v>448</v>
      </c>
      <c r="F9257" s="705">
        <v>0.14696726950226877</v>
      </c>
      <c r="G9257" s="705">
        <v>308.0581255130312</v>
      </c>
    </row>
    <row r="9258" spans="2:7" ht="11.25" hidden="1" customHeight="1" outlineLevel="2" x14ac:dyDescent="0.25">
      <c r="B9258" s="704" t="s">
        <v>688</v>
      </c>
      <c r="C9258" s="704" t="s">
        <v>792</v>
      </c>
      <c r="D9258" s="704" t="s">
        <v>728</v>
      </c>
      <c r="E9258" s="704" t="s">
        <v>448</v>
      </c>
      <c r="F9258" s="705">
        <v>0.43246570465736656</v>
      </c>
      <c r="G9258" s="705">
        <v>906.49145017311707</v>
      </c>
    </row>
    <row r="9259" spans="2:7" ht="11.25" hidden="1" customHeight="1" outlineLevel="2" x14ac:dyDescent="0.25">
      <c r="B9259" s="704" t="s">
        <v>689</v>
      </c>
      <c r="C9259" s="704" t="s">
        <v>792</v>
      </c>
      <c r="D9259" s="704" t="s">
        <v>728</v>
      </c>
      <c r="E9259" s="704" t="s">
        <v>448</v>
      </c>
      <c r="F9259" s="705">
        <v>4.2160929082751916E-2</v>
      </c>
      <c r="G9259" s="705">
        <v>88.236110226455764</v>
      </c>
    </row>
    <row r="9260" spans="2:7" ht="11.25" hidden="1" customHeight="1" outlineLevel="2" x14ac:dyDescent="0.25">
      <c r="B9260" s="704" t="s">
        <v>690</v>
      </c>
      <c r="C9260" s="704" t="s">
        <v>792</v>
      </c>
      <c r="D9260" s="704" t="s">
        <v>728</v>
      </c>
      <c r="E9260" s="704" t="s">
        <v>448</v>
      </c>
      <c r="F9260" s="705">
        <v>1.3182924372319673</v>
      </c>
      <c r="G9260" s="705">
        <v>2771.5935124536718</v>
      </c>
    </row>
    <row r="9261" spans="2:7" ht="11.25" hidden="1" customHeight="1" outlineLevel="2" x14ac:dyDescent="0.25">
      <c r="B9261" s="704" t="s">
        <v>691</v>
      </c>
      <c r="C9261" s="704" t="s">
        <v>792</v>
      </c>
      <c r="D9261" s="704" t="s">
        <v>728</v>
      </c>
      <c r="E9261" s="704" t="s">
        <v>448</v>
      </c>
      <c r="F9261" s="705">
        <v>0.64409537570168574</v>
      </c>
      <c r="G9261" s="705">
        <v>1354.1535765046028</v>
      </c>
    </row>
    <row r="9262" spans="2:7" ht="11.25" hidden="1" customHeight="1" outlineLevel="2" x14ac:dyDescent="0.25">
      <c r="B9262" s="704" t="s">
        <v>692</v>
      </c>
      <c r="C9262" s="704" t="s">
        <v>792</v>
      </c>
      <c r="D9262" s="704" t="s">
        <v>728</v>
      </c>
      <c r="E9262" s="704" t="s">
        <v>448</v>
      </c>
      <c r="F9262" s="705">
        <v>4.2180962039840342E-2</v>
      </c>
      <c r="G9262" s="705">
        <v>88.41547822238465</v>
      </c>
    </row>
    <row r="9263" spans="2:7" ht="11.25" hidden="1" customHeight="1" outlineLevel="2" x14ac:dyDescent="0.25">
      <c r="B9263" s="704" t="s">
        <v>693</v>
      </c>
      <c r="C9263" s="704" t="s">
        <v>792</v>
      </c>
      <c r="D9263" s="704" t="s">
        <v>728</v>
      </c>
      <c r="E9263" s="704" t="s">
        <v>448</v>
      </c>
      <c r="F9263" s="705">
        <v>3.2240112843075611E-2</v>
      </c>
      <c r="G9263" s="705">
        <v>67.940305769943521</v>
      </c>
    </row>
    <row r="9264" spans="2:7" ht="11.25" hidden="1" customHeight="1" outlineLevel="2" x14ac:dyDescent="0.25">
      <c r="B9264" s="704" t="s">
        <v>694</v>
      </c>
      <c r="C9264" s="704" t="s">
        <v>792</v>
      </c>
      <c r="D9264" s="704" t="s">
        <v>728</v>
      </c>
      <c r="E9264" s="704" t="s">
        <v>448</v>
      </c>
      <c r="F9264" s="705">
        <v>7.1104884639453053E-2</v>
      </c>
      <c r="G9264" s="705">
        <v>149.84093283548589</v>
      </c>
    </row>
    <row r="9265" spans="2:7" ht="11.25" hidden="1" customHeight="1" outlineLevel="2" x14ac:dyDescent="0.25">
      <c r="B9265" s="704" t="s">
        <v>695</v>
      </c>
      <c r="C9265" s="704" t="s">
        <v>792</v>
      </c>
      <c r="D9265" s="704" t="s">
        <v>728</v>
      </c>
      <c r="E9265" s="704" t="s">
        <v>448</v>
      </c>
      <c r="F9265" s="705">
        <v>6.9779990908282477E-2</v>
      </c>
      <c r="G9265" s="705">
        <v>147.04889192223163</v>
      </c>
    </row>
    <row r="9266" spans="2:7" ht="11.25" hidden="1" customHeight="1" outlineLevel="2" x14ac:dyDescent="0.25">
      <c r="B9266" s="704" t="s">
        <v>696</v>
      </c>
      <c r="C9266" s="704" t="s">
        <v>792</v>
      </c>
      <c r="D9266" s="704" t="s">
        <v>728</v>
      </c>
      <c r="E9266" s="704" t="s">
        <v>448</v>
      </c>
      <c r="F9266" s="705">
        <v>0.10047925675920505</v>
      </c>
      <c r="G9266" s="705">
        <v>210.33576996412668</v>
      </c>
    </row>
    <row r="9267" spans="2:7" ht="11.25" hidden="1" customHeight="1" outlineLevel="2" x14ac:dyDescent="0.25">
      <c r="B9267" s="704" t="s">
        <v>697</v>
      </c>
      <c r="C9267" s="704" t="s">
        <v>792</v>
      </c>
      <c r="D9267" s="704" t="s">
        <v>728</v>
      </c>
      <c r="E9267" s="704" t="s">
        <v>448</v>
      </c>
      <c r="F9267" s="705">
        <v>4.5047840762684574E-2</v>
      </c>
      <c r="G9267" s="705">
        <v>94.930315318806251</v>
      </c>
    </row>
    <row r="9268" spans="2:7" ht="11.25" hidden="1" customHeight="1" outlineLevel="2" x14ac:dyDescent="0.25">
      <c r="B9268" s="704" t="s">
        <v>698</v>
      </c>
      <c r="C9268" s="704" t="s">
        <v>792</v>
      </c>
      <c r="D9268" s="704" t="s">
        <v>728</v>
      </c>
      <c r="E9268" s="704" t="s">
        <v>448</v>
      </c>
      <c r="F9268" s="705">
        <v>7.1104884639037413E-2</v>
      </c>
      <c r="G9268" s="705">
        <v>149.84093284011928</v>
      </c>
    </row>
    <row r="9269" spans="2:7" ht="11.25" hidden="1" customHeight="1" outlineLevel="2" x14ac:dyDescent="0.25">
      <c r="B9269" s="704" t="s">
        <v>699</v>
      </c>
      <c r="C9269" s="704" t="s">
        <v>792</v>
      </c>
      <c r="D9269" s="704" t="s">
        <v>728</v>
      </c>
      <c r="E9269" s="704" t="s">
        <v>448</v>
      </c>
      <c r="F9269" s="705">
        <v>8.0365826016787531E-2</v>
      </c>
      <c r="G9269" s="705">
        <v>168.45476863086748</v>
      </c>
    </row>
    <row r="9270" spans="2:7" ht="11.25" hidden="1" customHeight="1" outlineLevel="2" x14ac:dyDescent="0.25">
      <c r="B9270" s="704" t="s">
        <v>673</v>
      </c>
      <c r="C9270" s="704" t="s">
        <v>793</v>
      </c>
      <c r="D9270" s="704" t="s">
        <v>728</v>
      </c>
      <c r="E9270" s="704" t="s">
        <v>448</v>
      </c>
      <c r="F9270" s="705">
        <v>0.30920262396960679</v>
      </c>
      <c r="G9270" s="705">
        <v>448.34078988604381</v>
      </c>
    </row>
    <row r="9271" spans="2:7" ht="11.25" hidden="1" customHeight="1" outlineLevel="2" x14ac:dyDescent="0.25">
      <c r="B9271" s="704" t="s">
        <v>677</v>
      </c>
      <c r="C9271" s="704" t="s">
        <v>793</v>
      </c>
      <c r="D9271" s="704" t="s">
        <v>728</v>
      </c>
      <c r="E9271" s="704" t="s">
        <v>448</v>
      </c>
      <c r="F9271" s="705">
        <v>14.975636663005217</v>
      </c>
      <c r="G9271" s="705">
        <v>21484.486960780298</v>
      </c>
    </row>
    <row r="9272" spans="2:7" ht="11.25" hidden="1" customHeight="1" outlineLevel="2" x14ac:dyDescent="0.25">
      <c r="B9272" s="704" t="s">
        <v>678</v>
      </c>
      <c r="C9272" s="704" t="s">
        <v>793</v>
      </c>
      <c r="D9272" s="704" t="s">
        <v>728</v>
      </c>
      <c r="E9272" s="704" t="s">
        <v>448</v>
      </c>
      <c r="F9272" s="705">
        <v>17.786171173856982</v>
      </c>
      <c r="G9272" s="705">
        <v>25824.417351631822</v>
      </c>
    </row>
    <row r="9273" spans="2:7" ht="11.25" hidden="1" customHeight="1" outlineLevel="2" x14ac:dyDescent="0.25">
      <c r="B9273" s="704" t="s">
        <v>679</v>
      </c>
      <c r="C9273" s="704" t="s">
        <v>793</v>
      </c>
      <c r="D9273" s="704" t="s">
        <v>728</v>
      </c>
      <c r="E9273" s="704" t="s">
        <v>448</v>
      </c>
      <c r="F9273" s="705">
        <v>1.0589968067637747</v>
      </c>
      <c r="G9273" s="705">
        <v>1542.2927073022538</v>
      </c>
    </row>
    <row r="9274" spans="2:7" ht="11.25" hidden="1" customHeight="1" outlineLevel="2" x14ac:dyDescent="0.25">
      <c r="B9274" s="704" t="s">
        <v>680</v>
      </c>
      <c r="C9274" s="704" t="s">
        <v>793</v>
      </c>
      <c r="D9274" s="704" t="s">
        <v>728</v>
      </c>
      <c r="E9274" s="704" t="s">
        <v>448</v>
      </c>
      <c r="F9274" s="705">
        <v>0.331690181808383</v>
      </c>
      <c r="G9274" s="705">
        <v>484.20787475579505</v>
      </c>
    </row>
    <row r="9275" spans="2:7" ht="11.25" hidden="1" customHeight="1" outlineLevel="2" x14ac:dyDescent="0.25">
      <c r="B9275" s="704" t="s">
        <v>681</v>
      </c>
      <c r="C9275" s="704" t="s">
        <v>793</v>
      </c>
      <c r="D9275" s="704" t="s">
        <v>728</v>
      </c>
      <c r="E9275" s="704" t="s">
        <v>448</v>
      </c>
      <c r="F9275" s="705">
        <v>5.6075855770558851</v>
      </c>
      <c r="G9275" s="705">
        <v>8141.8683241916942</v>
      </c>
    </row>
    <row r="9276" spans="2:7" ht="11.25" hidden="1" customHeight="1" outlineLevel="2" x14ac:dyDescent="0.25">
      <c r="B9276" s="704" t="s">
        <v>682</v>
      </c>
      <c r="C9276" s="704" t="s">
        <v>793</v>
      </c>
      <c r="D9276" s="704" t="s">
        <v>728</v>
      </c>
      <c r="E9276" s="704" t="s">
        <v>448</v>
      </c>
      <c r="F9276" s="705">
        <v>0.72865778340282439</v>
      </c>
      <c r="G9276" s="705">
        <v>1058.084438920474</v>
      </c>
    </row>
    <row r="9277" spans="2:7" ht="11.25" hidden="1" customHeight="1" outlineLevel="2" x14ac:dyDescent="0.25">
      <c r="B9277" s="704" t="s">
        <v>683</v>
      </c>
      <c r="C9277" s="704" t="s">
        <v>793</v>
      </c>
      <c r="D9277" s="704" t="s">
        <v>728</v>
      </c>
      <c r="E9277" s="704" t="s">
        <v>448</v>
      </c>
      <c r="F9277" s="705">
        <v>1.526925745334281</v>
      </c>
      <c r="G9277" s="705">
        <v>2223.7698673974814</v>
      </c>
    </row>
    <row r="9278" spans="2:7" ht="11.25" hidden="1" customHeight="1" outlineLevel="2" x14ac:dyDescent="0.25">
      <c r="B9278" s="704" t="s">
        <v>684</v>
      </c>
      <c r="C9278" s="704" t="s">
        <v>793</v>
      </c>
      <c r="D9278" s="704" t="s">
        <v>728</v>
      </c>
      <c r="E9278" s="704" t="s">
        <v>448</v>
      </c>
      <c r="F9278" s="705">
        <v>1.9655724865476574</v>
      </c>
      <c r="G9278" s="705">
        <v>2869.3802728110709</v>
      </c>
    </row>
    <row r="9279" spans="2:7" ht="11.25" hidden="1" customHeight="1" outlineLevel="2" x14ac:dyDescent="0.25">
      <c r="B9279" s="704" t="s">
        <v>685</v>
      </c>
      <c r="C9279" s="704" t="s">
        <v>793</v>
      </c>
      <c r="D9279" s="704" t="s">
        <v>728</v>
      </c>
      <c r="E9279" s="704" t="s">
        <v>448</v>
      </c>
      <c r="F9279" s="706">
        <v>9.2846954933479999</v>
      </c>
      <c r="G9279" s="705">
        <v>13521.951504251236</v>
      </c>
    </row>
    <row r="9280" spans="2:7" ht="11.25" hidden="1" customHeight="1" outlineLevel="2" x14ac:dyDescent="0.25">
      <c r="B9280" s="704" t="s">
        <v>686</v>
      </c>
      <c r="C9280" s="704" t="s">
        <v>793</v>
      </c>
      <c r="D9280" s="704" t="s">
        <v>728</v>
      </c>
      <c r="E9280" s="704" t="s">
        <v>448</v>
      </c>
      <c r="F9280" s="706">
        <v>1.9912658343330922</v>
      </c>
      <c r="G9280" s="705">
        <v>2887.3139194418413</v>
      </c>
    </row>
    <row r="9281" spans="2:7" ht="11.25" hidden="1" customHeight="1" outlineLevel="2" x14ac:dyDescent="0.25">
      <c r="B9281" s="704" t="s">
        <v>687</v>
      </c>
      <c r="C9281" s="704" t="s">
        <v>793</v>
      </c>
      <c r="D9281" s="704" t="s">
        <v>728</v>
      </c>
      <c r="E9281" s="704" t="s">
        <v>448</v>
      </c>
      <c r="F9281" s="706">
        <v>4.0883491321572016</v>
      </c>
      <c r="G9281" s="705">
        <v>5936.0305185143961</v>
      </c>
    </row>
    <row r="9282" spans="2:7" ht="11.25" hidden="1" customHeight="1" outlineLevel="2" x14ac:dyDescent="0.25">
      <c r="B9282" s="704" t="s">
        <v>688</v>
      </c>
      <c r="C9282" s="704" t="s">
        <v>793</v>
      </c>
      <c r="D9282" s="704" t="s">
        <v>728</v>
      </c>
      <c r="E9282" s="704" t="s">
        <v>448</v>
      </c>
      <c r="F9282" s="706">
        <v>12.030372964353038</v>
      </c>
      <c r="G9282" s="705">
        <v>17467.351723492488</v>
      </c>
    </row>
    <row r="9283" spans="2:7" ht="11.25" hidden="1" customHeight="1" outlineLevel="2" x14ac:dyDescent="0.25">
      <c r="B9283" s="704" t="s">
        <v>689</v>
      </c>
      <c r="C9283" s="704" t="s">
        <v>793</v>
      </c>
      <c r="D9283" s="704" t="s">
        <v>728</v>
      </c>
      <c r="E9283" s="704" t="s">
        <v>448</v>
      </c>
      <c r="F9283" s="706">
        <v>1.1728622427297686</v>
      </c>
      <c r="G9283" s="705">
        <v>1700.2374982243437</v>
      </c>
    </row>
    <row r="9284" spans="2:7" ht="11.25" hidden="1" customHeight="1" outlineLevel="2" x14ac:dyDescent="0.25">
      <c r="B9284" s="704" t="s">
        <v>690</v>
      </c>
      <c r="C9284" s="704" t="s">
        <v>793</v>
      </c>
      <c r="D9284" s="704" t="s">
        <v>728</v>
      </c>
      <c r="E9284" s="704" t="s">
        <v>448</v>
      </c>
      <c r="F9284" s="706">
        <v>36.670852629048511</v>
      </c>
      <c r="G9284" s="705">
        <v>53406.353060423637</v>
      </c>
    </row>
    <row r="9285" spans="2:7" ht="11.25" hidden="1" customHeight="1" outlineLevel="2" x14ac:dyDescent="0.25">
      <c r="B9285" s="704" t="s">
        <v>691</v>
      </c>
      <c r="C9285" s="704" t="s">
        <v>793</v>
      </c>
      <c r="D9285" s="704" t="s">
        <v>728</v>
      </c>
      <c r="E9285" s="704" t="s">
        <v>448</v>
      </c>
      <c r="F9285" s="706">
        <v>17.916751636228618</v>
      </c>
      <c r="G9285" s="705">
        <v>26093.420432488885</v>
      </c>
    </row>
    <row r="9286" spans="2:7" ht="11.25" hidden="1" customHeight="1" outlineLevel="2" x14ac:dyDescent="0.25">
      <c r="B9286" s="704" t="s">
        <v>692</v>
      </c>
      <c r="C9286" s="704" t="s">
        <v>793</v>
      </c>
      <c r="D9286" s="704" t="s">
        <v>728</v>
      </c>
      <c r="E9286" s="704" t="s">
        <v>448</v>
      </c>
      <c r="F9286" s="705">
        <v>1.1733934741531256</v>
      </c>
      <c r="G9286" s="705">
        <v>1703.694372615621</v>
      </c>
    </row>
    <row r="9287" spans="2:7" ht="11.25" hidden="1" customHeight="1" outlineLevel="2" x14ac:dyDescent="0.25">
      <c r="B9287" s="704" t="s">
        <v>693</v>
      </c>
      <c r="C9287" s="704" t="s">
        <v>793</v>
      </c>
      <c r="D9287" s="704" t="s">
        <v>728</v>
      </c>
      <c r="E9287" s="704" t="s">
        <v>448</v>
      </c>
      <c r="F9287" s="705">
        <v>0.89679238519223126</v>
      </c>
      <c r="G9287" s="705">
        <v>1309.1541839779509</v>
      </c>
    </row>
    <row r="9288" spans="2:7" ht="11.25" hidden="1" customHeight="1" outlineLevel="2" x14ac:dyDescent="0.25">
      <c r="B9288" s="704" t="s">
        <v>694</v>
      </c>
      <c r="C9288" s="704" t="s">
        <v>793</v>
      </c>
      <c r="D9288" s="704" t="s">
        <v>728</v>
      </c>
      <c r="E9288" s="704" t="s">
        <v>448</v>
      </c>
      <c r="F9288" s="705">
        <v>1.9778568648749124</v>
      </c>
      <c r="G9288" s="705">
        <v>2887.3139194418413</v>
      </c>
    </row>
    <row r="9289" spans="2:7" ht="11.25" hidden="1" customHeight="1" outlineLevel="2" x14ac:dyDescent="0.25">
      <c r="B9289" s="704" t="s">
        <v>695</v>
      </c>
      <c r="C9289" s="704" t="s">
        <v>793</v>
      </c>
      <c r="D9289" s="704" t="s">
        <v>728</v>
      </c>
      <c r="E9289" s="704" t="s">
        <v>448</v>
      </c>
      <c r="F9289" s="706">
        <v>1.9410021448928103</v>
      </c>
      <c r="G9289" s="705">
        <v>2833.513502546462</v>
      </c>
    </row>
    <row r="9290" spans="2:7" ht="11.25" hidden="1" customHeight="1" outlineLevel="2" x14ac:dyDescent="0.25">
      <c r="B9290" s="704" t="s">
        <v>696</v>
      </c>
      <c r="C9290" s="704" t="s">
        <v>793</v>
      </c>
      <c r="D9290" s="704" t="s">
        <v>728</v>
      </c>
      <c r="E9290" s="704" t="s">
        <v>448</v>
      </c>
      <c r="F9290" s="705">
        <v>2.7951918343631981</v>
      </c>
      <c r="G9290" s="705">
        <v>4053.0020365206396</v>
      </c>
    </row>
    <row r="9291" spans="2:7" ht="11.25" hidden="1" customHeight="1" outlineLevel="2" x14ac:dyDescent="0.25">
      <c r="B9291" s="704" t="s">
        <v>697</v>
      </c>
      <c r="C9291" s="704" t="s">
        <v>793</v>
      </c>
      <c r="D9291" s="704" t="s">
        <v>728</v>
      </c>
      <c r="E9291" s="704" t="s">
        <v>448</v>
      </c>
      <c r="F9291" s="705">
        <v>1.2530520612754668</v>
      </c>
      <c r="G9291" s="705">
        <v>1829.2295106599977</v>
      </c>
    </row>
    <row r="9292" spans="2:7" ht="11.25" hidden="1" customHeight="1" outlineLevel="2" x14ac:dyDescent="0.25">
      <c r="B9292" s="704" t="s">
        <v>698</v>
      </c>
      <c r="C9292" s="704" t="s">
        <v>793</v>
      </c>
      <c r="D9292" s="704" t="s">
        <v>728</v>
      </c>
      <c r="E9292" s="704" t="s">
        <v>448</v>
      </c>
      <c r="F9292" s="706">
        <v>1.9778568648833503</v>
      </c>
      <c r="G9292" s="705">
        <v>2887.3139192750727</v>
      </c>
    </row>
    <row r="9293" spans="2:7" ht="11.25" hidden="1" customHeight="1" outlineLevel="2" x14ac:dyDescent="0.25">
      <c r="B9293" s="704" t="s">
        <v>699</v>
      </c>
      <c r="C9293" s="704" t="s">
        <v>793</v>
      </c>
      <c r="D9293" s="704" t="s">
        <v>728</v>
      </c>
      <c r="E9293" s="704" t="s">
        <v>448</v>
      </c>
      <c r="F9293" s="705">
        <v>2.2356230708927924</v>
      </c>
      <c r="G9293" s="705">
        <v>3245.9874816045703</v>
      </c>
    </row>
    <row r="9294" spans="2:7" ht="11.25" hidden="1" customHeight="1" outlineLevel="2" x14ac:dyDescent="0.25">
      <c r="B9294" s="704" t="s">
        <v>673</v>
      </c>
      <c r="C9294" s="704" t="s">
        <v>794</v>
      </c>
      <c r="D9294" s="704" t="s">
        <v>728</v>
      </c>
      <c r="E9294" s="704" t="s">
        <v>448</v>
      </c>
      <c r="F9294" s="705">
        <v>6.8726367289984144E-2</v>
      </c>
      <c r="G9294" s="705">
        <v>53.509703080186192</v>
      </c>
    </row>
    <row r="9295" spans="2:7" ht="11.25" hidden="1" customHeight="1" outlineLevel="2" x14ac:dyDescent="0.25">
      <c r="B9295" s="704" t="s">
        <v>677</v>
      </c>
      <c r="C9295" s="704" t="s">
        <v>794</v>
      </c>
      <c r="D9295" s="704" t="s">
        <v>728</v>
      </c>
      <c r="E9295" s="704" t="s">
        <v>448</v>
      </c>
      <c r="F9295" s="705">
        <v>0.40927422503684496</v>
      </c>
      <c r="G9295" s="705">
        <v>315.28292510666802</v>
      </c>
    </row>
    <row r="9296" spans="2:7" ht="11.25" hidden="1" customHeight="1" outlineLevel="2" x14ac:dyDescent="0.25">
      <c r="B9296" s="704" t="s">
        <v>678</v>
      </c>
      <c r="C9296" s="704" t="s">
        <v>794</v>
      </c>
      <c r="D9296" s="704" t="s">
        <v>728</v>
      </c>
      <c r="E9296" s="704" t="s">
        <v>448</v>
      </c>
      <c r="F9296" s="706">
        <v>0.67003945368074913</v>
      </c>
      <c r="G9296" s="705">
        <v>522.38982669108407</v>
      </c>
    </row>
    <row r="9297" spans="2:7" ht="11.25" hidden="1" customHeight="1" outlineLevel="2" x14ac:dyDescent="0.25">
      <c r="B9297" s="704" t="s">
        <v>679</v>
      </c>
      <c r="C9297" s="704" t="s">
        <v>794</v>
      </c>
      <c r="D9297" s="704" t="s">
        <v>728</v>
      </c>
      <c r="E9297" s="704" t="s">
        <v>448</v>
      </c>
      <c r="F9297" s="706">
        <v>6.1657740164469857E-2</v>
      </c>
      <c r="G9297" s="705">
        <v>48.216078114368003</v>
      </c>
    </row>
    <row r="9298" spans="2:7" ht="11.25" hidden="1" customHeight="1" outlineLevel="2" x14ac:dyDescent="0.25">
      <c r="B9298" s="704" t="s">
        <v>680</v>
      </c>
      <c r="C9298" s="704" t="s">
        <v>794</v>
      </c>
      <c r="D9298" s="704" t="s">
        <v>728</v>
      </c>
      <c r="E9298" s="704" t="s">
        <v>448</v>
      </c>
      <c r="F9298" s="706">
        <v>2.5638186013993522E-2</v>
      </c>
      <c r="G9298" s="705">
        <v>20.096449541203462</v>
      </c>
    </row>
    <row r="9299" spans="2:7" ht="11.25" hidden="1" customHeight="1" outlineLevel="2" x14ac:dyDescent="0.25">
      <c r="B9299" s="704" t="s">
        <v>681</v>
      </c>
      <c r="C9299" s="704" t="s">
        <v>794</v>
      </c>
      <c r="D9299" s="704" t="s">
        <v>728</v>
      </c>
      <c r="E9299" s="704" t="s">
        <v>448</v>
      </c>
      <c r="F9299" s="705">
        <v>0.11947457234266137</v>
      </c>
      <c r="G9299" s="705">
        <v>93.147185913611963</v>
      </c>
    </row>
    <row r="9300" spans="2:7" ht="11.25" hidden="1" customHeight="1" outlineLevel="2" x14ac:dyDescent="0.25">
      <c r="B9300" s="704" t="s">
        <v>682</v>
      </c>
      <c r="C9300" s="704" t="s">
        <v>794</v>
      </c>
      <c r="D9300" s="704" t="s">
        <v>728</v>
      </c>
      <c r="E9300" s="704" t="s">
        <v>448</v>
      </c>
      <c r="F9300" s="705">
        <v>7.5797849030905862E-2</v>
      </c>
      <c r="G9300" s="705">
        <v>59.101526911879311</v>
      </c>
    </row>
    <row r="9301" spans="2:7" ht="11.25" hidden="1" customHeight="1" outlineLevel="2" x14ac:dyDescent="0.25">
      <c r="B9301" s="704" t="s">
        <v>683</v>
      </c>
      <c r="C9301" s="704" t="s">
        <v>794</v>
      </c>
      <c r="D9301" s="704" t="s">
        <v>728</v>
      </c>
      <c r="E9301" s="704" t="s">
        <v>448</v>
      </c>
      <c r="F9301" s="705">
        <v>9.7658435921202283E-2</v>
      </c>
      <c r="G9301" s="705">
        <v>76.368464145855214</v>
      </c>
    </row>
    <row r="9302" spans="2:7" ht="11.25" hidden="1" customHeight="1" outlineLevel="2" x14ac:dyDescent="0.25">
      <c r="B9302" s="704" t="s">
        <v>684</v>
      </c>
      <c r="C9302" s="704" t="s">
        <v>794</v>
      </c>
      <c r="D9302" s="704" t="s">
        <v>728</v>
      </c>
      <c r="E9302" s="704" t="s">
        <v>448</v>
      </c>
      <c r="F9302" s="705">
        <v>3.0809297293550322E-2</v>
      </c>
      <c r="G9302" s="705">
        <v>24.149826207886115</v>
      </c>
    </row>
    <row r="9303" spans="2:7" ht="11.25" hidden="1" customHeight="1" outlineLevel="2" x14ac:dyDescent="0.25">
      <c r="B9303" s="704" t="s">
        <v>685</v>
      </c>
      <c r="C9303" s="704" t="s">
        <v>794</v>
      </c>
      <c r="D9303" s="704" t="s">
        <v>728</v>
      </c>
      <c r="E9303" s="704" t="s">
        <v>448</v>
      </c>
      <c r="F9303" s="705">
        <v>0.16323620283234916</v>
      </c>
      <c r="G9303" s="705">
        <v>127.64991021435769</v>
      </c>
    </row>
    <row r="9304" spans="2:7" ht="11.25" hidden="1" customHeight="1" outlineLevel="2" x14ac:dyDescent="0.25">
      <c r="B9304" s="704" t="s">
        <v>686</v>
      </c>
      <c r="C9304" s="704" t="s">
        <v>794</v>
      </c>
      <c r="D9304" s="704" t="s">
        <v>728</v>
      </c>
      <c r="E9304" s="704" t="s">
        <v>448</v>
      </c>
      <c r="F9304" s="705">
        <v>3.6027682897020401E-2</v>
      </c>
      <c r="G9304" s="705">
        <v>28.050810472310857</v>
      </c>
    </row>
    <row r="9305" spans="2:7" ht="11.25" hidden="1" customHeight="1" outlineLevel="2" x14ac:dyDescent="0.25">
      <c r="B9305" s="704" t="s">
        <v>687</v>
      </c>
      <c r="C9305" s="704" t="s">
        <v>794</v>
      </c>
      <c r="D9305" s="704" t="s">
        <v>728</v>
      </c>
      <c r="E9305" s="704" t="s">
        <v>448</v>
      </c>
      <c r="F9305" s="705">
        <v>0.18219070078210148</v>
      </c>
      <c r="G9305" s="705">
        <v>142.04320846524183</v>
      </c>
    </row>
    <row r="9306" spans="2:7" ht="11.25" hidden="1" customHeight="1" outlineLevel="2" x14ac:dyDescent="0.25">
      <c r="B9306" s="704" t="s">
        <v>688</v>
      </c>
      <c r="C9306" s="704" t="s">
        <v>794</v>
      </c>
      <c r="D9306" s="704" t="s">
        <v>728</v>
      </c>
      <c r="E9306" s="704" t="s">
        <v>448</v>
      </c>
      <c r="F9306" s="705">
        <v>0.20307506337871153</v>
      </c>
      <c r="G9306" s="705">
        <v>158.32549718093739</v>
      </c>
    </row>
    <row r="9307" spans="2:7" ht="11.25" hidden="1" customHeight="1" outlineLevel="2" x14ac:dyDescent="0.25">
      <c r="B9307" s="704" t="s">
        <v>689</v>
      </c>
      <c r="C9307" s="704" t="s">
        <v>794</v>
      </c>
      <c r="D9307" s="704" t="s">
        <v>728</v>
      </c>
      <c r="E9307" s="704" t="s">
        <v>448</v>
      </c>
      <c r="F9307" s="705">
        <v>3.2341587406442822E-2</v>
      </c>
      <c r="G9307" s="705">
        <v>25.181111575125147</v>
      </c>
    </row>
    <row r="9308" spans="2:7" ht="11.25" hidden="1" customHeight="1" outlineLevel="2" x14ac:dyDescent="0.25">
      <c r="B9308" s="704" t="s">
        <v>690</v>
      </c>
      <c r="C9308" s="704" t="s">
        <v>794</v>
      </c>
      <c r="D9308" s="704" t="s">
        <v>728</v>
      </c>
      <c r="E9308" s="704" t="s">
        <v>448</v>
      </c>
      <c r="F9308" s="705">
        <v>0.72303531398203813</v>
      </c>
      <c r="G9308" s="705">
        <v>565.41043309778502</v>
      </c>
    </row>
    <row r="9309" spans="2:7" ht="11.25" hidden="1" customHeight="1" outlineLevel="2" x14ac:dyDescent="0.25">
      <c r="B9309" s="704" t="s">
        <v>691</v>
      </c>
      <c r="C9309" s="704" t="s">
        <v>794</v>
      </c>
      <c r="D9309" s="704" t="s">
        <v>728</v>
      </c>
      <c r="E9309" s="704" t="s">
        <v>448</v>
      </c>
      <c r="F9309" s="706">
        <v>0.64724806274674718</v>
      </c>
      <c r="G9309" s="705">
        <v>506.1451253619644</v>
      </c>
    </row>
    <row r="9310" spans="2:7" ht="11.25" hidden="1" customHeight="1" outlineLevel="2" x14ac:dyDescent="0.25">
      <c r="B9310" s="704" t="s">
        <v>692</v>
      </c>
      <c r="C9310" s="704" t="s">
        <v>794</v>
      </c>
      <c r="D9310" s="704" t="s">
        <v>728</v>
      </c>
      <c r="E9310" s="704" t="s">
        <v>448</v>
      </c>
      <c r="F9310" s="706">
        <v>3.6865999516488356E-2</v>
      </c>
      <c r="G9310" s="705">
        <v>28.742216603192382</v>
      </c>
    </row>
    <row r="9311" spans="2:7" ht="11.25" hidden="1" customHeight="1" outlineLevel="2" x14ac:dyDescent="0.25">
      <c r="B9311" s="704" t="s">
        <v>693</v>
      </c>
      <c r="C9311" s="704" t="s">
        <v>794</v>
      </c>
      <c r="D9311" s="704" t="s">
        <v>728</v>
      </c>
      <c r="E9311" s="704" t="s">
        <v>448</v>
      </c>
      <c r="F9311" s="705">
        <v>7.4912145577684802E-2</v>
      </c>
      <c r="G9311" s="705">
        <v>58.719765669655892</v>
      </c>
    </row>
    <row r="9312" spans="2:7" ht="11.25" hidden="1" customHeight="1" outlineLevel="2" x14ac:dyDescent="0.25">
      <c r="B9312" s="704" t="s">
        <v>694</v>
      </c>
      <c r="C9312" s="704" t="s">
        <v>794</v>
      </c>
      <c r="D9312" s="704" t="s">
        <v>728</v>
      </c>
      <c r="E9312" s="704" t="s">
        <v>448</v>
      </c>
      <c r="F9312" s="705">
        <v>2.101678535888642E-2</v>
      </c>
      <c r="G9312" s="705">
        <v>16.473977918572302</v>
      </c>
    </row>
    <row r="9313" spans="2:7" ht="11.25" hidden="1" customHeight="1" outlineLevel="2" x14ac:dyDescent="0.25">
      <c r="B9313" s="704" t="s">
        <v>695</v>
      </c>
      <c r="C9313" s="704" t="s">
        <v>794</v>
      </c>
      <c r="D9313" s="704" t="s">
        <v>728</v>
      </c>
      <c r="E9313" s="704" t="s">
        <v>448</v>
      </c>
      <c r="F9313" s="705">
        <v>3.5694050067831766E-2</v>
      </c>
      <c r="G9313" s="705">
        <v>27.97872876918802</v>
      </c>
    </row>
    <row r="9314" spans="2:7" ht="11.25" hidden="1" customHeight="1" outlineLevel="2" x14ac:dyDescent="0.25">
      <c r="B9314" s="704" t="s">
        <v>696</v>
      </c>
      <c r="C9314" s="704" t="s">
        <v>794</v>
      </c>
      <c r="D9314" s="704" t="s">
        <v>728</v>
      </c>
      <c r="E9314" s="704" t="s">
        <v>448</v>
      </c>
      <c r="F9314" s="705">
        <v>0.11418760942865759</v>
      </c>
      <c r="G9314" s="705">
        <v>88.905371127196673</v>
      </c>
    </row>
    <row r="9315" spans="2:7" ht="11.25" hidden="1" customHeight="1" outlineLevel="2" x14ac:dyDescent="0.25">
      <c r="B9315" s="704" t="s">
        <v>697</v>
      </c>
      <c r="C9315" s="704" t="s">
        <v>794</v>
      </c>
      <c r="D9315" s="704" t="s">
        <v>728</v>
      </c>
      <c r="E9315" s="704" t="s">
        <v>448</v>
      </c>
      <c r="F9315" s="705">
        <v>7.4435594770321675E-2</v>
      </c>
      <c r="G9315" s="705">
        <v>58.346234703400228</v>
      </c>
    </row>
    <row r="9316" spans="2:7" ht="11.25" hidden="1" customHeight="1" outlineLevel="2" x14ac:dyDescent="0.25">
      <c r="B9316" s="704" t="s">
        <v>698</v>
      </c>
      <c r="C9316" s="704" t="s">
        <v>794</v>
      </c>
      <c r="D9316" s="704" t="s">
        <v>728</v>
      </c>
      <c r="E9316" s="704" t="s">
        <v>448</v>
      </c>
      <c r="F9316" s="705">
        <v>0.1006360263666731</v>
      </c>
      <c r="G9316" s="705">
        <v>78.883410923042575</v>
      </c>
    </row>
    <row r="9317" spans="2:7" ht="11.25" hidden="1" customHeight="1" outlineLevel="2" x14ac:dyDescent="0.25">
      <c r="B9317" s="704" t="s">
        <v>699</v>
      </c>
      <c r="C9317" s="704" t="s">
        <v>794</v>
      </c>
      <c r="D9317" s="704" t="s">
        <v>728</v>
      </c>
      <c r="E9317" s="704" t="s">
        <v>448</v>
      </c>
      <c r="F9317" s="705">
        <v>0.62259253158101036</v>
      </c>
      <c r="G9317" s="705">
        <v>485.3982662338783</v>
      </c>
    </row>
    <row r="9318" spans="2:7" ht="11.25" hidden="1" customHeight="1" outlineLevel="2" x14ac:dyDescent="0.25">
      <c r="B9318" s="704" t="s">
        <v>673</v>
      </c>
      <c r="C9318" s="704" t="s">
        <v>795</v>
      </c>
      <c r="D9318" s="704" t="s">
        <v>728</v>
      </c>
      <c r="E9318" s="704" t="s">
        <v>448</v>
      </c>
      <c r="F9318" s="705">
        <v>1.7608283042233976E-2</v>
      </c>
      <c r="G9318" s="705">
        <v>13.736981342543363</v>
      </c>
    </row>
    <row r="9319" spans="2:7" ht="11.25" hidden="1" customHeight="1" outlineLevel="2" x14ac:dyDescent="0.25">
      <c r="B9319" s="704" t="s">
        <v>677</v>
      </c>
      <c r="C9319" s="704" t="s">
        <v>795</v>
      </c>
      <c r="D9319" s="704" t="s">
        <v>728</v>
      </c>
      <c r="E9319" s="704" t="s">
        <v>448</v>
      </c>
      <c r="F9319" s="705">
        <v>0.85280623707817682</v>
      </c>
      <c r="G9319" s="705">
        <v>658.27617020195044</v>
      </c>
    </row>
    <row r="9320" spans="2:7" ht="11.25" hidden="1" customHeight="1" outlineLevel="2" x14ac:dyDescent="0.25">
      <c r="B9320" s="704" t="s">
        <v>678</v>
      </c>
      <c r="C9320" s="704" t="s">
        <v>795</v>
      </c>
      <c r="D9320" s="704" t="s">
        <v>728</v>
      </c>
      <c r="E9320" s="704" t="s">
        <v>448</v>
      </c>
      <c r="F9320" s="705">
        <v>1.0128787465639524</v>
      </c>
      <c r="G9320" s="705">
        <v>791.25005252487585</v>
      </c>
    </row>
    <row r="9321" spans="2:7" ht="11.25" hidden="1" customHeight="1" outlineLevel="2" x14ac:dyDescent="0.25">
      <c r="B9321" s="704" t="s">
        <v>679</v>
      </c>
      <c r="C9321" s="704" t="s">
        <v>795</v>
      </c>
      <c r="D9321" s="704" t="s">
        <v>728</v>
      </c>
      <c r="E9321" s="704" t="s">
        <v>448</v>
      </c>
      <c r="F9321" s="705">
        <v>6.0307625773725143E-2</v>
      </c>
      <c r="G9321" s="705">
        <v>47.255200490427917</v>
      </c>
    </row>
    <row r="9322" spans="2:7" ht="11.25" hidden="1" customHeight="1" outlineLevel="2" x14ac:dyDescent="0.25">
      <c r="B9322" s="704" t="s">
        <v>680</v>
      </c>
      <c r="C9322" s="704" t="s">
        <v>795</v>
      </c>
      <c r="D9322" s="704" t="s">
        <v>728</v>
      </c>
      <c r="E9322" s="704" t="s">
        <v>448</v>
      </c>
      <c r="F9322" s="705">
        <v>1.8889142262268396E-2</v>
      </c>
      <c r="G9322" s="705">
        <v>14.835935436598495</v>
      </c>
    </row>
    <row r="9323" spans="2:7" ht="11.25" hidden="1" customHeight="1" outlineLevel="2" x14ac:dyDescent="0.25">
      <c r="B9323" s="704" t="s">
        <v>681</v>
      </c>
      <c r="C9323" s="704" t="s">
        <v>795</v>
      </c>
      <c r="D9323" s="704" t="s">
        <v>728</v>
      </c>
      <c r="E9323" s="704" t="s">
        <v>448</v>
      </c>
      <c r="F9323" s="705">
        <v>0.31933814047043846</v>
      </c>
      <c r="G9323" s="705">
        <v>249.46357296227399</v>
      </c>
    </row>
    <row r="9324" spans="2:7" ht="11.25" hidden="1" customHeight="1" outlineLevel="2" x14ac:dyDescent="0.25">
      <c r="B9324" s="704" t="s">
        <v>682</v>
      </c>
      <c r="C9324" s="704" t="s">
        <v>795</v>
      </c>
      <c r="D9324" s="704" t="s">
        <v>728</v>
      </c>
      <c r="E9324" s="704" t="s">
        <v>448</v>
      </c>
      <c r="F9324" s="705">
        <v>4.1495258994724761E-2</v>
      </c>
      <c r="G9324" s="705">
        <v>32.419269805368188</v>
      </c>
    </row>
    <row r="9325" spans="2:7" ht="11.25" hidden="1" customHeight="1" outlineLevel="2" x14ac:dyDescent="0.25">
      <c r="B9325" s="704" t="s">
        <v>683</v>
      </c>
      <c r="C9325" s="704" t="s">
        <v>795</v>
      </c>
      <c r="D9325" s="704" t="s">
        <v>728</v>
      </c>
      <c r="E9325" s="704" t="s">
        <v>448</v>
      </c>
      <c r="F9325" s="705">
        <v>8.695519286900566E-2</v>
      </c>
      <c r="G9325" s="705">
        <v>68.135432184299148</v>
      </c>
    </row>
    <row r="9326" spans="2:7" ht="11.25" hidden="1" customHeight="1" outlineLevel="2" x14ac:dyDescent="0.25">
      <c r="B9326" s="704" t="s">
        <v>684</v>
      </c>
      <c r="C9326" s="704" t="s">
        <v>795</v>
      </c>
      <c r="D9326" s="704" t="s">
        <v>728</v>
      </c>
      <c r="E9326" s="704" t="s">
        <v>448</v>
      </c>
      <c r="F9326" s="706">
        <v>0.1119356299376375</v>
      </c>
      <c r="G9326" s="705">
        <v>87.916678724866927</v>
      </c>
    </row>
    <row r="9327" spans="2:7" ht="11.25" hidden="1" customHeight="1" outlineLevel="2" x14ac:dyDescent="0.25">
      <c r="B9327" s="704" t="s">
        <v>685</v>
      </c>
      <c r="C9327" s="704" t="s">
        <v>795</v>
      </c>
      <c r="D9327" s="704" t="s">
        <v>728</v>
      </c>
      <c r="E9327" s="704" t="s">
        <v>448</v>
      </c>
      <c r="F9327" s="706">
        <v>0.52874358683701306</v>
      </c>
      <c r="G9327" s="705">
        <v>414.30732598064066</v>
      </c>
    </row>
    <row r="9328" spans="2:7" ht="11.25" hidden="1" customHeight="1" outlineLevel="2" x14ac:dyDescent="0.25">
      <c r="B9328" s="704" t="s">
        <v>686</v>
      </c>
      <c r="C9328" s="704" t="s">
        <v>795</v>
      </c>
      <c r="D9328" s="704" t="s">
        <v>728</v>
      </c>
      <c r="E9328" s="704" t="s">
        <v>448</v>
      </c>
      <c r="F9328" s="706">
        <v>0.11339734447697494</v>
      </c>
      <c r="G9328" s="705">
        <v>88.466132832786045</v>
      </c>
    </row>
    <row r="9329" spans="2:7" ht="11.25" hidden="1" customHeight="1" outlineLevel="2" x14ac:dyDescent="0.25">
      <c r="B9329" s="704" t="s">
        <v>687</v>
      </c>
      <c r="C9329" s="704" t="s">
        <v>795</v>
      </c>
      <c r="D9329" s="704" t="s">
        <v>728</v>
      </c>
      <c r="E9329" s="704" t="s">
        <v>448</v>
      </c>
      <c r="F9329" s="706">
        <v>0.23282140248356795</v>
      </c>
      <c r="G9329" s="705">
        <v>181.87756906277161</v>
      </c>
    </row>
    <row r="9330" spans="2:7" ht="11.25" hidden="1" customHeight="1" outlineLevel="2" x14ac:dyDescent="0.25">
      <c r="B9330" s="704" t="s">
        <v>688</v>
      </c>
      <c r="C9330" s="704" t="s">
        <v>795</v>
      </c>
      <c r="D9330" s="704" t="s">
        <v>728</v>
      </c>
      <c r="E9330" s="704" t="s">
        <v>448</v>
      </c>
      <c r="F9330" s="706">
        <v>0.68509993718676898</v>
      </c>
      <c r="G9330" s="705">
        <v>535.19271554667137</v>
      </c>
    </row>
    <row r="9331" spans="2:7" ht="11.25" hidden="1" customHeight="1" outlineLevel="2" x14ac:dyDescent="0.25">
      <c r="B9331" s="704" t="s">
        <v>689</v>
      </c>
      <c r="C9331" s="704" t="s">
        <v>795</v>
      </c>
      <c r="D9331" s="704" t="s">
        <v>728</v>
      </c>
      <c r="E9331" s="704" t="s">
        <v>448</v>
      </c>
      <c r="F9331" s="706">
        <v>6.6791379319733876E-2</v>
      </c>
      <c r="G9331" s="705">
        <v>52.094603800775246</v>
      </c>
    </row>
    <row r="9332" spans="2:7" ht="11.25" hidden="1" customHeight="1" outlineLevel="2" x14ac:dyDescent="0.25">
      <c r="B9332" s="704" t="s">
        <v>690</v>
      </c>
      <c r="C9332" s="704" t="s">
        <v>795</v>
      </c>
      <c r="D9332" s="704" t="s">
        <v>728</v>
      </c>
      <c r="E9332" s="704" t="s">
        <v>448</v>
      </c>
      <c r="F9332" s="706">
        <v>2.0883268067926104</v>
      </c>
      <c r="G9332" s="705">
        <v>1636.3486047262375</v>
      </c>
    </row>
    <row r="9333" spans="2:7" ht="11.25" hidden="1" customHeight="1" outlineLevel="2" x14ac:dyDescent="0.25">
      <c r="B9333" s="704" t="s">
        <v>691</v>
      </c>
      <c r="C9333" s="704" t="s">
        <v>795</v>
      </c>
      <c r="D9333" s="704" t="s">
        <v>728</v>
      </c>
      <c r="E9333" s="704" t="s">
        <v>448</v>
      </c>
      <c r="F9333" s="706">
        <v>1.0203209726209621</v>
      </c>
      <c r="G9333" s="705">
        <v>799.49231157691975</v>
      </c>
    </row>
    <row r="9334" spans="2:7" ht="11.25" hidden="1" customHeight="1" outlineLevel="2" x14ac:dyDescent="0.25">
      <c r="B9334" s="704" t="s">
        <v>692</v>
      </c>
      <c r="C9334" s="704" t="s">
        <v>795</v>
      </c>
      <c r="D9334" s="704" t="s">
        <v>728</v>
      </c>
      <c r="E9334" s="704" t="s">
        <v>448</v>
      </c>
      <c r="F9334" s="706">
        <v>6.6821869605947298E-2</v>
      </c>
      <c r="G9334" s="705">
        <v>52.200511820278557</v>
      </c>
    </row>
    <row r="9335" spans="2:7" ht="11.25" hidden="1" customHeight="1" outlineLevel="2" x14ac:dyDescent="0.25">
      <c r="B9335" s="704" t="s">
        <v>693</v>
      </c>
      <c r="C9335" s="704" t="s">
        <v>795</v>
      </c>
      <c r="D9335" s="704" t="s">
        <v>728</v>
      </c>
      <c r="E9335" s="704" t="s">
        <v>448</v>
      </c>
      <c r="F9335" s="706">
        <v>5.1070636124202276E-2</v>
      </c>
      <c r="G9335" s="705">
        <v>40.111993416865026</v>
      </c>
    </row>
    <row r="9336" spans="2:7" ht="11.25" hidden="1" customHeight="1" outlineLevel="2" x14ac:dyDescent="0.25">
      <c r="B9336" s="704" t="s">
        <v>694</v>
      </c>
      <c r="C9336" s="704" t="s">
        <v>795</v>
      </c>
      <c r="D9336" s="704" t="s">
        <v>728</v>
      </c>
      <c r="E9336" s="704" t="s">
        <v>448</v>
      </c>
      <c r="F9336" s="705">
        <v>0.11263522195926629</v>
      </c>
      <c r="G9336" s="705">
        <v>88.466132832786045</v>
      </c>
    </row>
    <row r="9337" spans="2:7" ht="11.25" hidden="1" customHeight="1" outlineLevel="2" x14ac:dyDescent="0.25">
      <c r="B9337" s="704" t="s">
        <v>695</v>
      </c>
      <c r="C9337" s="704" t="s">
        <v>795</v>
      </c>
      <c r="D9337" s="704" t="s">
        <v>728</v>
      </c>
      <c r="E9337" s="704" t="s">
        <v>448</v>
      </c>
      <c r="F9337" s="705">
        <v>0.11053646429152569</v>
      </c>
      <c r="G9337" s="705">
        <v>86.817712064334856</v>
      </c>
    </row>
    <row r="9338" spans="2:7" ht="11.25" hidden="1" customHeight="1" outlineLevel="2" x14ac:dyDescent="0.25">
      <c r="B9338" s="704" t="s">
        <v>696</v>
      </c>
      <c r="C9338" s="704" t="s">
        <v>795</v>
      </c>
      <c r="D9338" s="704" t="s">
        <v>728</v>
      </c>
      <c r="E9338" s="704" t="s">
        <v>448</v>
      </c>
      <c r="F9338" s="706">
        <v>0.15917885665927953</v>
      </c>
      <c r="G9338" s="705">
        <v>124.1822842736166</v>
      </c>
    </row>
    <row r="9339" spans="2:7" ht="11.25" hidden="1" customHeight="1" outlineLevel="2" x14ac:dyDescent="0.25">
      <c r="B9339" s="704" t="s">
        <v>697</v>
      </c>
      <c r="C9339" s="704" t="s">
        <v>795</v>
      </c>
      <c r="D9339" s="704" t="s">
        <v>728</v>
      </c>
      <c r="E9339" s="704" t="s">
        <v>448</v>
      </c>
      <c r="F9339" s="705">
        <v>7.135896842742355E-2</v>
      </c>
      <c r="G9339" s="705">
        <v>56.04687553950221</v>
      </c>
    </row>
    <row r="9340" spans="2:7" ht="11.25" hidden="1" customHeight="1" outlineLevel="2" x14ac:dyDescent="0.25">
      <c r="B9340" s="704" t="s">
        <v>698</v>
      </c>
      <c r="C9340" s="704" t="s">
        <v>795</v>
      </c>
      <c r="D9340" s="704" t="s">
        <v>728</v>
      </c>
      <c r="E9340" s="704" t="s">
        <v>448</v>
      </c>
      <c r="F9340" s="705">
        <v>0.11263522195858032</v>
      </c>
      <c r="G9340" s="705">
        <v>88.466132829560266</v>
      </c>
    </row>
    <row r="9341" spans="2:7" ht="11.25" hidden="1" customHeight="1" outlineLevel="2" x14ac:dyDescent="0.25">
      <c r="B9341" s="704" t="s">
        <v>699</v>
      </c>
      <c r="C9341" s="704" t="s">
        <v>795</v>
      </c>
      <c r="D9341" s="704" t="s">
        <v>728</v>
      </c>
      <c r="E9341" s="704" t="s">
        <v>448</v>
      </c>
      <c r="F9341" s="705">
        <v>0.12731322867892916</v>
      </c>
      <c r="G9341" s="705">
        <v>99.455725420276153</v>
      </c>
    </row>
    <row r="9342" spans="2:7" ht="11.25" hidden="1" customHeight="1" outlineLevel="2" x14ac:dyDescent="0.25">
      <c r="B9342" s="704" t="s">
        <v>673</v>
      </c>
      <c r="C9342" s="704" t="s">
        <v>845</v>
      </c>
      <c r="D9342" s="704" t="s">
        <v>728</v>
      </c>
      <c r="E9342" s="704" t="s">
        <v>824</v>
      </c>
      <c r="F9342" s="705">
        <v>8.6526136381401774E-4</v>
      </c>
      <c r="G9342" s="705">
        <v>7.7184874589368766</v>
      </c>
    </row>
    <row r="9343" spans="2:7" ht="11.25" hidden="1" customHeight="1" outlineLevel="2" x14ac:dyDescent="0.25">
      <c r="B9343" s="704" t="s">
        <v>677</v>
      </c>
      <c r="C9343" s="704" t="s">
        <v>845</v>
      </c>
      <c r="D9343" s="704" t="s">
        <v>728</v>
      </c>
      <c r="E9343" s="704" t="s">
        <v>824</v>
      </c>
      <c r="F9343" s="705">
        <v>4.1463315534896593E-2</v>
      </c>
      <c r="G9343" s="705">
        <v>369.87012422605295</v>
      </c>
    </row>
    <row r="9344" spans="2:7" ht="11.25" hidden="1" customHeight="1" outlineLevel="2" x14ac:dyDescent="0.25">
      <c r="B9344" s="704" t="s">
        <v>678</v>
      </c>
      <c r="C9344" s="704" t="s">
        <v>845</v>
      </c>
      <c r="D9344" s="704" t="s">
        <v>728</v>
      </c>
      <c r="E9344" s="704" t="s">
        <v>824</v>
      </c>
      <c r="F9344" s="705">
        <v>4.9839041146873563E-2</v>
      </c>
      <c r="G9344" s="705">
        <v>444.58523967530004</v>
      </c>
    </row>
    <row r="9345" spans="2:7" ht="11.25" hidden="1" customHeight="1" outlineLevel="2" x14ac:dyDescent="0.25">
      <c r="B9345" s="704" t="s">
        <v>679</v>
      </c>
      <c r="C9345" s="704" t="s">
        <v>845</v>
      </c>
      <c r="D9345" s="704" t="s">
        <v>728</v>
      </c>
      <c r="E9345" s="704" t="s">
        <v>824</v>
      </c>
      <c r="F9345" s="705">
        <v>2.9764980927591265E-3</v>
      </c>
      <c r="G9345" s="705">
        <v>26.551612620636263</v>
      </c>
    </row>
    <row r="9346" spans="2:7" ht="11.25" hidden="1" customHeight="1" outlineLevel="2" x14ac:dyDescent="0.25">
      <c r="B9346" s="704" t="s">
        <v>680</v>
      </c>
      <c r="C9346" s="704" t="s">
        <v>845</v>
      </c>
      <c r="D9346" s="704" t="s">
        <v>728</v>
      </c>
      <c r="E9346" s="704" t="s">
        <v>824</v>
      </c>
      <c r="F9346" s="705">
        <v>9.3448200465380722E-4</v>
      </c>
      <c r="G9346" s="705">
        <v>8.3359664074292024</v>
      </c>
    </row>
    <row r="9347" spans="2:7" ht="11.25" hidden="1" customHeight="1" outlineLevel="2" x14ac:dyDescent="0.25">
      <c r="B9347" s="704" t="s">
        <v>681</v>
      </c>
      <c r="C9347" s="704" t="s">
        <v>845</v>
      </c>
      <c r="D9347" s="704" t="s">
        <v>728</v>
      </c>
      <c r="E9347" s="704" t="s">
        <v>824</v>
      </c>
      <c r="F9347" s="705">
        <v>1.5713145969454233E-2</v>
      </c>
      <c r="G9347" s="705">
        <v>140.16785539119991</v>
      </c>
    </row>
    <row r="9348" spans="2:7" ht="11.25" hidden="1" customHeight="1" outlineLevel="2" x14ac:dyDescent="0.25">
      <c r="B9348" s="704" t="s">
        <v>682</v>
      </c>
      <c r="C9348" s="704" t="s">
        <v>845</v>
      </c>
      <c r="D9348" s="704" t="s">
        <v>728</v>
      </c>
      <c r="E9348" s="704" t="s">
        <v>824</v>
      </c>
      <c r="F9348" s="705">
        <v>2.0420170342443163E-3</v>
      </c>
      <c r="G9348" s="705">
        <v>18.215633151079398</v>
      </c>
    </row>
    <row r="9349" spans="2:7" ht="11.25" hidden="1" customHeight="1" outlineLevel="2" x14ac:dyDescent="0.25">
      <c r="B9349" s="704" t="s">
        <v>683</v>
      </c>
      <c r="C9349" s="704" t="s">
        <v>845</v>
      </c>
      <c r="D9349" s="704" t="s">
        <v>728</v>
      </c>
      <c r="E9349" s="704" t="s">
        <v>824</v>
      </c>
      <c r="F9349" s="705">
        <v>4.2916945898793203E-3</v>
      </c>
      <c r="G9349" s="705">
        <v>38.28371170919128</v>
      </c>
    </row>
    <row r="9350" spans="2:7" ht="11.25" hidden="1" customHeight="1" outlineLevel="2" x14ac:dyDescent="0.25">
      <c r="B9350" s="704" t="s">
        <v>684</v>
      </c>
      <c r="C9350" s="704" t="s">
        <v>845</v>
      </c>
      <c r="D9350" s="704" t="s">
        <v>728</v>
      </c>
      <c r="E9350" s="704" t="s">
        <v>824</v>
      </c>
      <c r="F9350" s="705">
        <v>5.5376705961839787E-3</v>
      </c>
      <c r="G9350" s="705">
        <v>49.398333068900506</v>
      </c>
    </row>
    <row r="9351" spans="2:7" ht="11.25" hidden="1" customHeight="1" outlineLevel="2" x14ac:dyDescent="0.25">
      <c r="B9351" s="704" t="s">
        <v>685</v>
      </c>
      <c r="C9351" s="704" t="s">
        <v>845</v>
      </c>
      <c r="D9351" s="704" t="s">
        <v>728</v>
      </c>
      <c r="E9351" s="704" t="s">
        <v>824</v>
      </c>
      <c r="F9351" s="705">
        <v>2.6096272259928648E-2</v>
      </c>
      <c r="G9351" s="705">
        <v>232.78971354233801</v>
      </c>
    </row>
    <row r="9352" spans="2:7" ht="11.25" hidden="1" customHeight="1" outlineLevel="2" x14ac:dyDescent="0.25">
      <c r="B9352" s="704" t="s">
        <v>686</v>
      </c>
      <c r="C9352" s="704" t="s">
        <v>845</v>
      </c>
      <c r="D9352" s="704" t="s">
        <v>728</v>
      </c>
      <c r="E9352" s="704" t="s">
        <v>824</v>
      </c>
      <c r="F9352" s="705">
        <v>5.5722816769299107E-3</v>
      </c>
      <c r="G9352" s="705">
        <v>49.707055612193848</v>
      </c>
    </row>
    <row r="9353" spans="2:7" ht="11.25" hidden="1" customHeight="1" outlineLevel="2" x14ac:dyDescent="0.25">
      <c r="B9353" s="704" t="s">
        <v>687</v>
      </c>
      <c r="C9353" s="704" t="s">
        <v>845</v>
      </c>
      <c r="D9353" s="704" t="s">
        <v>728</v>
      </c>
      <c r="E9353" s="704" t="s">
        <v>824</v>
      </c>
      <c r="F9353" s="705">
        <v>1.1456055584795809E-2</v>
      </c>
      <c r="G9353" s="705">
        <v>102.19286779150525</v>
      </c>
    </row>
    <row r="9354" spans="2:7" ht="11.25" hidden="1" customHeight="1" outlineLevel="2" x14ac:dyDescent="0.25">
      <c r="B9354" s="704" t="s">
        <v>688</v>
      </c>
      <c r="C9354" s="704" t="s">
        <v>845</v>
      </c>
      <c r="D9354" s="704" t="s">
        <v>728</v>
      </c>
      <c r="E9354" s="704" t="s">
        <v>824</v>
      </c>
      <c r="F9354" s="705">
        <v>3.371058099467561E-2</v>
      </c>
      <c r="G9354" s="705">
        <v>300.71238130741926</v>
      </c>
    </row>
    <row r="9355" spans="2:7" ht="11.25" hidden="1" customHeight="1" outlineLevel="2" x14ac:dyDescent="0.25">
      <c r="B9355" s="704" t="s">
        <v>689</v>
      </c>
      <c r="C9355" s="704" t="s">
        <v>845</v>
      </c>
      <c r="D9355" s="704" t="s">
        <v>728</v>
      </c>
      <c r="E9355" s="704" t="s">
        <v>824</v>
      </c>
      <c r="F9355" s="705">
        <v>3.2813211253798135E-3</v>
      </c>
      <c r="G9355" s="705">
        <v>29.270757806807662</v>
      </c>
    </row>
    <row r="9356" spans="2:7" ht="11.25" hidden="1" customHeight="1" outlineLevel="2" x14ac:dyDescent="0.25">
      <c r="B9356" s="704" t="s">
        <v>690</v>
      </c>
      <c r="C9356" s="704" t="s">
        <v>845</v>
      </c>
      <c r="D9356" s="704" t="s">
        <v>728</v>
      </c>
      <c r="E9356" s="704" t="s">
        <v>824</v>
      </c>
      <c r="F9356" s="705">
        <v>0.1030699066162611</v>
      </c>
      <c r="G9356" s="705">
        <v>919.42611444259853</v>
      </c>
    </row>
    <row r="9357" spans="2:7" ht="11.25" hidden="1" customHeight="1" outlineLevel="2" x14ac:dyDescent="0.25">
      <c r="B9357" s="704" t="s">
        <v>691</v>
      </c>
      <c r="C9357" s="704" t="s">
        <v>845</v>
      </c>
      <c r="D9357" s="704" t="s">
        <v>728</v>
      </c>
      <c r="E9357" s="704" t="s">
        <v>824</v>
      </c>
      <c r="F9357" s="705">
        <v>5.0358208299942739E-2</v>
      </c>
      <c r="G9357" s="705">
        <v>449.21642301512151</v>
      </c>
    </row>
    <row r="9358" spans="2:7" ht="11.25" hidden="1" customHeight="1" outlineLevel="2" x14ac:dyDescent="0.25">
      <c r="B9358" s="704" t="s">
        <v>692</v>
      </c>
      <c r="C9358" s="704" t="s">
        <v>845</v>
      </c>
      <c r="D9358" s="704" t="s">
        <v>728</v>
      </c>
      <c r="E9358" s="704" t="s">
        <v>824</v>
      </c>
      <c r="F9358" s="705">
        <v>3.287993114765281E-3</v>
      </c>
      <c r="G9358" s="705">
        <v>29.330259726344813</v>
      </c>
    </row>
    <row r="9359" spans="2:7" ht="11.25" hidden="1" customHeight="1" outlineLevel="2" x14ac:dyDescent="0.25">
      <c r="B9359" s="704" t="s">
        <v>693</v>
      </c>
      <c r="C9359" s="704" t="s">
        <v>845</v>
      </c>
      <c r="D9359" s="704" t="s">
        <v>728</v>
      </c>
      <c r="E9359" s="704" t="s">
        <v>824</v>
      </c>
      <c r="F9359" s="706">
        <v>2.5265622469998025E-3</v>
      </c>
      <c r="G9359" s="705">
        <v>22.537989176750798</v>
      </c>
    </row>
    <row r="9360" spans="2:7" ht="11.25" hidden="1" customHeight="1" outlineLevel="2" x14ac:dyDescent="0.25">
      <c r="B9360" s="704" t="s">
        <v>694</v>
      </c>
      <c r="C9360" s="704" t="s">
        <v>845</v>
      </c>
      <c r="D9360" s="704" t="s">
        <v>728</v>
      </c>
      <c r="E9360" s="704" t="s">
        <v>824</v>
      </c>
      <c r="F9360" s="706">
        <v>5.5722816769299107E-3</v>
      </c>
      <c r="G9360" s="705">
        <v>49.707055612193848</v>
      </c>
    </row>
    <row r="9361" spans="2:7" ht="11.25" hidden="1" customHeight="1" outlineLevel="2" x14ac:dyDescent="0.25">
      <c r="B9361" s="704" t="s">
        <v>695</v>
      </c>
      <c r="C9361" s="704" t="s">
        <v>845</v>
      </c>
      <c r="D9361" s="704" t="s">
        <v>728</v>
      </c>
      <c r="E9361" s="704" t="s">
        <v>824</v>
      </c>
      <c r="F9361" s="706">
        <v>5.4684516624579748E-3</v>
      </c>
      <c r="G9361" s="705">
        <v>48.780843279390872</v>
      </c>
    </row>
    <row r="9362" spans="2:7" ht="11.25" hidden="1" customHeight="1" outlineLevel="2" x14ac:dyDescent="0.25">
      <c r="B9362" s="704" t="s">
        <v>696</v>
      </c>
      <c r="C9362" s="704" t="s">
        <v>845</v>
      </c>
      <c r="D9362" s="704" t="s">
        <v>728</v>
      </c>
      <c r="E9362" s="704" t="s">
        <v>824</v>
      </c>
      <c r="F9362" s="706">
        <v>7.8219610733166467E-3</v>
      </c>
      <c r="G9362" s="705">
        <v>69.775162967066436</v>
      </c>
    </row>
    <row r="9363" spans="2:7" ht="11.25" hidden="1" customHeight="1" outlineLevel="2" x14ac:dyDescent="0.25">
      <c r="B9363" s="704" t="s">
        <v>697</v>
      </c>
      <c r="C9363" s="704" t="s">
        <v>845</v>
      </c>
      <c r="D9363" s="704" t="s">
        <v>728</v>
      </c>
      <c r="E9363" s="704" t="s">
        <v>824</v>
      </c>
      <c r="F9363" s="706">
        <v>3.5302662366687829E-3</v>
      </c>
      <c r="G9363" s="705">
        <v>31.491437030172097</v>
      </c>
    </row>
    <row r="9364" spans="2:7" ht="11.25" hidden="1" customHeight="1" outlineLevel="2" x14ac:dyDescent="0.25">
      <c r="B9364" s="704" t="s">
        <v>698</v>
      </c>
      <c r="C9364" s="704" t="s">
        <v>845</v>
      </c>
      <c r="D9364" s="704" t="s">
        <v>728</v>
      </c>
      <c r="E9364" s="704" t="s">
        <v>824</v>
      </c>
      <c r="F9364" s="706">
        <v>5.5722816767997405E-3</v>
      </c>
      <c r="G9364" s="705">
        <v>49.707055611986291</v>
      </c>
    </row>
    <row r="9365" spans="2:7" ht="11.25" hidden="1" customHeight="1" outlineLevel="2" x14ac:dyDescent="0.25">
      <c r="B9365" s="704" t="s">
        <v>699</v>
      </c>
      <c r="C9365" s="704" t="s">
        <v>845</v>
      </c>
      <c r="D9365" s="704" t="s">
        <v>728</v>
      </c>
      <c r="E9365" s="704" t="s">
        <v>824</v>
      </c>
      <c r="F9365" s="705">
        <v>6.2644926523129814E-3</v>
      </c>
      <c r="G9365" s="705">
        <v>55.881843944831445</v>
      </c>
    </row>
    <row r="9366" spans="2:7" ht="11.25" hidden="1" customHeight="1" outlineLevel="2" x14ac:dyDescent="0.25">
      <c r="B9366" s="704" t="s">
        <v>673</v>
      </c>
      <c r="C9366" s="704" t="s">
        <v>894</v>
      </c>
      <c r="D9366" s="704" t="s">
        <v>728</v>
      </c>
      <c r="E9366" s="704" t="s">
        <v>861</v>
      </c>
      <c r="F9366" s="708"/>
      <c r="G9366" s="705">
        <v>1.1998162028731316E-2</v>
      </c>
    </row>
    <row r="9367" spans="2:7" ht="11.25" hidden="1" customHeight="1" outlineLevel="2" x14ac:dyDescent="0.25">
      <c r="B9367" s="704" t="s">
        <v>677</v>
      </c>
      <c r="C9367" s="704" t="s">
        <v>894</v>
      </c>
      <c r="D9367" s="704" t="s">
        <v>728</v>
      </c>
      <c r="E9367" s="704" t="s">
        <v>861</v>
      </c>
      <c r="F9367" s="705">
        <v>2.345460143416961E-5</v>
      </c>
      <c r="G9367" s="705">
        <v>0.57495193200366446</v>
      </c>
    </row>
    <row r="9368" spans="2:7" ht="11.25" hidden="1" customHeight="1" outlineLevel="2" x14ac:dyDescent="0.25">
      <c r="B9368" s="704" t="s">
        <v>678</v>
      </c>
      <c r="C9368" s="704" t="s">
        <v>894</v>
      </c>
      <c r="D9368" s="704" t="s">
        <v>728</v>
      </c>
      <c r="E9368" s="704" t="s">
        <v>861</v>
      </c>
      <c r="F9368" s="708"/>
      <c r="G9368" s="705">
        <v>0.6910940108453576</v>
      </c>
    </row>
    <row r="9369" spans="2:7" ht="11.25" hidden="1" customHeight="1" outlineLevel="2" x14ac:dyDescent="0.25">
      <c r="B9369" s="704" t="s">
        <v>679</v>
      </c>
      <c r="C9369" s="704" t="s">
        <v>894</v>
      </c>
      <c r="D9369" s="704" t="s">
        <v>728</v>
      </c>
      <c r="E9369" s="704" t="s">
        <v>861</v>
      </c>
      <c r="F9369" s="708"/>
      <c r="G9369" s="705">
        <v>4.1273656989865237E-2</v>
      </c>
    </row>
    <row r="9370" spans="2:7" ht="11.25" hidden="1" customHeight="1" outlineLevel="2" x14ac:dyDescent="0.25">
      <c r="B9370" s="704" t="s">
        <v>680</v>
      </c>
      <c r="C9370" s="704" t="s">
        <v>894</v>
      </c>
      <c r="D9370" s="704" t="s">
        <v>728</v>
      </c>
      <c r="E9370" s="704" t="s">
        <v>861</v>
      </c>
      <c r="F9370" s="708"/>
      <c r="G9370" s="705">
        <v>1.2958012484047661E-2</v>
      </c>
    </row>
    <row r="9371" spans="2:7" ht="11.25" hidden="1" customHeight="1" outlineLevel="2" x14ac:dyDescent="0.25">
      <c r="B9371" s="704" t="s">
        <v>681</v>
      </c>
      <c r="C9371" s="704" t="s">
        <v>894</v>
      </c>
      <c r="D9371" s="704" t="s">
        <v>728</v>
      </c>
      <c r="E9371" s="704" t="s">
        <v>861</v>
      </c>
      <c r="F9371" s="708"/>
      <c r="G9371" s="705">
        <v>0.21788658108718578</v>
      </c>
    </row>
    <row r="9372" spans="2:7" ht="11.25" hidden="1" customHeight="1" outlineLevel="2" x14ac:dyDescent="0.25">
      <c r="B9372" s="704" t="s">
        <v>682</v>
      </c>
      <c r="C9372" s="704" t="s">
        <v>894</v>
      </c>
      <c r="D9372" s="704" t="s">
        <v>728</v>
      </c>
      <c r="E9372" s="704" t="s">
        <v>861</v>
      </c>
      <c r="F9372" s="708"/>
      <c r="G9372" s="705">
        <v>2.8315657555904029E-2</v>
      </c>
    </row>
    <row r="9373" spans="2:7" ht="11.25" hidden="1" customHeight="1" outlineLevel="2" x14ac:dyDescent="0.25">
      <c r="B9373" s="704" t="s">
        <v>683</v>
      </c>
      <c r="C9373" s="704" t="s">
        <v>894</v>
      </c>
      <c r="D9373" s="704" t="s">
        <v>728</v>
      </c>
      <c r="E9373" s="704" t="s">
        <v>861</v>
      </c>
      <c r="F9373" s="708"/>
      <c r="G9373" s="705">
        <v>5.951085950432513E-2</v>
      </c>
    </row>
    <row r="9374" spans="2:7" ht="11.25" hidden="1" customHeight="1" outlineLevel="2" x14ac:dyDescent="0.25">
      <c r="B9374" s="704" t="s">
        <v>684</v>
      </c>
      <c r="C9374" s="704" t="s">
        <v>894</v>
      </c>
      <c r="D9374" s="704" t="s">
        <v>728</v>
      </c>
      <c r="E9374" s="704" t="s">
        <v>861</v>
      </c>
      <c r="F9374" s="708"/>
      <c r="G9374" s="705">
        <v>7.6788212773714171E-2</v>
      </c>
    </row>
    <row r="9375" spans="2:7" ht="11.25" hidden="1" customHeight="1" outlineLevel="2" x14ac:dyDescent="0.25">
      <c r="B9375" s="704" t="s">
        <v>685</v>
      </c>
      <c r="C9375" s="704" t="s">
        <v>894</v>
      </c>
      <c r="D9375" s="704" t="s">
        <v>728</v>
      </c>
      <c r="E9375" s="704" t="s">
        <v>861</v>
      </c>
      <c r="F9375" s="708"/>
      <c r="G9375" s="705">
        <v>0.36186459385038555</v>
      </c>
    </row>
    <row r="9376" spans="2:7" ht="11.25" hidden="1" customHeight="1" outlineLevel="2" x14ac:dyDescent="0.25">
      <c r="B9376" s="704" t="s">
        <v>686</v>
      </c>
      <c r="C9376" s="704" t="s">
        <v>894</v>
      </c>
      <c r="D9376" s="704" t="s">
        <v>728</v>
      </c>
      <c r="E9376" s="704" t="s">
        <v>861</v>
      </c>
      <c r="F9376" s="708"/>
      <c r="G9376" s="705">
        <v>7.7268149244829012E-2</v>
      </c>
    </row>
    <row r="9377" spans="2:7" ht="11.25" hidden="1" customHeight="1" outlineLevel="2" x14ac:dyDescent="0.25">
      <c r="B9377" s="704" t="s">
        <v>687</v>
      </c>
      <c r="C9377" s="704" t="s">
        <v>894</v>
      </c>
      <c r="D9377" s="704" t="s">
        <v>728</v>
      </c>
      <c r="E9377" s="704" t="s">
        <v>861</v>
      </c>
      <c r="F9377" s="708"/>
      <c r="G9377" s="705">
        <v>0.15885563780174566</v>
      </c>
    </row>
    <row r="9378" spans="2:7" ht="11.25" hidden="1" customHeight="1" outlineLevel="2" x14ac:dyDescent="0.25">
      <c r="B9378" s="704" t="s">
        <v>688</v>
      </c>
      <c r="C9378" s="704" t="s">
        <v>894</v>
      </c>
      <c r="D9378" s="704" t="s">
        <v>728</v>
      </c>
      <c r="E9378" s="704" t="s">
        <v>861</v>
      </c>
      <c r="F9378" s="708"/>
      <c r="G9378" s="705">
        <v>0.46744820860197744</v>
      </c>
    </row>
    <row r="9379" spans="2:7" ht="11.25" hidden="1" customHeight="1" outlineLevel="2" x14ac:dyDescent="0.25">
      <c r="B9379" s="704" t="s">
        <v>689</v>
      </c>
      <c r="C9379" s="704" t="s">
        <v>894</v>
      </c>
      <c r="D9379" s="704" t="s">
        <v>728</v>
      </c>
      <c r="E9379" s="704" t="s">
        <v>861</v>
      </c>
      <c r="F9379" s="708"/>
      <c r="G9379" s="705">
        <v>4.5500497691978871E-2</v>
      </c>
    </row>
    <row r="9380" spans="2:7" ht="11.25" hidden="1" customHeight="1" outlineLevel="2" x14ac:dyDescent="0.25">
      <c r="B9380" s="704" t="s">
        <v>690</v>
      </c>
      <c r="C9380" s="704" t="s">
        <v>894</v>
      </c>
      <c r="D9380" s="704" t="s">
        <v>728</v>
      </c>
      <c r="E9380" s="704" t="s">
        <v>861</v>
      </c>
      <c r="F9380" s="708"/>
      <c r="G9380" s="705">
        <v>1.4292205341455246</v>
      </c>
    </row>
    <row r="9381" spans="2:7" ht="11.25" hidden="1" customHeight="1" outlineLevel="2" x14ac:dyDescent="0.25">
      <c r="B9381" s="704" t="s">
        <v>691</v>
      </c>
      <c r="C9381" s="704" t="s">
        <v>894</v>
      </c>
      <c r="D9381" s="704" t="s">
        <v>728</v>
      </c>
      <c r="E9381" s="704" t="s">
        <v>861</v>
      </c>
      <c r="F9381" s="708"/>
      <c r="G9381" s="705">
        <v>0.69829299392000821</v>
      </c>
    </row>
    <row r="9382" spans="2:7" ht="11.25" hidden="1" customHeight="1" outlineLevel="2" x14ac:dyDescent="0.25">
      <c r="B9382" s="704" t="s">
        <v>692</v>
      </c>
      <c r="C9382" s="704" t="s">
        <v>894</v>
      </c>
      <c r="D9382" s="704" t="s">
        <v>728</v>
      </c>
      <c r="E9382" s="704" t="s">
        <v>861</v>
      </c>
      <c r="F9382" s="708"/>
      <c r="G9382" s="705">
        <v>4.5593004670123588E-2</v>
      </c>
    </row>
    <row r="9383" spans="2:7" ht="11.25" hidden="1" customHeight="1" outlineLevel="2" x14ac:dyDescent="0.25">
      <c r="B9383" s="704" t="s">
        <v>693</v>
      </c>
      <c r="C9383" s="704" t="s">
        <v>894</v>
      </c>
      <c r="D9383" s="704" t="s">
        <v>728</v>
      </c>
      <c r="E9383" s="704" t="s">
        <v>861</v>
      </c>
      <c r="F9383" s="708"/>
      <c r="G9383" s="705">
        <v>3.5034629610201914E-2</v>
      </c>
    </row>
    <row r="9384" spans="2:7" ht="11.25" hidden="1" customHeight="1" outlineLevel="2" x14ac:dyDescent="0.25">
      <c r="B9384" s="704" t="s">
        <v>694</v>
      </c>
      <c r="C9384" s="704" t="s">
        <v>894</v>
      </c>
      <c r="D9384" s="704" t="s">
        <v>728</v>
      </c>
      <c r="E9384" s="704" t="s">
        <v>861</v>
      </c>
      <c r="F9384" s="708"/>
      <c r="G9384" s="705">
        <v>7.7268149244829012E-2</v>
      </c>
    </row>
    <row r="9385" spans="2:7" ht="11.25" hidden="1" customHeight="1" outlineLevel="2" x14ac:dyDescent="0.25">
      <c r="B9385" s="704" t="s">
        <v>695</v>
      </c>
      <c r="C9385" s="704" t="s">
        <v>894</v>
      </c>
      <c r="D9385" s="704" t="s">
        <v>728</v>
      </c>
      <c r="E9385" s="704" t="s">
        <v>861</v>
      </c>
      <c r="F9385" s="708"/>
      <c r="G9385" s="705">
        <v>7.5828384851565955E-2</v>
      </c>
    </row>
    <row r="9386" spans="2:7" ht="11.25" hidden="1" customHeight="1" outlineLevel="2" x14ac:dyDescent="0.25">
      <c r="B9386" s="704" t="s">
        <v>696</v>
      </c>
      <c r="C9386" s="704" t="s">
        <v>894</v>
      </c>
      <c r="D9386" s="704" t="s">
        <v>728</v>
      </c>
      <c r="E9386" s="704" t="s">
        <v>861</v>
      </c>
      <c r="F9386" s="708"/>
      <c r="G9386" s="705">
        <v>0.10846338127553809</v>
      </c>
    </row>
    <row r="9387" spans="2:7" ht="11.25" hidden="1" customHeight="1" outlineLevel="2" x14ac:dyDescent="0.25">
      <c r="B9387" s="704" t="s">
        <v>697</v>
      </c>
      <c r="C9387" s="704" t="s">
        <v>894</v>
      </c>
      <c r="D9387" s="704" t="s">
        <v>728</v>
      </c>
      <c r="E9387" s="704" t="s">
        <v>861</v>
      </c>
      <c r="F9387" s="708"/>
      <c r="G9387" s="705">
        <v>4.895248033170721E-2</v>
      </c>
    </row>
    <row r="9388" spans="2:7" ht="11.25" hidden="1" customHeight="1" outlineLevel="2" x14ac:dyDescent="0.25">
      <c r="B9388" s="704" t="s">
        <v>698</v>
      </c>
      <c r="C9388" s="704" t="s">
        <v>894</v>
      </c>
      <c r="D9388" s="704" t="s">
        <v>728</v>
      </c>
      <c r="E9388" s="704" t="s">
        <v>861</v>
      </c>
      <c r="F9388" s="708"/>
      <c r="G9388" s="705">
        <v>7.7268149243838666E-2</v>
      </c>
    </row>
    <row r="9389" spans="2:7" ht="11.25" hidden="1" customHeight="1" outlineLevel="2" x14ac:dyDescent="0.25">
      <c r="B9389" s="704" t="s">
        <v>699</v>
      </c>
      <c r="C9389" s="704" t="s">
        <v>894</v>
      </c>
      <c r="D9389" s="704" t="s">
        <v>728</v>
      </c>
      <c r="E9389" s="704" t="s">
        <v>861</v>
      </c>
      <c r="F9389" s="708"/>
      <c r="G9389" s="705">
        <v>8.6866669800039792E-2</v>
      </c>
    </row>
    <row r="9390" spans="2:7" ht="11.25" hidden="1" customHeight="1" outlineLevel="2" x14ac:dyDescent="0.25">
      <c r="B9390" s="704" t="s">
        <v>673</v>
      </c>
      <c r="C9390" s="704" t="s">
        <v>895</v>
      </c>
      <c r="D9390" s="704" t="s">
        <v>728</v>
      </c>
      <c r="E9390" s="704" t="s">
        <v>861</v>
      </c>
      <c r="F9390" s="708"/>
      <c r="G9390" s="705">
        <v>3.2064114795481493</v>
      </c>
    </row>
    <row r="9391" spans="2:7" ht="11.25" hidden="1" customHeight="1" outlineLevel="2" x14ac:dyDescent="0.25">
      <c r="B9391" s="704" t="s">
        <v>677</v>
      </c>
      <c r="C9391" s="704" t="s">
        <v>895</v>
      </c>
      <c r="D9391" s="704" t="s">
        <v>728</v>
      </c>
      <c r="E9391" s="704" t="s">
        <v>861</v>
      </c>
      <c r="F9391" s="705">
        <v>3.4254043259993143E-3</v>
      </c>
      <c r="G9391" s="705">
        <v>153.65123158384466</v>
      </c>
    </row>
    <row r="9392" spans="2:7" ht="11.25" hidden="1" customHeight="1" outlineLevel="2" x14ac:dyDescent="0.25">
      <c r="B9392" s="704" t="s">
        <v>678</v>
      </c>
      <c r="C9392" s="704" t="s">
        <v>895</v>
      </c>
      <c r="D9392" s="704" t="s">
        <v>728</v>
      </c>
      <c r="E9392" s="704" t="s">
        <v>861</v>
      </c>
      <c r="F9392" s="708"/>
      <c r="G9392" s="705">
        <v>184.68934547638278</v>
      </c>
    </row>
    <row r="9393" spans="2:7" ht="11.25" hidden="1" customHeight="1" outlineLevel="2" x14ac:dyDescent="0.25">
      <c r="B9393" s="704" t="s">
        <v>679</v>
      </c>
      <c r="C9393" s="704" t="s">
        <v>895</v>
      </c>
      <c r="D9393" s="704" t="s">
        <v>728</v>
      </c>
      <c r="E9393" s="704" t="s">
        <v>861</v>
      </c>
      <c r="F9393" s="708"/>
      <c r="G9393" s="705">
        <v>11.030056844473028</v>
      </c>
    </row>
    <row r="9394" spans="2:7" ht="11.25" hidden="1" customHeight="1" outlineLevel="2" x14ac:dyDescent="0.25">
      <c r="B9394" s="704" t="s">
        <v>680</v>
      </c>
      <c r="C9394" s="704" t="s">
        <v>895</v>
      </c>
      <c r="D9394" s="704" t="s">
        <v>728</v>
      </c>
      <c r="E9394" s="704" t="s">
        <v>861</v>
      </c>
      <c r="F9394" s="708"/>
      <c r="G9394" s="705">
        <v>2.6021645822646068E-29</v>
      </c>
    </row>
    <row r="9395" spans="2:7" ht="11.25" hidden="1" customHeight="1" outlineLevel="2" x14ac:dyDescent="0.25">
      <c r="B9395" s="704" t="s">
        <v>681</v>
      </c>
      <c r="C9395" s="704" t="s">
        <v>895</v>
      </c>
      <c r="D9395" s="704" t="s">
        <v>728</v>
      </c>
      <c r="E9395" s="704" t="s">
        <v>861</v>
      </c>
      <c r="F9395" s="708"/>
      <c r="G9395" s="705">
        <v>58.228450080055396</v>
      </c>
    </row>
    <row r="9396" spans="2:7" ht="11.25" hidden="1" customHeight="1" outlineLevel="2" x14ac:dyDescent="0.25">
      <c r="B9396" s="704" t="s">
        <v>682</v>
      </c>
      <c r="C9396" s="704" t="s">
        <v>895</v>
      </c>
      <c r="D9396" s="704" t="s">
        <v>728</v>
      </c>
      <c r="E9396" s="704" t="s">
        <v>861</v>
      </c>
      <c r="F9396" s="708"/>
      <c r="G9396" s="705">
        <v>7.5671357898725056</v>
      </c>
    </row>
    <row r="9397" spans="2:7" ht="11.25" hidden="1" customHeight="1" outlineLevel="2" x14ac:dyDescent="0.25">
      <c r="B9397" s="704" t="s">
        <v>683</v>
      </c>
      <c r="C9397" s="704" t="s">
        <v>895</v>
      </c>
      <c r="D9397" s="704" t="s">
        <v>728</v>
      </c>
      <c r="E9397" s="704" t="s">
        <v>861</v>
      </c>
      <c r="F9397" s="708"/>
      <c r="G9397" s="705">
        <v>15.903800947910694</v>
      </c>
    </row>
    <row r="9398" spans="2:7" ht="11.25" hidden="1" customHeight="1" outlineLevel="2" x14ac:dyDescent="0.25">
      <c r="B9398" s="704" t="s">
        <v>684</v>
      </c>
      <c r="C9398" s="704" t="s">
        <v>895</v>
      </c>
      <c r="D9398" s="704" t="s">
        <v>728</v>
      </c>
      <c r="E9398" s="704" t="s">
        <v>861</v>
      </c>
      <c r="F9398" s="708"/>
      <c r="G9398" s="705">
        <v>2.6021645822646068E-29</v>
      </c>
    </row>
    <row r="9399" spans="2:7" ht="11.25" hidden="1" customHeight="1" outlineLevel="2" x14ac:dyDescent="0.25">
      <c r="B9399" s="704" t="s">
        <v>685</v>
      </c>
      <c r="C9399" s="704" t="s">
        <v>895</v>
      </c>
      <c r="D9399" s="704" t="s">
        <v>728</v>
      </c>
      <c r="E9399" s="704" t="s">
        <v>861</v>
      </c>
      <c r="F9399" s="708"/>
      <c r="G9399" s="705">
        <v>96.705362551070351</v>
      </c>
    </row>
    <row r="9400" spans="2:7" ht="11.25" hidden="1" customHeight="1" outlineLevel="2" x14ac:dyDescent="0.25">
      <c r="B9400" s="704" t="s">
        <v>686</v>
      </c>
      <c r="C9400" s="704" t="s">
        <v>895</v>
      </c>
      <c r="D9400" s="704" t="s">
        <v>728</v>
      </c>
      <c r="E9400" s="704" t="s">
        <v>861</v>
      </c>
      <c r="F9400" s="708"/>
      <c r="G9400" s="705">
        <v>15.647293957154277</v>
      </c>
    </row>
    <row r="9401" spans="2:7" ht="11.25" hidden="1" customHeight="1" outlineLevel="2" x14ac:dyDescent="0.25">
      <c r="B9401" s="704" t="s">
        <v>687</v>
      </c>
      <c r="C9401" s="704" t="s">
        <v>895</v>
      </c>
      <c r="D9401" s="704" t="s">
        <v>728</v>
      </c>
      <c r="E9401" s="704" t="s">
        <v>861</v>
      </c>
      <c r="F9401" s="708"/>
      <c r="G9401" s="705">
        <v>42.452909528431597</v>
      </c>
    </row>
    <row r="9402" spans="2:7" ht="11.25" hidden="1" customHeight="1" outlineLevel="2" x14ac:dyDescent="0.25">
      <c r="B9402" s="704" t="s">
        <v>688</v>
      </c>
      <c r="C9402" s="704" t="s">
        <v>895</v>
      </c>
      <c r="D9402" s="704" t="s">
        <v>728</v>
      </c>
      <c r="E9402" s="704" t="s">
        <v>861</v>
      </c>
      <c r="F9402" s="708"/>
      <c r="G9402" s="705">
        <v>124.92191856571966</v>
      </c>
    </row>
    <row r="9403" spans="2:7" ht="11.25" hidden="1" customHeight="1" outlineLevel="2" x14ac:dyDescent="0.25">
      <c r="B9403" s="704" t="s">
        <v>689</v>
      </c>
      <c r="C9403" s="704" t="s">
        <v>895</v>
      </c>
      <c r="D9403" s="704" t="s">
        <v>728</v>
      </c>
      <c r="E9403" s="704" t="s">
        <v>861</v>
      </c>
      <c r="F9403" s="708"/>
      <c r="G9403" s="705">
        <v>13.408056245664625</v>
      </c>
    </row>
    <row r="9404" spans="2:7" ht="11.25" hidden="1" customHeight="1" outlineLevel="2" x14ac:dyDescent="0.25">
      <c r="B9404" s="704" t="s">
        <v>690</v>
      </c>
      <c r="C9404" s="704" t="s">
        <v>895</v>
      </c>
      <c r="D9404" s="704" t="s">
        <v>728</v>
      </c>
      <c r="E9404" s="704" t="s">
        <v>861</v>
      </c>
      <c r="F9404" s="708"/>
      <c r="G9404" s="705">
        <v>381.94785105815777</v>
      </c>
    </row>
    <row r="9405" spans="2:7" ht="11.25" hidden="1" customHeight="1" outlineLevel="2" x14ac:dyDescent="0.25">
      <c r="B9405" s="704" t="s">
        <v>691</v>
      </c>
      <c r="C9405" s="704" t="s">
        <v>895</v>
      </c>
      <c r="D9405" s="704" t="s">
        <v>728</v>
      </c>
      <c r="E9405" s="704" t="s">
        <v>861</v>
      </c>
      <c r="F9405" s="709"/>
      <c r="G9405" s="705">
        <v>186.61316161515191</v>
      </c>
    </row>
    <row r="9406" spans="2:7" ht="11.25" hidden="1" customHeight="1" outlineLevel="2" x14ac:dyDescent="0.25">
      <c r="B9406" s="704" t="s">
        <v>692</v>
      </c>
      <c r="C9406" s="704" t="s">
        <v>895</v>
      </c>
      <c r="D9406" s="704" t="s">
        <v>728</v>
      </c>
      <c r="E9406" s="704" t="s">
        <v>861</v>
      </c>
      <c r="F9406" s="709"/>
      <c r="G9406" s="705">
        <v>2.6021645822646023E-29</v>
      </c>
    </row>
    <row r="9407" spans="2:7" ht="11.25" hidden="1" customHeight="1" outlineLevel="2" x14ac:dyDescent="0.25">
      <c r="B9407" s="704" t="s">
        <v>693</v>
      </c>
      <c r="C9407" s="704" t="s">
        <v>895</v>
      </c>
      <c r="D9407" s="704" t="s">
        <v>728</v>
      </c>
      <c r="E9407" s="704" t="s">
        <v>861</v>
      </c>
      <c r="F9407" s="709"/>
      <c r="G9407" s="705">
        <v>9.3627251683353077</v>
      </c>
    </row>
    <row r="9408" spans="2:7" ht="11.25" hidden="1" customHeight="1" outlineLevel="2" x14ac:dyDescent="0.25">
      <c r="B9408" s="704" t="s">
        <v>694</v>
      </c>
      <c r="C9408" s="704" t="s">
        <v>895</v>
      </c>
      <c r="D9408" s="704" t="s">
        <v>728</v>
      </c>
      <c r="E9408" s="704" t="s">
        <v>861</v>
      </c>
      <c r="F9408" s="709"/>
      <c r="G9408" s="705">
        <v>2.6021645822646068E-29</v>
      </c>
    </row>
    <row r="9409" spans="2:7" ht="11.25" hidden="1" customHeight="1" outlineLevel="2" x14ac:dyDescent="0.25">
      <c r="B9409" s="704" t="s">
        <v>695</v>
      </c>
      <c r="C9409" s="704" t="s">
        <v>895</v>
      </c>
      <c r="D9409" s="704" t="s">
        <v>728</v>
      </c>
      <c r="E9409" s="704" t="s">
        <v>861</v>
      </c>
      <c r="F9409" s="709"/>
      <c r="G9409" s="705">
        <v>2.6021645822646068E-29</v>
      </c>
    </row>
    <row r="9410" spans="2:7" ht="11.25" hidden="1" customHeight="1" outlineLevel="2" x14ac:dyDescent="0.25">
      <c r="B9410" s="704" t="s">
        <v>696</v>
      </c>
      <c r="C9410" s="704" t="s">
        <v>895</v>
      </c>
      <c r="D9410" s="704" t="s">
        <v>728</v>
      </c>
      <c r="E9410" s="704" t="s">
        <v>861</v>
      </c>
      <c r="F9410" s="709"/>
      <c r="G9410" s="705">
        <v>28.985977098955715</v>
      </c>
    </row>
    <row r="9411" spans="2:7" ht="11.25" hidden="1" customHeight="1" outlineLevel="2" x14ac:dyDescent="0.25">
      <c r="B9411" s="704" t="s">
        <v>697</v>
      </c>
      <c r="C9411" s="704" t="s">
        <v>895</v>
      </c>
      <c r="D9411" s="704" t="s">
        <v>728</v>
      </c>
      <c r="E9411" s="704" t="s">
        <v>861</v>
      </c>
      <c r="F9411" s="709"/>
      <c r="G9411" s="705">
        <v>2.6001288280000003E-29</v>
      </c>
    </row>
    <row r="9412" spans="2:7" ht="11.25" hidden="1" customHeight="1" outlineLevel="2" x14ac:dyDescent="0.25">
      <c r="B9412" s="704" t="s">
        <v>698</v>
      </c>
      <c r="C9412" s="704" t="s">
        <v>895</v>
      </c>
      <c r="D9412" s="704" t="s">
        <v>728</v>
      </c>
      <c r="E9412" s="704" t="s">
        <v>861</v>
      </c>
      <c r="F9412" s="709"/>
      <c r="G9412" s="705">
        <v>2.6001288280000003E-29</v>
      </c>
    </row>
    <row r="9413" spans="2:7" ht="11.25" hidden="1" customHeight="1" outlineLevel="2" x14ac:dyDescent="0.25">
      <c r="B9413" s="704" t="s">
        <v>699</v>
      </c>
      <c r="C9413" s="704" t="s">
        <v>895</v>
      </c>
      <c r="D9413" s="704" t="s">
        <v>728</v>
      </c>
      <c r="E9413" s="704" t="s">
        <v>861</v>
      </c>
      <c r="F9413" s="709"/>
      <c r="G9413" s="705">
        <v>23.214422429791544</v>
      </c>
    </row>
    <row r="9414" spans="2:7" ht="11.25" hidden="1" customHeight="1" outlineLevel="2" x14ac:dyDescent="0.25">
      <c r="B9414" s="704" t="s">
        <v>673</v>
      </c>
      <c r="C9414" s="704" t="s">
        <v>896</v>
      </c>
      <c r="D9414" s="704" t="s">
        <v>728</v>
      </c>
      <c r="E9414" s="704" t="s">
        <v>861</v>
      </c>
      <c r="F9414" s="709"/>
      <c r="G9414" s="705">
        <v>83.900870991751745</v>
      </c>
    </row>
    <row r="9415" spans="2:7" ht="11.25" hidden="1" customHeight="1" outlineLevel="2" x14ac:dyDescent="0.25">
      <c r="B9415" s="704" t="s">
        <v>677</v>
      </c>
      <c r="C9415" s="704" t="s">
        <v>896</v>
      </c>
      <c r="D9415" s="704" t="s">
        <v>728</v>
      </c>
      <c r="E9415" s="704" t="s">
        <v>861</v>
      </c>
      <c r="F9415" s="706">
        <v>0.1783965451353498</v>
      </c>
      <c r="G9415" s="705">
        <v>4020.5302942067983</v>
      </c>
    </row>
    <row r="9416" spans="2:7" ht="11.25" hidden="1" customHeight="1" outlineLevel="2" x14ac:dyDescent="0.25">
      <c r="B9416" s="704" t="s">
        <v>678</v>
      </c>
      <c r="C9416" s="704" t="s">
        <v>896</v>
      </c>
      <c r="D9416" s="704" t="s">
        <v>728</v>
      </c>
      <c r="E9416" s="704" t="s">
        <v>861</v>
      </c>
      <c r="F9416" s="709"/>
      <c r="G9416" s="705">
        <v>4832.6898281569183</v>
      </c>
    </row>
    <row r="9417" spans="2:7" ht="11.25" hidden="1" customHeight="1" outlineLevel="2" x14ac:dyDescent="0.25">
      <c r="B9417" s="704" t="s">
        <v>679</v>
      </c>
      <c r="C9417" s="704" t="s">
        <v>896</v>
      </c>
      <c r="D9417" s="704" t="s">
        <v>728</v>
      </c>
      <c r="E9417" s="704" t="s">
        <v>861</v>
      </c>
      <c r="F9417" s="709"/>
      <c r="G9417" s="705">
        <v>288.61897974000595</v>
      </c>
    </row>
    <row r="9418" spans="2:7" ht="11.25" hidden="1" customHeight="1" outlineLevel="2" x14ac:dyDescent="0.25">
      <c r="B9418" s="704" t="s">
        <v>680</v>
      </c>
      <c r="C9418" s="704" t="s">
        <v>896</v>
      </c>
      <c r="D9418" s="704" t="s">
        <v>728</v>
      </c>
      <c r="E9418" s="704" t="s">
        <v>861</v>
      </c>
      <c r="F9418" s="709"/>
      <c r="G9418" s="705">
        <v>90.612929842838838</v>
      </c>
    </row>
    <row r="9419" spans="2:7" ht="11.25" hidden="1" customHeight="1" outlineLevel="2" x14ac:dyDescent="0.25">
      <c r="B9419" s="704" t="s">
        <v>681</v>
      </c>
      <c r="C9419" s="704" t="s">
        <v>896</v>
      </c>
      <c r="D9419" s="704" t="s">
        <v>728</v>
      </c>
      <c r="E9419" s="704" t="s">
        <v>861</v>
      </c>
      <c r="F9419" s="709"/>
      <c r="G9419" s="705">
        <v>1523.6395843298974</v>
      </c>
    </row>
    <row r="9420" spans="2:7" ht="11.25" hidden="1" customHeight="1" outlineLevel="2" x14ac:dyDescent="0.25">
      <c r="B9420" s="704" t="s">
        <v>682</v>
      </c>
      <c r="C9420" s="704" t="s">
        <v>896</v>
      </c>
      <c r="D9420" s="704" t="s">
        <v>728</v>
      </c>
      <c r="E9420" s="704" t="s">
        <v>861</v>
      </c>
      <c r="F9420" s="709"/>
      <c r="G9420" s="705">
        <v>198.00599656117365</v>
      </c>
    </row>
    <row r="9421" spans="2:7" ht="11.25" hidden="1" customHeight="1" outlineLevel="2" x14ac:dyDescent="0.25">
      <c r="B9421" s="704" t="s">
        <v>683</v>
      </c>
      <c r="C9421" s="704" t="s">
        <v>896</v>
      </c>
      <c r="D9421" s="704" t="s">
        <v>728</v>
      </c>
      <c r="E9421" s="704" t="s">
        <v>861</v>
      </c>
      <c r="F9421" s="709"/>
      <c r="G9421" s="705">
        <v>416.14820896023201</v>
      </c>
    </row>
    <row r="9422" spans="2:7" ht="11.25" hidden="1" customHeight="1" outlineLevel="2" x14ac:dyDescent="0.25">
      <c r="B9422" s="704" t="s">
        <v>684</v>
      </c>
      <c r="C9422" s="704" t="s">
        <v>896</v>
      </c>
      <c r="D9422" s="704" t="s">
        <v>728</v>
      </c>
      <c r="E9422" s="704" t="s">
        <v>861</v>
      </c>
      <c r="F9422" s="709"/>
      <c r="G9422" s="705">
        <v>536.96546391625645</v>
      </c>
    </row>
    <row r="9423" spans="2:7" ht="11.25" hidden="1" customHeight="1" outlineLevel="2" x14ac:dyDescent="0.25">
      <c r="B9423" s="704" t="s">
        <v>685</v>
      </c>
      <c r="C9423" s="704" t="s">
        <v>896</v>
      </c>
      <c r="D9423" s="704" t="s">
        <v>728</v>
      </c>
      <c r="E9423" s="704" t="s">
        <v>861</v>
      </c>
      <c r="F9423" s="709"/>
      <c r="G9423" s="705">
        <v>2530.4496440769017</v>
      </c>
    </row>
    <row r="9424" spans="2:7" ht="11.25" hidden="1" customHeight="1" outlineLevel="2" x14ac:dyDescent="0.25">
      <c r="B9424" s="704" t="s">
        <v>686</v>
      </c>
      <c r="C9424" s="704" t="s">
        <v>896</v>
      </c>
      <c r="D9424" s="704" t="s">
        <v>728</v>
      </c>
      <c r="E9424" s="704" t="s">
        <v>861</v>
      </c>
      <c r="F9424" s="709"/>
      <c r="G9424" s="705">
        <v>540.32149599598881</v>
      </c>
    </row>
    <row r="9425" spans="2:7" ht="11.25" hidden="1" customHeight="1" outlineLevel="2" x14ac:dyDescent="0.25">
      <c r="B9425" s="704" t="s">
        <v>687</v>
      </c>
      <c r="C9425" s="704" t="s">
        <v>896</v>
      </c>
      <c r="D9425" s="704" t="s">
        <v>728</v>
      </c>
      <c r="E9425" s="704" t="s">
        <v>861</v>
      </c>
      <c r="F9425" s="709"/>
      <c r="G9425" s="705">
        <v>1110.8472381772367</v>
      </c>
    </row>
    <row r="9426" spans="2:7" ht="11.25" hidden="1" customHeight="1" outlineLevel="2" x14ac:dyDescent="0.25">
      <c r="B9426" s="704" t="s">
        <v>688</v>
      </c>
      <c r="C9426" s="704" t="s">
        <v>896</v>
      </c>
      <c r="D9426" s="704" t="s">
        <v>728</v>
      </c>
      <c r="E9426" s="704" t="s">
        <v>861</v>
      </c>
      <c r="F9426" s="709"/>
      <c r="G9426" s="705">
        <v>3268.777193384949</v>
      </c>
    </row>
    <row r="9427" spans="2:7" ht="11.25" hidden="1" customHeight="1" outlineLevel="2" x14ac:dyDescent="0.25">
      <c r="B9427" s="704" t="s">
        <v>689</v>
      </c>
      <c r="C9427" s="704" t="s">
        <v>896</v>
      </c>
      <c r="D9427" s="704" t="s">
        <v>728</v>
      </c>
      <c r="E9427" s="704" t="s">
        <v>861</v>
      </c>
      <c r="F9427" s="709"/>
      <c r="G9427" s="705">
        <v>318.17627797599408</v>
      </c>
    </row>
    <row r="9428" spans="2:7" ht="11.25" hidden="1" customHeight="1" outlineLevel="2" x14ac:dyDescent="0.25">
      <c r="B9428" s="704" t="s">
        <v>690</v>
      </c>
      <c r="C9428" s="704" t="s">
        <v>896</v>
      </c>
      <c r="D9428" s="704" t="s">
        <v>728</v>
      </c>
      <c r="E9428" s="704" t="s">
        <v>861</v>
      </c>
      <c r="F9428" s="709"/>
      <c r="G9428" s="705">
        <v>9994.2693129035761</v>
      </c>
    </row>
    <row r="9429" spans="2:7" ht="11.25" hidden="1" customHeight="1" outlineLevel="2" x14ac:dyDescent="0.25">
      <c r="B9429" s="704" t="s">
        <v>691</v>
      </c>
      <c r="C9429" s="704" t="s">
        <v>896</v>
      </c>
      <c r="D9429" s="704" t="s">
        <v>728</v>
      </c>
      <c r="E9429" s="704" t="s">
        <v>861</v>
      </c>
      <c r="F9429" s="709"/>
      <c r="G9429" s="705">
        <v>4883.0292888303475</v>
      </c>
    </row>
    <row r="9430" spans="2:7" ht="11.25" hidden="1" customHeight="1" outlineLevel="2" x14ac:dyDescent="0.25">
      <c r="B9430" s="704" t="s">
        <v>692</v>
      </c>
      <c r="C9430" s="704" t="s">
        <v>896</v>
      </c>
      <c r="D9430" s="704" t="s">
        <v>728</v>
      </c>
      <c r="E9430" s="704" t="s">
        <v>861</v>
      </c>
      <c r="F9430" s="708"/>
      <c r="G9430" s="705">
        <v>318.82329993485723</v>
      </c>
    </row>
    <row r="9431" spans="2:7" ht="11.25" hidden="1" customHeight="1" outlineLevel="2" x14ac:dyDescent="0.25">
      <c r="B9431" s="704" t="s">
        <v>693</v>
      </c>
      <c r="C9431" s="704" t="s">
        <v>896</v>
      </c>
      <c r="D9431" s="704" t="s">
        <v>728</v>
      </c>
      <c r="E9431" s="704" t="s">
        <v>861</v>
      </c>
      <c r="F9431" s="708"/>
      <c r="G9431" s="705">
        <v>244.99043918104124</v>
      </c>
    </row>
    <row r="9432" spans="2:7" ht="11.25" hidden="1" customHeight="1" outlineLevel="2" x14ac:dyDescent="0.25">
      <c r="B9432" s="704" t="s">
        <v>694</v>
      </c>
      <c r="C9432" s="704" t="s">
        <v>896</v>
      </c>
      <c r="D9432" s="704" t="s">
        <v>728</v>
      </c>
      <c r="E9432" s="704" t="s">
        <v>861</v>
      </c>
      <c r="F9432" s="708"/>
      <c r="G9432" s="705">
        <v>540.32149599598881</v>
      </c>
    </row>
    <row r="9433" spans="2:7" ht="11.25" hidden="1" customHeight="1" outlineLevel="2" x14ac:dyDescent="0.25">
      <c r="B9433" s="704" t="s">
        <v>695</v>
      </c>
      <c r="C9433" s="704" t="s">
        <v>896</v>
      </c>
      <c r="D9433" s="704" t="s">
        <v>728</v>
      </c>
      <c r="E9433" s="704" t="s">
        <v>861</v>
      </c>
      <c r="F9433" s="708"/>
      <c r="G9433" s="705">
        <v>530.25332747577033</v>
      </c>
    </row>
    <row r="9434" spans="2:7" ht="11.25" hidden="1" customHeight="1" outlineLevel="2" x14ac:dyDescent="0.25">
      <c r="B9434" s="704" t="s">
        <v>696</v>
      </c>
      <c r="C9434" s="704" t="s">
        <v>896</v>
      </c>
      <c r="D9434" s="704" t="s">
        <v>728</v>
      </c>
      <c r="E9434" s="704" t="s">
        <v>861</v>
      </c>
      <c r="F9434" s="708"/>
      <c r="G9434" s="705">
        <v>758.46383147360336</v>
      </c>
    </row>
    <row r="9435" spans="2:7" ht="11.25" hidden="1" customHeight="1" outlineLevel="2" x14ac:dyDescent="0.25">
      <c r="B9435" s="704" t="s">
        <v>697</v>
      </c>
      <c r="C9435" s="704" t="s">
        <v>896</v>
      </c>
      <c r="D9435" s="704" t="s">
        <v>728</v>
      </c>
      <c r="E9435" s="704" t="s">
        <v>861</v>
      </c>
      <c r="F9435" s="708"/>
      <c r="G9435" s="705">
        <v>342.31549447706152</v>
      </c>
    </row>
    <row r="9436" spans="2:7" ht="11.25" hidden="1" customHeight="1" outlineLevel="2" x14ac:dyDescent="0.25">
      <c r="B9436" s="704" t="s">
        <v>698</v>
      </c>
      <c r="C9436" s="704" t="s">
        <v>896</v>
      </c>
      <c r="D9436" s="704" t="s">
        <v>728</v>
      </c>
      <c r="E9436" s="704" t="s">
        <v>861</v>
      </c>
      <c r="F9436" s="708"/>
      <c r="G9436" s="705">
        <v>540.3214960693191</v>
      </c>
    </row>
    <row r="9437" spans="2:7" ht="11.25" hidden="1" customHeight="1" outlineLevel="2" x14ac:dyDescent="0.25">
      <c r="B9437" s="704" t="s">
        <v>699</v>
      </c>
      <c r="C9437" s="704" t="s">
        <v>896</v>
      </c>
      <c r="D9437" s="704" t="s">
        <v>728</v>
      </c>
      <c r="E9437" s="704" t="s">
        <v>861</v>
      </c>
      <c r="F9437" s="708"/>
      <c r="G9437" s="705">
        <v>607.44220954041339</v>
      </c>
    </row>
    <row r="9438" spans="2:7" ht="11.25" hidden="1" customHeight="1" outlineLevel="2" x14ac:dyDescent="0.25">
      <c r="B9438" s="704" t="s">
        <v>673</v>
      </c>
      <c r="C9438" s="704" t="s">
        <v>897</v>
      </c>
      <c r="D9438" s="704" t="s">
        <v>728</v>
      </c>
      <c r="E9438" s="704" t="s">
        <v>861</v>
      </c>
      <c r="F9438" s="708"/>
      <c r="G9438" s="705">
        <v>17.314300642795118</v>
      </c>
    </row>
    <row r="9439" spans="2:7" ht="11.25" hidden="1" customHeight="1" outlineLevel="2" x14ac:dyDescent="0.25">
      <c r="B9439" s="704" t="s">
        <v>677</v>
      </c>
      <c r="C9439" s="704" t="s">
        <v>897</v>
      </c>
      <c r="D9439" s="704" t="s">
        <v>728</v>
      </c>
      <c r="E9439" s="704" t="s">
        <v>861</v>
      </c>
      <c r="F9439" s="705">
        <v>5.1808914362204771E-2</v>
      </c>
      <c r="G9439" s="705">
        <v>829.7012505210962</v>
      </c>
    </row>
    <row r="9440" spans="2:7" ht="11.25" hidden="1" customHeight="1" outlineLevel="2" x14ac:dyDescent="0.25">
      <c r="B9440" s="704" t="s">
        <v>678</v>
      </c>
      <c r="C9440" s="704" t="s">
        <v>897</v>
      </c>
      <c r="D9440" s="704" t="s">
        <v>728</v>
      </c>
      <c r="E9440" s="704" t="s">
        <v>861</v>
      </c>
      <c r="F9440" s="708"/>
      <c r="G9440" s="705">
        <v>997.30405529258462</v>
      </c>
    </row>
    <row r="9441" spans="2:7" ht="11.25" hidden="1" customHeight="1" outlineLevel="2" x14ac:dyDescent="0.25">
      <c r="B9441" s="704" t="s">
        <v>679</v>
      </c>
      <c r="C9441" s="704" t="s">
        <v>897</v>
      </c>
      <c r="D9441" s="704" t="s">
        <v>728</v>
      </c>
      <c r="E9441" s="704" t="s">
        <v>861</v>
      </c>
      <c r="F9441" s="708"/>
      <c r="G9441" s="705">
        <v>59.561188151646171</v>
      </c>
    </row>
    <row r="9442" spans="2:7" ht="11.25" hidden="1" customHeight="1" outlineLevel="2" x14ac:dyDescent="0.25">
      <c r="B9442" s="704" t="s">
        <v>680</v>
      </c>
      <c r="C9442" s="704" t="s">
        <v>897</v>
      </c>
      <c r="D9442" s="704" t="s">
        <v>728</v>
      </c>
      <c r="E9442" s="704" t="s">
        <v>861</v>
      </c>
      <c r="F9442" s="708"/>
      <c r="G9442" s="705">
        <v>18.699446512503656</v>
      </c>
    </row>
    <row r="9443" spans="2:7" ht="11.25" hidden="1" customHeight="1" outlineLevel="2" x14ac:dyDescent="0.25">
      <c r="B9443" s="704" t="s">
        <v>681</v>
      </c>
      <c r="C9443" s="704" t="s">
        <v>897</v>
      </c>
      <c r="D9443" s="704" t="s">
        <v>728</v>
      </c>
      <c r="E9443" s="704" t="s">
        <v>861</v>
      </c>
      <c r="F9443" s="708"/>
      <c r="G9443" s="705">
        <v>314.42756326910262</v>
      </c>
    </row>
    <row r="9444" spans="2:7" ht="11.25" hidden="1" customHeight="1" outlineLevel="2" x14ac:dyDescent="0.25">
      <c r="B9444" s="704" t="s">
        <v>682</v>
      </c>
      <c r="C9444" s="704" t="s">
        <v>897</v>
      </c>
      <c r="D9444" s="704" t="s">
        <v>728</v>
      </c>
      <c r="E9444" s="704" t="s">
        <v>861</v>
      </c>
      <c r="F9444" s="708"/>
      <c r="G9444" s="705">
        <v>40.861745300020679</v>
      </c>
    </row>
    <row r="9445" spans="2:7" ht="11.25" hidden="1" customHeight="1" outlineLevel="2" x14ac:dyDescent="0.25">
      <c r="B9445" s="704" t="s">
        <v>683</v>
      </c>
      <c r="C9445" s="704" t="s">
        <v>897</v>
      </c>
      <c r="D9445" s="704" t="s">
        <v>728</v>
      </c>
      <c r="E9445" s="704" t="s">
        <v>861</v>
      </c>
      <c r="F9445" s="708"/>
      <c r="G9445" s="705">
        <v>85.878869282056371</v>
      </c>
    </row>
    <row r="9446" spans="2:7" ht="11.25" hidden="1" customHeight="1" outlineLevel="2" x14ac:dyDescent="0.25">
      <c r="B9446" s="704" t="s">
        <v>684</v>
      </c>
      <c r="C9446" s="704" t="s">
        <v>897</v>
      </c>
      <c r="D9446" s="704" t="s">
        <v>728</v>
      </c>
      <c r="E9446" s="704" t="s">
        <v>861</v>
      </c>
      <c r="F9446" s="708"/>
      <c r="G9446" s="705">
        <v>110.8115112461734</v>
      </c>
    </row>
    <row r="9447" spans="2:7" ht="11.25" hidden="1" customHeight="1" outlineLevel="2" x14ac:dyDescent="0.25">
      <c r="B9447" s="704" t="s">
        <v>685</v>
      </c>
      <c r="C9447" s="704" t="s">
        <v>897</v>
      </c>
      <c r="D9447" s="704" t="s">
        <v>728</v>
      </c>
      <c r="E9447" s="704" t="s">
        <v>861</v>
      </c>
      <c r="F9447" s="708"/>
      <c r="G9447" s="705">
        <v>522.19909663467911</v>
      </c>
    </row>
    <row r="9448" spans="2:7" ht="11.25" hidden="1" customHeight="1" outlineLevel="2" x14ac:dyDescent="0.25">
      <c r="B9448" s="704" t="s">
        <v>686</v>
      </c>
      <c r="C9448" s="704" t="s">
        <v>897</v>
      </c>
      <c r="D9448" s="704" t="s">
        <v>728</v>
      </c>
      <c r="E9448" s="704" t="s">
        <v>861</v>
      </c>
      <c r="F9448" s="708"/>
      <c r="G9448" s="705">
        <v>111.50406737889084</v>
      </c>
    </row>
    <row r="9449" spans="2:7" ht="11.25" hidden="1" customHeight="1" outlineLevel="2" x14ac:dyDescent="0.25">
      <c r="B9449" s="704" t="s">
        <v>687</v>
      </c>
      <c r="C9449" s="704" t="s">
        <v>897</v>
      </c>
      <c r="D9449" s="704" t="s">
        <v>728</v>
      </c>
      <c r="E9449" s="704" t="s">
        <v>861</v>
      </c>
      <c r="F9449" s="708"/>
      <c r="G9449" s="705">
        <v>229.24122842607429</v>
      </c>
    </row>
    <row r="9450" spans="2:7" ht="11.25" hidden="1" customHeight="1" outlineLevel="2" x14ac:dyDescent="0.25">
      <c r="B9450" s="704" t="s">
        <v>688</v>
      </c>
      <c r="C9450" s="704" t="s">
        <v>897</v>
      </c>
      <c r="D9450" s="704" t="s">
        <v>728</v>
      </c>
      <c r="E9450" s="704" t="s">
        <v>861</v>
      </c>
      <c r="F9450" s="709"/>
      <c r="G9450" s="705">
        <v>674.5651197116722</v>
      </c>
    </row>
    <row r="9451" spans="2:7" ht="11.25" hidden="1" customHeight="1" outlineLevel="2" x14ac:dyDescent="0.25">
      <c r="B9451" s="704" t="s">
        <v>689</v>
      </c>
      <c r="C9451" s="704" t="s">
        <v>897</v>
      </c>
      <c r="D9451" s="704" t="s">
        <v>728</v>
      </c>
      <c r="E9451" s="704" t="s">
        <v>861</v>
      </c>
      <c r="F9451" s="709"/>
      <c r="G9451" s="705">
        <v>65.660823548959257</v>
      </c>
    </row>
    <row r="9452" spans="2:7" ht="11.25" hidden="1" customHeight="1" outlineLevel="2" x14ac:dyDescent="0.25">
      <c r="B9452" s="704" t="s">
        <v>690</v>
      </c>
      <c r="C9452" s="704" t="s">
        <v>897</v>
      </c>
      <c r="D9452" s="704" t="s">
        <v>728</v>
      </c>
      <c r="E9452" s="704" t="s">
        <v>861</v>
      </c>
      <c r="F9452" s="709"/>
      <c r="G9452" s="705">
        <v>2062.4786077436861</v>
      </c>
    </row>
    <row r="9453" spans="2:7" ht="11.25" hidden="1" customHeight="1" outlineLevel="2" x14ac:dyDescent="0.25">
      <c r="B9453" s="704" t="s">
        <v>691</v>
      </c>
      <c r="C9453" s="704" t="s">
        <v>897</v>
      </c>
      <c r="D9453" s="704" t="s">
        <v>728</v>
      </c>
      <c r="E9453" s="704" t="s">
        <v>861</v>
      </c>
      <c r="F9453" s="709"/>
      <c r="G9453" s="705">
        <v>1007.6922529913478</v>
      </c>
    </row>
    <row r="9454" spans="2:7" ht="11.25" hidden="1" customHeight="1" outlineLevel="2" x14ac:dyDescent="0.25">
      <c r="B9454" s="704" t="s">
        <v>692</v>
      </c>
      <c r="C9454" s="704" t="s">
        <v>897</v>
      </c>
      <c r="D9454" s="704" t="s">
        <v>728</v>
      </c>
      <c r="E9454" s="704" t="s">
        <v>861</v>
      </c>
      <c r="F9454" s="709"/>
      <c r="G9454" s="705">
        <v>65.79431006561272</v>
      </c>
    </row>
    <row r="9455" spans="2:7" ht="11.25" hidden="1" customHeight="1" outlineLevel="2" x14ac:dyDescent="0.25">
      <c r="B9455" s="704" t="s">
        <v>693</v>
      </c>
      <c r="C9455" s="704" t="s">
        <v>897</v>
      </c>
      <c r="D9455" s="704" t="s">
        <v>728</v>
      </c>
      <c r="E9455" s="704" t="s">
        <v>861</v>
      </c>
      <c r="F9455" s="709"/>
      <c r="G9455" s="705">
        <v>50.55776296018324</v>
      </c>
    </row>
    <row r="9456" spans="2:7" ht="11.25" hidden="1" customHeight="1" outlineLevel="2" x14ac:dyDescent="0.25">
      <c r="B9456" s="704" t="s">
        <v>694</v>
      </c>
      <c r="C9456" s="704" t="s">
        <v>897</v>
      </c>
      <c r="D9456" s="704" t="s">
        <v>728</v>
      </c>
      <c r="E9456" s="704" t="s">
        <v>861</v>
      </c>
      <c r="F9456" s="709"/>
      <c r="G9456" s="705">
        <v>111.50406737889084</v>
      </c>
    </row>
    <row r="9457" spans="2:7" ht="11.25" hidden="1" customHeight="1" outlineLevel="2" x14ac:dyDescent="0.25">
      <c r="B9457" s="704" t="s">
        <v>695</v>
      </c>
      <c r="C9457" s="704" t="s">
        <v>897</v>
      </c>
      <c r="D9457" s="704" t="s">
        <v>728</v>
      </c>
      <c r="E9457" s="704" t="s">
        <v>861</v>
      </c>
      <c r="F9457" s="708"/>
      <c r="G9457" s="705">
        <v>109.42632205002275</v>
      </c>
    </row>
    <row r="9458" spans="2:7" ht="11.25" hidden="1" customHeight="1" outlineLevel="2" x14ac:dyDescent="0.25">
      <c r="B9458" s="704" t="s">
        <v>696</v>
      </c>
      <c r="C9458" s="704" t="s">
        <v>897</v>
      </c>
      <c r="D9458" s="704" t="s">
        <v>728</v>
      </c>
      <c r="E9458" s="704" t="s">
        <v>861</v>
      </c>
      <c r="F9458" s="708"/>
      <c r="G9458" s="705">
        <v>156.52129293443102</v>
      </c>
    </row>
    <row r="9459" spans="2:7" ht="11.25" hidden="1" customHeight="1" outlineLevel="2" x14ac:dyDescent="0.25">
      <c r="B9459" s="704" t="s">
        <v>697</v>
      </c>
      <c r="C9459" s="704" t="s">
        <v>897</v>
      </c>
      <c r="D9459" s="704" t="s">
        <v>728</v>
      </c>
      <c r="E9459" s="704" t="s">
        <v>861</v>
      </c>
      <c r="F9459" s="708"/>
      <c r="G9459" s="705">
        <v>70.642363894968597</v>
      </c>
    </row>
    <row r="9460" spans="2:7" ht="11.25" hidden="1" customHeight="1" outlineLevel="2" x14ac:dyDescent="0.25">
      <c r="B9460" s="704" t="s">
        <v>698</v>
      </c>
      <c r="C9460" s="704" t="s">
        <v>897</v>
      </c>
      <c r="D9460" s="704" t="s">
        <v>728</v>
      </c>
      <c r="E9460" s="704" t="s">
        <v>861</v>
      </c>
      <c r="F9460" s="708"/>
      <c r="G9460" s="705">
        <v>111.50406738292817</v>
      </c>
    </row>
    <row r="9461" spans="2:7" ht="11.25" hidden="1" customHeight="1" outlineLevel="2" x14ac:dyDescent="0.25">
      <c r="B9461" s="704" t="s">
        <v>699</v>
      </c>
      <c r="C9461" s="704" t="s">
        <v>897</v>
      </c>
      <c r="D9461" s="704" t="s">
        <v>728</v>
      </c>
      <c r="E9461" s="704" t="s">
        <v>861</v>
      </c>
      <c r="F9461" s="708"/>
      <c r="G9461" s="705">
        <v>125.35549931894866</v>
      </c>
    </row>
    <row r="9462" spans="2:7" ht="11.25" hidden="1" customHeight="1" outlineLevel="2" x14ac:dyDescent="0.25">
      <c r="B9462" s="704" t="s">
        <v>673</v>
      </c>
      <c r="C9462" s="704" t="s">
        <v>898</v>
      </c>
      <c r="D9462" s="704" t="s">
        <v>728</v>
      </c>
      <c r="E9462" s="704" t="s">
        <v>861</v>
      </c>
      <c r="F9462" s="708"/>
      <c r="G9462" s="705">
        <v>114.22880460026066</v>
      </c>
    </row>
    <row r="9463" spans="2:7" ht="11.25" hidden="1" customHeight="1" outlineLevel="2" x14ac:dyDescent="0.25">
      <c r="B9463" s="704" t="s">
        <v>677</v>
      </c>
      <c r="C9463" s="704" t="s">
        <v>898</v>
      </c>
      <c r="D9463" s="704" t="s">
        <v>728</v>
      </c>
      <c r="E9463" s="704" t="s">
        <v>861</v>
      </c>
      <c r="F9463" s="705">
        <v>0.13483777688399134</v>
      </c>
      <c r="G9463" s="705">
        <v>5473.8443261483071</v>
      </c>
    </row>
    <row r="9464" spans="2:7" ht="11.25" hidden="1" customHeight="1" outlineLevel="2" x14ac:dyDescent="0.25">
      <c r="B9464" s="704" t="s">
        <v>678</v>
      </c>
      <c r="C9464" s="704" t="s">
        <v>898</v>
      </c>
      <c r="D9464" s="704" t="s">
        <v>728</v>
      </c>
      <c r="E9464" s="704" t="s">
        <v>861</v>
      </c>
      <c r="F9464" s="708"/>
      <c r="G9464" s="705">
        <v>6579.5789531181044</v>
      </c>
    </row>
    <row r="9465" spans="2:7" ht="11.25" hidden="1" customHeight="1" outlineLevel="2" x14ac:dyDescent="0.25">
      <c r="B9465" s="704" t="s">
        <v>679</v>
      </c>
      <c r="C9465" s="704" t="s">
        <v>898</v>
      </c>
      <c r="D9465" s="704" t="s">
        <v>728</v>
      </c>
      <c r="E9465" s="704" t="s">
        <v>861</v>
      </c>
      <c r="F9465" s="708"/>
      <c r="G9465" s="705">
        <v>392.94709168039361</v>
      </c>
    </row>
    <row r="9466" spans="2:7" ht="11.25" hidden="1" customHeight="1" outlineLevel="2" x14ac:dyDescent="0.25">
      <c r="B9466" s="704" t="s">
        <v>680</v>
      </c>
      <c r="C9466" s="704" t="s">
        <v>898</v>
      </c>
      <c r="D9466" s="704" t="s">
        <v>728</v>
      </c>
      <c r="E9466" s="704" t="s">
        <v>861</v>
      </c>
      <c r="F9466" s="708"/>
      <c r="G9466" s="705">
        <v>123.36713488400383</v>
      </c>
    </row>
    <row r="9467" spans="2:7" ht="11.25" hidden="1" customHeight="1" outlineLevel="2" x14ac:dyDescent="0.25">
      <c r="B9467" s="704" t="s">
        <v>681</v>
      </c>
      <c r="C9467" s="704" t="s">
        <v>898</v>
      </c>
      <c r="D9467" s="704" t="s">
        <v>728</v>
      </c>
      <c r="E9467" s="704" t="s">
        <v>861</v>
      </c>
      <c r="F9467" s="708"/>
      <c r="G9467" s="705">
        <v>2074.3947911072255</v>
      </c>
    </row>
    <row r="9468" spans="2:7" ht="11.25" hidden="1" customHeight="1" outlineLevel="2" x14ac:dyDescent="0.25">
      <c r="B9468" s="704" t="s">
        <v>682</v>
      </c>
      <c r="C9468" s="704" t="s">
        <v>898</v>
      </c>
      <c r="D9468" s="704" t="s">
        <v>728</v>
      </c>
      <c r="E9468" s="704" t="s">
        <v>861</v>
      </c>
      <c r="F9468" s="708"/>
      <c r="G9468" s="705">
        <v>269.57999294508249</v>
      </c>
    </row>
    <row r="9469" spans="2:7" ht="11.25" hidden="1" customHeight="1" outlineLevel="2" x14ac:dyDescent="0.25">
      <c r="B9469" s="704" t="s">
        <v>683</v>
      </c>
      <c r="C9469" s="704" t="s">
        <v>898</v>
      </c>
      <c r="D9469" s="704" t="s">
        <v>728</v>
      </c>
      <c r="E9469" s="704" t="s">
        <v>861</v>
      </c>
      <c r="F9469" s="708"/>
      <c r="G9469" s="705">
        <v>566.5747892983818</v>
      </c>
    </row>
    <row r="9470" spans="2:7" ht="11.25" hidden="1" customHeight="1" outlineLevel="2" x14ac:dyDescent="0.25">
      <c r="B9470" s="704" t="s">
        <v>684</v>
      </c>
      <c r="C9470" s="704" t="s">
        <v>898</v>
      </c>
      <c r="D9470" s="704" t="s">
        <v>728</v>
      </c>
      <c r="E9470" s="704" t="s">
        <v>861</v>
      </c>
      <c r="F9470" s="708"/>
      <c r="G9470" s="705">
        <v>731.06431952941193</v>
      </c>
    </row>
    <row r="9471" spans="2:7" ht="11.25" hidden="1" customHeight="1" outlineLevel="2" x14ac:dyDescent="0.25">
      <c r="B9471" s="704" t="s">
        <v>685</v>
      </c>
      <c r="C9471" s="704" t="s">
        <v>898</v>
      </c>
      <c r="D9471" s="704" t="s">
        <v>728</v>
      </c>
      <c r="E9471" s="704" t="s">
        <v>861</v>
      </c>
      <c r="F9471" s="708"/>
      <c r="G9471" s="705">
        <v>3445.1403425478238</v>
      </c>
    </row>
    <row r="9472" spans="2:7" ht="11.25" hidden="1" customHeight="1" outlineLevel="2" x14ac:dyDescent="0.25">
      <c r="B9472" s="704" t="s">
        <v>686</v>
      </c>
      <c r="C9472" s="704" t="s">
        <v>898</v>
      </c>
      <c r="D9472" s="704" t="s">
        <v>728</v>
      </c>
      <c r="E9472" s="704" t="s">
        <v>861</v>
      </c>
      <c r="F9472" s="708"/>
      <c r="G9472" s="705">
        <v>735.63337552939686</v>
      </c>
    </row>
    <row r="9473" spans="2:7" ht="11.25" hidden="1" customHeight="1" outlineLevel="2" x14ac:dyDescent="0.25">
      <c r="B9473" s="704" t="s">
        <v>687</v>
      </c>
      <c r="C9473" s="704" t="s">
        <v>898</v>
      </c>
      <c r="D9473" s="704" t="s">
        <v>728</v>
      </c>
      <c r="E9473" s="704" t="s">
        <v>861</v>
      </c>
      <c r="F9473" s="708"/>
      <c r="G9473" s="705">
        <v>1512.3893477226566</v>
      </c>
    </row>
    <row r="9474" spans="2:7" ht="11.25" hidden="1" customHeight="1" outlineLevel="2" x14ac:dyDescent="0.25">
      <c r="B9474" s="704" t="s">
        <v>688</v>
      </c>
      <c r="C9474" s="704" t="s">
        <v>898</v>
      </c>
      <c r="D9474" s="704" t="s">
        <v>728</v>
      </c>
      <c r="E9474" s="704" t="s">
        <v>861</v>
      </c>
      <c r="F9474" s="708"/>
      <c r="G9474" s="705">
        <v>4450.3529954877522</v>
      </c>
    </row>
    <row r="9475" spans="2:7" ht="11.25" hidden="1" customHeight="1" outlineLevel="2" x14ac:dyDescent="0.25">
      <c r="B9475" s="704" t="s">
        <v>689</v>
      </c>
      <c r="C9475" s="704" t="s">
        <v>898</v>
      </c>
      <c r="D9475" s="704" t="s">
        <v>728</v>
      </c>
      <c r="E9475" s="704" t="s">
        <v>861</v>
      </c>
      <c r="F9475" s="708"/>
      <c r="G9475" s="705">
        <v>433.18870314840188</v>
      </c>
    </row>
    <row r="9476" spans="2:7" ht="11.25" hidden="1" customHeight="1" outlineLevel="2" x14ac:dyDescent="0.25">
      <c r="B9476" s="704" t="s">
        <v>690</v>
      </c>
      <c r="C9476" s="704" t="s">
        <v>898</v>
      </c>
      <c r="D9476" s="704" t="s">
        <v>728</v>
      </c>
      <c r="E9476" s="704" t="s">
        <v>861</v>
      </c>
      <c r="F9476" s="708"/>
      <c r="G9476" s="705">
        <v>13606.934012804872</v>
      </c>
    </row>
    <row r="9477" spans="2:7" ht="11.25" hidden="1" customHeight="1" outlineLevel="2" x14ac:dyDescent="0.25">
      <c r="B9477" s="704" t="s">
        <v>691</v>
      </c>
      <c r="C9477" s="704" t="s">
        <v>898</v>
      </c>
      <c r="D9477" s="704" t="s">
        <v>728</v>
      </c>
      <c r="E9477" s="704" t="s">
        <v>861</v>
      </c>
      <c r="F9477" s="708"/>
      <c r="G9477" s="705">
        <v>6648.1161081175915</v>
      </c>
    </row>
    <row r="9478" spans="2:7" ht="11.25" hidden="1" customHeight="1" outlineLevel="2" x14ac:dyDescent="0.25">
      <c r="B9478" s="704" t="s">
        <v>692</v>
      </c>
      <c r="C9478" s="704" t="s">
        <v>898</v>
      </c>
      <c r="D9478" s="704" t="s">
        <v>728</v>
      </c>
      <c r="E9478" s="704" t="s">
        <v>861</v>
      </c>
      <c r="F9478" s="708"/>
      <c r="G9478" s="705">
        <v>434.06943155049373</v>
      </c>
    </row>
    <row r="9479" spans="2:7" ht="11.25" hidden="1" customHeight="1" outlineLevel="2" x14ac:dyDescent="0.25">
      <c r="B9479" s="704" t="s">
        <v>693</v>
      </c>
      <c r="C9479" s="704" t="s">
        <v>898</v>
      </c>
      <c r="D9479" s="704" t="s">
        <v>728</v>
      </c>
      <c r="E9479" s="704" t="s">
        <v>861</v>
      </c>
      <c r="F9479" s="708"/>
      <c r="G9479" s="705">
        <v>333.54806928777475</v>
      </c>
    </row>
    <row r="9480" spans="2:7" ht="11.25" hidden="1" customHeight="1" outlineLevel="2" x14ac:dyDescent="0.25">
      <c r="B9480" s="704" t="s">
        <v>694</v>
      </c>
      <c r="C9480" s="704" t="s">
        <v>898</v>
      </c>
      <c r="D9480" s="704" t="s">
        <v>728</v>
      </c>
      <c r="E9480" s="704" t="s">
        <v>861</v>
      </c>
      <c r="F9480" s="708"/>
      <c r="G9480" s="705">
        <v>735.63337552939686</v>
      </c>
    </row>
    <row r="9481" spans="2:7" ht="11.25" hidden="1" customHeight="1" outlineLevel="2" x14ac:dyDescent="0.25">
      <c r="B9481" s="704" t="s">
        <v>695</v>
      </c>
      <c r="C9481" s="704" t="s">
        <v>898</v>
      </c>
      <c r="D9481" s="704" t="s">
        <v>728</v>
      </c>
      <c r="E9481" s="704" t="s">
        <v>861</v>
      </c>
      <c r="F9481" s="708"/>
      <c r="G9481" s="705">
        <v>721.92610783959299</v>
      </c>
    </row>
    <row r="9482" spans="2:7" ht="11.25" hidden="1" customHeight="1" outlineLevel="2" x14ac:dyDescent="0.25">
      <c r="B9482" s="704" t="s">
        <v>696</v>
      </c>
      <c r="C9482" s="704" t="s">
        <v>898</v>
      </c>
      <c r="D9482" s="704" t="s">
        <v>728</v>
      </c>
      <c r="E9482" s="704" t="s">
        <v>861</v>
      </c>
      <c r="F9482" s="708"/>
      <c r="G9482" s="705">
        <v>1032.6284039372747</v>
      </c>
    </row>
    <row r="9483" spans="2:7" ht="11.25" hidden="1" customHeight="1" outlineLevel="2" x14ac:dyDescent="0.25">
      <c r="B9483" s="704" t="s">
        <v>697</v>
      </c>
      <c r="C9483" s="704" t="s">
        <v>898</v>
      </c>
      <c r="D9483" s="704" t="s">
        <v>728</v>
      </c>
      <c r="E9483" s="704" t="s">
        <v>861</v>
      </c>
      <c r="F9483" s="708"/>
      <c r="G9483" s="705">
        <v>466.05351416785169</v>
      </c>
    </row>
    <row r="9484" spans="2:7" ht="11.25" hidden="1" customHeight="1" outlineLevel="2" x14ac:dyDescent="0.25">
      <c r="B9484" s="704" t="s">
        <v>698</v>
      </c>
      <c r="C9484" s="704" t="s">
        <v>898</v>
      </c>
      <c r="D9484" s="704" t="s">
        <v>728</v>
      </c>
      <c r="E9484" s="704" t="s">
        <v>861</v>
      </c>
      <c r="F9484" s="708"/>
      <c r="G9484" s="705">
        <v>735.63337552004998</v>
      </c>
    </row>
    <row r="9485" spans="2:7" ht="11.25" hidden="1" customHeight="1" outlineLevel="2" x14ac:dyDescent="0.25">
      <c r="B9485" s="704" t="s">
        <v>699</v>
      </c>
      <c r="C9485" s="704" t="s">
        <v>898</v>
      </c>
      <c r="D9485" s="704" t="s">
        <v>728</v>
      </c>
      <c r="E9485" s="704" t="s">
        <v>861</v>
      </c>
      <c r="F9485" s="708"/>
      <c r="G9485" s="705">
        <v>827.01638951450514</v>
      </c>
    </row>
    <row r="9486" spans="2:7" ht="11.25" hidden="1" customHeight="1" outlineLevel="2" x14ac:dyDescent="0.25">
      <c r="B9486" s="704" t="s">
        <v>673</v>
      </c>
      <c r="C9486" s="704" t="s">
        <v>899</v>
      </c>
      <c r="D9486" s="704" t="s">
        <v>728</v>
      </c>
      <c r="E9486" s="704" t="s">
        <v>861</v>
      </c>
      <c r="F9486" s="708"/>
      <c r="G9486" s="705">
        <v>13.468560388639375</v>
      </c>
    </row>
    <row r="9487" spans="2:7" ht="11.25" hidden="1" customHeight="1" outlineLevel="2" x14ac:dyDescent="0.25">
      <c r="B9487" s="704" t="s">
        <v>677</v>
      </c>
      <c r="C9487" s="704" t="s">
        <v>899</v>
      </c>
      <c r="D9487" s="704" t="s">
        <v>728</v>
      </c>
      <c r="E9487" s="704" t="s">
        <v>861</v>
      </c>
      <c r="F9487" s="705">
        <v>2.5860788763594836E-2</v>
      </c>
      <c r="G9487" s="705">
        <v>645.41337422681465</v>
      </c>
    </row>
    <row r="9488" spans="2:7" ht="11.25" hidden="1" customHeight="1" outlineLevel="2" x14ac:dyDescent="0.25">
      <c r="B9488" s="704" t="s">
        <v>678</v>
      </c>
      <c r="C9488" s="704" t="s">
        <v>899</v>
      </c>
      <c r="D9488" s="704" t="s">
        <v>728</v>
      </c>
      <c r="E9488" s="704" t="s">
        <v>861</v>
      </c>
      <c r="F9488" s="708"/>
      <c r="G9488" s="705">
        <v>775.78913900107375</v>
      </c>
    </row>
    <row r="9489" spans="2:7" ht="11.25" hidden="1" customHeight="1" outlineLevel="2" x14ac:dyDescent="0.25">
      <c r="B9489" s="704" t="s">
        <v>679</v>
      </c>
      <c r="C9489" s="704" t="s">
        <v>899</v>
      </c>
      <c r="D9489" s="704" t="s">
        <v>728</v>
      </c>
      <c r="E9489" s="704" t="s">
        <v>861</v>
      </c>
      <c r="F9489" s="709"/>
      <c r="G9489" s="705">
        <v>46.331843866946443</v>
      </c>
    </row>
    <row r="9490" spans="2:7" ht="11.25" hidden="1" customHeight="1" outlineLevel="2" x14ac:dyDescent="0.25">
      <c r="B9490" s="704" t="s">
        <v>680</v>
      </c>
      <c r="C9490" s="704" t="s">
        <v>899</v>
      </c>
      <c r="D9490" s="704" t="s">
        <v>728</v>
      </c>
      <c r="E9490" s="704" t="s">
        <v>861</v>
      </c>
      <c r="F9490" s="709"/>
      <c r="G9490" s="705">
        <v>14.546045469014084</v>
      </c>
    </row>
    <row r="9491" spans="2:7" ht="11.25" hidden="1" customHeight="1" outlineLevel="2" x14ac:dyDescent="0.25">
      <c r="B9491" s="704" t="s">
        <v>681</v>
      </c>
      <c r="C9491" s="704" t="s">
        <v>899</v>
      </c>
      <c r="D9491" s="704" t="s">
        <v>728</v>
      </c>
      <c r="E9491" s="704" t="s">
        <v>861</v>
      </c>
      <c r="F9491" s="709"/>
      <c r="G9491" s="705">
        <v>244.58907132588095</v>
      </c>
    </row>
    <row r="9492" spans="2:7" ht="11.25" hidden="1" customHeight="1" outlineLevel="2" x14ac:dyDescent="0.25">
      <c r="B9492" s="704" t="s">
        <v>682</v>
      </c>
      <c r="C9492" s="704" t="s">
        <v>899</v>
      </c>
      <c r="D9492" s="704" t="s">
        <v>728</v>
      </c>
      <c r="E9492" s="704" t="s">
        <v>861</v>
      </c>
      <c r="F9492" s="709"/>
      <c r="G9492" s="705">
        <v>31.785793891183808</v>
      </c>
    </row>
    <row r="9493" spans="2:7" ht="11.25" hidden="1" customHeight="1" outlineLevel="2" x14ac:dyDescent="0.25">
      <c r="B9493" s="704" t="s">
        <v>683</v>
      </c>
      <c r="C9493" s="704" t="s">
        <v>899</v>
      </c>
      <c r="D9493" s="704" t="s">
        <v>728</v>
      </c>
      <c r="E9493" s="704" t="s">
        <v>861</v>
      </c>
      <c r="F9493" s="709"/>
      <c r="G9493" s="705">
        <v>66.804051326556987</v>
      </c>
    </row>
    <row r="9494" spans="2:7" ht="11.25" hidden="1" customHeight="1" outlineLevel="2" x14ac:dyDescent="0.25">
      <c r="B9494" s="704" t="s">
        <v>684</v>
      </c>
      <c r="C9494" s="704" t="s">
        <v>899</v>
      </c>
      <c r="D9494" s="704" t="s">
        <v>728</v>
      </c>
      <c r="E9494" s="704" t="s">
        <v>861</v>
      </c>
      <c r="F9494" s="709"/>
      <c r="G9494" s="705">
        <v>86.198779994437501</v>
      </c>
    </row>
    <row r="9495" spans="2:7" ht="11.25" hidden="1" customHeight="1" outlineLevel="2" x14ac:dyDescent="0.25">
      <c r="B9495" s="704" t="s">
        <v>685</v>
      </c>
      <c r="C9495" s="704" t="s">
        <v>899</v>
      </c>
      <c r="D9495" s="704" t="s">
        <v>728</v>
      </c>
      <c r="E9495" s="704" t="s">
        <v>861</v>
      </c>
      <c r="F9495" s="709"/>
      <c r="G9495" s="705">
        <v>406.2117401866999</v>
      </c>
    </row>
    <row r="9496" spans="2:7" ht="11.25" hidden="1" customHeight="1" outlineLevel="2" x14ac:dyDescent="0.25">
      <c r="B9496" s="704" t="s">
        <v>686</v>
      </c>
      <c r="C9496" s="704" t="s">
        <v>899</v>
      </c>
      <c r="D9496" s="704" t="s">
        <v>728</v>
      </c>
      <c r="E9496" s="704" t="s">
        <v>861</v>
      </c>
      <c r="F9496" s="708"/>
      <c r="G9496" s="705">
        <v>86.737528034707111</v>
      </c>
    </row>
    <row r="9497" spans="2:7" ht="11.25" hidden="1" customHeight="1" outlineLevel="2" x14ac:dyDescent="0.25">
      <c r="B9497" s="704" t="s">
        <v>687</v>
      </c>
      <c r="C9497" s="704" t="s">
        <v>899</v>
      </c>
      <c r="D9497" s="704" t="s">
        <v>728</v>
      </c>
      <c r="E9497" s="704" t="s">
        <v>861</v>
      </c>
      <c r="F9497" s="708"/>
      <c r="G9497" s="705">
        <v>178.32370929753625</v>
      </c>
    </row>
    <row r="9498" spans="2:7" ht="11.25" hidden="1" customHeight="1" outlineLevel="2" x14ac:dyDescent="0.25">
      <c r="B9498" s="704" t="s">
        <v>688</v>
      </c>
      <c r="C9498" s="704" t="s">
        <v>899</v>
      </c>
      <c r="D9498" s="704" t="s">
        <v>728</v>
      </c>
      <c r="E9498" s="704" t="s">
        <v>861</v>
      </c>
      <c r="F9498" s="708"/>
      <c r="G9498" s="705">
        <v>524.73516862056374</v>
      </c>
    </row>
    <row r="9499" spans="2:7" ht="11.25" hidden="1" customHeight="1" outlineLevel="2" x14ac:dyDescent="0.25">
      <c r="B9499" s="704" t="s">
        <v>689</v>
      </c>
      <c r="C9499" s="704" t="s">
        <v>899</v>
      </c>
      <c r="D9499" s="704" t="s">
        <v>728</v>
      </c>
      <c r="E9499" s="704" t="s">
        <v>861</v>
      </c>
      <c r="F9499" s="709"/>
      <c r="G9499" s="705">
        <v>51.076684723236369</v>
      </c>
    </row>
    <row r="9500" spans="2:7" ht="11.25" hidden="1" customHeight="1" outlineLevel="2" x14ac:dyDescent="0.25">
      <c r="B9500" s="704" t="s">
        <v>690</v>
      </c>
      <c r="C9500" s="704" t="s">
        <v>899</v>
      </c>
      <c r="D9500" s="704" t="s">
        <v>728</v>
      </c>
      <c r="E9500" s="704" t="s">
        <v>861</v>
      </c>
      <c r="F9500" s="708"/>
      <c r="G9500" s="705">
        <v>1604.3747800744782</v>
      </c>
    </row>
    <row r="9501" spans="2:7" ht="11.25" hidden="1" customHeight="1" outlineLevel="2" x14ac:dyDescent="0.25">
      <c r="B9501" s="704" t="s">
        <v>691</v>
      </c>
      <c r="C9501" s="704" t="s">
        <v>899</v>
      </c>
      <c r="D9501" s="704" t="s">
        <v>728</v>
      </c>
      <c r="E9501" s="704" t="s">
        <v>861</v>
      </c>
      <c r="F9501" s="708"/>
      <c r="G9501" s="705">
        <v>783.87033198002428</v>
      </c>
    </row>
    <row r="9502" spans="2:7" ht="11.25" hidden="1" customHeight="1" outlineLevel="2" x14ac:dyDescent="0.25">
      <c r="B9502" s="704" t="s">
        <v>692</v>
      </c>
      <c r="C9502" s="704" t="s">
        <v>899</v>
      </c>
      <c r="D9502" s="704" t="s">
        <v>728</v>
      </c>
      <c r="E9502" s="704" t="s">
        <v>861</v>
      </c>
      <c r="F9502" s="709"/>
      <c r="G9502" s="705">
        <v>51.180529217185828</v>
      </c>
    </row>
    <row r="9503" spans="2:7" ht="11.25" hidden="1" customHeight="1" outlineLevel="2" x14ac:dyDescent="0.25">
      <c r="B9503" s="704" t="s">
        <v>693</v>
      </c>
      <c r="C9503" s="704" t="s">
        <v>899</v>
      </c>
      <c r="D9503" s="704" t="s">
        <v>728</v>
      </c>
      <c r="E9503" s="704" t="s">
        <v>861</v>
      </c>
      <c r="F9503" s="708"/>
      <c r="G9503" s="705">
        <v>39.328203565459624</v>
      </c>
    </row>
    <row r="9504" spans="2:7" ht="11.25" hidden="1" customHeight="1" outlineLevel="2" x14ac:dyDescent="0.25">
      <c r="B9504" s="704" t="s">
        <v>694</v>
      </c>
      <c r="C9504" s="704" t="s">
        <v>899</v>
      </c>
      <c r="D9504" s="704" t="s">
        <v>728</v>
      </c>
      <c r="E9504" s="704" t="s">
        <v>861</v>
      </c>
      <c r="F9504" s="708"/>
      <c r="G9504" s="705">
        <v>86.737528034707111</v>
      </c>
    </row>
    <row r="9505" spans="2:7" ht="11.25" hidden="1" customHeight="1" outlineLevel="2" x14ac:dyDescent="0.25">
      <c r="B9505" s="704" t="s">
        <v>695</v>
      </c>
      <c r="C9505" s="704" t="s">
        <v>899</v>
      </c>
      <c r="D9505" s="704" t="s">
        <v>728</v>
      </c>
      <c r="E9505" s="704" t="s">
        <v>861</v>
      </c>
      <c r="F9505" s="708"/>
      <c r="G9505" s="705">
        <v>85.121290335723501</v>
      </c>
    </row>
    <row r="9506" spans="2:7" ht="11.25" hidden="1" customHeight="1" outlineLevel="2" x14ac:dyDescent="0.25">
      <c r="B9506" s="704" t="s">
        <v>696</v>
      </c>
      <c r="C9506" s="704" t="s">
        <v>899</v>
      </c>
      <c r="D9506" s="704" t="s">
        <v>728</v>
      </c>
      <c r="E9506" s="704" t="s">
        <v>861</v>
      </c>
      <c r="F9506" s="709"/>
      <c r="G9506" s="705">
        <v>121.75574246050925</v>
      </c>
    </row>
    <row r="9507" spans="2:7" ht="11.25" hidden="1" customHeight="1" outlineLevel="2" x14ac:dyDescent="0.25">
      <c r="B9507" s="704" t="s">
        <v>697</v>
      </c>
      <c r="C9507" s="704" t="s">
        <v>899</v>
      </c>
      <c r="D9507" s="704" t="s">
        <v>728</v>
      </c>
      <c r="E9507" s="704" t="s">
        <v>861</v>
      </c>
      <c r="F9507" s="709"/>
      <c r="G9507" s="705">
        <v>54.951728350653831</v>
      </c>
    </row>
    <row r="9508" spans="2:7" ht="11.25" hidden="1" customHeight="1" outlineLevel="2" x14ac:dyDescent="0.25">
      <c r="B9508" s="704" t="s">
        <v>698</v>
      </c>
      <c r="C9508" s="704" t="s">
        <v>899</v>
      </c>
      <c r="D9508" s="704" t="s">
        <v>728</v>
      </c>
      <c r="E9508" s="704" t="s">
        <v>861</v>
      </c>
      <c r="F9508" s="709"/>
      <c r="G9508" s="705">
        <v>86.737528034865477</v>
      </c>
    </row>
    <row r="9509" spans="2:7" ht="11.25" hidden="1" customHeight="1" outlineLevel="2" x14ac:dyDescent="0.25">
      <c r="B9509" s="704" t="s">
        <v>699</v>
      </c>
      <c r="C9509" s="704" t="s">
        <v>899</v>
      </c>
      <c r="D9509" s="704" t="s">
        <v>728</v>
      </c>
      <c r="E9509" s="704" t="s">
        <v>861</v>
      </c>
      <c r="F9509" s="708"/>
      <c r="G9509" s="705">
        <v>97.512386264789228</v>
      </c>
    </row>
    <row r="9510" spans="2:7" ht="11.25" hidden="1" customHeight="1" outlineLevel="2" x14ac:dyDescent="0.25">
      <c r="B9510" s="704" t="s">
        <v>673</v>
      </c>
      <c r="C9510" s="704" t="s">
        <v>900</v>
      </c>
      <c r="D9510" s="704" t="s">
        <v>728</v>
      </c>
      <c r="E9510" s="704" t="s">
        <v>861</v>
      </c>
      <c r="F9510" s="708"/>
      <c r="G9510" s="705">
        <v>0.32082952351062732</v>
      </c>
    </row>
    <row r="9511" spans="2:7" ht="11.25" hidden="1" customHeight="1" outlineLevel="2" x14ac:dyDescent="0.25">
      <c r="B9511" s="704" t="s">
        <v>677</v>
      </c>
      <c r="C9511" s="704" t="s">
        <v>900</v>
      </c>
      <c r="D9511" s="704" t="s">
        <v>728</v>
      </c>
      <c r="E9511" s="704" t="s">
        <v>861</v>
      </c>
      <c r="F9511" s="705">
        <v>5.400954619712426E-4</v>
      </c>
      <c r="G9511" s="705">
        <v>15.374149160054172</v>
      </c>
    </row>
    <row r="9512" spans="2:7" ht="11.25" hidden="1" customHeight="1" outlineLevel="2" x14ac:dyDescent="0.25">
      <c r="B9512" s="704" t="s">
        <v>678</v>
      </c>
      <c r="C9512" s="704" t="s">
        <v>900</v>
      </c>
      <c r="D9512" s="704" t="s">
        <v>728</v>
      </c>
      <c r="E9512" s="704" t="s">
        <v>861</v>
      </c>
      <c r="F9512" s="708"/>
      <c r="G9512" s="705">
        <v>18.47977974369487</v>
      </c>
    </row>
    <row r="9513" spans="2:7" ht="11.25" hidden="1" customHeight="1" outlineLevel="2" x14ac:dyDescent="0.25">
      <c r="B9513" s="704" t="s">
        <v>679</v>
      </c>
      <c r="C9513" s="704" t="s">
        <v>900</v>
      </c>
      <c r="D9513" s="704" t="s">
        <v>728</v>
      </c>
      <c r="E9513" s="704" t="s">
        <v>861</v>
      </c>
      <c r="F9513" s="708"/>
      <c r="G9513" s="705">
        <v>1.1036533018772345</v>
      </c>
    </row>
    <row r="9514" spans="2:7" ht="11.25" hidden="1" customHeight="1" outlineLevel="2" x14ac:dyDescent="0.25">
      <c r="B9514" s="704" t="s">
        <v>680</v>
      </c>
      <c r="C9514" s="704" t="s">
        <v>900</v>
      </c>
      <c r="D9514" s="704" t="s">
        <v>728</v>
      </c>
      <c r="E9514" s="704" t="s">
        <v>861</v>
      </c>
      <c r="F9514" s="708"/>
      <c r="G9514" s="705">
        <v>0.34649578994111901</v>
      </c>
    </row>
    <row r="9515" spans="2:7" ht="11.25" hidden="1" customHeight="1" outlineLevel="2" x14ac:dyDescent="0.25">
      <c r="B9515" s="704" t="s">
        <v>681</v>
      </c>
      <c r="C9515" s="704" t="s">
        <v>900</v>
      </c>
      <c r="D9515" s="704" t="s">
        <v>728</v>
      </c>
      <c r="E9515" s="704" t="s">
        <v>861</v>
      </c>
      <c r="F9515" s="708"/>
      <c r="G9515" s="705">
        <v>5.8262645405521658</v>
      </c>
    </row>
    <row r="9516" spans="2:7" ht="11.25" hidden="1" customHeight="1" outlineLevel="2" x14ac:dyDescent="0.25">
      <c r="B9516" s="704" t="s">
        <v>682</v>
      </c>
      <c r="C9516" s="704" t="s">
        <v>900</v>
      </c>
      <c r="D9516" s="704" t="s">
        <v>728</v>
      </c>
      <c r="E9516" s="704" t="s">
        <v>861</v>
      </c>
      <c r="F9516" s="708"/>
      <c r="G9516" s="705">
        <v>0.75715760812675015</v>
      </c>
    </row>
    <row r="9517" spans="2:7" ht="11.25" hidden="1" customHeight="1" outlineLevel="2" x14ac:dyDescent="0.25">
      <c r="B9517" s="704" t="s">
        <v>683</v>
      </c>
      <c r="C9517" s="704" t="s">
        <v>900</v>
      </c>
      <c r="D9517" s="704" t="s">
        <v>728</v>
      </c>
      <c r="E9517" s="704" t="s">
        <v>861</v>
      </c>
      <c r="F9517" s="708"/>
      <c r="G9517" s="705">
        <v>1.5913142809533578</v>
      </c>
    </row>
    <row r="9518" spans="2:7" ht="11.25" hidden="1" customHeight="1" outlineLevel="2" x14ac:dyDescent="0.25">
      <c r="B9518" s="704" t="s">
        <v>684</v>
      </c>
      <c r="C9518" s="704" t="s">
        <v>900</v>
      </c>
      <c r="D9518" s="704" t="s">
        <v>728</v>
      </c>
      <c r="E9518" s="704" t="s">
        <v>861</v>
      </c>
      <c r="F9518" s="708"/>
      <c r="G9518" s="705">
        <v>2.0533084642688482</v>
      </c>
    </row>
    <row r="9519" spans="2:7" ht="11.25" hidden="1" customHeight="1" outlineLevel="2" x14ac:dyDescent="0.25">
      <c r="B9519" s="704" t="s">
        <v>685</v>
      </c>
      <c r="C9519" s="704" t="s">
        <v>900</v>
      </c>
      <c r="D9519" s="704" t="s">
        <v>728</v>
      </c>
      <c r="E9519" s="704" t="s">
        <v>861</v>
      </c>
      <c r="F9519" s="708"/>
      <c r="G9519" s="705">
        <v>9.67621731830301</v>
      </c>
    </row>
    <row r="9520" spans="2:7" ht="11.25" hidden="1" customHeight="1" outlineLevel="2" x14ac:dyDescent="0.25">
      <c r="B9520" s="704" t="s">
        <v>686</v>
      </c>
      <c r="C9520" s="704" t="s">
        <v>900</v>
      </c>
      <c r="D9520" s="704" t="s">
        <v>728</v>
      </c>
      <c r="E9520" s="704" t="s">
        <v>861</v>
      </c>
      <c r="F9520" s="709"/>
      <c r="G9520" s="705">
        <v>2.0661424734008036</v>
      </c>
    </row>
    <row r="9521" spans="2:7" ht="11.25" hidden="1" customHeight="1" outlineLevel="2" x14ac:dyDescent="0.25">
      <c r="B9521" s="704" t="s">
        <v>687</v>
      </c>
      <c r="C9521" s="704" t="s">
        <v>900</v>
      </c>
      <c r="D9521" s="704" t="s">
        <v>728</v>
      </c>
      <c r="E9521" s="704" t="s">
        <v>861</v>
      </c>
      <c r="F9521" s="709"/>
      <c r="G9521" s="705">
        <v>4.2477832515043072</v>
      </c>
    </row>
    <row r="9522" spans="2:7" ht="11.25" hidden="1" customHeight="1" outlineLevel="2" x14ac:dyDescent="0.25">
      <c r="B9522" s="704" t="s">
        <v>688</v>
      </c>
      <c r="C9522" s="704" t="s">
        <v>900</v>
      </c>
      <c r="D9522" s="704" t="s">
        <v>728</v>
      </c>
      <c r="E9522" s="704" t="s">
        <v>861</v>
      </c>
      <c r="F9522" s="708"/>
      <c r="G9522" s="705">
        <v>12.499518230443339</v>
      </c>
    </row>
    <row r="9523" spans="2:7" ht="11.25" hidden="1" customHeight="1" outlineLevel="2" x14ac:dyDescent="0.25">
      <c r="B9523" s="704" t="s">
        <v>689</v>
      </c>
      <c r="C9523" s="704" t="s">
        <v>900</v>
      </c>
      <c r="D9523" s="704" t="s">
        <v>728</v>
      </c>
      <c r="E9523" s="704" t="s">
        <v>861</v>
      </c>
      <c r="F9523" s="708"/>
      <c r="G9523" s="705">
        <v>1.216678789128556</v>
      </c>
    </row>
    <row r="9524" spans="2:7" ht="11.25" hidden="1" customHeight="1" outlineLevel="2" x14ac:dyDescent="0.25">
      <c r="B9524" s="704" t="s">
        <v>690</v>
      </c>
      <c r="C9524" s="704" t="s">
        <v>900</v>
      </c>
      <c r="D9524" s="704" t="s">
        <v>728</v>
      </c>
      <c r="E9524" s="704" t="s">
        <v>861</v>
      </c>
      <c r="F9524" s="708"/>
      <c r="G9524" s="705">
        <v>38.217216136923085</v>
      </c>
    </row>
    <row r="9525" spans="2:7" ht="11.25" hidden="1" customHeight="1" outlineLevel="2" x14ac:dyDescent="0.25">
      <c r="B9525" s="704" t="s">
        <v>691</v>
      </c>
      <c r="C9525" s="704" t="s">
        <v>900</v>
      </c>
      <c r="D9525" s="704" t="s">
        <v>728</v>
      </c>
      <c r="E9525" s="704" t="s">
        <v>861</v>
      </c>
      <c r="F9525" s="708"/>
      <c r="G9525" s="705">
        <v>18.672277556558132</v>
      </c>
    </row>
    <row r="9526" spans="2:7" ht="11.25" hidden="1" customHeight="1" outlineLevel="2" x14ac:dyDescent="0.25">
      <c r="B9526" s="704" t="s">
        <v>692</v>
      </c>
      <c r="C9526" s="704" t="s">
        <v>900</v>
      </c>
      <c r="D9526" s="704" t="s">
        <v>728</v>
      </c>
      <c r="E9526" s="704" t="s">
        <v>861</v>
      </c>
      <c r="F9526" s="708"/>
      <c r="G9526" s="705">
        <v>1.2191520005109011</v>
      </c>
    </row>
    <row r="9527" spans="2:7" ht="11.25" hidden="1" customHeight="1" outlineLevel="2" x14ac:dyDescent="0.25">
      <c r="B9527" s="704" t="s">
        <v>693</v>
      </c>
      <c r="C9527" s="704" t="s">
        <v>900</v>
      </c>
      <c r="D9527" s="704" t="s">
        <v>728</v>
      </c>
      <c r="E9527" s="704" t="s">
        <v>861</v>
      </c>
      <c r="F9527" s="708"/>
      <c r="G9527" s="705">
        <v>0.93682220675024708</v>
      </c>
    </row>
    <row r="9528" spans="2:7" ht="11.25" hidden="1" customHeight="1" outlineLevel="2" x14ac:dyDescent="0.25">
      <c r="B9528" s="704" t="s">
        <v>694</v>
      </c>
      <c r="C9528" s="704" t="s">
        <v>900</v>
      </c>
      <c r="D9528" s="704" t="s">
        <v>728</v>
      </c>
      <c r="E9528" s="704" t="s">
        <v>861</v>
      </c>
      <c r="F9528" s="708"/>
      <c r="G9528" s="705">
        <v>2.0661424734008036</v>
      </c>
    </row>
    <row r="9529" spans="2:7" ht="11.25" hidden="1" customHeight="1" outlineLevel="2" x14ac:dyDescent="0.25">
      <c r="B9529" s="704" t="s">
        <v>695</v>
      </c>
      <c r="C9529" s="704" t="s">
        <v>900</v>
      </c>
      <c r="D9529" s="704" t="s">
        <v>728</v>
      </c>
      <c r="E9529" s="704" t="s">
        <v>861</v>
      </c>
      <c r="F9529" s="708"/>
      <c r="G9529" s="705">
        <v>2.0276423949913895</v>
      </c>
    </row>
    <row r="9530" spans="2:7" ht="11.25" hidden="1" customHeight="1" outlineLevel="2" x14ac:dyDescent="0.25">
      <c r="B9530" s="704" t="s">
        <v>696</v>
      </c>
      <c r="C9530" s="704" t="s">
        <v>900</v>
      </c>
      <c r="D9530" s="704" t="s">
        <v>728</v>
      </c>
      <c r="E9530" s="704" t="s">
        <v>861</v>
      </c>
      <c r="F9530" s="708"/>
      <c r="G9530" s="705">
        <v>2.9002983460274092</v>
      </c>
    </row>
    <row r="9531" spans="2:7" ht="11.25" hidden="1" customHeight="1" outlineLevel="2" x14ac:dyDescent="0.25">
      <c r="B9531" s="704" t="s">
        <v>697</v>
      </c>
      <c r="C9531" s="704" t="s">
        <v>900</v>
      </c>
      <c r="D9531" s="704" t="s">
        <v>728</v>
      </c>
      <c r="E9531" s="704" t="s">
        <v>861</v>
      </c>
      <c r="F9531" s="708"/>
      <c r="G9531" s="705">
        <v>1.3089845243992875</v>
      </c>
    </row>
    <row r="9532" spans="2:7" ht="11.25" hidden="1" customHeight="1" outlineLevel="2" x14ac:dyDescent="0.25">
      <c r="B9532" s="704" t="s">
        <v>698</v>
      </c>
      <c r="C9532" s="704" t="s">
        <v>900</v>
      </c>
      <c r="D9532" s="704" t="s">
        <v>728</v>
      </c>
      <c r="E9532" s="704" t="s">
        <v>861</v>
      </c>
      <c r="F9532" s="708"/>
      <c r="G9532" s="705">
        <v>2.0661424734243501</v>
      </c>
    </row>
    <row r="9533" spans="2:7" ht="11.25" hidden="1" customHeight="1" outlineLevel="2" x14ac:dyDescent="0.25">
      <c r="B9533" s="704" t="s">
        <v>699</v>
      </c>
      <c r="C9533" s="704" t="s">
        <v>900</v>
      </c>
      <c r="D9533" s="704" t="s">
        <v>728</v>
      </c>
      <c r="E9533" s="704" t="s">
        <v>861</v>
      </c>
      <c r="F9533" s="708"/>
      <c r="G9533" s="705">
        <v>2.322804858196895</v>
      </c>
    </row>
    <row r="9534" spans="2:7" ht="11.25" hidden="1" customHeight="1" outlineLevel="1" x14ac:dyDescent="0.25">
      <c r="B9534" s="704"/>
      <c r="C9534" s="704"/>
      <c r="D9534" s="707" t="s">
        <v>932</v>
      </c>
      <c r="E9534" s="704"/>
      <c r="F9534" s="708">
        <f t="shared" ref="F9534:G9534" si="19">SUBTOTAL(9,F8598:F9533)</f>
        <v>634.71928437634836</v>
      </c>
      <c r="G9534" s="705">
        <f t="shared" si="19"/>
        <v>748573.37742902408</v>
      </c>
    </row>
    <row r="9535" spans="2:7" ht="11.25" hidden="1" customHeight="1" outlineLevel="2" x14ac:dyDescent="0.25">
      <c r="B9535" s="704" t="s">
        <v>673</v>
      </c>
      <c r="C9535" s="704" t="s">
        <v>744</v>
      </c>
      <c r="D9535" s="704" t="s">
        <v>745</v>
      </c>
      <c r="E9535" s="704" t="s">
        <v>448</v>
      </c>
      <c r="F9535" s="705">
        <v>3.7180765131007001E-2</v>
      </c>
      <c r="G9535" s="705">
        <v>21.499766962332874</v>
      </c>
    </row>
    <row r="9536" spans="2:7" ht="11.25" hidden="1" customHeight="1" outlineLevel="2" x14ac:dyDescent="0.25">
      <c r="B9536" s="704" t="s">
        <v>677</v>
      </c>
      <c r="C9536" s="704" t="s">
        <v>744</v>
      </c>
      <c r="D9536" s="704" t="s">
        <v>745</v>
      </c>
      <c r="E9536" s="704" t="s">
        <v>448</v>
      </c>
      <c r="F9536" s="705">
        <v>3.4073256181683047E-2</v>
      </c>
      <c r="G9536" s="705">
        <v>19.671464850963325</v>
      </c>
    </row>
    <row r="9537" spans="2:7" ht="11.25" hidden="1" customHeight="1" outlineLevel="2" x14ac:dyDescent="0.25">
      <c r="B9537" s="704" t="s">
        <v>678</v>
      </c>
      <c r="C9537" s="704" t="s">
        <v>744</v>
      </c>
      <c r="D9537" s="704" t="s">
        <v>745</v>
      </c>
      <c r="E9537" s="704" t="s">
        <v>448</v>
      </c>
      <c r="F9537" s="705">
        <v>1.8938713406446588E-2</v>
      </c>
      <c r="G9537" s="705">
        <v>10.952231094988903</v>
      </c>
    </row>
    <row r="9538" spans="2:7" ht="11.25" hidden="1" customHeight="1" outlineLevel="2" x14ac:dyDescent="0.25">
      <c r="B9538" s="704" t="s">
        <v>679</v>
      </c>
      <c r="C9538" s="704" t="s">
        <v>744</v>
      </c>
      <c r="D9538" s="704" t="s">
        <v>745</v>
      </c>
      <c r="E9538" s="704" t="s">
        <v>448</v>
      </c>
      <c r="F9538" s="706">
        <v>2.2159690556707228E-2</v>
      </c>
      <c r="G9538" s="705">
        <v>12.814909802959473</v>
      </c>
    </row>
    <row r="9539" spans="2:7" ht="11.25" hidden="1" customHeight="1" outlineLevel="2" x14ac:dyDescent="0.25">
      <c r="B9539" s="704" t="s">
        <v>680</v>
      </c>
      <c r="C9539" s="704" t="s">
        <v>744</v>
      </c>
      <c r="D9539" s="704" t="s">
        <v>745</v>
      </c>
      <c r="E9539" s="704" t="s">
        <v>448</v>
      </c>
      <c r="F9539" s="706">
        <v>1.5289058309134313E-2</v>
      </c>
      <c r="G9539" s="705">
        <v>8.8408898611113855</v>
      </c>
    </row>
    <row r="9540" spans="2:7" ht="11.25" hidden="1" customHeight="1" outlineLevel="2" x14ac:dyDescent="0.25">
      <c r="B9540" s="704" t="s">
        <v>681</v>
      </c>
      <c r="C9540" s="704" t="s">
        <v>744</v>
      </c>
      <c r="D9540" s="704" t="s">
        <v>745</v>
      </c>
      <c r="E9540" s="704" t="s">
        <v>448</v>
      </c>
      <c r="F9540" s="706">
        <v>1.4263420852343845E-2</v>
      </c>
      <c r="G9540" s="705">
        <v>8.2485120948308204</v>
      </c>
    </row>
    <row r="9541" spans="2:7" ht="11.25" hidden="1" customHeight="1" outlineLevel="2" x14ac:dyDescent="0.25">
      <c r="B9541" s="704" t="s">
        <v>682</v>
      </c>
      <c r="C9541" s="704" t="s">
        <v>744</v>
      </c>
      <c r="D9541" s="704" t="s">
        <v>745</v>
      </c>
      <c r="E9541" s="704" t="s">
        <v>448</v>
      </c>
      <c r="F9541" s="706">
        <v>1.4494954078327848E-3</v>
      </c>
      <c r="G9541" s="705">
        <v>0.83824120321322126</v>
      </c>
    </row>
    <row r="9542" spans="2:7" ht="11.25" hidden="1" customHeight="1" outlineLevel="2" x14ac:dyDescent="0.25">
      <c r="B9542" s="704" t="s">
        <v>683</v>
      </c>
      <c r="C9542" s="704" t="s">
        <v>744</v>
      </c>
      <c r="D9542" s="704" t="s">
        <v>745</v>
      </c>
      <c r="E9542" s="704" t="s">
        <v>448</v>
      </c>
      <c r="F9542" s="706">
        <v>5.7043612846435388E-2</v>
      </c>
      <c r="G9542" s="705">
        <v>32.988225349242114</v>
      </c>
    </row>
    <row r="9543" spans="2:7" ht="11.25" hidden="1" customHeight="1" outlineLevel="2" x14ac:dyDescent="0.25">
      <c r="B9543" s="704" t="s">
        <v>684</v>
      </c>
      <c r="C9543" s="704" t="s">
        <v>744</v>
      </c>
      <c r="D9543" s="704" t="s">
        <v>745</v>
      </c>
      <c r="E9543" s="704" t="s">
        <v>448</v>
      </c>
      <c r="F9543" s="706">
        <v>4.7019428847847981E-2</v>
      </c>
      <c r="G9543" s="705">
        <v>27.189001094996215</v>
      </c>
    </row>
    <row r="9544" spans="2:7" ht="11.25" hidden="1" customHeight="1" outlineLevel="2" x14ac:dyDescent="0.25">
      <c r="B9544" s="704" t="s">
        <v>685</v>
      </c>
      <c r="C9544" s="704" t="s">
        <v>744</v>
      </c>
      <c r="D9544" s="704" t="s">
        <v>745</v>
      </c>
      <c r="E9544" s="704" t="s">
        <v>448</v>
      </c>
      <c r="F9544" s="706">
        <v>8.0103692061474704E-3</v>
      </c>
      <c r="G9544" s="705">
        <v>4.6323745468273385</v>
      </c>
    </row>
    <row r="9545" spans="2:7" ht="11.25" hidden="1" customHeight="1" outlineLevel="2" x14ac:dyDescent="0.25">
      <c r="B9545" s="704" t="s">
        <v>686</v>
      </c>
      <c r="C9545" s="704" t="s">
        <v>744</v>
      </c>
      <c r="D9545" s="704" t="s">
        <v>745</v>
      </c>
      <c r="E9545" s="704" t="s">
        <v>448</v>
      </c>
      <c r="F9545" s="706">
        <v>8.1448494848124386E-2</v>
      </c>
      <c r="G9545" s="705">
        <v>47.0974543975289</v>
      </c>
    </row>
    <row r="9546" spans="2:7" ht="11.25" hidden="1" customHeight="1" outlineLevel="2" x14ac:dyDescent="0.25">
      <c r="B9546" s="704" t="s">
        <v>687</v>
      </c>
      <c r="C9546" s="704" t="s">
        <v>744</v>
      </c>
      <c r="D9546" s="704" t="s">
        <v>745</v>
      </c>
      <c r="E9546" s="704" t="s">
        <v>448</v>
      </c>
      <c r="F9546" s="706">
        <v>2.1545831379566286E-2</v>
      </c>
      <c r="G9546" s="705">
        <v>12.459912357300331</v>
      </c>
    </row>
    <row r="9547" spans="2:7" ht="11.25" hidden="1" customHeight="1" outlineLevel="2" x14ac:dyDescent="0.25">
      <c r="B9547" s="704" t="s">
        <v>688</v>
      </c>
      <c r="C9547" s="704" t="s">
        <v>744</v>
      </c>
      <c r="D9547" s="704" t="s">
        <v>745</v>
      </c>
      <c r="E9547" s="704" t="s">
        <v>448</v>
      </c>
      <c r="F9547" s="706">
        <v>9.718198525555383E-3</v>
      </c>
      <c r="G9547" s="705">
        <v>5.6200305704730882</v>
      </c>
    </row>
    <row r="9548" spans="2:7" ht="11.25" hidden="1" customHeight="1" outlineLevel="2" x14ac:dyDescent="0.25">
      <c r="B9548" s="704" t="s">
        <v>689</v>
      </c>
      <c r="C9548" s="704" t="s">
        <v>744</v>
      </c>
      <c r="D9548" s="704" t="s">
        <v>745</v>
      </c>
      <c r="E9548" s="704" t="s">
        <v>448</v>
      </c>
      <c r="F9548" s="705">
        <v>1.1653907528738013E-2</v>
      </c>
      <c r="G9548" s="705">
        <v>6.7396840555062303</v>
      </c>
    </row>
    <row r="9549" spans="2:7" ht="11.25" hidden="1" customHeight="1" outlineLevel="2" x14ac:dyDescent="0.25">
      <c r="B9549" s="704" t="s">
        <v>690</v>
      </c>
      <c r="C9549" s="704" t="s">
        <v>744</v>
      </c>
      <c r="D9549" s="704" t="s">
        <v>745</v>
      </c>
      <c r="E9549" s="704" t="s">
        <v>448</v>
      </c>
      <c r="F9549" s="705">
        <v>6.1009399200485509E-3</v>
      </c>
      <c r="G9549" s="705">
        <v>3.5281699332147705</v>
      </c>
    </row>
    <row r="9550" spans="2:7" ht="11.25" hidden="1" customHeight="1" outlineLevel="2" x14ac:dyDescent="0.25">
      <c r="B9550" s="704" t="s">
        <v>691</v>
      </c>
      <c r="C9550" s="704" t="s">
        <v>744</v>
      </c>
      <c r="D9550" s="704" t="s">
        <v>745</v>
      </c>
      <c r="E9550" s="704" t="s">
        <v>448</v>
      </c>
      <c r="F9550" s="706">
        <v>2.3196895746819345E-2</v>
      </c>
      <c r="G9550" s="705">
        <v>13.414724784136812</v>
      </c>
    </row>
    <row r="9551" spans="2:7" ht="11.25" hidden="1" customHeight="1" outlineLevel="2" x14ac:dyDescent="0.25">
      <c r="B9551" s="704" t="s">
        <v>692</v>
      </c>
      <c r="C9551" s="704" t="s">
        <v>744</v>
      </c>
      <c r="D9551" s="704" t="s">
        <v>745</v>
      </c>
      <c r="E9551" s="704" t="s">
        <v>448</v>
      </c>
      <c r="F9551" s="705">
        <v>1.5881696837176152E-2</v>
      </c>
      <c r="G9551" s="705">
        <v>9.1843647376224222</v>
      </c>
    </row>
    <row r="9552" spans="2:7" ht="11.25" hidden="1" customHeight="1" outlineLevel="2" x14ac:dyDescent="0.25">
      <c r="B9552" s="704" t="s">
        <v>693</v>
      </c>
      <c r="C9552" s="704" t="s">
        <v>744</v>
      </c>
      <c r="D9552" s="704" t="s">
        <v>745</v>
      </c>
      <c r="E9552" s="704" t="s">
        <v>448</v>
      </c>
      <c r="F9552" s="705">
        <v>3.2667064699299926E-2</v>
      </c>
      <c r="G9552" s="705">
        <v>18.889719353034494</v>
      </c>
    </row>
    <row r="9553" spans="2:7" ht="11.25" hidden="1" customHeight="1" outlineLevel="2" x14ac:dyDescent="0.25">
      <c r="B9553" s="704" t="s">
        <v>694</v>
      </c>
      <c r="C9553" s="704" t="s">
        <v>744</v>
      </c>
      <c r="D9553" s="704" t="s">
        <v>745</v>
      </c>
      <c r="E9553" s="704" t="s">
        <v>448</v>
      </c>
      <c r="F9553" s="705">
        <v>2.8849432160197527E-2</v>
      </c>
      <c r="G9553" s="705">
        <v>16.682181275804691</v>
      </c>
    </row>
    <row r="9554" spans="2:7" ht="11.25" hidden="1" customHeight="1" outlineLevel="2" x14ac:dyDescent="0.25">
      <c r="B9554" s="704" t="s">
        <v>695</v>
      </c>
      <c r="C9554" s="704" t="s">
        <v>744</v>
      </c>
      <c r="D9554" s="704" t="s">
        <v>745</v>
      </c>
      <c r="E9554" s="704" t="s">
        <v>448</v>
      </c>
      <c r="F9554" s="705">
        <v>1.7556974704997119E-2</v>
      </c>
      <c r="G9554" s="705">
        <v>10.152315159926115</v>
      </c>
    </row>
    <row r="9555" spans="2:7" ht="11.25" hidden="1" customHeight="1" outlineLevel="2" x14ac:dyDescent="0.25">
      <c r="B9555" s="704" t="s">
        <v>696</v>
      </c>
      <c r="C9555" s="704" t="s">
        <v>744</v>
      </c>
      <c r="D9555" s="704" t="s">
        <v>745</v>
      </c>
      <c r="E9555" s="704" t="s">
        <v>448</v>
      </c>
      <c r="F9555" s="705">
        <v>7.3859261569282726E-3</v>
      </c>
      <c r="G9555" s="705">
        <v>4.2709018109005275</v>
      </c>
    </row>
    <row r="9556" spans="2:7" ht="11.25" hidden="1" customHeight="1" outlineLevel="2" x14ac:dyDescent="0.25">
      <c r="B9556" s="704" t="s">
        <v>697</v>
      </c>
      <c r="C9556" s="704" t="s">
        <v>744</v>
      </c>
      <c r="D9556" s="704" t="s">
        <v>745</v>
      </c>
      <c r="E9556" s="704" t="s">
        <v>448</v>
      </c>
      <c r="F9556" s="705">
        <v>6.8167051634671225E-2</v>
      </c>
      <c r="G9556" s="705">
        <v>39.417599668865485</v>
      </c>
    </row>
    <row r="9557" spans="2:7" ht="11.25" hidden="1" customHeight="1" outlineLevel="2" x14ac:dyDescent="0.25">
      <c r="B9557" s="704" t="s">
        <v>698</v>
      </c>
      <c r="C9557" s="704" t="s">
        <v>744</v>
      </c>
      <c r="D9557" s="704" t="s">
        <v>745</v>
      </c>
      <c r="E9557" s="704" t="s">
        <v>448</v>
      </c>
      <c r="F9557" s="705">
        <v>5.7404941087289191E-2</v>
      </c>
      <c r="G9557" s="705">
        <v>33.194375606716576</v>
      </c>
    </row>
    <row r="9558" spans="2:7" ht="11.25" hidden="1" customHeight="1" outlineLevel="2" x14ac:dyDescent="0.25">
      <c r="B9558" s="704" t="s">
        <v>699</v>
      </c>
      <c r="C9558" s="704" t="s">
        <v>744</v>
      </c>
      <c r="D9558" s="704" t="s">
        <v>745</v>
      </c>
      <c r="E9558" s="704" t="s">
        <v>448</v>
      </c>
      <c r="F9558" s="705">
        <v>2.9467734227582675E-37</v>
      </c>
      <c r="G9558" s="705">
        <v>1.7041150163426568E-34</v>
      </c>
    </row>
    <row r="9559" spans="2:7" ht="11.25" hidden="1" customHeight="1" outlineLevel="2" x14ac:dyDescent="0.25">
      <c r="B9559" s="704" t="s">
        <v>673</v>
      </c>
      <c r="C9559" s="704" t="s">
        <v>812</v>
      </c>
      <c r="D9559" s="704" t="s">
        <v>745</v>
      </c>
      <c r="E9559" s="704" t="s">
        <v>448</v>
      </c>
      <c r="F9559" s="705">
        <v>4.3932917690746628E-2</v>
      </c>
      <c r="G9559" s="705">
        <v>48.410055519617352</v>
      </c>
    </row>
    <row r="9560" spans="2:7" ht="11.25" hidden="1" customHeight="1" outlineLevel="2" x14ac:dyDescent="0.25">
      <c r="B9560" s="704" t="s">
        <v>677</v>
      </c>
      <c r="C9560" s="704" t="s">
        <v>812</v>
      </c>
      <c r="D9560" s="704" t="s">
        <v>745</v>
      </c>
      <c r="E9560" s="704" t="s">
        <v>448</v>
      </c>
      <c r="F9560" s="705">
        <v>4.0610596693594618E-2</v>
      </c>
      <c r="G9560" s="705">
        <v>44.293366034735534</v>
      </c>
    </row>
    <row r="9561" spans="2:7" ht="11.25" hidden="1" customHeight="1" outlineLevel="2" x14ac:dyDescent="0.25">
      <c r="B9561" s="704" t="s">
        <v>678</v>
      </c>
      <c r="C9561" s="704" t="s">
        <v>812</v>
      </c>
      <c r="D9561" s="704" t="s">
        <v>745</v>
      </c>
      <c r="E9561" s="704" t="s">
        <v>448</v>
      </c>
      <c r="F9561" s="705">
        <v>2.2274529922454607E-2</v>
      </c>
      <c r="G9561" s="705">
        <v>24.660648562510556</v>
      </c>
    </row>
    <row r="9562" spans="2:7" ht="11.25" hidden="1" customHeight="1" outlineLevel="2" x14ac:dyDescent="0.25">
      <c r="B9562" s="704" t="s">
        <v>679</v>
      </c>
      <c r="C9562" s="704" t="s">
        <v>812</v>
      </c>
      <c r="D9562" s="704" t="s">
        <v>745</v>
      </c>
      <c r="E9562" s="704" t="s">
        <v>448</v>
      </c>
      <c r="F9562" s="705">
        <v>2.5934898142718384E-2</v>
      </c>
      <c r="G9562" s="705">
        <v>28.85477464646366</v>
      </c>
    </row>
    <row r="9563" spans="2:7" ht="11.25" hidden="1" customHeight="1" outlineLevel="2" x14ac:dyDescent="0.25">
      <c r="B9563" s="704" t="s">
        <v>680</v>
      </c>
      <c r="C9563" s="704" t="s">
        <v>812</v>
      </c>
      <c r="D9563" s="704" t="s">
        <v>745</v>
      </c>
      <c r="E9563" s="704" t="s">
        <v>448</v>
      </c>
      <c r="F9563" s="705">
        <v>1.7873230677792975E-2</v>
      </c>
      <c r="G9563" s="705">
        <v>19.906658788828786</v>
      </c>
    </row>
    <row r="9564" spans="2:7" ht="11.25" hidden="1" customHeight="1" outlineLevel="2" x14ac:dyDescent="0.25">
      <c r="B9564" s="704" t="s">
        <v>681</v>
      </c>
      <c r="C9564" s="704" t="s">
        <v>812</v>
      </c>
      <c r="D9564" s="704" t="s">
        <v>745</v>
      </c>
      <c r="E9564" s="704" t="s">
        <v>448</v>
      </c>
      <c r="F9564" s="705">
        <v>1.6775728059978678E-2</v>
      </c>
      <c r="G9564" s="705">
        <v>18.572803174133043</v>
      </c>
    </row>
    <row r="9565" spans="2:7" ht="11.25" hidden="1" customHeight="1" outlineLevel="2" x14ac:dyDescent="0.25">
      <c r="B9565" s="704" t="s">
        <v>682</v>
      </c>
      <c r="C9565" s="704" t="s">
        <v>812</v>
      </c>
      <c r="D9565" s="704" t="s">
        <v>745</v>
      </c>
      <c r="E9565" s="704" t="s">
        <v>448</v>
      </c>
      <c r="F9565" s="705">
        <v>1.7046453660849914E-3</v>
      </c>
      <c r="G9565" s="705">
        <v>1.8874282448024666</v>
      </c>
    </row>
    <row r="9566" spans="2:7" ht="11.25" hidden="1" customHeight="1" outlineLevel="2" x14ac:dyDescent="0.25">
      <c r="B9566" s="704" t="s">
        <v>683</v>
      </c>
      <c r="C9566" s="704" t="s">
        <v>812</v>
      </c>
      <c r="D9566" s="704" t="s">
        <v>745</v>
      </c>
      <c r="E9566" s="704" t="s">
        <v>448</v>
      </c>
      <c r="F9566" s="705">
        <v>6.6761790859171874E-2</v>
      </c>
      <c r="G9566" s="705">
        <v>74.278167198310612</v>
      </c>
    </row>
    <row r="9567" spans="2:7" ht="11.25" hidden="1" customHeight="1" outlineLevel="2" x14ac:dyDescent="0.25">
      <c r="B9567" s="704" t="s">
        <v>684</v>
      </c>
      <c r="C9567" s="704" t="s">
        <v>812</v>
      </c>
      <c r="D9567" s="704" t="s">
        <v>745</v>
      </c>
      <c r="E9567" s="704" t="s">
        <v>448</v>
      </c>
      <c r="F9567" s="705">
        <v>5.4966730400959472E-2</v>
      </c>
      <c r="G9567" s="705">
        <v>61.220242182149455</v>
      </c>
    </row>
    <row r="9568" spans="2:7" ht="11.25" hidden="1" customHeight="1" outlineLevel="2" x14ac:dyDescent="0.25">
      <c r="B9568" s="704" t="s">
        <v>685</v>
      </c>
      <c r="C9568" s="704" t="s">
        <v>812</v>
      </c>
      <c r="D9568" s="704" t="s">
        <v>745</v>
      </c>
      <c r="E9568" s="704" t="s">
        <v>448</v>
      </c>
      <c r="F9568" s="705">
        <v>9.3750397099323906E-3</v>
      </c>
      <c r="G9568" s="705">
        <v>10.430526808111262</v>
      </c>
    </row>
    <row r="9569" spans="2:7" ht="11.25" hidden="1" customHeight="1" outlineLevel="2" x14ac:dyDescent="0.25">
      <c r="B9569" s="704" t="s">
        <v>686</v>
      </c>
      <c r="C9569" s="704" t="s">
        <v>812</v>
      </c>
      <c r="D9569" s="704" t="s">
        <v>745</v>
      </c>
      <c r="E9569" s="704" t="s">
        <v>448</v>
      </c>
      <c r="F9569" s="705">
        <v>9.6239845148255843E-2</v>
      </c>
      <c r="G9569" s="705">
        <v>106.04759075359736</v>
      </c>
    </row>
    <row r="9570" spans="2:7" ht="11.25" hidden="1" customHeight="1" outlineLevel="2" x14ac:dyDescent="0.25">
      <c r="B9570" s="704" t="s">
        <v>687</v>
      </c>
      <c r="C9570" s="704" t="s">
        <v>812</v>
      </c>
      <c r="D9570" s="704" t="s">
        <v>745</v>
      </c>
      <c r="E9570" s="704" t="s">
        <v>448</v>
      </c>
      <c r="F9570" s="705">
        <v>2.5340829349000948E-2</v>
      </c>
      <c r="G9570" s="705">
        <v>28.055431404671388</v>
      </c>
    </row>
    <row r="9571" spans="2:7" ht="11.25" hidden="1" customHeight="1" outlineLevel="2" x14ac:dyDescent="0.25">
      <c r="B9571" s="704" t="s">
        <v>688</v>
      </c>
      <c r="C9571" s="704" t="s">
        <v>812</v>
      </c>
      <c r="D9571" s="704" t="s">
        <v>745</v>
      </c>
      <c r="E9571" s="704" t="s">
        <v>448</v>
      </c>
      <c r="F9571" s="706">
        <v>1.1429937194822184E-2</v>
      </c>
      <c r="G9571" s="705">
        <v>12.654360139635537</v>
      </c>
    </row>
    <row r="9572" spans="2:7" ht="11.25" hidden="1" customHeight="1" outlineLevel="2" x14ac:dyDescent="0.25">
      <c r="B9572" s="704" t="s">
        <v>689</v>
      </c>
      <c r="C9572" s="704" t="s">
        <v>812</v>
      </c>
      <c r="D9572" s="704" t="s">
        <v>745</v>
      </c>
      <c r="E9572" s="704" t="s">
        <v>448</v>
      </c>
      <c r="F9572" s="706">
        <v>1.3729674779309871E-2</v>
      </c>
      <c r="G9572" s="705">
        <v>15.175440506680722</v>
      </c>
    </row>
    <row r="9573" spans="2:7" ht="11.25" hidden="1" customHeight="1" outlineLevel="2" x14ac:dyDescent="0.25">
      <c r="B9573" s="704" t="s">
        <v>690</v>
      </c>
      <c r="C9573" s="704" t="s">
        <v>812</v>
      </c>
      <c r="D9573" s="704" t="s">
        <v>745</v>
      </c>
      <c r="E9573" s="704" t="s">
        <v>448</v>
      </c>
      <c r="F9573" s="706">
        <v>7.1403258042166641E-3</v>
      </c>
      <c r="G9573" s="705">
        <v>7.9442156402234207</v>
      </c>
    </row>
    <row r="9574" spans="2:7" ht="11.25" hidden="1" customHeight="1" outlineLevel="2" x14ac:dyDescent="0.25">
      <c r="B9574" s="704" t="s">
        <v>691</v>
      </c>
      <c r="C9574" s="704" t="s">
        <v>812</v>
      </c>
      <c r="D9574" s="704" t="s">
        <v>745</v>
      </c>
      <c r="E9574" s="704" t="s">
        <v>448</v>
      </c>
      <c r="F9574" s="706">
        <v>2.714881356159362E-2</v>
      </c>
      <c r="G9574" s="705">
        <v>30.205350399230664</v>
      </c>
    </row>
    <row r="9575" spans="2:7" ht="11.25" hidden="1" customHeight="1" outlineLevel="2" x14ac:dyDescent="0.25">
      <c r="B9575" s="704" t="s">
        <v>692</v>
      </c>
      <c r="C9575" s="704" t="s">
        <v>812</v>
      </c>
      <c r="D9575" s="704" t="s">
        <v>745</v>
      </c>
      <c r="E9575" s="704" t="s">
        <v>448</v>
      </c>
      <c r="F9575" s="706">
        <v>1.8679037591598099E-2</v>
      </c>
      <c r="G9575" s="705">
        <v>20.680005077299526</v>
      </c>
    </row>
    <row r="9576" spans="2:7" ht="11.25" hidden="1" customHeight="1" outlineLevel="2" x14ac:dyDescent="0.25">
      <c r="B9576" s="704" t="s">
        <v>693</v>
      </c>
      <c r="C9576" s="704" t="s">
        <v>812</v>
      </c>
      <c r="D9576" s="704" t="s">
        <v>745</v>
      </c>
      <c r="E9576" s="704" t="s">
        <v>448</v>
      </c>
      <c r="F9576" s="706">
        <v>3.8188481784736023E-2</v>
      </c>
      <c r="G9576" s="705">
        <v>42.533151416600106</v>
      </c>
    </row>
    <row r="9577" spans="2:7" ht="11.25" hidden="1" customHeight="1" outlineLevel="2" x14ac:dyDescent="0.25">
      <c r="B9577" s="704" t="s">
        <v>694</v>
      </c>
      <c r="C9577" s="704" t="s">
        <v>812</v>
      </c>
      <c r="D9577" s="704" t="s">
        <v>745</v>
      </c>
      <c r="E9577" s="704" t="s">
        <v>448</v>
      </c>
      <c r="F9577" s="705">
        <v>3.372557576535281E-2</v>
      </c>
      <c r="G9577" s="705">
        <v>37.562514977707025</v>
      </c>
    </row>
    <row r="9578" spans="2:7" ht="11.25" hidden="1" customHeight="1" outlineLevel="2" x14ac:dyDescent="0.25">
      <c r="B9578" s="704" t="s">
        <v>695</v>
      </c>
      <c r="C9578" s="704" t="s">
        <v>812</v>
      </c>
      <c r="D9578" s="704" t="s">
        <v>745</v>
      </c>
      <c r="E9578" s="704" t="s">
        <v>448</v>
      </c>
      <c r="F9578" s="705">
        <v>2.0524469044164627E-2</v>
      </c>
      <c r="G9578" s="705">
        <v>22.859516119742452</v>
      </c>
    </row>
    <row r="9579" spans="2:7" ht="11.25" hidden="1" customHeight="1" outlineLevel="2" x14ac:dyDescent="0.25">
      <c r="B9579" s="704" t="s">
        <v>696</v>
      </c>
      <c r="C9579" s="704" t="s">
        <v>812</v>
      </c>
      <c r="D9579" s="704" t="s">
        <v>745</v>
      </c>
      <c r="E9579" s="704" t="s">
        <v>448</v>
      </c>
      <c r="F9579" s="705">
        <v>8.7272366448715982E-3</v>
      </c>
      <c r="G9579" s="705">
        <v>9.6166205374446019</v>
      </c>
    </row>
    <row r="9580" spans="2:7" ht="11.25" hidden="1" customHeight="1" outlineLevel="2" x14ac:dyDescent="0.25">
      <c r="B9580" s="704" t="s">
        <v>697</v>
      </c>
      <c r="C9580" s="704" t="s">
        <v>812</v>
      </c>
      <c r="D9580" s="704" t="s">
        <v>745</v>
      </c>
      <c r="E9580" s="704" t="s">
        <v>448</v>
      </c>
      <c r="F9580" s="705">
        <v>7.9688703159370697E-2</v>
      </c>
      <c r="G9580" s="705">
        <v>88.754870885745817</v>
      </c>
    </row>
    <row r="9581" spans="2:7" ht="11.25" hidden="1" customHeight="1" outlineLevel="2" x14ac:dyDescent="0.25">
      <c r="B9581" s="704" t="s">
        <v>698</v>
      </c>
      <c r="C9581" s="704" t="s">
        <v>812</v>
      </c>
      <c r="D9581" s="704" t="s">
        <v>745</v>
      </c>
      <c r="E9581" s="704" t="s">
        <v>448</v>
      </c>
      <c r="F9581" s="705">
        <v>6.7107547458934796E-2</v>
      </c>
      <c r="G9581" s="705">
        <v>74.742326799445806</v>
      </c>
    </row>
    <row r="9582" spans="2:7" ht="11.25" hidden="1" customHeight="1" outlineLevel="2" x14ac:dyDescent="0.25">
      <c r="B9582" s="704" t="s">
        <v>699</v>
      </c>
      <c r="C9582" s="704" t="s">
        <v>812</v>
      </c>
      <c r="D9582" s="704" t="s">
        <v>745</v>
      </c>
      <c r="E9582" s="704" t="s">
        <v>448</v>
      </c>
      <c r="F9582" s="705">
        <v>2.7422756183907537E-35</v>
      </c>
      <c r="G9582" s="705">
        <v>3.0433135541203165E-32</v>
      </c>
    </row>
    <row r="9583" spans="2:7" ht="11.25" hidden="1" customHeight="1" outlineLevel="2" x14ac:dyDescent="0.25">
      <c r="B9583" s="704" t="s">
        <v>673</v>
      </c>
      <c r="C9583" s="704" t="s">
        <v>813</v>
      </c>
      <c r="D9583" s="704" t="s">
        <v>745</v>
      </c>
      <c r="E9583" s="704" t="s">
        <v>448</v>
      </c>
      <c r="F9583" s="705">
        <v>4.506754532866608E-4</v>
      </c>
      <c r="G9583" s="705">
        <v>0.56870855026738631</v>
      </c>
    </row>
    <row r="9584" spans="2:7" ht="11.25" hidden="1" customHeight="1" outlineLevel="2" x14ac:dyDescent="0.25">
      <c r="B9584" s="704" t="s">
        <v>677</v>
      </c>
      <c r="C9584" s="704" t="s">
        <v>813</v>
      </c>
      <c r="D9584" s="704" t="s">
        <v>745</v>
      </c>
      <c r="E9584" s="704" t="s">
        <v>448</v>
      </c>
      <c r="F9584" s="705">
        <v>4.1662536772323777E-4</v>
      </c>
      <c r="G9584" s="705">
        <v>0.52034692557121331</v>
      </c>
    </row>
    <row r="9585" spans="2:7" ht="11.25" hidden="1" customHeight="1" outlineLevel="2" x14ac:dyDescent="0.25">
      <c r="B9585" s="704" t="s">
        <v>678</v>
      </c>
      <c r="C9585" s="704" t="s">
        <v>813</v>
      </c>
      <c r="D9585" s="704" t="s">
        <v>745</v>
      </c>
      <c r="E9585" s="704" t="s">
        <v>448</v>
      </c>
      <c r="F9585" s="705">
        <v>2.2848997185984319E-4</v>
      </c>
      <c r="G9585" s="705">
        <v>0.2897068269145161</v>
      </c>
    </row>
    <row r="9586" spans="2:7" ht="11.25" hidden="1" customHeight="1" outlineLevel="2" x14ac:dyDescent="0.25">
      <c r="B9586" s="704" t="s">
        <v>679</v>
      </c>
      <c r="C9586" s="704" t="s">
        <v>813</v>
      </c>
      <c r="D9586" s="704" t="s">
        <v>745</v>
      </c>
      <c r="E9586" s="704" t="s">
        <v>448</v>
      </c>
      <c r="F9586" s="705">
        <v>2.6602808760549244E-4</v>
      </c>
      <c r="G9586" s="705">
        <v>0.33897815073037474</v>
      </c>
    </row>
    <row r="9587" spans="2:7" ht="11.25" hidden="1" customHeight="1" outlineLevel="2" x14ac:dyDescent="0.25">
      <c r="B9587" s="704" t="s">
        <v>680</v>
      </c>
      <c r="C9587" s="704" t="s">
        <v>813</v>
      </c>
      <c r="D9587" s="704" t="s">
        <v>745</v>
      </c>
      <c r="E9587" s="704" t="s">
        <v>448</v>
      </c>
      <c r="F9587" s="705">
        <v>1.8333373851871893E-4</v>
      </c>
      <c r="G9587" s="705">
        <v>0.23385788500093374</v>
      </c>
    </row>
    <row r="9588" spans="2:7" ht="11.25" hidden="1" customHeight="1" outlineLevel="2" x14ac:dyDescent="0.25">
      <c r="B9588" s="704" t="s">
        <v>681</v>
      </c>
      <c r="C9588" s="704" t="s">
        <v>813</v>
      </c>
      <c r="D9588" s="704" t="s">
        <v>745</v>
      </c>
      <c r="E9588" s="704" t="s">
        <v>448</v>
      </c>
      <c r="F9588" s="705">
        <v>1.7208390357525036E-4</v>
      </c>
      <c r="G9588" s="705">
        <v>0.21818829305700377</v>
      </c>
    </row>
    <row r="9589" spans="2:7" ht="11.25" hidden="1" customHeight="1" outlineLevel="2" x14ac:dyDescent="0.25">
      <c r="B9589" s="704" t="s">
        <v>682</v>
      </c>
      <c r="C9589" s="704" t="s">
        <v>813</v>
      </c>
      <c r="D9589" s="704" t="s">
        <v>745</v>
      </c>
      <c r="E9589" s="704" t="s">
        <v>448</v>
      </c>
      <c r="F9589" s="705">
        <v>1.7486093662297707E-5</v>
      </c>
      <c r="G9589" s="705">
        <v>2.217300846743216E-2</v>
      </c>
    </row>
    <row r="9590" spans="2:7" ht="11.25" hidden="1" customHeight="1" outlineLevel="2" x14ac:dyDescent="0.25">
      <c r="B9590" s="704" t="s">
        <v>683</v>
      </c>
      <c r="C9590" s="704" t="s">
        <v>813</v>
      </c>
      <c r="D9590" s="704" t="s">
        <v>745</v>
      </c>
      <c r="E9590" s="704" t="s">
        <v>448</v>
      </c>
      <c r="F9590" s="705">
        <v>6.8481112773233124E-4</v>
      </c>
      <c r="G9590" s="705">
        <v>0.87260008312126625</v>
      </c>
    </row>
    <row r="9591" spans="2:7" ht="11.25" hidden="1" customHeight="1" outlineLevel="2" x14ac:dyDescent="0.25">
      <c r="B9591" s="704" t="s">
        <v>684</v>
      </c>
      <c r="C9591" s="704" t="s">
        <v>813</v>
      </c>
      <c r="D9591" s="704" t="s">
        <v>745</v>
      </c>
      <c r="E9591" s="704" t="s">
        <v>448</v>
      </c>
      <c r="F9591" s="705">
        <v>5.6381861580635643E-4</v>
      </c>
      <c r="G9591" s="705">
        <v>0.71919917025353108</v>
      </c>
    </row>
    <row r="9592" spans="2:7" ht="11.25" hidden="1" customHeight="1" outlineLevel="2" x14ac:dyDescent="0.25">
      <c r="B9592" s="704" t="s">
        <v>685</v>
      </c>
      <c r="C9592" s="704" t="s">
        <v>813</v>
      </c>
      <c r="D9592" s="704" t="s">
        <v>745</v>
      </c>
      <c r="E9592" s="704" t="s">
        <v>448</v>
      </c>
      <c r="F9592" s="705">
        <v>9.6164850911426304E-5</v>
      </c>
      <c r="G9592" s="705">
        <v>0.12253502307584513</v>
      </c>
    </row>
    <row r="9593" spans="2:7" ht="11.25" hidden="1" customHeight="1" outlineLevel="2" x14ac:dyDescent="0.25">
      <c r="B9593" s="704" t="s">
        <v>686</v>
      </c>
      <c r="C9593" s="704" t="s">
        <v>813</v>
      </c>
      <c r="D9593" s="704" t="s">
        <v>745</v>
      </c>
      <c r="E9593" s="704" t="s">
        <v>448</v>
      </c>
      <c r="F9593" s="705">
        <v>9.8725345452104906E-4</v>
      </c>
      <c r="G9593" s="705">
        <v>1.2458187384261799</v>
      </c>
    </row>
    <row r="9594" spans="2:7" ht="11.25" hidden="1" customHeight="1" outlineLevel="2" x14ac:dyDescent="0.25">
      <c r="B9594" s="704" t="s">
        <v>687</v>
      </c>
      <c r="C9594" s="704" t="s">
        <v>813</v>
      </c>
      <c r="D9594" s="704" t="s">
        <v>745</v>
      </c>
      <c r="E9594" s="704" t="s">
        <v>448</v>
      </c>
      <c r="F9594" s="705">
        <v>2.5994387737406229E-4</v>
      </c>
      <c r="G9594" s="705">
        <v>0.32958794679184233</v>
      </c>
    </row>
    <row r="9595" spans="2:7" ht="11.25" hidden="1" customHeight="1" outlineLevel="2" x14ac:dyDescent="0.25">
      <c r="B9595" s="704" t="s">
        <v>688</v>
      </c>
      <c r="C9595" s="704" t="s">
        <v>813</v>
      </c>
      <c r="D9595" s="704" t="s">
        <v>745</v>
      </c>
      <c r="E9595" s="704" t="s">
        <v>448</v>
      </c>
      <c r="F9595" s="705">
        <v>1.1724719176993185E-4</v>
      </c>
      <c r="G9595" s="705">
        <v>0.14865998504741065</v>
      </c>
    </row>
    <row r="9596" spans="2:7" ht="11.25" hidden="1" customHeight="1" outlineLevel="2" x14ac:dyDescent="0.25">
      <c r="B9596" s="704" t="s">
        <v>689</v>
      </c>
      <c r="C9596" s="704" t="s">
        <v>813</v>
      </c>
      <c r="D9596" s="704" t="s">
        <v>745</v>
      </c>
      <c r="E9596" s="704" t="s">
        <v>448</v>
      </c>
      <c r="F9596" s="705">
        <v>1.408394347768649E-4</v>
      </c>
      <c r="G9596" s="705">
        <v>0.17827706609388086</v>
      </c>
    </row>
    <row r="9597" spans="2:7" ht="11.25" hidden="1" customHeight="1" outlineLevel="2" x14ac:dyDescent="0.25">
      <c r="B9597" s="704" t="s">
        <v>690</v>
      </c>
      <c r="C9597" s="704" t="s">
        <v>813</v>
      </c>
      <c r="D9597" s="704" t="s">
        <v>745</v>
      </c>
      <c r="E9597" s="704" t="s">
        <v>448</v>
      </c>
      <c r="F9597" s="705">
        <v>7.3242126924426645E-5</v>
      </c>
      <c r="G9597" s="705">
        <v>9.3326475797485542E-2</v>
      </c>
    </row>
    <row r="9598" spans="2:7" ht="11.25" hidden="1" customHeight="1" outlineLevel="2" x14ac:dyDescent="0.25">
      <c r="B9598" s="704" t="s">
        <v>691</v>
      </c>
      <c r="C9598" s="704" t="s">
        <v>813</v>
      </c>
      <c r="D9598" s="704" t="s">
        <v>745</v>
      </c>
      <c r="E9598" s="704" t="s">
        <v>448</v>
      </c>
      <c r="F9598" s="705">
        <v>2.7847994546511547E-4</v>
      </c>
      <c r="G9598" s="705">
        <v>0.35484456008728227</v>
      </c>
    </row>
    <row r="9599" spans="2:7" ht="11.25" hidden="1" customHeight="1" outlineLevel="2" x14ac:dyDescent="0.25">
      <c r="B9599" s="704" t="s">
        <v>692</v>
      </c>
      <c r="C9599" s="704" t="s">
        <v>813</v>
      </c>
      <c r="D9599" s="704" t="s">
        <v>745</v>
      </c>
      <c r="E9599" s="704" t="s">
        <v>448</v>
      </c>
      <c r="F9599" s="705">
        <v>1.9160783910620856E-4</v>
      </c>
      <c r="G9599" s="705">
        <v>0.24294332202182825</v>
      </c>
    </row>
    <row r="9600" spans="2:7" ht="11.25" hidden="1" customHeight="1" outlineLevel="2" x14ac:dyDescent="0.25">
      <c r="B9600" s="704" t="s">
        <v>693</v>
      </c>
      <c r="C9600" s="704" t="s">
        <v>813</v>
      </c>
      <c r="D9600" s="704" t="s">
        <v>745</v>
      </c>
      <c r="E9600" s="704" t="s">
        <v>448</v>
      </c>
      <c r="F9600" s="705">
        <v>3.9171671382828008E-4</v>
      </c>
      <c r="G9600" s="705">
        <v>0.49966810797494776</v>
      </c>
    </row>
    <row r="9601" spans="2:7" ht="11.25" hidden="1" customHeight="1" outlineLevel="2" x14ac:dyDescent="0.25">
      <c r="B9601" s="704" t="s">
        <v>694</v>
      </c>
      <c r="C9601" s="704" t="s">
        <v>813</v>
      </c>
      <c r="D9601" s="704" t="s">
        <v>745</v>
      </c>
      <c r="E9601" s="704" t="s">
        <v>448</v>
      </c>
      <c r="F9601" s="705">
        <v>3.4593869688454595E-4</v>
      </c>
      <c r="G9601" s="705">
        <v>0.44127437750524556</v>
      </c>
    </row>
    <row r="9602" spans="2:7" ht="11.25" hidden="1" customHeight="1" outlineLevel="2" x14ac:dyDescent="0.25">
      <c r="B9602" s="704" t="s">
        <v>695</v>
      </c>
      <c r="C9602" s="704" t="s">
        <v>813</v>
      </c>
      <c r="D9602" s="704" t="s">
        <v>745</v>
      </c>
      <c r="E9602" s="704" t="s">
        <v>448</v>
      </c>
      <c r="F9602" s="705">
        <v>2.1052892333692542E-4</v>
      </c>
      <c r="G9602" s="705">
        <v>0.26854744744134029</v>
      </c>
    </row>
    <row r="9603" spans="2:7" ht="11.25" hidden="1" customHeight="1" outlineLevel="2" x14ac:dyDescent="0.25">
      <c r="B9603" s="704" t="s">
        <v>696</v>
      </c>
      <c r="C9603" s="704" t="s">
        <v>813</v>
      </c>
      <c r="D9603" s="704" t="s">
        <v>745</v>
      </c>
      <c r="E9603" s="704" t="s">
        <v>448</v>
      </c>
      <c r="F9603" s="705">
        <v>8.9526281437277952E-5</v>
      </c>
      <c r="G9603" s="705">
        <v>0.1048150160741104</v>
      </c>
    </row>
    <row r="9604" spans="2:7" ht="11.25" hidden="1" customHeight="1" outlineLevel="2" x14ac:dyDescent="0.25">
      <c r="B9604" s="704" t="s">
        <v>697</v>
      </c>
      <c r="C9604" s="704" t="s">
        <v>813</v>
      </c>
      <c r="D9604" s="704" t="s">
        <v>745</v>
      </c>
      <c r="E9604" s="704" t="s">
        <v>448</v>
      </c>
      <c r="F9604" s="705">
        <v>8.1740297001954879E-4</v>
      </c>
      <c r="G9604" s="705">
        <v>1.0426679063467732</v>
      </c>
    </row>
    <row r="9605" spans="2:7" ht="11.25" hidden="1" customHeight="1" outlineLevel="2" x14ac:dyDescent="0.25">
      <c r="B9605" s="704" t="s">
        <v>698</v>
      </c>
      <c r="C9605" s="704" t="s">
        <v>813</v>
      </c>
      <c r="D9605" s="704" t="s">
        <v>745</v>
      </c>
      <c r="E9605" s="704" t="s">
        <v>448</v>
      </c>
      <c r="F9605" s="705">
        <v>6.8835252685713023E-4</v>
      </c>
      <c r="G9605" s="705">
        <v>0.8780533944369604</v>
      </c>
    </row>
    <row r="9606" spans="2:7" ht="11.25" hidden="1" customHeight="1" outlineLevel="2" x14ac:dyDescent="0.25">
      <c r="B9606" s="704" t="s">
        <v>699</v>
      </c>
      <c r="C9606" s="704" t="s">
        <v>813</v>
      </c>
      <c r="D9606" s="704" t="s">
        <v>745</v>
      </c>
      <c r="E9606" s="704" t="s">
        <v>448</v>
      </c>
      <c r="F9606" s="705">
        <v>3.1357877272552823E-37</v>
      </c>
      <c r="G9606" s="705">
        <v>4.3186769967087623E-34</v>
      </c>
    </row>
    <row r="9607" spans="2:7" ht="11.25" hidden="1" customHeight="1" outlineLevel="2" x14ac:dyDescent="0.25">
      <c r="B9607" s="704" t="s">
        <v>673</v>
      </c>
      <c r="C9607" s="704" t="s">
        <v>917</v>
      </c>
      <c r="D9607" s="704" t="s">
        <v>745</v>
      </c>
      <c r="E9607" s="704" t="s">
        <v>861</v>
      </c>
      <c r="F9607" s="708"/>
      <c r="G9607" s="705">
        <v>644.23711407806172</v>
      </c>
    </row>
    <row r="9608" spans="2:7" ht="11.25" hidden="1" customHeight="1" outlineLevel="2" x14ac:dyDescent="0.25">
      <c r="B9608" s="704" t="s">
        <v>677</v>
      </c>
      <c r="C9608" s="704" t="s">
        <v>917</v>
      </c>
      <c r="D9608" s="704" t="s">
        <v>745</v>
      </c>
      <c r="E9608" s="704" t="s">
        <v>861</v>
      </c>
      <c r="F9608" s="705">
        <v>1.7736484479236297E-2</v>
      </c>
      <c r="G9608" s="705">
        <v>589.45238494461307</v>
      </c>
    </row>
    <row r="9609" spans="2:7" ht="11.25" hidden="1" customHeight="1" outlineLevel="2" x14ac:dyDescent="0.25">
      <c r="B9609" s="704" t="s">
        <v>678</v>
      </c>
      <c r="C9609" s="704" t="s">
        <v>917</v>
      </c>
      <c r="D9609" s="704" t="s">
        <v>745</v>
      </c>
      <c r="E9609" s="704" t="s">
        <v>861</v>
      </c>
      <c r="F9609" s="708"/>
      <c r="G9609" s="705">
        <v>328.18196273844922</v>
      </c>
    </row>
    <row r="9610" spans="2:7" ht="11.25" hidden="1" customHeight="1" outlineLevel="2" x14ac:dyDescent="0.25">
      <c r="B9610" s="704" t="s">
        <v>679</v>
      </c>
      <c r="C9610" s="704" t="s">
        <v>917</v>
      </c>
      <c r="D9610" s="704" t="s">
        <v>745</v>
      </c>
      <c r="E9610" s="704" t="s">
        <v>861</v>
      </c>
      <c r="F9610" s="708"/>
      <c r="G9610" s="705">
        <v>383.9966136891872</v>
      </c>
    </row>
    <row r="9611" spans="2:7" ht="11.25" hidden="1" customHeight="1" outlineLevel="2" x14ac:dyDescent="0.25">
      <c r="B9611" s="704" t="s">
        <v>680</v>
      </c>
      <c r="C9611" s="704" t="s">
        <v>917</v>
      </c>
      <c r="D9611" s="704" t="s">
        <v>745</v>
      </c>
      <c r="E9611" s="704" t="s">
        <v>861</v>
      </c>
      <c r="F9611" s="708"/>
      <c r="G9611" s="705">
        <v>264.91603424066614</v>
      </c>
    </row>
    <row r="9612" spans="2:7" ht="11.25" hidden="1" customHeight="1" outlineLevel="2" x14ac:dyDescent="0.25">
      <c r="B9612" s="704" t="s">
        <v>681</v>
      </c>
      <c r="C9612" s="704" t="s">
        <v>917</v>
      </c>
      <c r="D9612" s="704" t="s">
        <v>745</v>
      </c>
      <c r="E9612" s="704" t="s">
        <v>861</v>
      </c>
      <c r="F9612" s="708"/>
      <c r="G9612" s="705">
        <v>247.16547225372301</v>
      </c>
    </row>
    <row r="9613" spans="2:7" ht="11.25" hidden="1" customHeight="1" outlineLevel="2" x14ac:dyDescent="0.25">
      <c r="B9613" s="704" t="s">
        <v>682</v>
      </c>
      <c r="C9613" s="704" t="s">
        <v>917</v>
      </c>
      <c r="D9613" s="704" t="s">
        <v>745</v>
      </c>
      <c r="E9613" s="704" t="s">
        <v>861</v>
      </c>
      <c r="F9613" s="708"/>
      <c r="G9613" s="705">
        <v>25.117736361345759</v>
      </c>
    </row>
    <row r="9614" spans="2:7" ht="11.25" hidden="1" customHeight="1" outlineLevel="2" x14ac:dyDescent="0.25">
      <c r="B9614" s="704" t="s">
        <v>683</v>
      </c>
      <c r="C9614" s="704" t="s">
        <v>917</v>
      </c>
      <c r="D9614" s="704" t="s">
        <v>745</v>
      </c>
      <c r="E9614" s="704" t="s">
        <v>861</v>
      </c>
      <c r="F9614" s="708"/>
      <c r="G9614" s="705">
        <v>988.48691428226732</v>
      </c>
    </row>
    <row r="9615" spans="2:7" ht="11.25" hidden="1" customHeight="1" outlineLevel="2" x14ac:dyDescent="0.25">
      <c r="B9615" s="704" t="s">
        <v>684</v>
      </c>
      <c r="C9615" s="704" t="s">
        <v>917</v>
      </c>
      <c r="D9615" s="704" t="s">
        <v>745</v>
      </c>
      <c r="E9615" s="704" t="s">
        <v>861</v>
      </c>
      <c r="F9615" s="708"/>
      <c r="G9615" s="705">
        <v>814.71378933249014</v>
      </c>
    </row>
    <row r="9616" spans="2:7" ht="11.25" hidden="1" customHeight="1" outlineLevel="2" x14ac:dyDescent="0.25">
      <c r="B9616" s="704" t="s">
        <v>685</v>
      </c>
      <c r="C9616" s="704" t="s">
        <v>917</v>
      </c>
      <c r="D9616" s="704" t="s">
        <v>745</v>
      </c>
      <c r="E9616" s="704" t="s">
        <v>861</v>
      </c>
      <c r="F9616" s="708"/>
      <c r="G9616" s="705">
        <v>138.8085835261833</v>
      </c>
    </row>
    <row r="9617" spans="2:7" ht="11.25" hidden="1" customHeight="1" outlineLevel="2" x14ac:dyDescent="0.25">
      <c r="B9617" s="704" t="s">
        <v>686</v>
      </c>
      <c r="C9617" s="704" t="s">
        <v>917</v>
      </c>
      <c r="D9617" s="704" t="s">
        <v>745</v>
      </c>
      <c r="E9617" s="704" t="s">
        <v>861</v>
      </c>
      <c r="F9617" s="709"/>
      <c r="G9617" s="705">
        <v>1411.2711801671114</v>
      </c>
    </row>
    <row r="9618" spans="2:7" ht="11.25" hidden="1" customHeight="1" outlineLevel="2" x14ac:dyDescent="0.25">
      <c r="B9618" s="704" t="s">
        <v>687</v>
      </c>
      <c r="C9618" s="704" t="s">
        <v>917</v>
      </c>
      <c r="D9618" s="704" t="s">
        <v>745</v>
      </c>
      <c r="E9618" s="704" t="s">
        <v>861</v>
      </c>
      <c r="F9618" s="709"/>
      <c r="G9618" s="705">
        <v>373.35943868605199</v>
      </c>
    </row>
    <row r="9619" spans="2:7" ht="11.25" hidden="1" customHeight="1" outlineLevel="2" x14ac:dyDescent="0.25">
      <c r="B9619" s="704" t="s">
        <v>688</v>
      </c>
      <c r="C9619" s="704" t="s">
        <v>917</v>
      </c>
      <c r="D9619" s="704" t="s">
        <v>745</v>
      </c>
      <c r="E9619" s="704" t="s">
        <v>861</v>
      </c>
      <c r="F9619" s="709"/>
      <c r="G9619" s="705">
        <v>168.40297060030616</v>
      </c>
    </row>
    <row r="9620" spans="2:7" ht="11.25" hidden="1" customHeight="1" outlineLevel="2" x14ac:dyDescent="0.25">
      <c r="B9620" s="704" t="s">
        <v>689</v>
      </c>
      <c r="C9620" s="704" t="s">
        <v>917</v>
      </c>
      <c r="D9620" s="704" t="s">
        <v>745</v>
      </c>
      <c r="E9620" s="704" t="s">
        <v>861</v>
      </c>
      <c r="F9620" s="709"/>
      <c r="G9620" s="705">
        <v>201.95335889543961</v>
      </c>
    </row>
    <row r="9621" spans="2:7" ht="11.25" hidden="1" customHeight="1" outlineLevel="2" x14ac:dyDescent="0.25">
      <c r="B9621" s="704" t="s">
        <v>690</v>
      </c>
      <c r="C9621" s="704" t="s">
        <v>917</v>
      </c>
      <c r="D9621" s="704" t="s">
        <v>745</v>
      </c>
      <c r="E9621" s="704" t="s">
        <v>861</v>
      </c>
      <c r="F9621" s="709"/>
      <c r="G9621" s="705">
        <v>105.72095573337965</v>
      </c>
    </row>
    <row r="9622" spans="2:7" ht="11.25" hidden="1" customHeight="1" outlineLevel="2" x14ac:dyDescent="0.25">
      <c r="B9622" s="704" t="s">
        <v>691</v>
      </c>
      <c r="C9622" s="704" t="s">
        <v>917</v>
      </c>
      <c r="D9622" s="704" t="s">
        <v>745</v>
      </c>
      <c r="E9622" s="704" t="s">
        <v>861</v>
      </c>
      <c r="F9622" s="709"/>
      <c r="G9622" s="705">
        <v>401.97059524972798</v>
      </c>
    </row>
    <row r="9623" spans="2:7" ht="11.25" hidden="1" customHeight="1" outlineLevel="2" x14ac:dyDescent="0.25">
      <c r="B9623" s="704" t="s">
        <v>692</v>
      </c>
      <c r="C9623" s="704" t="s">
        <v>917</v>
      </c>
      <c r="D9623" s="704" t="s">
        <v>745</v>
      </c>
      <c r="E9623" s="704" t="s">
        <v>861</v>
      </c>
      <c r="F9623" s="709"/>
      <c r="G9623" s="705">
        <v>275.20789235953862</v>
      </c>
    </row>
    <row r="9624" spans="2:7" ht="11.25" hidden="1" customHeight="1" outlineLevel="2" x14ac:dyDescent="0.25">
      <c r="B9624" s="704" t="s">
        <v>693</v>
      </c>
      <c r="C9624" s="704" t="s">
        <v>917</v>
      </c>
      <c r="D9624" s="704" t="s">
        <v>745</v>
      </c>
      <c r="E9624" s="704" t="s">
        <v>861</v>
      </c>
      <c r="F9624" s="709"/>
      <c r="G9624" s="705">
        <v>566.02769447817309</v>
      </c>
    </row>
    <row r="9625" spans="2:7" ht="11.25" hidden="1" customHeight="1" outlineLevel="2" x14ac:dyDescent="0.25">
      <c r="B9625" s="704" t="s">
        <v>694</v>
      </c>
      <c r="C9625" s="704" t="s">
        <v>917</v>
      </c>
      <c r="D9625" s="704" t="s">
        <v>745</v>
      </c>
      <c r="E9625" s="704" t="s">
        <v>861</v>
      </c>
      <c r="F9625" s="709"/>
      <c r="G9625" s="705">
        <v>499.87870960659404</v>
      </c>
    </row>
    <row r="9626" spans="2:7" ht="11.25" hidden="1" customHeight="1" outlineLevel="2" x14ac:dyDescent="0.25">
      <c r="B9626" s="704" t="s">
        <v>695</v>
      </c>
      <c r="C9626" s="704" t="s">
        <v>917</v>
      </c>
      <c r="D9626" s="704" t="s">
        <v>745</v>
      </c>
      <c r="E9626" s="704" t="s">
        <v>861</v>
      </c>
      <c r="F9626" s="709"/>
      <c r="G9626" s="705">
        <v>304.21260182194868</v>
      </c>
    </row>
    <row r="9627" spans="2:7" ht="11.25" hidden="1" customHeight="1" outlineLevel="2" x14ac:dyDescent="0.25">
      <c r="B9627" s="704" t="s">
        <v>696</v>
      </c>
      <c r="C9627" s="704" t="s">
        <v>917</v>
      </c>
      <c r="D9627" s="704" t="s">
        <v>745</v>
      </c>
      <c r="E9627" s="704" t="s">
        <v>861</v>
      </c>
      <c r="F9627" s="709"/>
      <c r="G9627" s="705">
        <v>118.73512888054715</v>
      </c>
    </row>
    <row r="9628" spans="2:7" ht="11.25" hidden="1" customHeight="1" outlineLevel="2" x14ac:dyDescent="0.25">
      <c r="B9628" s="704" t="s">
        <v>697</v>
      </c>
      <c r="C9628" s="704" t="s">
        <v>917</v>
      </c>
      <c r="D9628" s="704" t="s">
        <v>745</v>
      </c>
      <c r="E9628" s="704" t="s">
        <v>861</v>
      </c>
      <c r="F9628" s="709"/>
      <c r="G9628" s="705">
        <v>1181.141502274781</v>
      </c>
    </row>
    <row r="9629" spans="2:7" ht="11.25" hidden="1" customHeight="1" outlineLevel="2" x14ac:dyDescent="0.25">
      <c r="B9629" s="704" t="s">
        <v>698</v>
      </c>
      <c r="C9629" s="704" t="s">
        <v>917</v>
      </c>
      <c r="D9629" s="704" t="s">
        <v>745</v>
      </c>
      <c r="E9629" s="704" t="s">
        <v>861</v>
      </c>
      <c r="F9629" s="709"/>
      <c r="G9629" s="705">
        <v>994.66451391479893</v>
      </c>
    </row>
    <row r="9630" spans="2:7" ht="11.25" hidden="1" customHeight="1" outlineLevel="2" x14ac:dyDescent="0.25">
      <c r="B9630" s="704" t="s">
        <v>699</v>
      </c>
      <c r="C9630" s="704" t="s">
        <v>917</v>
      </c>
      <c r="D9630" s="704" t="s">
        <v>745</v>
      </c>
      <c r="E9630" s="704" t="s">
        <v>861</v>
      </c>
      <c r="F9630" s="709"/>
      <c r="G9630" s="705">
        <v>1.4161849396318106E-29</v>
      </c>
    </row>
    <row r="9631" spans="2:7" ht="11.25" hidden="1" customHeight="1" outlineLevel="1" x14ac:dyDescent="0.25">
      <c r="B9631" s="704"/>
      <c r="C9631" s="704"/>
      <c r="D9631" s="707" t="s">
        <v>933</v>
      </c>
      <c r="E9631" s="704"/>
      <c r="F9631" s="709">
        <f t="shared" ref="F9631:G9631" si="20">SUBTOTAL(9,F9535:F9630)</f>
        <v>1.4102938324568783</v>
      </c>
      <c r="G9631" s="705">
        <f t="shared" si="20"/>
        <v>12235.031042766072</v>
      </c>
    </row>
    <row r="9632" spans="2:7" ht="11.25" hidden="1" customHeight="1" outlineLevel="2" x14ac:dyDescent="0.25">
      <c r="B9632" s="704" t="s">
        <v>673</v>
      </c>
      <c r="C9632" s="704" t="s">
        <v>816</v>
      </c>
      <c r="D9632" s="704" t="s">
        <v>712</v>
      </c>
      <c r="E9632" s="704" t="s">
        <v>448</v>
      </c>
      <c r="F9632" s="706">
        <v>6.3625560135058758E-36</v>
      </c>
      <c r="G9632" s="705">
        <v>7.370579327563089E-33</v>
      </c>
    </row>
    <row r="9633" spans="2:7" ht="11.25" hidden="1" customHeight="1" outlineLevel="2" x14ac:dyDescent="0.25">
      <c r="B9633" s="704" t="s">
        <v>677</v>
      </c>
      <c r="C9633" s="704" t="s">
        <v>816</v>
      </c>
      <c r="D9633" s="704" t="s">
        <v>712</v>
      </c>
      <c r="E9633" s="704" t="s">
        <v>448</v>
      </c>
      <c r="F9633" s="706">
        <v>1.083038714440662E-33</v>
      </c>
      <c r="G9633" s="705">
        <v>1.3540678341841603E-30</v>
      </c>
    </row>
    <row r="9634" spans="2:7" ht="11.25" hidden="1" customHeight="1" outlineLevel="2" x14ac:dyDescent="0.25">
      <c r="B9634" s="704" t="s">
        <v>678</v>
      </c>
      <c r="C9634" s="704" t="s">
        <v>816</v>
      </c>
      <c r="D9634" s="704" t="s">
        <v>712</v>
      </c>
      <c r="E9634" s="704" t="s">
        <v>448</v>
      </c>
      <c r="F9634" s="706">
        <v>1.6685691472936203E-2</v>
      </c>
      <c r="G9634" s="705">
        <v>20.088329130503634</v>
      </c>
    </row>
    <row r="9635" spans="2:7" ht="11.25" hidden="1" customHeight="1" outlineLevel="2" x14ac:dyDescent="0.25">
      <c r="B9635" s="704" t="s">
        <v>679</v>
      </c>
      <c r="C9635" s="704" t="s">
        <v>816</v>
      </c>
      <c r="D9635" s="704" t="s">
        <v>712</v>
      </c>
      <c r="E9635" s="704" t="s">
        <v>448</v>
      </c>
      <c r="F9635" s="706">
        <v>4.3350506462682783E-36</v>
      </c>
      <c r="G9635" s="705">
        <v>5.5241704489547512E-33</v>
      </c>
    </row>
    <row r="9636" spans="2:7" ht="11.25" hidden="1" customHeight="1" outlineLevel="2" x14ac:dyDescent="0.25">
      <c r="B9636" s="704" t="s">
        <v>680</v>
      </c>
      <c r="C9636" s="704" t="s">
        <v>816</v>
      </c>
      <c r="D9636" s="704" t="s">
        <v>712</v>
      </c>
      <c r="E9636" s="704" t="s">
        <v>448</v>
      </c>
      <c r="F9636" s="706">
        <v>8.5898610198684103E-35</v>
      </c>
      <c r="G9636" s="705">
        <v>1.0190821470877713E-31</v>
      </c>
    </row>
    <row r="9637" spans="2:7" ht="11.25" hidden="1" customHeight="1" outlineLevel="2" x14ac:dyDescent="0.25">
      <c r="B9637" s="704" t="s">
        <v>681</v>
      </c>
      <c r="C9637" s="704" t="s">
        <v>816</v>
      </c>
      <c r="D9637" s="704" t="s">
        <v>712</v>
      </c>
      <c r="E9637" s="704" t="s">
        <v>448</v>
      </c>
      <c r="F9637" s="706">
        <v>1.6685691472936203E-2</v>
      </c>
      <c r="G9637" s="705">
        <v>20.088329130503634</v>
      </c>
    </row>
    <row r="9638" spans="2:7" ht="11.25" hidden="1" customHeight="1" outlineLevel="2" x14ac:dyDescent="0.25">
      <c r="B9638" s="704" t="s">
        <v>682</v>
      </c>
      <c r="C9638" s="704" t="s">
        <v>816</v>
      </c>
      <c r="D9638" s="704" t="s">
        <v>712</v>
      </c>
      <c r="E9638" s="704" t="s">
        <v>448</v>
      </c>
      <c r="F9638" s="706">
        <v>2.8661987182845824E-34</v>
      </c>
      <c r="G9638" s="705">
        <v>3.3224387853505758E-31</v>
      </c>
    </row>
    <row r="9639" spans="2:7" ht="11.25" hidden="1" customHeight="1" outlineLevel="2" x14ac:dyDescent="0.25">
      <c r="B9639" s="704" t="s">
        <v>683</v>
      </c>
      <c r="C9639" s="704" t="s">
        <v>816</v>
      </c>
      <c r="D9639" s="704" t="s">
        <v>712</v>
      </c>
      <c r="E9639" s="704" t="s">
        <v>448</v>
      </c>
      <c r="F9639" s="706">
        <v>8.8078438118890436E-35</v>
      </c>
      <c r="G9639" s="705">
        <v>1.0440683611184075E-31</v>
      </c>
    </row>
    <row r="9640" spans="2:7" ht="11.25" hidden="1" customHeight="1" outlineLevel="2" x14ac:dyDescent="0.25">
      <c r="B9640" s="704" t="s">
        <v>684</v>
      </c>
      <c r="C9640" s="704" t="s">
        <v>816</v>
      </c>
      <c r="D9640" s="704" t="s">
        <v>712</v>
      </c>
      <c r="E9640" s="704" t="s">
        <v>448</v>
      </c>
      <c r="F9640" s="706">
        <v>1.3847646596244949E-33</v>
      </c>
      <c r="G9640" s="705">
        <v>1.6437961088360134E-30</v>
      </c>
    </row>
    <row r="9641" spans="2:7" ht="11.25" hidden="1" customHeight="1" outlineLevel="2" x14ac:dyDescent="0.25">
      <c r="B9641" s="704" t="s">
        <v>685</v>
      </c>
      <c r="C9641" s="704" t="s">
        <v>816</v>
      </c>
      <c r="D9641" s="704" t="s">
        <v>712</v>
      </c>
      <c r="E9641" s="704" t="s">
        <v>448</v>
      </c>
      <c r="F9641" s="706">
        <v>8.5993545433003732E-35</v>
      </c>
      <c r="G9641" s="705">
        <v>1.0190821488480301E-31</v>
      </c>
    </row>
    <row r="9642" spans="2:7" ht="11.25" hidden="1" customHeight="1" outlineLevel="2" x14ac:dyDescent="0.25">
      <c r="B9642" s="704" t="s">
        <v>686</v>
      </c>
      <c r="C9642" s="704" t="s">
        <v>816</v>
      </c>
      <c r="D9642" s="704" t="s">
        <v>712</v>
      </c>
      <c r="E9642" s="704" t="s">
        <v>448</v>
      </c>
      <c r="F9642" s="706">
        <v>6.406622441749647E-37</v>
      </c>
      <c r="G9642" s="705">
        <v>7.6822854802757556E-34</v>
      </c>
    </row>
    <row r="9643" spans="2:7" ht="11.25" hidden="1" customHeight="1" outlineLevel="2" x14ac:dyDescent="0.25">
      <c r="B9643" s="704" t="s">
        <v>687</v>
      </c>
      <c r="C9643" s="704" t="s">
        <v>816</v>
      </c>
      <c r="D9643" s="704" t="s">
        <v>712</v>
      </c>
      <c r="E9643" s="704" t="s">
        <v>448</v>
      </c>
      <c r="F9643" s="705">
        <v>7.5844068785508633E-3</v>
      </c>
      <c r="G9643" s="705">
        <v>9.1310573255514811</v>
      </c>
    </row>
    <row r="9644" spans="2:7" ht="11.25" hidden="1" customHeight="1" outlineLevel="2" x14ac:dyDescent="0.25">
      <c r="B9644" s="704" t="s">
        <v>688</v>
      </c>
      <c r="C9644" s="704" t="s">
        <v>816</v>
      </c>
      <c r="D9644" s="704" t="s">
        <v>712</v>
      </c>
      <c r="E9644" s="704" t="s">
        <v>448</v>
      </c>
      <c r="F9644" s="705">
        <v>6.0675241775003143E-3</v>
      </c>
      <c r="G9644" s="705">
        <v>7.3048477072746651</v>
      </c>
    </row>
    <row r="9645" spans="2:7" ht="11.25" hidden="1" customHeight="1" outlineLevel="2" x14ac:dyDescent="0.25">
      <c r="B9645" s="704" t="s">
        <v>689</v>
      </c>
      <c r="C9645" s="704" t="s">
        <v>816</v>
      </c>
      <c r="D9645" s="704" t="s">
        <v>712</v>
      </c>
      <c r="E9645" s="704" t="s">
        <v>448</v>
      </c>
      <c r="F9645" s="705">
        <v>2.2566889688663539E-2</v>
      </c>
      <c r="G9645" s="705">
        <v>27.11119230094592</v>
      </c>
    </row>
    <row r="9646" spans="2:7" ht="11.25" hidden="1" customHeight="1" outlineLevel="2" x14ac:dyDescent="0.25">
      <c r="B9646" s="704" t="s">
        <v>690</v>
      </c>
      <c r="C9646" s="704" t="s">
        <v>816</v>
      </c>
      <c r="D9646" s="704" t="s">
        <v>712</v>
      </c>
      <c r="E9646" s="704" t="s">
        <v>448</v>
      </c>
      <c r="F9646" s="705">
        <v>1.1887021458895242E-33</v>
      </c>
      <c r="G9646" s="705">
        <v>1.390752821155065E-30</v>
      </c>
    </row>
    <row r="9647" spans="2:7" ht="11.25" hidden="1" customHeight="1" outlineLevel="2" x14ac:dyDescent="0.25">
      <c r="B9647" s="704" t="s">
        <v>691</v>
      </c>
      <c r="C9647" s="704" t="s">
        <v>816</v>
      </c>
      <c r="D9647" s="704" t="s">
        <v>712</v>
      </c>
      <c r="E9647" s="704" t="s">
        <v>448</v>
      </c>
      <c r="F9647" s="705">
        <v>2.1844146577000001E-33</v>
      </c>
      <c r="G9647" s="705">
        <v>2.6641730390000002E-30</v>
      </c>
    </row>
    <row r="9648" spans="2:7" ht="11.25" hidden="1" customHeight="1" outlineLevel="2" x14ac:dyDescent="0.25">
      <c r="B9648" s="704" t="s">
        <v>692</v>
      </c>
      <c r="C9648" s="704" t="s">
        <v>816</v>
      </c>
      <c r="D9648" s="704" t="s">
        <v>712</v>
      </c>
      <c r="E9648" s="704" t="s">
        <v>448</v>
      </c>
      <c r="F9648" s="705">
        <v>3.5159328099357565E-38</v>
      </c>
      <c r="G9648" s="705">
        <v>4.2522794678666422E-35</v>
      </c>
    </row>
    <row r="9649" spans="2:7" ht="11.25" hidden="1" customHeight="1" outlineLevel="2" x14ac:dyDescent="0.25">
      <c r="B9649" s="704" t="s">
        <v>693</v>
      </c>
      <c r="C9649" s="704" t="s">
        <v>816</v>
      </c>
      <c r="D9649" s="704" t="s">
        <v>712</v>
      </c>
      <c r="E9649" s="704" t="s">
        <v>448</v>
      </c>
      <c r="F9649" s="705">
        <v>1.1308463101756586E-35</v>
      </c>
      <c r="G9649" s="705">
        <v>1.3633235801716551E-32</v>
      </c>
    </row>
    <row r="9650" spans="2:7" ht="11.25" hidden="1" customHeight="1" outlineLevel="2" x14ac:dyDescent="0.25">
      <c r="B9650" s="704" t="s">
        <v>694</v>
      </c>
      <c r="C9650" s="704" t="s">
        <v>816</v>
      </c>
      <c r="D9650" s="704" t="s">
        <v>712</v>
      </c>
      <c r="E9650" s="704" t="s">
        <v>448</v>
      </c>
      <c r="F9650" s="705">
        <v>1.2846700037536762E-33</v>
      </c>
      <c r="G9650" s="705">
        <v>1.5042958365886881E-30</v>
      </c>
    </row>
    <row r="9651" spans="2:7" ht="11.25" hidden="1" customHeight="1" outlineLevel="2" x14ac:dyDescent="0.25">
      <c r="B9651" s="704" t="s">
        <v>695</v>
      </c>
      <c r="C9651" s="704" t="s">
        <v>816</v>
      </c>
      <c r="D9651" s="704" t="s">
        <v>712</v>
      </c>
      <c r="E9651" s="704" t="s">
        <v>448</v>
      </c>
      <c r="F9651" s="705">
        <v>1.0379941144339633E-33</v>
      </c>
      <c r="G9651" s="705">
        <v>1.3260307253321559E-30</v>
      </c>
    </row>
    <row r="9652" spans="2:7" ht="11.25" hidden="1" customHeight="1" outlineLevel="2" x14ac:dyDescent="0.25">
      <c r="B9652" s="704" t="s">
        <v>696</v>
      </c>
      <c r="C9652" s="704" t="s">
        <v>816</v>
      </c>
      <c r="D9652" s="704" t="s">
        <v>712</v>
      </c>
      <c r="E9652" s="704" t="s">
        <v>448</v>
      </c>
      <c r="F9652" s="705">
        <v>6.0932519104968698E-3</v>
      </c>
      <c r="G9652" s="705">
        <v>7.3048477072746651</v>
      </c>
    </row>
    <row r="9653" spans="2:7" ht="11.25" hidden="1" customHeight="1" outlineLevel="2" x14ac:dyDescent="0.25">
      <c r="B9653" s="704" t="s">
        <v>697</v>
      </c>
      <c r="C9653" s="704" t="s">
        <v>816</v>
      </c>
      <c r="D9653" s="704" t="s">
        <v>712</v>
      </c>
      <c r="E9653" s="704" t="s">
        <v>448</v>
      </c>
      <c r="F9653" s="705">
        <v>7.598663754000002E-36</v>
      </c>
      <c r="G9653" s="705">
        <v>8.85375392E-33</v>
      </c>
    </row>
    <row r="9654" spans="2:7" ht="11.25" hidden="1" customHeight="1" outlineLevel="2" x14ac:dyDescent="0.25">
      <c r="B9654" s="704" t="s">
        <v>698</v>
      </c>
      <c r="C9654" s="704" t="s">
        <v>816</v>
      </c>
      <c r="D9654" s="704" t="s">
        <v>712</v>
      </c>
      <c r="E9654" s="704" t="s">
        <v>448</v>
      </c>
      <c r="F9654" s="705">
        <v>1.7136401028999999E-35</v>
      </c>
      <c r="G9654" s="705">
        <v>1.9967684263999999E-32</v>
      </c>
    </row>
    <row r="9655" spans="2:7" ht="11.25" hidden="1" customHeight="1" outlineLevel="2" x14ac:dyDescent="0.25">
      <c r="B9655" s="704" t="s">
        <v>699</v>
      </c>
      <c r="C9655" s="704" t="s">
        <v>816</v>
      </c>
      <c r="D9655" s="704" t="s">
        <v>712</v>
      </c>
      <c r="E9655" s="704" t="s">
        <v>448</v>
      </c>
      <c r="F9655" s="705">
        <v>1.6685691472936203E-2</v>
      </c>
      <c r="G9655" s="705">
        <v>20.088329130503634</v>
      </c>
    </row>
    <row r="9656" spans="2:7" ht="11.25" hidden="1" customHeight="1" outlineLevel="2" x14ac:dyDescent="0.25">
      <c r="B9656" s="704" t="s">
        <v>673</v>
      </c>
      <c r="C9656" s="704" t="s">
        <v>711</v>
      </c>
      <c r="D9656" s="704" t="s">
        <v>712</v>
      </c>
      <c r="E9656" s="704" t="s">
        <v>676</v>
      </c>
      <c r="F9656" s="705">
        <v>3.136151520901011E-33</v>
      </c>
      <c r="G9656" s="705">
        <v>7.3601632656396319E-31</v>
      </c>
    </row>
    <row r="9657" spans="2:7" ht="11.25" hidden="1" customHeight="1" outlineLevel="2" x14ac:dyDescent="0.25">
      <c r="B9657" s="704" t="s">
        <v>677</v>
      </c>
      <c r="C9657" s="704" t="s">
        <v>711</v>
      </c>
      <c r="D9657" s="704" t="s">
        <v>712</v>
      </c>
      <c r="E9657" s="704" t="s">
        <v>676</v>
      </c>
      <c r="F9657" s="705">
        <v>3.136151520901011E-33</v>
      </c>
      <c r="G9657" s="705">
        <v>7.3601632656396319E-31</v>
      </c>
    </row>
    <row r="9658" spans="2:7" ht="11.25" hidden="1" customHeight="1" outlineLevel="2" x14ac:dyDescent="0.25">
      <c r="B9658" s="704" t="s">
        <v>678</v>
      </c>
      <c r="C9658" s="704" t="s">
        <v>711</v>
      </c>
      <c r="D9658" s="704" t="s">
        <v>712</v>
      </c>
      <c r="E9658" s="704" t="s">
        <v>676</v>
      </c>
      <c r="F9658" s="705">
        <v>5.968856006320887E-2</v>
      </c>
      <c r="G9658" s="705">
        <v>13.648946798389323</v>
      </c>
    </row>
    <row r="9659" spans="2:7" ht="11.25" hidden="1" customHeight="1" outlineLevel="2" x14ac:dyDescent="0.25">
      <c r="B9659" s="704" t="s">
        <v>679</v>
      </c>
      <c r="C9659" s="704" t="s">
        <v>711</v>
      </c>
      <c r="D9659" s="704" t="s">
        <v>712</v>
      </c>
      <c r="E9659" s="704" t="s">
        <v>676</v>
      </c>
      <c r="F9659" s="705">
        <v>3.136151520901011E-33</v>
      </c>
      <c r="G9659" s="705">
        <v>7.3601632656396319E-31</v>
      </c>
    </row>
    <row r="9660" spans="2:7" ht="11.25" hidden="1" customHeight="1" outlineLevel="2" x14ac:dyDescent="0.25">
      <c r="B9660" s="704" t="s">
        <v>680</v>
      </c>
      <c r="C9660" s="704" t="s">
        <v>711</v>
      </c>
      <c r="D9660" s="704" t="s">
        <v>712</v>
      </c>
      <c r="E9660" s="704" t="s">
        <v>676</v>
      </c>
      <c r="F9660" s="705">
        <v>3.136151520901011E-33</v>
      </c>
      <c r="G9660" s="705">
        <v>7.3601632656396319E-31</v>
      </c>
    </row>
    <row r="9661" spans="2:7" ht="11.25" hidden="1" customHeight="1" outlineLevel="2" x14ac:dyDescent="0.25">
      <c r="B9661" s="704" t="s">
        <v>681</v>
      </c>
      <c r="C9661" s="704" t="s">
        <v>711</v>
      </c>
      <c r="D9661" s="704" t="s">
        <v>712</v>
      </c>
      <c r="E9661" s="704" t="s">
        <v>676</v>
      </c>
      <c r="F9661" s="705">
        <v>5.968856006320887E-2</v>
      </c>
      <c r="G9661" s="705">
        <v>13.648946798389323</v>
      </c>
    </row>
    <row r="9662" spans="2:7" ht="11.25" hidden="1" customHeight="1" outlineLevel="2" x14ac:dyDescent="0.25">
      <c r="B9662" s="704" t="s">
        <v>682</v>
      </c>
      <c r="C9662" s="704" t="s">
        <v>711</v>
      </c>
      <c r="D9662" s="704" t="s">
        <v>712</v>
      </c>
      <c r="E9662" s="704" t="s">
        <v>676</v>
      </c>
      <c r="F9662" s="705">
        <v>3.136151520901011E-33</v>
      </c>
      <c r="G9662" s="705">
        <v>7.3601632656396319E-31</v>
      </c>
    </row>
    <row r="9663" spans="2:7" ht="11.25" hidden="1" customHeight="1" outlineLevel="2" x14ac:dyDescent="0.25">
      <c r="B9663" s="704" t="s">
        <v>683</v>
      </c>
      <c r="C9663" s="704" t="s">
        <v>711</v>
      </c>
      <c r="D9663" s="704" t="s">
        <v>712</v>
      </c>
      <c r="E9663" s="704" t="s">
        <v>676</v>
      </c>
      <c r="F9663" s="706">
        <v>3.136151520901011E-33</v>
      </c>
      <c r="G9663" s="705">
        <v>7.3601632656396319E-31</v>
      </c>
    </row>
    <row r="9664" spans="2:7" ht="11.25" hidden="1" customHeight="1" outlineLevel="2" x14ac:dyDescent="0.25">
      <c r="B9664" s="704" t="s">
        <v>684</v>
      </c>
      <c r="C9664" s="704" t="s">
        <v>711</v>
      </c>
      <c r="D9664" s="704" t="s">
        <v>712</v>
      </c>
      <c r="E9664" s="704" t="s">
        <v>676</v>
      </c>
      <c r="F9664" s="706">
        <v>3.136151520901011E-33</v>
      </c>
      <c r="G9664" s="705">
        <v>7.3601632656396319E-31</v>
      </c>
    </row>
    <row r="9665" spans="2:7" ht="11.25" hidden="1" customHeight="1" outlineLevel="2" x14ac:dyDescent="0.25">
      <c r="B9665" s="704" t="s">
        <v>685</v>
      </c>
      <c r="C9665" s="704" t="s">
        <v>711</v>
      </c>
      <c r="D9665" s="704" t="s">
        <v>712</v>
      </c>
      <c r="E9665" s="704" t="s">
        <v>676</v>
      </c>
      <c r="F9665" s="706">
        <v>3.136151520901011E-33</v>
      </c>
      <c r="G9665" s="705">
        <v>7.3601632656396319E-31</v>
      </c>
    </row>
    <row r="9666" spans="2:7" ht="11.25" hidden="1" customHeight="1" outlineLevel="2" x14ac:dyDescent="0.25">
      <c r="B9666" s="704" t="s">
        <v>686</v>
      </c>
      <c r="C9666" s="704" t="s">
        <v>711</v>
      </c>
      <c r="D9666" s="704" t="s">
        <v>712</v>
      </c>
      <c r="E9666" s="704" t="s">
        <v>676</v>
      </c>
      <c r="F9666" s="706">
        <v>3.136151520901011E-33</v>
      </c>
      <c r="G9666" s="705">
        <v>7.3601632656396319E-31</v>
      </c>
    </row>
    <row r="9667" spans="2:7" ht="11.25" hidden="1" customHeight="1" outlineLevel="2" x14ac:dyDescent="0.25">
      <c r="B9667" s="704" t="s">
        <v>687</v>
      </c>
      <c r="C9667" s="704" t="s">
        <v>711</v>
      </c>
      <c r="D9667" s="704" t="s">
        <v>712</v>
      </c>
      <c r="E9667" s="704" t="s">
        <v>676</v>
      </c>
      <c r="F9667" s="706">
        <v>2.7131161235763937E-2</v>
      </c>
      <c r="G9667" s="705">
        <v>6.204061191161367</v>
      </c>
    </row>
    <row r="9668" spans="2:7" ht="11.25" hidden="1" customHeight="1" outlineLevel="2" x14ac:dyDescent="0.25">
      <c r="B9668" s="704" t="s">
        <v>688</v>
      </c>
      <c r="C9668" s="704" t="s">
        <v>711</v>
      </c>
      <c r="D9668" s="704" t="s">
        <v>712</v>
      </c>
      <c r="E9668" s="704" t="s">
        <v>676</v>
      </c>
      <c r="F9668" s="706">
        <v>2.1704919503229895E-2</v>
      </c>
      <c r="G9668" s="705">
        <v>4.963250424254591</v>
      </c>
    </row>
    <row r="9669" spans="2:7" ht="11.25" hidden="1" customHeight="1" outlineLevel="2" x14ac:dyDescent="0.25">
      <c r="B9669" s="704" t="s">
        <v>689</v>
      </c>
      <c r="C9669" s="704" t="s">
        <v>711</v>
      </c>
      <c r="D9669" s="704" t="s">
        <v>712</v>
      </c>
      <c r="E9669" s="704" t="s">
        <v>676</v>
      </c>
      <c r="F9669" s="706">
        <v>8.0555630568600212E-2</v>
      </c>
      <c r="G9669" s="705">
        <v>18.420607807258381</v>
      </c>
    </row>
    <row r="9670" spans="2:7" ht="11.25" hidden="1" customHeight="1" outlineLevel="2" x14ac:dyDescent="0.25">
      <c r="B9670" s="704" t="s">
        <v>690</v>
      </c>
      <c r="C9670" s="704" t="s">
        <v>711</v>
      </c>
      <c r="D9670" s="704" t="s">
        <v>712</v>
      </c>
      <c r="E9670" s="704" t="s">
        <v>676</v>
      </c>
      <c r="F9670" s="705">
        <v>3.136151520901011E-33</v>
      </c>
      <c r="G9670" s="705">
        <v>7.3601632656396319E-31</v>
      </c>
    </row>
    <row r="9671" spans="2:7" ht="11.25" hidden="1" customHeight="1" outlineLevel="2" x14ac:dyDescent="0.25">
      <c r="B9671" s="704" t="s">
        <v>691</v>
      </c>
      <c r="C9671" s="704" t="s">
        <v>711</v>
      </c>
      <c r="D9671" s="704" t="s">
        <v>712</v>
      </c>
      <c r="E9671" s="704" t="s">
        <v>676</v>
      </c>
      <c r="F9671" s="705">
        <v>3.1359396728E-33</v>
      </c>
      <c r="G9671" s="705">
        <v>7.3524077000000003E-31</v>
      </c>
    </row>
    <row r="9672" spans="2:7" ht="11.25" hidden="1" customHeight="1" outlineLevel="2" x14ac:dyDescent="0.25">
      <c r="B9672" s="704" t="s">
        <v>692</v>
      </c>
      <c r="C9672" s="704" t="s">
        <v>711</v>
      </c>
      <c r="D9672" s="704" t="s">
        <v>712</v>
      </c>
      <c r="E9672" s="704" t="s">
        <v>676</v>
      </c>
      <c r="F9672" s="705">
        <v>3.1361515209010083E-33</v>
      </c>
      <c r="G9672" s="705">
        <v>7.3601632656396091E-31</v>
      </c>
    </row>
    <row r="9673" spans="2:7" ht="11.25" hidden="1" customHeight="1" outlineLevel="2" x14ac:dyDescent="0.25">
      <c r="B9673" s="704" t="s">
        <v>693</v>
      </c>
      <c r="C9673" s="704" t="s">
        <v>711</v>
      </c>
      <c r="D9673" s="704" t="s">
        <v>712</v>
      </c>
      <c r="E9673" s="704" t="s">
        <v>676</v>
      </c>
      <c r="F9673" s="705">
        <v>3.136151520901011E-33</v>
      </c>
      <c r="G9673" s="705">
        <v>7.3601632656396319E-31</v>
      </c>
    </row>
    <row r="9674" spans="2:7" ht="11.25" hidden="1" customHeight="1" outlineLevel="2" x14ac:dyDescent="0.25">
      <c r="B9674" s="704" t="s">
        <v>694</v>
      </c>
      <c r="C9674" s="704" t="s">
        <v>711</v>
      </c>
      <c r="D9674" s="704" t="s">
        <v>712</v>
      </c>
      <c r="E9674" s="704" t="s">
        <v>676</v>
      </c>
      <c r="F9674" s="705">
        <v>3.136151520901011E-33</v>
      </c>
      <c r="G9674" s="705">
        <v>7.3601632656396319E-31</v>
      </c>
    </row>
    <row r="9675" spans="2:7" ht="11.25" hidden="1" customHeight="1" outlineLevel="2" x14ac:dyDescent="0.25">
      <c r="B9675" s="704" t="s">
        <v>695</v>
      </c>
      <c r="C9675" s="704" t="s">
        <v>711</v>
      </c>
      <c r="D9675" s="704" t="s">
        <v>712</v>
      </c>
      <c r="E9675" s="704" t="s">
        <v>676</v>
      </c>
      <c r="F9675" s="705">
        <v>3.136151520901011E-33</v>
      </c>
      <c r="G9675" s="705">
        <v>7.3601632656396319E-31</v>
      </c>
    </row>
    <row r="9676" spans="2:7" ht="11.25" hidden="1" customHeight="1" outlineLevel="2" x14ac:dyDescent="0.25">
      <c r="B9676" s="704" t="s">
        <v>696</v>
      </c>
      <c r="C9676" s="704" t="s">
        <v>711</v>
      </c>
      <c r="D9676" s="704" t="s">
        <v>712</v>
      </c>
      <c r="E9676" s="704" t="s">
        <v>676</v>
      </c>
      <c r="F9676" s="705">
        <v>2.1704919503229895E-2</v>
      </c>
      <c r="G9676" s="705">
        <v>4.963250424254591</v>
      </c>
    </row>
    <row r="9677" spans="2:7" ht="11.25" hidden="1" customHeight="1" outlineLevel="2" x14ac:dyDescent="0.25">
      <c r="B9677" s="704" t="s">
        <v>697</v>
      </c>
      <c r="C9677" s="704" t="s">
        <v>711</v>
      </c>
      <c r="D9677" s="704" t="s">
        <v>712</v>
      </c>
      <c r="E9677" s="704" t="s">
        <v>676</v>
      </c>
      <c r="F9677" s="705">
        <v>3.1359396728E-33</v>
      </c>
      <c r="G9677" s="705">
        <v>7.3524077000000003E-31</v>
      </c>
    </row>
    <row r="9678" spans="2:7" ht="11.25" hidden="1" customHeight="1" outlineLevel="2" x14ac:dyDescent="0.25">
      <c r="B9678" s="704" t="s">
        <v>698</v>
      </c>
      <c r="C9678" s="704" t="s">
        <v>711</v>
      </c>
      <c r="D9678" s="704" t="s">
        <v>712</v>
      </c>
      <c r="E9678" s="704" t="s">
        <v>676</v>
      </c>
      <c r="F9678" s="705">
        <v>3.1359396728E-33</v>
      </c>
      <c r="G9678" s="705">
        <v>7.3524077000000003E-31</v>
      </c>
    </row>
    <row r="9679" spans="2:7" ht="11.25" hidden="1" customHeight="1" outlineLevel="2" x14ac:dyDescent="0.25">
      <c r="B9679" s="704" t="s">
        <v>699</v>
      </c>
      <c r="C9679" s="704" t="s">
        <v>711</v>
      </c>
      <c r="D9679" s="704" t="s">
        <v>712</v>
      </c>
      <c r="E9679" s="704" t="s">
        <v>676</v>
      </c>
      <c r="F9679" s="705">
        <v>5.968856006320887E-2</v>
      </c>
      <c r="G9679" s="705">
        <v>13.648946798389323</v>
      </c>
    </row>
    <row r="9680" spans="2:7" ht="11.25" hidden="1" customHeight="1" outlineLevel="2" x14ac:dyDescent="0.25">
      <c r="B9680" s="704" t="s">
        <v>673</v>
      </c>
      <c r="C9680" s="704" t="s">
        <v>921</v>
      </c>
      <c r="D9680" s="704" t="s">
        <v>712</v>
      </c>
      <c r="E9680" s="704" t="s">
        <v>861</v>
      </c>
      <c r="F9680" s="708"/>
      <c r="G9680" s="705">
        <v>7.9720101268876722E-32</v>
      </c>
    </row>
    <row r="9681" spans="2:7" ht="11.25" hidden="1" customHeight="1" outlineLevel="2" x14ac:dyDescent="0.25">
      <c r="B9681" s="704" t="s">
        <v>677</v>
      </c>
      <c r="C9681" s="704" t="s">
        <v>921</v>
      </c>
      <c r="D9681" s="704" t="s">
        <v>712</v>
      </c>
      <c r="E9681" s="704" t="s">
        <v>861</v>
      </c>
      <c r="F9681" s="705">
        <v>2.3468378065165502E-36</v>
      </c>
      <c r="G9681" s="705">
        <v>7.9720101268876722E-32</v>
      </c>
    </row>
    <row r="9682" spans="2:7" ht="11.25" hidden="1" customHeight="1" outlineLevel="2" x14ac:dyDescent="0.25">
      <c r="B9682" s="704" t="s">
        <v>678</v>
      </c>
      <c r="C9682" s="704" t="s">
        <v>921</v>
      </c>
      <c r="D9682" s="704" t="s">
        <v>712</v>
      </c>
      <c r="E9682" s="704" t="s">
        <v>861</v>
      </c>
      <c r="F9682" s="708"/>
      <c r="G9682" s="705">
        <v>72.367194478489935</v>
      </c>
    </row>
    <row r="9683" spans="2:7" ht="11.25" hidden="1" customHeight="1" outlineLevel="2" x14ac:dyDescent="0.25">
      <c r="B9683" s="704" t="s">
        <v>679</v>
      </c>
      <c r="C9683" s="704" t="s">
        <v>921</v>
      </c>
      <c r="D9683" s="704" t="s">
        <v>712</v>
      </c>
      <c r="E9683" s="704" t="s">
        <v>861</v>
      </c>
      <c r="F9683" s="708"/>
      <c r="G9683" s="705">
        <v>7.9720101268876722E-32</v>
      </c>
    </row>
    <row r="9684" spans="2:7" ht="11.25" hidden="1" customHeight="1" outlineLevel="2" x14ac:dyDescent="0.25">
      <c r="B9684" s="704" t="s">
        <v>680</v>
      </c>
      <c r="C9684" s="704" t="s">
        <v>921</v>
      </c>
      <c r="D9684" s="704" t="s">
        <v>712</v>
      </c>
      <c r="E9684" s="704" t="s">
        <v>861</v>
      </c>
      <c r="F9684" s="708"/>
      <c r="G9684" s="705">
        <v>7.9720101268876722E-32</v>
      </c>
    </row>
    <row r="9685" spans="2:7" ht="11.25" hidden="1" customHeight="1" outlineLevel="2" x14ac:dyDescent="0.25">
      <c r="B9685" s="704" t="s">
        <v>681</v>
      </c>
      <c r="C9685" s="704" t="s">
        <v>921</v>
      </c>
      <c r="D9685" s="704" t="s">
        <v>712</v>
      </c>
      <c r="E9685" s="704" t="s">
        <v>861</v>
      </c>
      <c r="F9685" s="708"/>
      <c r="G9685" s="705">
        <v>72.367194478489935</v>
      </c>
    </row>
    <row r="9686" spans="2:7" ht="11.25" hidden="1" customHeight="1" outlineLevel="2" x14ac:dyDescent="0.25">
      <c r="B9686" s="704" t="s">
        <v>682</v>
      </c>
      <c r="C9686" s="704" t="s">
        <v>921</v>
      </c>
      <c r="D9686" s="704" t="s">
        <v>712</v>
      </c>
      <c r="E9686" s="704" t="s">
        <v>861</v>
      </c>
      <c r="F9686" s="708"/>
      <c r="G9686" s="705">
        <v>7.9720101268876722E-32</v>
      </c>
    </row>
    <row r="9687" spans="2:7" ht="11.25" hidden="1" customHeight="1" outlineLevel="2" x14ac:dyDescent="0.25">
      <c r="B9687" s="704" t="s">
        <v>683</v>
      </c>
      <c r="C9687" s="704" t="s">
        <v>921</v>
      </c>
      <c r="D9687" s="704" t="s">
        <v>712</v>
      </c>
      <c r="E9687" s="704" t="s">
        <v>861</v>
      </c>
      <c r="F9687" s="708"/>
      <c r="G9687" s="705">
        <v>7.9720101268876722E-32</v>
      </c>
    </row>
    <row r="9688" spans="2:7" ht="11.25" hidden="1" customHeight="1" outlineLevel="2" x14ac:dyDescent="0.25">
      <c r="B9688" s="704" t="s">
        <v>684</v>
      </c>
      <c r="C9688" s="704" t="s">
        <v>921</v>
      </c>
      <c r="D9688" s="704" t="s">
        <v>712</v>
      </c>
      <c r="E9688" s="704" t="s">
        <v>861</v>
      </c>
      <c r="F9688" s="708"/>
      <c r="G9688" s="705">
        <v>7.9720101268876722E-32</v>
      </c>
    </row>
    <row r="9689" spans="2:7" ht="11.25" hidden="1" customHeight="1" outlineLevel="2" x14ac:dyDescent="0.25">
      <c r="B9689" s="704" t="s">
        <v>685</v>
      </c>
      <c r="C9689" s="704" t="s">
        <v>921</v>
      </c>
      <c r="D9689" s="704" t="s">
        <v>712</v>
      </c>
      <c r="E9689" s="704" t="s">
        <v>861</v>
      </c>
      <c r="F9689" s="708"/>
      <c r="G9689" s="705">
        <v>7.9720101268876722E-32</v>
      </c>
    </row>
    <row r="9690" spans="2:7" ht="11.25" hidden="1" customHeight="1" outlineLevel="2" x14ac:dyDescent="0.25">
      <c r="B9690" s="704" t="s">
        <v>686</v>
      </c>
      <c r="C9690" s="704" t="s">
        <v>921</v>
      </c>
      <c r="D9690" s="704" t="s">
        <v>712</v>
      </c>
      <c r="E9690" s="704" t="s">
        <v>861</v>
      </c>
      <c r="F9690" s="708"/>
      <c r="G9690" s="705">
        <v>7.9720101268876722E-32</v>
      </c>
    </row>
    <row r="9691" spans="2:7" ht="11.25" hidden="1" customHeight="1" outlineLevel="2" x14ac:dyDescent="0.25">
      <c r="B9691" s="704" t="s">
        <v>687</v>
      </c>
      <c r="C9691" s="704" t="s">
        <v>921</v>
      </c>
      <c r="D9691" s="704" t="s">
        <v>712</v>
      </c>
      <c r="E9691" s="704" t="s">
        <v>861</v>
      </c>
      <c r="F9691" s="708"/>
      <c r="G9691" s="705">
        <v>32.894184444489994</v>
      </c>
    </row>
    <row r="9692" spans="2:7" ht="11.25" hidden="1" customHeight="1" outlineLevel="2" x14ac:dyDescent="0.25">
      <c r="B9692" s="704" t="s">
        <v>688</v>
      </c>
      <c r="C9692" s="704" t="s">
        <v>921</v>
      </c>
      <c r="D9692" s="704" t="s">
        <v>712</v>
      </c>
      <c r="E9692" s="704" t="s">
        <v>861</v>
      </c>
      <c r="F9692" s="708"/>
      <c r="G9692" s="705">
        <v>26.315340949307451</v>
      </c>
    </row>
    <row r="9693" spans="2:7" ht="11.25" hidden="1" customHeight="1" outlineLevel="2" x14ac:dyDescent="0.25">
      <c r="B9693" s="704" t="s">
        <v>689</v>
      </c>
      <c r="C9693" s="704" t="s">
        <v>921</v>
      </c>
      <c r="D9693" s="704" t="s">
        <v>712</v>
      </c>
      <c r="E9693" s="704" t="s">
        <v>861</v>
      </c>
      <c r="F9693" s="708"/>
      <c r="G9693" s="705">
        <v>97.666706199576709</v>
      </c>
    </row>
    <row r="9694" spans="2:7" ht="11.25" hidden="1" customHeight="1" outlineLevel="2" x14ac:dyDescent="0.25">
      <c r="B9694" s="704" t="s">
        <v>690</v>
      </c>
      <c r="C9694" s="704" t="s">
        <v>921</v>
      </c>
      <c r="D9694" s="704" t="s">
        <v>712</v>
      </c>
      <c r="E9694" s="704" t="s">
        <v>861</v>
      </c>
      <c r="F9694" s="708"/>
      <c r="G9694" s="705">
        <v>7.9720101268876722E-32</v>
      </c>
    </row>
    <row r="9695" spans="2:7" ht="11.25" hidden="1" customHeight="1" outlineLevel="2" x14ac:dyDescent="0.25">
      <c r="B9695" s="704" t="s">
        <v>691</v>
      </c>
      <c r="C9695" s="704" t="s">
        <v>921</v>
      </c>
      <c r="D9695" s="704" t="s">
        <v>712</v>
      </c>
      <c r="E9695" s="704" t="s">
        <v>861</v>
      </c>
      <c r="F9695" s="708"/>
      <c r="G9695" s="705">
        <v>7.9710240719999993E-32</v>
      </c>
    </row>
    <row r="9696" spans="2:7" ht="11.25" hidden="1" customHeight="1" outlineLevel="2" x14ac:dyDescent="0.25">
      <c r="B9696" s="704" t="s">
        <v>692</v>
      </c>
      <c r="C9696" s="704" t="s">
        <v>921</v>
      </c>
      <c r="D9696" s="704" t="s">
        <v>712</v>
      </c>
      <c r="E9696" s="704" t="s">
        <v>861</v>
      </c>
      <c r="F9696" s="708"/>
      <c r="G9696" s="705">
        <v>7.9720101268876426E-32</v>
      </c>
    </row>
    <row r="9697" spans="2:7" ht="11.25" hidden="1" customHeight="1" outlineLevel="2" x14ac:dyDescent="0.25">
      <c r="B9697" s="704" t="s">
        <v>693</v>
      </c>
      <c r="C9697" s="704" t="s">
        <v>921</v>
      </c>
      <c r="D9697" s="704" t="s">
        <v>712</v>
      </c>
      <c r="E9697" s="704" t="s">
        <v>861</v>
      </c>
      <c r="F9697" s="708"/>
      <c r="G9697" s="705">
        <v>7.9720101268876722E-32</v>
      </c>
    </row>
    <row r="9698" spans="2:7" ht="11.25" hidden="1" customHeight="1" outlineLevel="2" x14ac:dyDescent="0.25">
      <c r="B9698" s="704" t="s">
        <v>694</v>
      </c>
      <c r="C9698" s="704" t="s">
        <v>921</v>
      </c>
      <c r="D9698" s="704" t="s">
        <v>712</v>
      </c>
      <c r="E9698" s="704" t="s">
        <v>861</v>
      </c>
      <c r="F9698" s="708"/>
      <c r="G9698" s="705">
        <v>7.9720101268876722E-32</v>
      </c>
    </row>
    <row r="9699" spans="2:7" ht="11.25" hidden="1" customHeight="1" outlineLevel="2" x14ac:dyDescent="0.25">
      <c r="B9699" s="704" t="s">
        <v>695</v>
      </c>
      <c r="C9699" s="704" t="s">
        <v>921</v>
      </c>
      <c r="D9699" s="704" t="s">
        <v>712</v>
      </c>
      <c r="E9699" s="704" t="s">
        <v>861</v>
      </c>
      <c r="F9699" s="708"/>
      <c r="G9699" s="705">
        <v>7.9720101268876722E-32</v>
      </c>
    </row>
    <row r="9700" spans="2:7" ht="11.25" hidden="1" customHeight="1" outlineLevel="2" x14ac:dyDescent="0.25">
      <c r="B9700" s="704" t="s">
        <v>696</v>
      </c>
      <c r="C9700" s="704" t="s">
        <v>921</v>
      </c>
      <c r="D9700" s="704" t="s">
        <v>712</v>
      </c>
      <c r="E9700" s="704" t="s">
        <v>861</v>
      </c>
      <c r="F9700" s="708"/>
      <c r="G9700" s="705">
        <v>26.315340949307451</v>
      </c>
    </row>
    <row r="9701" spans="2:7" ht="11.25" hidden="1" customHeight="1" outlineLevel="2" x14ac:dyDescent="0.25">
      <c r="B9701" s="704" t="s">
        <v>697</v>
      </c>
      <c r="C9701" s="704" t="s">
        <v>921</v>
      </c>
      <c r="D9701" s="704" t="s">
        <v>712</v>
      </c>
      <c r="E9701" s="704" t="s">
        <v>861</v>
      </c>
      <c r="F9701" s="708"/>
      <c r="G9701" s="705">
        <v>7.9710240719999993E-32</v>
      </c>
    </row>
    <row r="9702" spans="2:7" ht="11.25" hidden="1" customHeight="1" outlineLevel="2" x14ac:dyDescent="0.25">
      <c r="B9702" s="704" t="s">
        <v>698</v>
      </c>
      <c r="C9702" s="704" t="s">
        <v>921</v>
      </c>
      <c r="D9702" s="704" t="s">
        <v>712</v>
      </c>
      <c r="E9702" s="704" t="s">
        <v>861</v>
      </c>
      <c r="F9702" s="709"/>
      <c r="G9702" s="705">
        <v>7.9710240719999993E-32</v>
      </c>
    </row>
    <row r="9703" spans="2:7" ht="11.25" hidden="1" customHeight="1" outlineLevel="2" x14ac:dyDescent="0.25">
      <c r="B9703" s="704" t="s">
        <v>699</v>
      </c>
      <c r="C9703" s="704" t="s">
        <v>921</v>
      </c>
      <c r="D9703" s="704" t="s">
        <v>712</v>
      </c>
      <c r="E9703" s="704" t="s">
        <v>861</v>
      </c>
      <c r="F9703" s="709"/>
      <c r="G9703" s="705">
        <v>72.367194478489935</v>
      </c>
    </row>
    <row r="9704" spans="2:7" ht="11.25" hidden="1" customHeight="1" outlineLevel="1" x14ac:dyDescent="0.25">
      <c r="B9704" s="704"/>
      <c r="C9704" s="704"/>
      <c r="D9704" s="707" t="s">
        <v>934</v>
      </c>
      <c r="E9704" s="704"/>
      <c r="F9704" s="709">
        <f t="shared" ref="F9704:G9704" si="21">SUBTOTAL(9,F9632:F9703)</f>
        <v>0.42253145807447073</v>
      </c>
      <c r="G9704" s="705">
        <f t="shared" si="21"/>
        <v>586.90809865280596</v>
      </c>
    </row>
    <row r="9705" spans="2:7" ht="11.25" hidden="1" customHeight="1" outlineLevel="2" x14ac:dyDescent="0.25">
      <c r="B9705" s="704" t="s">
        <v>673</v>
      </c>
      <c r="C9705" s="704" t="s">
        <v>817</v>
      </c>
      <c r="D9705" s="704" t="s">
        <v>818</v>
      </c>
      <c r="E9705" s="704" t="s">
        <v>448</v>
      </c>
      <c r="F9705" s="706">
        <v>0.80587668172606619</v>
      </c>
      <c r="G9705" s="705">
        <v>662.21116533065538</v>
      </c>
    </row>
    <row r="9706" spans="2:7" ht="11.25" hidden="1" customHeight="1" outlineLevel="2" x14ac:dyDescent="0.25">
      <c r="B9706" s="704" t="s">
        <v>677</v>
      </c>
      <c r="C9706" s="704" t="s">
        <v>817</v>
      </c>
      <c r="D9706" s="704" t="s">
        <v>818</v>
      </c>
      <c r="E9706" s="704" t="s">
        <v>448</v>
      </c>
      <c r="F9706" s="706">
        <v>9.2437073020179188</v>
      </c>
      <c r="G9706" s="705">
        <v>7585.3273372182566</v>
      </c>
    </row>
    <row r="9707" spans="2:7" ht="11.25" hidden="1" customHeight="1" outlineLevel="2" x14ac:dyDescent="0.25">
      <c r="B9707" s="704" t="s">
        <v>678</v>
      </c>
      <c r="C9707" s="704" t="s">
        <v>817</v>
      </c>
      <c r="D9707" s="704" t="s">
        <v>818</v>
      </c>
      <c r="E9707" s="704" t="s">
        <v>448</v>
      </c>
      <c r="F9707" s="706">
        <v>7.1076087153032175</v>
      </c>
      <c r="G9707" s="705">
        <v>5839.4975347680975</v>
      </c>
    </row>
    <row r="9708" spans="2:7" ht="11.25" hidden="1" customHeight="1" outlineLevel="2" x14ac:dyDescent="0.25">
      <c r="B9708" s="704" t="s">
        <v>679</v>
      </c>
      <c r="C9708" s="704" t="s">
        <v>817</v>
      </c>
      <c r="D9708" s="704" t="s">
        <v>818</v>
      </c>
      <c r="E9708" s="704" t="s">
        <v>448</v>
      </c>
      <c r="F9708" s="706">
        <v>6.2283171292572517</v>
      </c>
      <c r="G9708" s="705">
        <v>5117.0857672819175</v>
      </c>
    </row>
    <row r="9709" spans="2:7" ht="11.25" hidden="1" customHeight="1" outlineLevel="2" x14ac:dyDescent="0.25">
      <c r="B9709" s="704" t="s">
        <v>680</v>
      </c>
      <c r="C9709" s="704" t="s">
        <v>817</v>
      </c>
      <c r="D9709" s="704" t="s">
        <v>818</v>
      </c>
      <c r="E9709" s="704" t="s">
        <v>448</v>
      </c>
      <c r="F9709" s="706">
        <v>1.0989225367991728</v>
      </c>
      <c r="G9709" s="705">
        <v>903.01526456314411</v>
      </c>
    </row>
    <row r="9710" spans="2:7" ht="11.25" hidden="1" customHeight="1" outlineLevel="2" x14ac:dyDescent="0.25">
      <c r="B9710" s="704" t="s">
        <v>681</v>
      </c>
      <c r="C9710" s="704" t="s">
        <v>817</v>
      </c>
      <c r="D9710" s="704" t="s">
        <v>818</v>
      </c>
      <c r="E9710" s="704" t="s">
        <v>448</v>
      </c>
      <c r="F9710" s="705">
        <v>0.58619466546712795</v>
      </c>
      <c r="G9710" s="705">
        <v>481.60821273105205</v>
      </c>
    </row>
    <row r="9711" spans="2:7" ht="11.25" hidden="1" customHeight="1" outlineLevel="2" x14ac:dyDescent="0.25">
      <c r="B9711" s="704" t="s">
        <v>682</v>
      </c>
      <c r="C9711" s="704" t="s">
        <v>817</v>
      </c>
      <c r="D9711" s="704" t="s">
        <v>818</v>
      </c>
      <c r="E9711" s="704" t="s">
        <v>448</v>
      </c>
      <c r="F9711" s="705">
        <v>7.0343344674886792</v>
      </c>
      <c r="G9711" s="705">
        <v>5779.2967433866179</v>
      </c>
    </row>
    <row r="9712" spans="2:7" ht="11.25" hidden="1" customHeight="1" outlineLevel="2" x14ac:dyDescent="0.25">
      <c r="B9712" s="704" t="s">
        <v>683</v>
      </c>
      <c r="C9712" s="704" t="s">
        <v>817</v>
      </c>
      <c r="D9712" s="704" t="s">
        <v>818</v>
      </c>
      <c r="E9712" s="704" t="s">
        <v>448</v>
      </c>
      <c r="F9712" s="705">
        <v>7.3274306966454112</v>
      </c>
      <c r="G9712" s="705">
        <v>6020.1000629458349</v>
      </c>
    </row>
    <row r="9713" spans="2:7" ht="11.25" hidden="1" customHeight="1" outlineLevel="2" x14ac:dyDescent="0.25">
      <c r="B9713" s="704" t="s">
        <v>684</v>
      </c>
      <c r="C9713" s="704" t="s">
        <v>817</v>
      </c>
      <c r="D9713" s="704" t="s">
        <v>818</v>
      </c>
      <c r="E9713" s="704" t="s">
        <v>448</v>
      </c>
      <c r="F9713" s="706">
        <v>23.004115641085797</v>
      </c>
      <c r="G9713" s="705">
        <v>18903.113341444572</v>
      </c>
    </row>
    <row r="9714" spans="2:7" ht="11.25" hidden="1" customHeight="1" outlineLevel="2" x14ac:dyDescent="0.25">
      <c r="B9714" s="704" t="s">
        <v>685</v>
      </c>
      <c r="C9714" s="704" t="s">
        <v>817</v>
      </c>
      <c r="D9714" s="704" t="s">
        <v>818</v>
      </c>
      <c r="E9714" s="704" t="s">
        <v>448</v>
      </c>
      <c r="F9714" s="705">
        <v>0.87929188289685734</v>
      </c>
      <c r="G9714" s="705">
        <v>722.41218389483186</v>
      </c>
    </row>
    <row r="9715" spans="2:7" ht="11.25" hidden="1" customHeight="1" outlineLevel="2" x14ac:dyDescent="0.25">
      <c r="B9715" s="704" t="s">
        <v>686</v>
      </c>
      <c r="C9715" s="704" t="s">
        <v>817</v>
      </c>
      <c r="D9715" s="704" t="s">
        <v>818</v>
      </c>
      <c r="E9715" s="704" t="s">
        <v>448</v>
      </c>
      <c r="F9715" s="705">
        <v>1.5384917242285603</v>
      </c>
      <c r="G9715" s="705">
        <v>1264.221425508676</v>
      </c>
    </row>
    <row r="9716" spans="2:7" ht="11.25" hidden="1" customHeight="1" outlineLevel="2" x14ac:dyDescent="0.25">
      <c r="B9716" s="704" t="s">
        <v>687</v>
      </c>
      <c r="C9716" s="704" t="s">
        <v>817</v>
      </c>
      <c r="D9716" s="704" t="s">
        <v>818</v>
      </c>
      <c r="E9716" s="704" t="s">
        <v>448</v>
      </c>
      <c r="F9716" s="706">
        <v>5.4222999331956645</v>
      </c>
      <c r="G9716" s="705">
        <v>4454.8750399629271</v>
      </c>
    </row>
    <row r="9717" spans="2:7" ht="11.25" hidden="1" customHeight="1" outlineLevel="2" x14ac:dyDescent="0.25">
      <c r="B9717" s="704" t="s">
        <v>688</v>
      </c>
      <c r="C9717" s="704" t="s">
        <v>817</v>
      </c>
      <c r="D9717" s="704" t="s">
        <v>818</v>
      </c>
      <c r="E9717" s="704" t="s">
        <v>448</v>
      </c>
      <c r="F9717" s="705">
        <v>0.29309728493696025</v>
      </c>
      <c r="G9717" s="705">
        <v>240.80410474911892</v>
      </c>
    </row>
    <row r="9718" spans="2:7" ht="11.25" hidden="1" customHeight="1" outlineLevel="2" x14ac:dyDescent="0.25">
      <c r="B9718" s="704" t="s">
        <v>689</v>
      </c>
      <c r="C9718" s="704" t="s">
        <v>817</v>
      </c>
      <c r="D9718" s="704" t="s">
        <v>818</v>
      </c>
      <c r="E9718" s="704" t="s">
        <v>448</v>
      </c>
      <c r="F9718" s="705">
        <v>10.840889353403078</v>
      </c>
      <c r="G9718" s="705">
        <v>8906.9758584332849</v>
      </c>
    </row>
    <row r="9719" spans="2:7" ht="11.25" hidden="1" customHeight="1" outlineLevel="2" x14ac:dyDescent="0.25">
      <c r="B9719" s="704" t="s">
        <v>690</v>
      </c>
      <c r="C9719" s="704" t="s">
        <v>817</v>
      </c>
      <c r="D9719" s="704" t="s">
        <v>818</v>
      </c>
      <c r="E9719" s="704" t="s">
        <v>448</v>
      </c>
      <c r="F9719" s="705">
        <v>2.1982293795386298</v>
      </c>
      <c r="G9719" s="705">
        <v>1806.0306274049431</v>
      </c>
    </row>
    <row r="9720" spans="2:7" ht="11.25" hidden="1" customHeight="1" outlineLevel="2" x14ac:dyDescent="0.25">
      <c r="B9720" s="704" t="s">
        <v>691</v>
      </c>
      <c r="C9720" s="704" t="s">
        <v>817</v>
      </c>
      <c r="D9720" s="704" t="s">
        <v>818</v>
      </c>
      <c r="E9720" s="704" t="s">
        <v>448</v>
      </c>
      <c r="F9720" s="706">
        <v>2.4913268220116276</v>
      </c>
      <c r="G9720" s="705">
        <v>2046.8345687168089</v>
      </c>
    </row>
    <row r="9721" spans="2:7" ht="11.25" hidden="1" customHeight="1" outlineLevel="2" x14ac:dyDescent="0.25">
      <c r="B9721" s="704" t="s">
        <v>692</v>
      </c>
      <c r="C9721" s="704" t="s">
        <v>817</v>
      </c>
      <c r="D9721" s="704" t="s">
        <v>818</v>
      </c>
      <c r="E9721" s="704" t="s">
        <v>448</v>
      </c>
      <c r="F9721" s="706">
        <v>6.8877848610785088</v>
      </c>
      <c r="G9721" s="705">
        <v>5658.8955671568156</v>
      </c>
    </row>
    <row r="9722" spans="2:7" ht="11.25" hidden="1" customHeight="1" outlineLevel="2" x14ac:dyDescent="0.25">
      <c r="B9722" s="704" t="s">
        <v>693</v>
      </c>
      <c r="C9722" s="704" t="s">
        <v>817</v>
      </c>
      <c r="D9722" s="704" t="s">
        <v>818</v>
      </c>
      <c r="E9722" s="704" t="s">
        <v>448</v>
      </c>
      <c r="F9722" s="706">
        <v>14.579042235892407</v>
      </c>
      <c r="G9722" s="705">
        <v>11980.001689264287</v>
      </c>
    </row>
    <row r="9723" spans="2:7" ht="11.25" hidden="1" customHeight="1" outlineLevel="2" x14ac:dyDescent="0.25">
      <c r="B9723" s="704" t="s">
        <v>694</v>
      </c>
      <c r="C9723" s="704" t="s">
        <v>817</v>
      </c>
      <c r="D9723" s="704" t="s">
        <v>818</v>
      </c>
      <c r="E9723" s="704" t="s">
        <v>448</v>
      </c>
      <c r="F9723" s="705">
        <v>11.795102989506848</v>
      </c>
      <c r="G9723" s="705">
        <v>9692.3628318309929</v>
      </c>
    </row>
    <row r="9724" spans="2:7" ht="11.25" hidden="1" customHeight="1" outlineLevel="2" x14ac:dyDescent="0.25">
      <c r="B9724" s="704" t="s">
        <v>695</v>
      </c>
      <c r="C9724" s="704" t="s">
        <v>817</v>
      </c>
      <c r="D9724" s="704" t="s">
        <v>818</v>
      </c>
      <c r="E9724" s="704" t="s">
        <v>448</v>
      </c>
      <c r="F9724" s="705">
        <v>13.333593116487345</v>
      </c>
      <c r="G9724" s="705">
        <v>10956.584922687398</v>
      </c>
    </row>
    <row r="9725" spans="2:7" ht="11.25" hidden="1" customHeight="1" outlineLevel="2" x14ac:dyDescent="0.25">
      <c r="B9725" s="704" t="s">
        <v>696</v>
      </c>
      <c r="C9725" s="704" t="s">
        <v>817</v>
      </c>
      <c r="D9725" s="704" t="s">
        <v>818</v>
      </c>
      <c r="E9725" s="704" t="s">
        <v>448</v>
      </c>
      <c r="F9725" s="705">
        <v>1.7582760929188515</v>
      </c>
      <c r="G9725" s="705">
        <v>1444.8244916845877</v>
      </c>
    </row>
    <row r="9726" spans="2:7" ht="11.25" hidden="1" customHeight="1" outlineLevel="2" x14ac:dyDescent="0.25">
      <c r="B9726" s="704" t="s">
        <v>697</v>
      </c>
      <c r="C9726" s="704" t="s">
        <v>817</v>
      </c>
      <c r="D9726" s="704" t="s">
        <v>818</v>
      </c>
      <c r="E9726" s="704" t="s">
        <v>448</v>
      </c>
      <c r="F9726" s="705">
        <v>3.2235064731661458</v>
      </c>
      <c r="G9726" s="705">
        <v>2648.8446339886632</v>
      </c>
    </row>
    <row r="9727" spans="2:7" ht="11.25" hidden="1" customHeight="1" outlineLevel="2" x14ac:dyDescent="0.25">
      <c r="B9727" s="704" t="s">
        <v>698</v>
      </c>
      <c r="C9727" s="704" t="s">
        <v>817</v>
      </c>
      <c r="D9727" s="704" t="s">
        <v>818</v>
      </c>
      <c r="E9727" s="704" t="s">
        <v>448</v>
      </c>
      <c r="F9727" s="705">
        <v>23.736735306350074</v>
      </c>
      <c r="G9727" s="705">
        <v>19505.127604044599</v>
      </c>
    </row>
    <row r="9728" spans="2:7" ht="11.25" hidden="1" customHeight="1" outlineLevel="2" x14ac:dyDescent="0.25">
      <c r="B9728" s="704" t="s">
        <v>699</v>
      </c>
      <c r="C9728" s="704" t="s">
        <v>817</v>
      </c>
      <c r="D9728" s="704" t="s">
        <v>818</v>
      </c>
      <c r="E9728" s="704" t="s">
        <v>448</v>
      </c>
      <c r="F9728" s="705">
        <v>2.271504020724989</v>
      </c>
      <c r="G9728" s="705">
        <v>1866.2316841987492</v>
      </c>
    </row>
    <row r="9729" spans="2:7" ht="11.25" hidden="1" customHeight="1" outlineLevel="2" x14ac:dyDescent="0.25">
      <c r="B9729" s="704" t="s">
        <v>673</v>
      </c>
      <c r="C9729" s="704" t="s">
        <v>819</v>
      </c>
      <c r="D9729" s="704" t="s">
        <v>818</v>
      </c>
      <c r="E9729" s="704" t="s">
        <v>448</v>
      </c>
      <c r="F9729" s="705">
        <v>0.3509163969734993</v>
      </c>
      <c r="G9729" s="705">
        <v>279.45138027706378</v>
      </c>
    </row>
    <row r="9730" spans="2:7" ht="11.25" hidden="1" customHeight="1" outlineLevel="2" x14ac:dyDescent="0.25">
      <c r="B9730" s="704" t="s">
        <v>677</v>
      </c>
      <c r="C9730" s="704" t="s">
        <v>819</v>
      </c>
      <c r="D9730" s="704" t="s">
        <v>818</v>
      </c>
      <c r="E9730" s="704" t="s">
        <v>448</v>
      </c>
      <c r="F9730" s="705">
        <v>4.0251407272833433</v>
      </c>
      <c r="G9730" s="705">
        <v>3200.9890977144969</v>
      </c>
    </row>
    <row r="9731" spans="2:7" ht="11.25" hidden="1" customHeight="1" outlineLevel="2" x14ac:dyDescent="0.25">
      <c r="B9731" s="704" t="s">
        <v>678</v>
      </c>
      <c r="C9731" s="704" t="s">
        <v>819</v>
      </c>
      <c r="D9731" s="704" t="s">
        <v>818</v>
      </c>
      <c r="E9731" s="704" t="s">
        <v>448</v>
      </c>
      <c r="F9731" s="705">
        <v>3.0949859989511554</v>
      </c>
      <c r="G9731" s="705">
        <v>2464.2524142530174</v>
      </c>
    </row>
    <row r="9732" spans="2:7" ht="11.25" hidden="1" customHeight="1" outlineLevel="2" x14ac:dyDescent="0.25">
      <c r="B9732" s="704" t="s">
        <v>679</v>
      </c>
      <c r="C9732" s="704" t="s">
        <v>819</v>
      </c>
      <c r="D9732" s="704" t="s">
        <v>818</v>
      </c>
      <c r="E9732" s="704" t="s">
        <v>448</v>
      </c>
      <c r="F9732" s="705">
        <v>2.7121005455023885</v>
      </c>
      <c r="G9732" s="705">
        <v>2159.3961232926822</v>
      </c>
    </row>
    <row r="9733" spans="2:7" ht="11.25" hidden="1" customHeight="1" outlineLevel="2" x14ac:dyDescent="0.25">
      <c r="B9733" s="704" t="s">
        <v>680</v>
      </c>
      <c r="C9733" s="704" t="s">
        <v>819</v>
      </c>
      <c r="D9733" s="704" t="s">
        <v>818</v>
      </c>
      <c r="E9733" s="704" t="s">
        <v>448</v>
      </c>
      <c r="F9733" s="705">
        <v>0.4785223989994386</v>
      </c>
      <c r="G9733" s="705">
        <v>381.06987319204728</v>
      </c>
    </row>
    <row r="9734" spans="2:7" ht="11.25" hidden="1" customHeight="1" outlineLevel="2" x14ac:dyDescent="0.25">
      <c r="B9734" s="704" t="s">
        <v>681</v>
      </c>
      <c r="C9734" s="704" t="s">
        <v>819</v>
      </c>
      <c r="D9734" s="704" t="s">
        <v>818</v>
      </c>
      <c r="E9734" s="704" t="s">
        <v>448</v>
      </c>
      <c r="F9734" s="706">
        <v>0.25525656317273515</v>
      </c>
      <c r="G9734" s="705">
        <v>203.23733091254712</v>
      </c>
    </row>
    <row r="9735" spans="2:7" ht="11.25" hidden="1" customHeight="1" outlineLevel="2" x14ac:dyDescent="0.25">
      <c r="B9735" s="704" t="s">
        <v>682</v>
      </c>
      <c r="C9735" s="704" t="s">
        <v>819</v>
      </c>
      <c r="D9735" s="704" t="s">
        <v>818</v>
      </c>
      <c r="E9735" s="704" t="s">
        <v>448</v>
      </c>
      <c r="F9735" s="706">
        <v>3.0630789223590771</v>
      </c>
      <c r="G9735" s="705">
        <v>2438.8475198854912</v>
      </c>
    </row>
    <row r="9736" spans="2:7" ht="11.25" hidden="1" customHeight="1" outlineLevel="2" x14ac:dyDescent="0.25">
      <c r="B9736" s="704" t="s">
        <v>683</v>
      </c>
      <c r="C9736" s="704" t="s">
        <v>819</v>
      </c>
      <c r="D9736" s="704" t="s">
        <v>818</v>
      </c>
      <c r="E9736" s="704" t="s">
        <v>448</v>
      </c>
      <c r="F9736" s="705">
        <v>3.1907073927139171</v>
      </c>
      <c r="G9736" s="705">
        <v>2540.4676175299824</v>
      </c>
    </row>
    <row r="9737" spans="2:7" ht="11.25" hidden="1" customHeight="1" outlineLevel="2" x14ac:dyDescent="0.25">
      <c r="B9737" s="704" t="s">
        <v>684</v>
      </c>
      <c r="C9737" s="704" t="s">
        <v>819</v>
      </c>
      <c r="D9737" s="704" t="s">
        <v>818</v>
      </c>
      <c r="E9737" s="704" t="s">
        <v>448</v>
      </c>
      <c r="F9737" s="705">
        <v>10.017068120120912</v>
      </c>
      <c r="G9737" s="705">
        <v>7977.066758033774</v>
      </c>
    </row>
    <row r="9738" spans="2:7" ht="11.25" hidden="1" customHeight="1" outlineLevel="2" x14ac:dyDescent="0.25">
      <c r="B9738" s="704" t="s">
        <v>685</v>
      </c>
      <c r="C9738" s="704" t="s">
        <v>819</v>
      </c>
      <c r="D9738" s="704" t="s">
        <v>818</v>
      </c>
      <c r="E9738" s="704" t="s">
        <v>448</v>
      </c>
      <c r="F9738" s="705">
        <v>0.38288492219890946</v>
      </c>
      <c r="G9738" s="705">
        <v>304.85604972604676</v>
      </c>
    </row>
    <row r="9739" spans="2:7" ht="11.25" hidden="1" customHeight="1" outlineLevel="2" x14ac:dyDescent="0.25">
      <c r="B9739" s="704" t="s">
        <v>686</v>
      </c>
      <c r="C9739" s="704" t="s">
        <v>819</v>
      </c>
      <c r="D9739" s="704" t="s">
        <v>818</v>
      </c>
      <c r="E9739" s="704" t="s">
        <v>448</v>
      </c>
      <c r="F9739" s="705">
        <v>0.66993133104476443</v>
      </c>
      <c r="G9739" s="705">
        <v>533.49793345347916</v>
      </c>
    </row>
    <row r="9740" spans="2:7" ht="11.25" hidden="1" customHeight="1" outlineLevel="2" x14ac:dyDescent="0.25">
      <c r="B9740" s="704" t="s">
        <v>687</v>
      </c>
      <c r="C9740" s="704" t="s">
        <v>819</v>
      </c>
      <c r="D9740" s="704" t="s">
        <v>818</v>
      </c>
      <c r="E9740" s="704" t="s">
        <v>448</v>
      </c>
      <c r="F9740" s="705">
        <v>2.3611231345648216</v>
      </c>
      <c r="G9740" s="705">
        <v>1879.9455050463882</v>
      </c>
    </row>
    <row r="9741" spans="2:7" ht="11.25" hidden="1" customHeight="1" outlineLevel="2" x14ac:dyDescent="0.25">
      <c r="B9741" s="704" t="s">
        <v>688</v>
      </c>
      <c r="C9741" s="704" t="s">
        <v>819</v>
      </c>
      <c r="D9741" s="704" t="s">
        <v>818</v>
      </c>
      <c r="E9741" s="704" t="s">
        <v>448</v>
      </c>
      <c r="F9741" s="705">
        <v>0.12762822120313036</v>
      </c>
      <c r="G9741" s="705">
        <v>101.61869835598395</v>
      </c>
    </row>
    <row r="9742" spans="2:7" ht="11.25" hidden="1" customHeight="1" outlineLevel="2" x14ac:dyDescent="0.25">
      <c r="B9742" s="704" t="s">
        <v>689</v>
      </c>
      <c r="C9742" s="704" t="s">
        <v>819</v>
      </c>
      <c r="D9742" s="704" t="s">
        <v>818</v>
      </c>
      <c r="E9742" s="704" t="s">
        <v>448</v>
      </c>
      <c r="F9742" s="705">
        <v>4.7206308137515229</v>
      </c>
      <c r="G9742" s="705">
        <v>3758.7205178569257</v>
      </c>
    </row>
    <row r="9743" spans="2:7" ht="11.25" hidden="1" customHeight="1" outlineLevel="2" x14ac:dyDescent="0.25">
      <c r="B9743" s="704" t="s">
        <v>690</v>
      </c>
      <c r="C9743" s="704" t="s">
        <v>819</v>
      </c>
      <c r="D9743" s="704" t="s">
        <v>818</v>
      </c>
      <c r="E9743" s="704" t="s">
        <v>448</v>
      </c>
      <c r="F9743" s="705">
        <v>0.95721208843369088</v>
      </c>
      <c r="G9743" s="705">
        <v>762.14015301691666</v>
      </c>
    </row>
    <row r="9744" spans="2:7" ht="11.25" hidden="1" customHeight="1" outlineLevel="2" x14ac:dyDescent="0.25">
      <c r="B9744" s="704" t="s">
        <v>691</v>
      </c>
      <c r="C9744" s="704" t="s">
        <v>819</v>
      </c>
      <c r="D9744" s="704" t="s">
        <v>818</v>
      </c>
      <c r="E9744" s="704" t="s">
        <v>448</v>
      </c>
      <c r="F9744" s="705">
        <v>1.0848401219767652</v>
      </c>
      <c r="G9744" s="705">
        <v>863.75867379838689</v>
      </c>
    </row>
    <row r="9745" spans="2:7" ht="11.25" hidden="1" customHeight="1" outlineLevel="2" x14ac:dyDescent="0.25">
      <c r="B9745" s="704" t="s">
        <v>692</v>
      </c>
      <c r="C9745" s="704" t="s">
        <v>819</v>
      </c>
      <c r="D9745" s="704" t="s">
        <v>818</v>
      </c>
      <c r="E9745" s="704" t="s">
        <v>448</v>
      </c>
      <c r="F9745" s="705">
        <v>2.9992643496934219</v>
      </c>
      <c r="G9745" s="705">
        <v>2388.0395303941291</v>
      </c>
    </row>
    <row r="9746" spans="2:7" ht="11.25" hidden="1" customHeight="1" outlineLevel="2" x14ac:dyDescent="0.25">
      <c r="B9746" s="704" t="s">
        <v>693</v>
      </c>
      <c r="C9746" s="704" t="s">
        <v>819</v>
      </c>
      <c r="D9746" s="704" t="s">
        <v>818</v>
      </c>
      <c r="E9746" s="704" t="s">
        <v>448</v>
      </c>
      <c r="F9746" s="705">
        <v>6.3483957103297444</v>
      </c>
      <c r="G9746" s="705">
        <v>5055.5280300105369</v>
      </c>
    </row>
    <row r="9747" spans="2:7" ht="11.25" hidden="1" customHeight="1" outlineLevel="2" x14ac:dyDescent="0.25">
      <c r="B9747" s="704" t="s">
        <v>694</v>
      </c>
      <c r="C9747" s="704" t="s">
        <v>819</v>
      </c>
      <c r="D9747" s="704" t="s">
        <v>818</v>
      </c>
      <c r="E9747" s="704" t="s">
        <v>448</v>
      </c>
      <c r="F9747" s="705">
        <v>5.1361397253253971</v>
      </c>
      <c r="G9747" s="705">
        <v>4090.1511692792328</v>
      </c>
    </row>
    <row r="9748" spans="2:7" ht="11.25" hidden="1" customHeight="1" outlineLevel="2" x14ac:dyDescent="0.25">
      <c r="B9748" s="704" t="s">
        <v>695</v>
      </c>
      <c r="C9748" s="704" t="s">
        <v>819</v>
      </c>
      <c r="D9748" s="704" t="s">
        <v>818</v>
      </c>
      <c r="E9748" s="704" t="s">
        <v>448</v>
      </c>
      <c r="F9748" s="705">
        <v>5.8060704263270972</v>
      </c>
      <c r="G9748" s="705">
        <v>4623.6503748659443</v>
      </c>
    </row>
    <row r="9749" spans="2:7" ht="11.25" hidden="1" customHeight="1" outlineLevel="2" x14ac:dyDescent="0.25">
      <c r="B9749" s="704" t="s">
        <v>696</v>
      </c>
      <c r="C9749" s="704" t="s">
        <v>819</v>
      </c>
      <c r="D9749" s="704" t="s">
        <v>818</v>
      </c>
      <c r="E9749" s="704" t="s">
        <v>448</v>
      </c>
      <c r="F9749" s="705">
        <v>0.76563549214764848</v>
      </c>
      <c r="G9749" s="705">
        <v>609.71196406233901</v>
      </c>
    </row>
    <row r="9750" spans="2:7" ht="11.25" hidden="1" customHeight="1" outlineLevel="2" x14ac:dyDescent="0.25">
      <c r="B9750" s="704" t="s">
        <v>697</v>
      </c>
      <c r="C9750" s="704" t="s">
        <v>819</v>
      </c>
      <c r="D9750" s="704" t="s">
        <v>818</v>
      </c>
      <c r="E9750" s="704" t="s">
        <v>448</v>
      </c>
      <c r="F9750" s="705">
        <v>1.403665457647967</v>
      </c>
      <c r="G9750" s="705">
        <v>1117.8052808221689</v>
      </c>
    </row>
    <row r="9751" spans="2:7" ht="11.25" hidden="1" customHeight="1" outlineLevel="2" x14ac:dyDescent="0.25">
      <c r="B9751" s="704" t="s">
        <v>698</v>
      </c>
      <c r="C9751" s="704" t="s">
        <v>819</v>
      </c>
      <c r="D9751" s="704" t="s">
        <v>818</v>
      </c>
      <c r="E9751" s="704" t="s">
        <v>448</v>
      </c>
      <c r="F9751" s="706">
        <v>10.336082574179949</v>
      </c>
      <c r="G9751" s="705">
        <v>8231.1171777936634</v>
      </c>
    </row>
    <row r="9752" spans="2:7" ht="11.25" hidden="1" customHeight="1" outlineLevel="2" x14ac:dyDescent="0.25">
      <c r="B9752" s="704" t="s">
        <v>699</v>
      </c>
      <c r="C9752" s="704" t="s">
        <v>819</v>
      </c>
      <c r="D9752" s="704" t="s">
        <v>818</v>
      </c>
      <c r="E9752" s="704" t="s">
        <v>448</v>
      </c>
      <c r="F9752" s="706">
        <v>0.98911918285216072</v>
      </c>
      <c r="G9752" s="705">
        <v>787.54455160586838</v>
      </c>
    </row>
    <row r="9753" spans="2:7" ht="11.25" hidden="1" customHeight="1" outlineLevel="2" x14ac:dyDescent="0.25">
      <c r="B9753" s="704" t="s">
        <v>673</v>
      </c>
      <c r="C9753" s="704" t="s">
        <v>820</v>
      </c>
      <c r="D9753" s="704" t="s">
        <v>818</v>
      </c>
      <c r="E9753" s="704" t="s">
        <v>448</v>
      </c>
      <c r="F9753" s="706">
        <v>0.13415825553750715</v>
      </c>
      <c r="G9753" s="705">
        <v>208.58859402845923</v>
      </c>
    </row>
    <row r="9754" spans="2:7" ht="11.25" hidden="1" customHeight="1" outlineLevel="2" x14ac:dyDescent="0.25">
      <c r="B9754" s="704" t="s">
        <v>677</v>
      </c>
      <c r="C9754" s="704" t="s">
        <v>820</v>
      </c>
      <c r="D9754" s="704" t="s">
        <v>818</v>
      </c>
      <c r="E9754" s="704" t="s">
        <v>448</v>
      </c>
      <c r="F9754" s="706">
        <v>3.9833981758278356</v>
      </c>
      <c r="G9754" s="705">
        <v>6124.9216596624119</v>
      </c>
    </row>
    <row r="9755" spans="2:7" ht="11.25" hidden="1" customHeight="1" outlineLevel="2" x14ac:dyDescent="0.25">
      <c r="B9755" s="704" t="s">
        <v>678</v>
      </c>
      <c r="C9755" s="704" t="s">
        <v>820</v>
      </c>
      <c r="D9755" s="704" t="s">
        <v>818</v>
      </c>
      <c r="E9755" s="704" t="s">
        <v>448</v>
      </c>
      <c r="F9755" s="706">
        <v>2.2571553120952896</v>
      </c>
      <c r="G9755" s="705">
        <v>3508.0833305223769</v>
      </c>
    </row>
    <row r="9756" spans="2:7" ht="11.25" hidden="1" customHeight="1" outlineLevel="2" x14ac:dyDescent="0.25">
      <c r="B9756" s="704" t="s">
        <v>679</v>
      </c>
      <c r="C9756" s="704" t="s">
        <v>820</v>
      </c>
      <c r="D9756" s="704" t="s">
        <v>818</v>
      </c>
      <c r="E9756" s="704" t="s">
        <v>448</v>
      </c>
      <c r="F9756" s="706">
        <v>2.7544996421134371</v>
      </c>
      <c r="G9756" s="705">
        <v>4285.5479385561366</v>
      </c>
    </row>
    <row r="9757" spans="2:7" ht="11.25" hidden="1" customHeight="1" outlineLevel="2" x14ac:dyDescent="0.25">
      <c r="B9757" s="704" t="s">
        <v>680</v>
      </c>
      <c r="C9757" s="704" t="s">
        <v>820</v>
      </c>
      <c r="D9757" s="704" t="s">
        <v>818</v>
      </c>
      <c r="E9757" s="704" t="s">
        <v>448</v>
      </c>
      <c r="F9757" s="706">
        <v>0.18233972419148145</v>
      </c>
      <c r="G9757" s="705">
        <v>284.43911204410654</v>
      </c>
    </row>
    <row r="9758" spans="2:7" ht="11.25" hidden="1" customHeight="1" outlineLevel="2" x14ac:dyDescent="0.25">
      <c r="B9758" s="704" t="s">
        <v>681</v>
      </c>
      <c r="C9758" s="704" t="s">
        <v>820</v>
      </c>
      <c r="D9758" s="704" t="s">
        <v>818</v>
      </c>
      <c r="E9758" s="704" t="s">
        <v>448</v>
      </c>
      <c r="F9758" s="706">
        <v>9.7606730679074077E-2</v>
      </c>
      <c r="G9758" s="705">
        <v>151.70079478872543</v>
      </c>
    </row>
    <row r="9759" spans="2:7" ht="11.25" hidden="1" customHeight="1" outlineLevel="2" x14ac:dyDescent="0.25">
      <c r="B9759" s="704" t="s">
        <v>682</v>
      </c>
      <c r="C9759" s="704" t="s">
        <v>820</v>
      </c>
      <c r="D9759" s="704" t="s">
        <v>818</v>
      </c>
      <c r="E9759" s="704" t="s">
        <v>448</v>
      </c>
      <c r="F9759" s="706">
        <v>2.1231589967119904</v>
      </c>
      <c r="G9759" s="705">
        <v>3299.493271157954</v>
      </c>
    </row>
    <row r="9760" spans="2:7" ht="11.25" hidden="1" customHeight="1" outlineLevel="2" x14ac:dyDescent="0.25">
      <c r="B9760" s="704" t="s">
        <v>683</v>
      </c>
      <c r="C9760" s="704" t="s">
        <v>820</v>
      </c>
      <c r="D9760" s="704" t="s">
        <v>818</v>
      </c>
      <c r="E9760" s="704" t="s">
        <v>448</v>
      </c>
      <c r="F9760" s="706">
        <v>3.6442280134271723</v>
      </c>
      <c r="G9760" s="705">
        <v>5669.8183289864992</v>
      </c>
    </row>
    <row r="9761" spans="2:7" ht="11.25" hidden="1" customHeight="1" outlineLevel="2" x14ac:dyDescent="0.25">
      <c r="B9761" s="704" t="s">
        <v>684</v>
      </c>
      <c r="C9761" s="704" t="s">
        <v>820</v>
      </c>
      <c r="D9761" s="704" t="s">
        <v>818</v>
      </c>
      <c r="E9761" s="704" t="s">
        <v>448</v>
      </c>
      <c r="F9761" s="705">
        <v>9.3601044426790345</v>
      </c>
      <c r="G9761" s="705">
        <v>14601.202317451567</v>
      </c>
    </row>
    <row r="9762" spans="2:7" ht="11.25" hidden="1" customHeight="1" outlineLevel="2" x14ac:dyDescent="0.25">
      <c r="B9762" s="704" t="s">
        <v>685</v>
      </c>
      <c r="C9762" s="704" t="s">
        <v>820</v>
      </c>
      <c r="D9762" s="704" t="s">
        <v>818</v>
      </c>
      <c r="E9762" s="704" t="s">
        <v>448</v>
      </c>
      <c r="F9762" s="705">
        <v>0.14625669141683662</v>
      </c>
      <c r="G9762" s="705">
        <v>227.55128585916324</v>
      </c>
    </row>
    <row r="9763" spans="2:7" ht="11.25" hidden="1" customHeight="1" outlineLevel="2" x14ac:dyDescent="0.25">
      <c r="B9763" s="704" t="s">
        <v>686</v>
      </c>
      <c r="C9763" s="704" t="s">
        <v>820</v>
      </c>
      <c r="D9763" s="704" t="s">
        <v>818</v>
      </c>
      <c r="E9763" s="704" t="s">
        <v>448</v>
      </c>
      <c r="F9763" s="706">
        <v>0.25612021791110795</v>
      </c>
      <c r="G9763" s="705">
        <v>398.21466700189478</v>
      </c>
    </row>
    <row r="9764" spans="2:7" ht="11.25" hidden="1" customHeight="1" outlineLevel="2" x14ac:dyDescent="0.25">
      <c r="B9764" s="704" t="s">
        <v>687</v>
      </c>
      <c r="C9764" s="704" t="s">
        <v>820</v>
      </c>
      <c r="D9764" s="704" t="s">
        <v>818</v>
      </c>
      <c r="E9764" s="704" t="s">
        <v>448</v>
      </c>
      <c r="F9764" s="705">
        <v>2.0375406560530274</v>
      </c>
      <c r="G9764" s="705">
        <v>3166.7553217182731</v>
      </c>
    </row>
    <row r="9765" spans="2:7" ht="11.25" hidden="1" customHeight="1" outlineLevel="2" x14ac:dyDescent="0.25">
      <c r="B9765" s="704" t="s">
        <v>688</v>
      </c>
      <c r="C9765" s="704" t="s">
        <v>820</v>
      </c>
      <c r="D9765" s="704" t="s">
        <v>818</v>
      </c>
      <c r="E9765" s="704" t="s">
        <v>448</v>
      </c>
      <c r="F9765" s="705">
        <v>4.8803357747145955E-2</v>
      </c>
      <c r="G9765" s="705">
        <v>75.850442801661288</v>
      </c>
    </row>
    <row r="9766" spans="2:7" ht="11.25" hidden="1" customHeight="1" outlineLevel="2" x14ac:dyDescent="0.25">
      <c r="B9766" s="704" t="s">
        <v>689</v>
      </c>
      <c r="C9766" s="704" t="s">
        <v>820</v>
      </c>
      <c r="D9766" s="704" t="s">
        <v>818</v>
      </c>
      <c r="E9766" s="704" t="s">
        <v>448</v>
      </c>
      <c r="F9766" s="705">
        <v>5.0930171915541598</v>
      </c>
      <c r="G9766" s="705">
        <v>7903.5576067553338</v>
      </c>
    </row>
    <row r="9767" spans="2:7" ht="11.25" hidden="1" customHeight="1" outlineLevel="2" x14ac:dyDescent="0.25">
      <c r="B9767" s="704" t="s">
        <v>690</v>
      </c>
      <c r="C9767" s="704" t="s">
        <v>820</v>
      </c>
      <c r="D9767" s="704" t="s">
        <v>818</v>
      </c>
      <c r="E9767" s="704" t="s">
        <v>448</v>
      </c>
      <c r="F9767" s="705">
        <v>0.36564167633053946</v>
      </c>
      <c r="G9767" s="705">
        <v>568.87827791595441</v>
      </c>
    </row>
    <row r="9768" spans="2:7" ht="11.25" hidden="1" customHeight="1" outlineLevel="2" x14ac:dyDescent="0.25">
      <c r="B9768" s="704" t="s">
        <v>691</v>
      </c>
      <c r="C9768" s="704" t="s">
        <v>820</v>
      </c>
      <c r="D9768" s="704" t="s">
        <v>818</v>
      </c>
      <c r="E9768" s="704" t="s">
        <v>448</v>
      </c>
      <c r="F9768" s="705">
        <v>0.41439380982024698</v>
      </c>
      <c r="G9768" s="705">
        <v>644.72865848592994</v>
      </c>
    </row>
    <row r="9769" spans="2:7" ht="11.25" hidden="1" customHeight="1" outlineLevel="2" x14ac:dyDescent="0.25">
      <c r="B9769" s="704" t="s">
        <v>692</v>
      </c>
      <c r="C9769" s="704" t="s">
        <v>820</v>
      </c>
      <c r="D9769" s="704" t="s">
        <v>818</v>
      </c>
      <c r="E9769" s="704" t="s">
        <v>448</v>
      </c>
      <c r="F9769" s="705">
        <v>3.0624103999620766</v>
      </c>
      <c r="G9769" s="705">
        <v>4759.6141277090555</v>
      </c>
    </row>
    <row r="9770" spans="2:7" ht="11.25" hidden="1" customHeight="1" outlineLevel="2" x14ac:dyDescent="0.25">
      <c r="B9770" s="704" t="s">
        <v>693</v>
      </c>
      <c r="C9770" s="704" t="s">
        <v>820</v>
      </c>
      <c r="D9770" s="704" t="s">
        <v>818</v>
      </c>
      <c r="E9770" s="704" t="s">
        <v>448</v>
      </c>
      <c r="F9770" s="705">
        <v>7.9378572573603519</v>
      </c>
      <c r="G9770" s="705">
        <v>12382.58433968568</v>
      </c>
    </row>
    <row r="9771" spans="2:7" ht="11.25" hidden="1" customHeight="1" outlineLevel="2" x14ac:dyDescent="0.25">
      <c r="B9771" s="704" t="s">
        <v>694</v>
      </c>
      <c r="C9771" s="704" t="s">
        <v>820</v>
      </c>
      <c r="D9771" s="704" t="s">
        <v>818</v>
      </c>
      <c r="E9771" s="704" t="s">
        <v>448</v>
      </c>
      <c r="F9771" s="705">
        <v>5.944273433474863</v>
      </c>
      <c r="G9771" s="705">
        <v>9272.7171184878116</v>
      </c>
    </row>
    <row r="9772" spans="2:7" ht="11.25" hidden="1" customHeight="1" outlineLevel="2" x14ac:dyDescent="0.25">
      <c r="B9772" s="704" t="s">
        <v>695</v>
      </c>
      <c r="C9772" s="704" t="s">
        <v>820</v>
      </c>
      <c r="D9772" s="704" t="s">
        <v>818</v>
      </c>
      <c r="E9772" s="704" t="s">
        <v>448</v>
      </c>
      <c r="F9772" s="705">
        <v>5.1176676937540151</v>
      </c>
      <c r="G9772" s="705">
        <v>7983.2554946947093</v>
      </c>
    </row>
    <row r="9773" spans="2:7" ht="11.25" hidden="1" customHeight="1" outlineLevel="2" x14ac:dyDescent="0.25">
      <c r="B9773" s="704" t="s">
        <v>696</v>
      </c>
      <c r="C9773" s="704" t="s">
        <v>820</v>
      </c>
      <c r="D9773" s="704" t="s">
        <v>818</v>
      </c>
      <c r="E9773" s="704" t="s">
        <v>448</v>
      </c>
      <c r="F9773" s="705">
        <v>0.29270895092112043</v>
      </c>
      <c r="G9773" s="705">
        <v>455.1025108856644</v>
      </c>
    </row>
    <row r="9774" spans="2:7" ht="11.25" hidden="1" customHeight="1" outlineLevel="2" x14ac:dyDescent="0.25">
      <c r="B9774" s="704" t="s">
        <v>697</v>
      </c>
      <c r="C9774" s="704" t="s">
        <v>820</v>
      </c>
      <c r="D9774" s="704" t="s">
        <v>818</v>
      </c>
      <c r="E9774" s="704" t="s">
        <v>448</v>
      </c>
      <c r="F9774" s="705">
        <v>0.75367087697340085</v>
      </c>
      <c r="G9774" s="705">
        <v>1175.6815847397349</v>
      </c>
    </row>
    <row r="9775" spans="2:7" ht="11.25" hidden="1" customHeight="1" outlineLevel="2" x14ac:dyDescent="0.25">
      <c r="B9775" s="704" t="s">
        <v>698</v>
      </c>
      <c r="C9775" s="704" t="s">
        <v>820</v>
      </c>
      <c r="D9775" s="704" t="s">
        <v>818</v>
      </c>
      <c r="E9775" s="704" t="s">
        <v>448</v>
      </c>
      <c r="F9775" s="705">
        <v>6.9653800587568364</v>
      </c>
      <c r="G9775" s="705">
        <v>10865.572704358185</v>
      </c>
    </row>
    <row r="9776" spans="2:7" ht="11.25" hidden="1" customHeight="1" outlineLevel="2" x14ac:dyDescent="0.25">
      <c r="B9776" s="704" t="s">
        <v>699</v>
      </c>
      <c r="C9776" s="704" t="s">
        <v>820</v>
      </c>
      <c r="D9776" s="704" t="s">
        <v>818</v>
      </c>
      <c r="E9776" s="704" t="s">
        <v>448</v>
      </c>
      <c r="F9776" s="705">
        <v>0.56123871673317005</v>
      </c>
      <c r="G9776" s="705">
        <v>872.27995492148671</v>
      </c>
    </row>
    <row r="9777" spans="2:7" ht="11.25" hidden="1" customHeight="1" outlineLevel="2" x14ac:dyDescent="0.25">
      <c r="B9777" s="704" t="s">
        <v>673</v>
      </c>
      <c r="C9777" s="704" t="s">
        <v>857</v>
      </c>
      <c r="D9777" s="704" t="s">
        <v>818</v>
      </c>
      <c r="E9777" s="704" t="s">
        <v>664</v>
      </c>
      <c r="F9777" s="708"/>
      <c r="G9777" s="705">
        <v>185.72005232980598</v>
      </c>
    </row>
    <row r="9778" spans="2:7" ht="11.25" hidden="1" customHeight="1" outlineLevel="2" x14ac:dyDescent="0.25">
      <c r="B9778" s="704" t="s">
        <v>677</v>
      </c>
      <c r="C9778" s="704" t="s">
        <v>857</v>
      </c>
      <c r="D9778" s="704" t="s">
        <v>818</v>
      </c>
      <c r="E9778" s="704" t="s">
        <v>664</v>
      </c>
      <c r="F9778" s="705">
        <v>0.14117151128875055</v>
      </c>
      <c r="G9778" s="705">
        <v>5453.4156672570853</v>
      </c>
    </row>
    <row r="9779" spans="2:7" ht="11.25" hidden="1" customHeight="1" outlineLevel="2" x14ac:dyDescent="0.25">
      <c r="B9779" s="704" t="s">
        <v>678</v>
      </c>
      <c r="C9779" s="704" t="s">
        <v>857</v>
      </c>
      <c r="D9779" s="704" t="s">
        <v>818</v>
      </c>
      <c r="E9779" s="704" t="s">
        <v>664</v>
      </c>
      <c r="F9779" s="708"/>
      <c r="G9779" s="705">
        <v>3123.4728403055401</v>
      </c>
    </row>
    <row r="9780" spans="2:7" ht="11.25" hidden="1" customHeight="1" outlineLevel="2" x14ac:dyDescent="0.25">
      <c r="B9780" s="704" t="s">
        <v>679</v>
      </c>
      <c r="C9780" s="704" t="s">
        <v>857</v>
      </c>
      <c r="D9780" s="704" t="s">
        <v>818</v>
      </c>
      <c r="E9780" s="704" t="s">
        <v>664</v>
      </c>
      <c r="F9780" s="708"/>
      <c r="G9780" s="705">
        <v>3815.703905995189</v>
      </c>
    </row>
    <row r="9781" spans="2:7" ht="11.25" hidden="1" customHeight="1" outlineLevel="2" x14ac:dyDescent="0.25">
      <c r="B9781" s="704" t="s">
        <v>680</v>
      </c>
      <c r="C9781" s="704" t="s">
        <v>857</v>
      </c>
      <c r="D9781" s="704" t="s">
        <v>818</v>
      </c>
      <c r="E9781" s="704" t="s">
        <v>664</v>
      </c>
      <c r="F9781" s="708"/>
      <c r="G9781" s="705">
        <v>253.25465115089568</v>
      </c>
    </row>
    <row r="9782" spans="2:7" ht="11.25" hidden="1" customHeight="1" outlineLevel="2" x14ac:dyDescent="0.25">
      <c r="B9782" s="704" t="s">
        <v>681</v>
      </c>
      <c r="C9782" s="704" t="s">
        <v>857</v>
      </c>
      <c r="D9782" s="704" t="s">
        <v>818</v>
      </c>
      <c r="E9782" s="704" t="s">
        <v>664</v>
      </c>
      <c r="F9782" s="708"/>
      <c r="G9782" s="705">
        <v>135.06915569845131</v>
      </c>
    </row>
    <row r="9783" spans="2:7" ht="11.25" hidden="1" customHeight="1" outlineLevel="2" x14ac:dyDescent="0.25">
      <c r="B9783" s="704" t="s">
        <v>682</v>
      </c>
      <c r="C9783" s="704" t="s">
        <v>857</v>
      </c>
      <c r="D9783" s="704" t="s">
        <v>818</v>
      </c>
      <c r="E9783" s="704" t="s">
        <v>664</v>
      </c>
      <c r="F9783" s="708"/>
      <c r="G9783" s="705">
        <v>2937.753932042579</v>
      </c>
    </row>
    <row r="9784" spans="2:7" ht="11.25" hidden="1" customHeight="1" outlineLevel="2" x14ac:dyDescent="0.25">
      <c r="B9784" s="704" t="s">
        <v>683</v>
      </c>
      <c r="C9784" s="704" t="s">
        <v>857</v>
      </c>
      <c r="D9784" s="704" t="s">
        <v>818</v>
      </c>
      <c r="E9784" s="704" t="s">
        <v>664</v>
      </c>
      <c r="F9784" s="709"/>
      <c r="G9784" s="705">
        <v>5048.2065171874438</v>
      </c>
    </row>
    <row r="9785" spans="2:7" ht="11.25" hidden="1" customHeight="1" outlineLevel="2" x14ac:dyDescent="0.25">
      <c r="B9785" s="704" t="s">
        <v>684</v>
      </c>
      <c r="C9785" s="704" t="s">
        <v>857</v>
      </c>
      <c r="D9785" s="704" t="s">
        <v>818</v>
      </c>
      <c r="E9785" s="704" t="s">
        <v>664</v>
      </c>
      <c r="F9785" s="709"/>
      <c r="G9785" s="705">
        <v>13000.404044962432</v>
      </c>
    </row>
    <row r="9786" spans="2:7" ht="11.25" hidden="1" customHeight="1" outlineLevel="2" x14ac:dyDescent="0.25">
      <c r="B9786" s="704" t="s">
        <v>685</v>
      </c>
      <c r="C9786" s="704" t="s">
        <v>857</v>
      </c>
      <c r="D9786" s="704" t="s">
        <v>818</v>
      </c>
      <c r="E9786" s="704" t="s">
        <v>664</v>
      </c>
      <c r="F9786" s="709"/>
      <c r="G9786" s="705">
        <v>202.60371446705682</v>
      </c>
    </row>
    <row r="9787" spans="2:7" ht="11.25" hidden="1" customHeight="1" outlineLevel="2" x14ac:dyDescent="0.25">
      <c r="B9787" s="704" t="s">
        <v>686</v>
      </c>
      <c r="C9787" s="704" t="s">
        <v>857</v>
      </c>
      <c r="D9787" s="704" t="s">
        <v>818</v>
      </c>
      <c r="E9787" s="704" t="s">
        <v>664</v>
      </c>
      <c r="F9787" s="709"/>
      <c r="G9787" s="705">
        <v>354.55638444842185</v>
      </c>
    </row>
    <row r="9788" spans="2:7" ht="11.25" hidden="1" customHeight="1" outlineLevel="2" x14ac:dyDescent="0.25">
      <c r="B9788" s="704" t="s">
        <v>687</v>
      </c>
      <c r="C9788" s="704" t="s">
        <v>857</v>
      </c>
      <c r="D9788" s="704" t="s">
        <v>818</v>
      </c>
      <c r="E9788" s="704" t="s">
        <v>664</v>
      </c>
      <c r="F9788" s="709"/>
      <c r="G9788" s="705">
        <v>2819.5677720888239</v>
      </c>
    </row>
    <row r="9789" spans="2:7" ht="11.25" hidden="1" customHeight="1" outlineLevel="2" x14ac:dyDescent="0.25">
      <c r="B9789" s="704" t="s">
        <v>688</v>
      </c>
      <c r="C9789" s="704" t="s">
        <v>857</v>
      </c>
      <c r="D9789" s="704" t="s">
        <v>818</v>
      </c>
      <c r="E9789" s="704" t="s">
        <v>664</v>
      </c>
      <c r="F9789" s="709"/>
      <c r="G9789" s="705">
        <v>67.534550959000569</v>
      </c>
    </row>
    <row r="9790" spans="2:7" ht="11.25" hidden="1" customHeight="1" outlineLevel="2" x14ac:dyDescent="0.25">
      <c r="B9790" s="704" t="s">
        <v>689</v>
      </c>
      <c r="C9790" s="704" t="s">
        <v>857</v>
      </c>
      <c r="D9790" s="704" t="s">
        <v>818</v>
      </c>
      <c r="E9790" s="704" t="s">
        <v>664</v>
      </c>
      <c r="F9790" s="708"/>
      <c r="G9790" s="705">
        <v>7037.0479932610751</v>
      </c>
    </row>
    <row r="9791" spans="2:7" ht="11.25" hidden="1" customHeight="1" outlineLevel="2" x14ac:dyDescent="0.25">
      <c r="B9791" s="704" t="s">
        <v>690</v>
      </c>
      <c r="C9791" s="704" t="s">
        <v>857</v>
      </c>
      <c r="D9791" s="704" t="s">
        <v>818</v>
      </c>
      <c r="E9791" s="704" t="s">
        <v>664</v>
      </c>
      <c r="F9791" s="708"/>
      <c r="G9791" s="705">
        <v>506.50924310003296</v>
      </c>
    </row>
    <row r="9792" spans="2:7" ht="11.25" hidden="1" customHeight="1" outlineLevel="2" x14ac:dyDescent="0.25">
      <c r="B9792" s="704" t="s">
        <v>691</v>
      </c>
      <c r="C9792" s="704" t="s">
        <v>857</v>
      </c>
      <c r="D9792" s="704" t="s">
        <v>818</v>
      </c>
      <c r="E9792" s="704" t="s">
        <v>664</v>
      </c>
      <c r="F9792" s="708"/>
      <c r="G9792" s="705">
        <v>574.04376572272133</v>
      </c>
    </row>
    <row r="9793" spans="2:7" ht="11.25" hidden="1" customHeight="1" outlineLevel="2" x14ac:dyDescent="0.25">
      <c r="B9793" s="704" t="s">
        <v>692</v>
      </c>
      <c r="C9793" s="704" t="s">
        <v>857</v>
      </c>
      <c r="D9793" s="704" t="s">
        <v>818</v>
      </c>
      <c r="E9793" s="704" t="s">
        <v>664</v>
      </c>
      <c r="F9793" s="708"/>
      <c r="G9793" s="705">
        <v>4237.7929754077741</v>
      </c>
    </row>
    <row r="9794" spans="2:7" ht="11.25" hidden="1" customHeight="1" outlineLevel="2" x14ac:dyDescent="0.25">
      <c r="B9794" s="704" t="s">
        <v>693</v>
      </c>
      <c r="C9794" s="704" t="s">
        <v>857</v>
      </c>
      <c r="D9794" s="704" t="s">
        <v>818</v>
      </c>
      <c r="E9794" s="704" t="s">
        <v>664</v>
      </c>
      <c r="F9794" s="708"/>
      <c r="G9794" s="705">
        <v>11025.016065112439</v>
      </c>
    </row>
    <row r="9795" spans="2:7" ht="11.25" hidden="1" customHeight="1" outlineLevel="2" x14ac:dyDescent="0.25">
      <c r="B9795" s="704" t="s">
        <v>694</v>
      </c>
      <c r="C9795" s="704" t="s">
        <v>857</v>
      </c>
      <c r="D9795" s="704" t="s">
        <v>818</v>
      </c>
      <c r="E9795" s="704" t="s">
        <v>664</v>
      </c>
      <c r="F9795" s="708"/>
      <c r="G9795" s="705">
        <v>8256.0997184940643</v>
      </c>
    </row>
    <row r="9796" spans="2:7" ht="11.25" hidden="1" customHeight="1" outlineLevel="2" x14ac:dyDescent="0.25">
      <c r="B9796" s="704" t="s">
        <v>695</v>
      </c>
      <c r="C9796" s="704" t="s">
        <v>857</v>
      </c>
      <c r="D9796" s="704" t="s">
        <v>818</v>
      </c>
      <c r="E9796" s="704" t="s">
        <v>664</v>
      </c>
      <c r="F9796" s="708"/>
      <c r="G9796" s="705">
        <v>7108.0143685411367</v>
      </c>
    </row>
    <row r="9797" spans="2:7" ht="11.25" hidden="1" customHeight="1" outlineLevel="2" x14ac:dyDescent="0.25">
      <c r="B9797" s="704" t="s">
        <v>696</v>
      </c>
      <c r="C9797" s="704" t="s">
        <v>857</v>
      </c>
      <c r="D9797" s="704" t="s">
        <v>818</v>
      </c>
      <c r="E9797" s="704" t="s">
        <v>664</v>
      </c>
      <c r="F9797" s="708"/>
      <c r="G9797" s="705">
        <v>405.20748273856896</v>
      </c>
    </row>
    <row r="9798" spans="2:7" ht="11.25" hidden="1" customHeight="1" outlineLevel="2" x14ac:dyDescent="0.25">
      <c r="B9798" s="704" t="s">
        <v>697</v>
      </c>
      <c r="C9798" s="704" t="s">
        <v>857</v>
      </c>
      <c r="D9798" s="704" t="s">
        <v>818</v>
      </c>
      <c r="E9798" s="704" t="s">
        <v>664</v>
      </c>
      <c r="F9798" s="708"/>
      <c r="G9798" s="705">
        <v>1046.7858984729598</v>
      </c>
    </row>
    <row r="9799" spans="2:7" ht="11.25" hidden="1" customHeight="1" outlineLevel="2" x14ac:dyDescent="0.25">
      <c r="B9799" s="704" t="s">
        <v>698</v>
      </c>
      <c r="C9799" s="704" t="s">
        <v>857</v>
      </c>
      <c r="D9799" s="704" t="s">
        <v>818</v>
      </c>
      <c r="E9799" s="704" t="s">
        <v>664</v>
      </c>
      <c r="F9799" s="708"/>
      <c r="G9799" s="705">
        <v>9674.3279153801304</v>
      </c>
    </row>
    <row r="9800" spans="2:7" ht="11.25" hidden="1" customHeight="1" outlineLevel="2" x14ac:dyDescent="0.25">
      <c r="B9800" s="704" t="s">
        <v>699</v>
      </c>
      <c r="C9800" s="704" t="s">
        <v>857</v>
      </c>
      <c r="D9800" s="704" t="s">
        <v>818</v>
      </c>
      <c r="E9800" s="704" t="s">
        <v>664</v>
      </c>
      <c r="F9800" s="708"/>
      <c r="G9800" s="705">
        <v>776.64753516773828</v>
      </c>
    </row>
    <row r="9801" spans="2:7" ht="11.25" hidden="1" customHeight="1" outlineLevel="2" x14ac:dyDescent="0.25">
      <c r="B9801" s="704" t="s">
        <v>673</v>
      </c>
      <c r="C9801" s="704" t="s">
        <v>858</v>
      </c>
      <c r="D9801" s="704" t="s">
        <v>818</v>
      </c>
      <c r="E9801" s="704" t="s">
        <v>664</v>
      </c>
      <c r="F9801" s="708"/>
      <c r="G9801" s="705">
        <v>1.5508319177792766</v>
      </c>
    </row>
    <row r="9802" spans="2:7" ht="11.25" hidden="1" customHeight="1" outlineLevel="2" x14ac:dyDescent="0.25">
      <c r="B9802" s="704" t="s">
        <v>677</v>
      </c>
      <c r="C9802" s="704" t="s">
        <v>858</v>
      </c>
      <c r="D9802" s="704" t="s">
        <v>818</v>
      </c>
      <c r="E9802" s="704" t="s">
        <v>664</v>
      </c>
      <c r="F9802" s="705">
        <v>9.0249721766475876E-4</v>
      </c>
      <c r="G9802" s="705">
        <v>17.76407549991692</v>
      </c>
    </row>
    <row r="9803" spans="2:7" ht="11.25" hidden="1" customHeight="1" outlineLevel="2" x14ac:dyDescent="0.25">
      <c r="B9803" s="704" t="s">
        <v>678</v>
      </c>
      <c r="C9803" s="704" t="s">
        <v>858</v>
      </c>
      <c r="D9803" s="704" t="s">
        <v>818</v>
      </c>
      <c r="E9803" s="704" t="s">
        <v>664</v>
      </c>
      <c r="F9803" s="708"/>
      <c r="G9803" s="705">
        <v>13.675519738258888</v>
      </c>
    </row>
    <row r="9804" spans="2:7" ht="11.25" hidden="1" customHeight="1" outlineLevel="2" x14ac:dyDescent="0.25">
      <c r="B9804" s="704" t="s">
        <v>679</v>
      </c>
      <c r="C9804" s="704" t="s">
        <v>858</v>
      </c>
      <c r="D9804" s="704" t="s">
        <v>818</v>
      </c>
      <c r="E9804" s="704" t="s">
        <v>664</v>
      </c>
      <c r="F9804" s="708"/>
      <c r="G9804" s="705">
        <v>11.983703832650402</v>
      </c>
    </row>
    <row r="9805" spans="2:7" ht="11.25" hidden="1" customHeight="1" outlineLevel="2" x14ac:dyDescent="0.25">
      <c r="B9805" s="704" t="s">
        <v>680</v>
      </c>
      <c r="C9805" s="704" t="s">
        <v>858</v>
      </c>
      <c r="D9805" s="704" t="s">
        <v>818</v>
      </c>
      <c r="E9805" s="704" t="s">
        <v>664</v>
      </c>
      <c r="F9805" s="708"/>
      <c r="G9805" s="705">
        <v>2.1147708257498046</v>
      </c>
    </row>
    <row r="9806" spans="2:7" ht="11.25" hidden="1" customHeight="1" outlineLevel="2" x14ac:dyDescent="0.25">
      <c r="B9806" s="704" t="s">
        <v>681</v>
      </c>
      <c r="C9806" s="704" t="s">
        <v>858</v>
      </c>
      <c r="D9806" s="704" t="s">
        <v>818</v>
      </c>
      <c r="E9806" s="704" t="s">
        <v>664</v>
      </c>
      <c r="F9806" s="708"/>
      <c r="G9806" s="705">
        <v>1.1278778647508745</v>
      </c>
    </row>
    <row r="9807" spans="2:7" ht="11.25" hidden="1" customHeight="1" outlineLevel="2" x14ac:dyDescent="0.25">
      <c r="B9807" s="704" t="s">
        <v>682</v>
      </c>
      <c r="C9807" s="704" t="s">
        <v>858</v>
      </c>
      <c r="D9807" s="704" t="s">
        <v>818</v>
      </c>
      <c r="E9807" s="704" t="s">
        <v>664</v>
      </c>
      <c r="F9807" s="708"/>
      <c r="G9807" s="705">
        <v>13.534536794501248</v>
      </c>
    </row>
    <row r="9808" spans="2:7" ht="11.25" hidden="1" customHeight="1" outlineLevel="2" x14ac:dyDescent="0.25">
      <c r="B9808" s="704" t="s">
        <v>683</v>
      </c>
      <c r="C9808" s="704" t="s">
        <v>858</v>
      </c>
      <c r="D9808" s="704" t="s">
        <v>818</v>
      </c>
      <c r="E9808" s="704" t="s">
        <v>664</v>
      </c>
      <c r="F9808" s="708"/>
      <c r="G9808" s="705">
        <v>14.098472474098665</v>
      </c>
    </row>
    <row r="9809" spans="2:7" ht="11.25" hidden="1" customHeight="1" outlineLevel="2" x14ac:dyDescent="0.25">
      <c r="B9809" s="704" t="s">
        <v>684</v>
      </c>
      <c r="C9809" s="704" t="s">
        <v>858</v>
      </c>
      <c r="D9809" s="704" t="s">
        <v>818</v>
      </c>
      <c r="E9809" s="704" t="s">
        <v>664</v>
      </c>
      <c r="F9809" s="708"/>
      <c r="G9809" s="705">
        <v>44.269196335862809</v>
      </c>
    </row>
    <row r="9810" spans="2:7" ht="11.25" hidden="1" customHeight="1" outlineLevel="2" x14ac:dyDescent="0.25">
      <c r="B9810" s="704" t="s">
        <v>685</v>
      </c>
      <c r="C9810" s="704" t="s">
        <v>858</v>
      </c>
      <c r="D9810" s="704" t="s">
        <v>818</v>
      </c>
      <c r="E9810" s="704" t="s">
        <v>664</v>
      </c>
      <c r="F9810" s="708"/>
      <c r="G9810" s="705">
        <v>1.6918163883910575</v>
      </c>
    </row>
    <row r="9811" spans="2:7" ht="11.25" hidden="1" customHeight="1" outlineLevel="2" x14ac:dyDescent="0.25">
      <c r="B9811" s="704" t="s">
        <v>686</v>
      </c>
      <c r="C9811" s="704" t="s">
        <v>858</v>
      </c>
      <c r="D9811" s="704" t="s">
        <v>818</v>
      </c>
      <c r="E9811" s="704" t="s">
        <v>664</v>
      </c>
      <c r="F9811" s="708"/>
      <c r="G9811" s="705">
        <v>2.9606800407310416</v>
      </c>
    </row>
    <row r="9812" spans="2:7" ht="11.25" hidden="1" customHeight="1" outlineLevel="2" x14ac:dyDescent="0.25">
      <c r="B9812" s="704" t="s">
        <v>687</v>
      </c>
      <c r="C9812" s="704" t="s">
        <v>858</v>
      </c>
      <c r="D9812" s="704" t="s">
        <v>818</v>
      </c>
      <c r="E9812" s="704" t="s">
        <v>664</v>
      </c>
      <c r="F9812" s="708"/>
      <c r="G9812" s="705">
        <v>10.432872683380964</v>
      </c>
    </row>
    <row r="9813" spans="2:7" ht="11.25" hidden="1" customHeight="1" outlineLevel="2" x14ac:dyDescent="0.25">
      <c r="B9813" s="704" t="s">
        <v>688</v>
      </c>
      <c r="C9813" s="704" t="s">
        <v>858</v>
      </c>
      <c r="D9813" s="704" t="s">
        <v>818</v>
      </c>
      <c r="E9813" s="704" t="s">
        <v>664</v>
      </c>
      <c r="F9813" s="708"/>
      <c r="G9813" s="705">
        <v>0.56393903865207484</v>
      </c>
    </row>
    <row r="9814" spans="2:7" ht="11.25" hidden="1" customHeight="1" outlineLevel="2" x14ac:dyDescent="0.25">
      <c r="B9814" s="704" t="s">
        <v>689</v>
      </c>
      <c r="C9814" s="704" t="s">
        <v>858</v>
      </c>
      <c r="D9814" s="704" t="s">
        <v>818</v>
      </c>
      <c r="E9814" s="704" t="s">
        <v>664</v>
      </c>
      <c r="F9814" s="708"/>
      <c r="G9814" s="705">
        <v>20.859242342606091</v>
      </c>
    </row>
    <row r="9815" spans="2:7" ht="11.25" hidden="1" customHeight="1" outlineLevel="2" x14ac:dyDescent="0.25">
      <c r="B9815" s="704" t="s">
        <v>690</v>
      </c>
      <c r="C9815" s="704" t="s">
        <v>858</v>
      </c>
      <c r="D9815" s="704" t="s">
        <v>818</v>
      </c>
      <c r="E9815" s="704" t="s">
        <v>664</v>
      </c>
      <c r="F9815" s="708"/>
      <c r="G9815" s="705">
        <v>4.2295396937791532</v>
      </c>
    </row>
    <row r="9816" spans="2:7" ht="11.25" hidden="1" customHeight="1" outlineLevel="2" x14ac:dyDescent="0.25">
      <c r="B9816" s="704" t="s">
        <v>691</v>
      </c>
      <c r="C9816" s="704" t="s">
        <v>858</v>
      </c>
      <c r="D9816" s="704" t="s">
        <v>818</v>
      </c>
      <c r="E9816" s="704" t="s">
        <v>664</v>
      </c>
      <c r="F9816" s="708"/>
      <c r="G9816" s="705">
        <v>4.7934830138798947</v>
      </c>
    </row>
    <row r="9817" spans="2:7" ht="11.25" hidden="1" customHeight="1" outlineLevel="2" x14ac:dyDescent="0.25">
      <c r="B9817" s="704" t="s">
        <v>692</v>
      </c>
      <c r="C9817" s="704" t="s">
        <v>858</v>
      </c>
      <c r="D9817" s="704" t="s">
        <v>818</v>
      </c>
      <c r="E9817" s="704" t="s">
        <v>664</v>
      </c>
      <c r="F9817" s="708"/>
      <c r="G9817" s="705">
        <v>13.252565271885237</v>
      </c>
    </row>
    <row r="9818" spans="2:7" ht="11.25" hidden="1" customHeight="1" outlineLevel="2" x14ac:dyDescent="0.25">
      <c r="B9818" s="704" t="s">
        <v>693</v>
      </c>
      <c r="C9818" s="704" t="s">
        <v>858</v>
      </c>
      <c r="D9818" s="704" t="s">
        <v>818</v>
      </c>
      <c r="E9818" s="704" t="s">
        <v>664</v>
      </c>
      <c r="F9818" s="708"/>
      <c r="G9818" s="705">
        <v>28.055968688724672</v>
      </c>
    </row>
    <row r="9819" spans="2:7" ht="11.25" hidden="1" customHeight="1" outlineLevel="2" x14ac:dyDescent="0.25">
      <c r="B9819" s="704" t="s">
        <v>694</v>
      </c>
      <c r="C9819" s="704" t="s">
        <v>858</v>
      </c>
      <c r="D9819" s="704" t="s">
        <v>818</v>
      </c>
      <c r="E9819" s="704" t="s">
        <v>664</v>
      </c>
      <c r="F9819" s="708"/>
      <c r="G9819" s="705">
        <v>22.698542669726024</v>
      </c>
    </row>
    <row r="9820" spans="2:7" ht="11.25" hidden="1" customHeight="1" outlineLevel="2" x14ac:dyDescent="0.25">
      <c r="B9820" s="704" t="s">
        <v>695</v>
      </c>
      <c r="C9820" s="704" t="s">
        <v>858</v>
      </c>
      <c r="D9820" s="704" t="s">
        <v>818</v>
      </c>
      <c r="E9820" s="704" t="s">
        <v>664</v>
      </c>
      <c r="F9820" s="708"/>
      <c r="G9820" s="705">
        <v>25.659218919550813</v>
      </c>
    </row>
    <row r="9821" spans="2:7" ht="11.25" hidden="1" customHeight="1" outlineLevel="2" x14ac:dyDescent="0.25">
      <c r="B9821" s="704" t="s">
        <v>696</v>
      </c>
      <c r="C9821" s="704" t="s">
        <v>858</v>
      </c>
      <c r="D9821" s="704" t="s">
        <v>818</v>
      </c>
      <c r="E9821" s="704" t="s">
        <v>664</v>
      </c>
      <c r="F9821" s="708"/>
      <c r="G9821" s="705">
        <v>3.3836346703051579</v>
      </c>
    </row>
    <row r="9822" spans="2:7" ht="11.25" hidden="1" customHeight="1" outlineLevel="2" x14ac:dyDescent="0.25">
      <c r="B9822" s="704" t="s">
        <v>697</v>
      </c>
      <c r="C9822" s="704" t="s">
        <v>858</v>
      </c>
      <c r="D9822" s="704" t="s">
        <v>818</v>
      </c>
      <c r="E9822" s="704" t="s">
        <v>664</v>
      </c>
      <c r="F9822" s="708"/>
      <c r="G9822" s="705">
        <v>6.2033293173438553</v>
      </c>
    </row>
    <row r="9823" spans="2:7" ht="11.25" hidden="1" customHeight="1" outlineLevel="2" x14ac:dyDescent="0.25">
      <c r="B9823" s="704" t="s">
        <v>698</v>
      </c>
      <c r="C9823" s="704" t="s">
        <v>858</v>
      </c>
      <c r="D9823" s="704" t="s">
        <v>818</v>
      </c>
      <c r="E9823" s="704" t="s">
        <v>664</v>
      </c>
      <c r="F9823" s="708"/>
      <c r="G9823" s="705">
        <v>45.679042856475512</v>
      </c>
    </row>
    <row r="9824" spans="2:7" ht="11.25" hidden="1" customHeight="1" outlineLevel="2" x14ac:dyDescent="0.25">
      <c r="B9824" s="704" t="s">
        <v>699</v>
      </c>
      <c r="C9824" s="704" t="s">
        <v>858</v>
      </c>
      <c r="D9824" s="704" t="s">
        <v>818</v>
      </c>
      <c r="E9824" s="704" t="s">
        <v>664</v>
      </c>
      <c r="F9824" s="708"/>
      <c r="G9824" s="705">
        <v>4.3705261112404701</v>
      </c>
    </row>
    <row r="9825" spans="2:7" ht="11.25" hidden="1" customHeight="1" outlineLevel="1" x14ac:dyDescent="0.25">
      <c r="B9825" s="704"/>
      <c r="C9825" s="704"/>
      <c r="D9825" s="707" t="s">
        <v>935</v>
      </c>
      <c r="E9825" s="704"/>
      <c r="F9825" s="708">
        <f t="shared" ref="F9825:G9825" si="22">SUBTOTAL(9,F9705:F9824)</f>
        <v>298.63778422041878</v>
      </c>
      <c r="G9825" s="705">
        <f t="shared" si="22"/>
        <v>378484.99536887644</v>
      </c>
    </row>
    <row r="9826" spans="2:7" ht="11.25" hidden="1" customHeight="1" outlineLevel="2" x14ac:dyDescent="0.25">
      <c r="B9826" s="704" t="s">
        <v>673</v>
      </c>
      <c r="C9826" s="704" t="s">
        <v>922</v>
      </c>
      <c r="D9826" s="704" t="s">
        <v>822</v>
      </c>
      <c r="E9826" s="704" t="s">
        <v>861</v>
      </c>
      <c r="F9826" s="708"/>
      <c r="G9826" s="705">
        <v>125.76542773134474</v>
      </c>
    </row>
    <row r="9827" spans="2:7" ht="11.25" hidden="1" customHeight="1" outlineLevel="2" x14ac:dyDescent="0.25">
      <c r="B9827" s="704" t="s">
        <v>677</v>
      </c>
      <c r="C9827" s="704" t="s">
        <v>922</v>
      </c>
      <c r="D9827" s="704" t="s">
        <v>822</v>
      </c>
      <c r="E9827" s="704" t="s">
        <v>861</v>
      </c>
      <c r="F9827" s="705">
        <v>6.6885691685737853E-3</v>
      </c>
      <c r="G9827" s="705">
        <v>155.96218990722787</v>
      </c>
    </row>
    <row r="9828" spans="2:7" ht="11.25" hidden="1" customHeight="1" outlineLevel="2" x14ac:dyDescent="0.25">
      <c r="B9828" s="704" t="s">
        <v>678</v>
      </c>
      <c r="C9828" s="704" t="s">
        <v>922</v>
      </c>
      <c r="D9828" s="704" t="s">
        <v>822</v>
      </c>
      <c r="E9828" s="704" t="s">
        <v>861</v>
      </c>
      <c r="F9828" s="708"/>
      <c r="G9828" s="705">
        <v>301.15392868910487</v>
      </c>
    </row>
    <row r="9829" spans="2:7" ht="11.25" hidden="1" customHeight="1" outlineLevel="2" x14ac:dyDescent="0.25">
      <c r="B9829" s="704" t="s">
        <v>679</v>
      </c>
      <c r="C9829" s="704" t="s">
        <v>922</v>
      </c>
      <c r="D9829" s="704" t="s">
        <v>822</v>
      </c>
      <c r="E9829" s="704" t="s">
        <v>861</v>
      </c>
      <c r="F9829" s="708"/>
      <c r="G9829" s="705">
        <v>6.3939927866126531E-30</v>
      </c>
    </row>
    <row r="9830" spans="2:7" ht="11.25" hidden="1" customHeight="1" outlineLevel="2" x14ac:dyDescent="0.25">
      <c r="B9830" s="704" t="s">
        <v>680</v>
      </c>
      <c r="C9830" s="704" t="s">
        <v>922</v>
      </c>
      <c r="D9830" s="704" t="s">
        <v>822</v>
      </c>
      <c r="E9830" s="704" t="s">
        <v>861</v>
      </c>
      <c r="F9830" s="708"/>
      <c r="G9830" s="705">
        <v>6.7959081952121128E-30</v>
      </c>
    </row>
    <row r="9831" spans="2:7" ht="11.25" hidden="1" customHeight="1" outlineLevel="2" x14ac:dyDescent="0.25">
      <c r="B9831" s="704" t="s">
        <v>681</v>
      </c>
      <c r="C9831" s="704" t="s">
        <v>922</v>
      </c>
      <c r="D9831" s="704" t="s">
        <v>822</v>
      </c>
      <c r="E9831" s="704" t="s">
        <v>861</v>
      </c>
      <c r="F9831" s="709"/>
      <c r="G9831" s="705">
        <v>86.34797149467262</v>
      </c>
    </row>
    <row r="9832" spans="2:7" ht="11.25" hidden="1" customHeight="1" outlineLevel="2" x14ac:dyDescent="0.25">
      <c r="B9832" s="704" t="s">
        <v>682</v>
      </c>
      <c r="C9832" s="704" t="s">
        <v>922</v>
      </c>
      <c r="D9832" s="704" t="s">
        <v>822</v>
      </c>
      <c r="E9832" s="704" t="s">
        <v>861</v>
      </c>
      <c r="F9832" s="709"/>
      <c r="G9832" s="705">
        <v>156.34202811417143</v>
      </c>
    </row>
    <row r="9833" spans="2:7" ht="11.25" hidden="1" customHeight="1" outlineLevel="2" x14ac:dyDescent="0.25">
      <c r="B9833" s="704" t="s">
        <v>683</v>
      </c>
      <c r="C9833" s="704" t="s">
        <v>922</v>
      </c>
      <c r="D9833" s="704" t="s">
        <v>822</v>
      </c>
      <c r="E9833" s="704" t="s">
        <v>861</v>
      </c>
      <c r="F9833" s="709"/>
      <c r="G9833" s="705">
        <v>3.5733218701167044</v>
      </c>
    </row>
    <row r="9834" spans="2:7" ht="11.25" hidden="1" customHeight="1" outlineLevel="2" x14ac:dyDescent="0.25">
      <c r="B9834" s="704" t="s">
        <v>684</v>
      </c>
      <c r="C9834" s="704" t="s">
        <v>922</v>
      </c>
      <c r="D9834" s="704" t="s">
        <v>822</v>
      </c>
      <c r="E9834" s="704" t="s">
        <v>861</v>
      </c>
      <c r="F9834" s="709"/>
      <c r="G9834" s="705">
        <v>1.2436048323365563E-30</v>
      </c>
    </row>
    <row r="9835" spans="2:7" ht="11.25" hidden="1" customHeight="1" outlineLevel="2" x14ac:dyDescent="0.25">
      <c r="B9835" s="704" t="s">
        <v>685</v>
      </c>
      <c r="C9835" s="704" t="s">
        <v>922</v>
      </c>
      <c r="D9835" s="704" t="s">
        <v>822</v>
      </c>
      <c r="E9835" s="704" t="s">
        <v>861</v>
      </c>
      <c r="F9835" s="709"/>
      <c r="G9835" s="705">
        <v>363.24167628879417</v>
      </c>
    </row>
    <row r="9836" spans="2:7" ht="11.25" hidden="1" customHeight="1" outlineLevel="2" x14ac:dyDescent="0.25">
      <c r="B9836" s="704" t="s">
        <v>686</v>
      </c>
      <c r="C9836" s="704" t="s">
        <v>922</v>
      </c>
      <c r="D9836" s="704" t="s">
        <v>822</v>
      </c>
      <c r="E9836" s="704" t="s">
        <v>861</v>
      </c>
      <c r="F9836" s="709"/>
      <c r="G9836" s="705">
        <v>19.584352636609502</v>
      </c>
    </row>
    <row r="9837" spans="2:7" ht="11.25" hidden="1" customHeight="1" outlineLevel="2" x14ac:dyDescent="0.25">
      <c r="B9837" s="704" t="s">
        <v>687</v>
      </c>
      <c r="C9837" s="704" t="s">
        <v>922</v>
      </c>
      <c r="D9837" s="704" t="s">
        <v>822</v>
      </c>
      <c r="E9837" s="704" t="s">
        <v>861</v>
      </c>
      <c r="F9837" s="709"/>
      <c r="G9837" s="705">
        <v>157.62616095091926</v>
      </c>
    </row>
    <row r="9838" spans="2:7" ht="11.25" hidden="1" customHeight="1" outlineLevel="2" x14ac:dyDescent="0.25">
      <c r="B9838" s="704" t="s">
        <v>688</v>
      </c>
      <c r="C9838" s="704" t="s">
        <v>922</v>
      </c>
      <c r="D9838" s="704" t="s">
        <v>822</v>
      </c>
      <c r="E9838" s="704" t="s">
        <v>861</v>
      </c>
      <c r="F9838" s="709"/>
      <c r="G9838" s="705">
        <v>197.93776471432295</v>
      </c>
    </row>
    <row r="9839" spans="2:7" ht="11.25" hidden="1" customHeight="1" outlineLevel="2" x14ac:dyDescent="0.25">
      <c r="B9839" s="704" t="s">
        <v>689</v>
      </c>
      <c r="C9839" s="704" t="s">
        <v>922</v>
      </c>
      <c r="D9839" s="704" t="s">
        <v>822</v>
      </c>
      <c r="E9839" s="704" t="s">
        <v>861</v>
      </c>
      <c r="F9839" s="709"/>
      <c r="G9839" s="705">
        <v>8.0791428019865141E-30</v>
      </c>
    </row>
    <row r="9840" spans="2:7" ht="11.25" hidden="1" customHeight="1" outlineLevel="2" x14ac:dyDescent="0.25">
      <c r="B9840" s="704" t="s">
        <v>690</v>
      </c>
      <c r="C9840" s="704" t="s">
        <v>922</v>
      </c>
      <c r="D9840" s="704" t="s">
        <v>822</v>
      </c>
      <c r="E9840" s="704" t="s">
        <v>861</v>
      </c>
      <c r="F9840" s="709"/>
      <c r="G9840" s="705">
        <v>236.50807771485592</v>
      </c>
    </row>
    <row r="9841" spans="2:7" ht="11.25" hidden="1" customHeight="1" outlineLevel="2" x14ac:dyDescent="0.25">
      <c r="B9841" s="704" t="s">
        <v>691</v>
      </c>
      <c r="C9841" s="704" t="s">
        <v>922</v>
      </c>
      <c r="D9841" s="704" t="s">
        <v>822</v>
      </c>
      <c r="E9841" s="704" t="s">
        <v>861</v>
      </c>
      <c r="F9841" s="709"/>
      <c r="G9841" s="705">
        <v>154.76207798803901</v>
      </c>
    </row>
    <row r="9842" spans="2:7" ht="11.25" hidden="1" customHeight="1" outlineLevel="2" x14ac:dyDescent="0.25">
      <c r="B9842" s="704" t="s">
        <v>692</v>
      </c>
      <c r="C9842" s="704" t="s">
        <v>922</v>
      </c>
      <c r="D9842" s="704" t="s">
        <v>822</v>
      </c>
      <c r="E9842" s="704" t="s">
        <v>861</v>
      </c>
      <c r="F9842" s="709"/>
      <c r="G9842" s="705">
        <v>1.0428807545197997E-29</v>
      </c>
    </row>
    <row r="9843" spans="2:7" ht="11.25" hidden="1" customHeight="1" outlineLevel="2" x14ac:dyDescent="0.25">
      <c r="B9843" s="704" t="s">
        <v>693</v>
      </c>
      <c r="C9843" s="704" t="s">
        <v>922</v>
      </c>
      <c r="D9843" s="704" t="s">
        <v>822</v>
      </c>
      <c r="E9843" s="704" t="s">
        <v>861</v>
      </c>
      <c r="F9843" s="709"/>
      <c r="G9843" s="705">
        <v>3.173088276097573E-29</v>
      </c>
    </row>
    <row r="9844" spans="2:7" ht="11.25" hidden="1" customHeight="1" outlineLevel="2" x14ac:dyDescent="0.25">
      <c r="B9844" s="704" t="s">
        <v>694</v>
      </c>
      <c r="C9844" s="704" t="s">
        <v>922</v>
      </c>
      <c r="D9844" s="704" t="s">
        <v>822</v>
      </c>
      <c r="E9844" s="704" t="s">
        <v>861</v>
      </c>
      <c r="F9844" s="709"/>
      <c r="G9844" s="705">
        <v>1.8185952543475339</v>
      </c>
    </row>
    <row r="9845" spans="2:7" ht="11.25" hidden="1" customHeight="1" outlineLevel="2" x14ac:dyDescent="0.25">
      <c r="B9845" s="704" t="s">
        <v>695</v>
      </c>
      <c r="C9845" s="704" t="s">
        <v>922</v>
      </c>
      <c r="D9845" s="704" t="s">
        <v>822</v>
      </c>
      <c r="E9845" s="704" t="s">
        <v>861</v>
      </c>
      <c r="F9845" s="709"/>
      <c r="G9845" s="705">
        <v>1.3653770425009171E-30</v>
      </c>
    </row>
    <row r="9846" spans="2:7" ht="11.25" hidden="1" customHeight="1" outlineLevel="2" x14ac:dyDescent="0.25">
      <c r="B9846" s="704" t="s">
        <v>696</v>
      </c>
      <c r="C9846" s="704" t="s">
        <v>922</v>
      </c>
      <c r="D9846" s="704" t="s">
        <v>822</v>
      </c>
      <c r="E9846" s="704" t="s">
        <v>861</v>
      </c>
      <c r="F9846" s="709"/>
      <c r="G9846" s="705">
        <v>182.81411312857585</v>
      </c>
    </row>
    <row r="9847" spans="2:7" ht="11.25" hidden="1" customHeight="1" outlineLevel="2" x14ac:dyDescent="0.25">
      <c r="B9847" s="704" t="s">
        <v>697</v>
      </c>
      <c r="C9847" s="704" t="s">
        <v>922</v>
      </c>
      <c r="D9847" s="704" t="s">
        <v>822</v>
      </c>
      <c r="E9847" s="704" t="s">
        <v>861</v>
      </c>
      <c r="F9847" s="709"/>
      <c r="G9847" s="705">
        <v>3.9397285844655876</v>
      </c>
    </row>
    <row r="9848" spans="2:7" ht="11.25" hidden="1" customHeight="1" outlineLevel="2" x14ac:dyDescent="0.25">
      <c r="B9848" s="704" t="s">
        <v>698</v>
      </c>
      <c r="C9848" s="704" t="s">
        <v>922</v>
      </c>
      <c r="D9848" s="704" t="s">
        <v>822</v>
      </c>
      <c r="E9848" s="704" t="s">
        <v>861</v>
      </c>
      <c r="F9848" s="709"/>
      <c r="G9848" s="705">
        <v>1.8185952544074</v>
      </c>
    </row>
    <row r="9849" spans="2:7" ht="11.25" hidden="1" customHeight="1" outlineLevel="2" x14ac:dyDescent="0.25">
      <c r="B9849" s="704" t="s">
        <v>699</v>
      </c>
      <c r="C9849" s="704" t="s">
        <v>922</v>
      </c>
      <c r="D9849" s="704" t="s">
        <v>822</v>
      </c>
      <c r="E9849" s="704" t="s">
        <v>861</v>
      </c>
      <c r="F9849" s="709"/>
      <c r="G9849" s="705">
        <v>153.41750339997955</v>
      </c>
    </row>
    <row r="9850" spans="2:7" ht="11.25" hidden="1" customHeight="1" outlineLevel="2" x14ac:dyDescent="0.25">
      <c r="B9850" s="704" t="s">
        <v>673</v>
      </c>
      <c r="C9850" s="704" t="s">
        <v>821</v>
      </c>
      <c r="D9850" s="704" t="s">
        <v>822</v>
      </c>
      <c r="E9850" s="704" t="s">
        <v>448</v>
      </c>
      <c r="F9850" s="706">
        <v>4.006977402499631E-3</v>
      </c>
      <c r="G9850" s="705">
        <v>5.3863819128015242</v>
      </c>
    </row>
    <row r="9851" spans="2:7" ht="11.25" hidden="1" customHeight="1" outlineLevel="2" x14ac:dyDescent="0.25">
      <c r="B9851" s="704" t="s">
        <v>677</v>
      </c>
      <c r="C9851" s="704" t="s">
        <v>821</v>
      </c>
      <c r="D9851" s="704" t="s">
        <v>822</v>
      </c>
      <c r="E9851" s="704" t="s">
        <v>448</v>
      </c>
      <c r="F9851" s="706">
        <v>5.0202942664993883E-3</v>
      </c>
      <c r="G9851" s="705">
        <v>6.6796687042765832</v>
      </c>
    </row>
    <row r="9852" spans="2:7" ht="11.25" hidden="1" customHeight="1" outlineLevel="2" x14ac:dyDescent="0.25">
      <c r="B9852" s="704" t="s">
        <v>678</v>
      </c>
      <c r="C9852" s="704" t="s">
        <v>821</v>
      </c>
      <c r="D9852" s="704" t="s">
        <v>822</v>
      </c>
      <c r="E9852" s="704" t="s">
        <v>448</v>
      </c>
      <c r="F9852" s="706">
        <v>9.5496988495790414E-3</v>
      </c>
      <c r="G9852" s="705">
        <v>12.898062595711068</v>
      </c>
    </row>
    <row r="9853" spans="2:7" ht="11.25" hidden="1" customHeight="1" outlineLevel="2" x14ac:dyDescent="0.25">
      <c r="B9853" s="704" t="s">
        <v>679</v>
      </c>
      <c r="C9853" s="704" t="s">
        <v>821</v>
      </c>
      <c r="D9853" s="704" t="s">
        <v>822</v>
      </c>
      <c r="E9853" s="704" t="s">
        <v>448</v>
      </c>
      <c r="F9853" s="706">
        <v>1.004667680530274E-34</v>
      </c>
      <c r="G9853" s="705">
        <v>1.3798314681467387E-31</v>
      </c>
    </row>
    <row r="9854" spans="2:7" ht="11.25" hidden="1" customHeight="1" outlineLevel="2" x14ac:dyDescent="0.25">
      <c r="B9854" s="704" t="s">
        <v>680</v>
      </c>
      <c r="C9854" s="704" t="s">
        <v>821</v>
      </c>
      <c r="D9854" s="704" t="s">
        <v>822</v>
      </c>
      <c r="E9854" s="704" t="s">
        <v>448</v>
      </c>
      <c r="F9854" s="706">
        <v>2.7324095556541653E-34</v>
      </c>
      <c r="G9854" s="705">
        <v>3.5099562988835953E-31</v>
      </c>
    </row>
    <row r="9855" spans="2:7" ht="11.25" hidden="1" customHeight="1" outlineLevel="2" x14ac:dyDescent="0.25">
      <c r="B9855" s="704" t="s">
        <v>681</v>
      </c>
      <c r="C9855" s="704" t="s">
        <v>821</v>
      </c>
      <c r="D9855" s="704" t="s">
        <v>822</v>
      </c>
      <c r="E9855" s="704" t="s">
        <v>448</v>
      </c>
      <c r="F9855" s="706">
        <v>2.7381262544486753E-3</v>
      </c>
      <c r="G9855" s="705">
        <v>3.6981801216152719</v>
      </c>
    </row>
    <row r="9856" spans="2:7" ht="11.25" hidden="1" customHeight="1" outlineLevel="2" x14ac:dyDescent="0.25">
      <c r="B9856" s="704" t="s">
        <v>682</v>
      </c>
      <c r="C9856" s="704" t="s">
        <v>821</v>
      </c>
      <c r="D9856" s="704" t="s">
        <v>822</v>
      </c>
      <c r="E9856" s="704" t="s">
        <v>448</v>
      </c>
      <c r="F9856" s="705">
        <v>4.9571956221965497E-3</v>
      </c>
      <c r="G9856" s="705">
        <v>6.6959496749326117</v>
      </c>
    </row>
    <row r="9857" spans="2:7" ht="11.25" hidden="1" customHeight="1" outlineLevel="2" x14ac:dyDescent="0.25">
      <c r="B9857" s="704" t="s">
        <v>683</v>
      </c>
      <c r="C9857" s="704" t="s">
        <v>821</v>
      </c>
      <c r="D9857" s="704" t="s">
        <v>822</v>
      </c>
      <c r="E9857" s="704" t="s">
        <v>448</v>
      </c>
      <c r="F9857" s="705">
        <v>1.1275301803991817E-4</v>
      </c>
      <c r="G9857" s="705">
        <v>0.15304114882938344</v>
      </c>
    </row>
    <row r="9858" spans="2:7" ht="11.25" hidden="1" customHeight="1" outlineLevel="2" x14ac:dyDescent="0.25">
      <c r="B9858" s="704" t="s">
        <v>684</v>
      </c>
      <c r="C9858" s="704" t="s">
        <v>821</v>
      </c>
      <c r="D9858" s="704" t="s">
        <v>822</v>
      </c>
      <c r="E9858" s="704" t="s">
        <v>448</v>
      </c>
      <c r="F9858" s="705">
        <v>1.4296641266448002E-35</v>
      </c>
      <c r="G9858" s="705">
        <v>1.9649166645629601E-32</v>
      </c>
    </row>
    <row r="9859" spans="2:7" ht="11.25" hidden="1" customHeight="1" outlineLevel="2" x14ac:dyDescent="0.25">
      <c r="B9859" s="704" t="s">
        <v>685</v>
      </c>
      <c r="C9859" s="704" t="s">
        <v>821</v>
      </c>
      <c r="D9859" s="704" t="s">
        <v>822</v>
      </c>
      <c r="E9859" s="704" t="s">
        <v>448</v>
      </c>
      <c r="F9859" s="705">
        <v>1.1461768754320322E-2</v>
      </c>
      <c r="G9859" s="705">
        <v>15.557212689125251</v>
      </c>
    </row>
    <row r="9860" spans="2:7" ht="11.25" hidden="1" customHeight="1" outlineLevel="2" x14ac:dyDescent="0.25">
      <c r="B9860" s="704" t="s">
        <v>686</v>
      </c>
      <c r="C9860" s="704" t="s">
        <v>821</v>
      </c>
      <c r="D9860" s="704" t="s">
        <v>822</v>
      </c>
      <c r="E9860" s="704" t="s">
        <v>448</v>
      </c>
      <c r="F9860" s="705">
        <v>6.2397171240423572E-4</v>
      </c>
      <c r="G9860" s="705">
        <v>0.83877504476520182</v>
      </c>
    </row>
    <row r="9861" spans="2:7" ht="11.25" hidden="1" customHeight="1" outlineLevel="2" x14ac:dyDescent="0.25">
      <c r="B9861" s="704" t="s">
        <v>687</v>
      </c>
      <c r="C9861" s="704" t="s">
        <v>821</v>
      </c>
      <c r="D9861" s="704" t="s">
        <v>822</v>
      </c>
      <c r="E9861" s="704" t="s">
        <v>448</v>
      </c>
      <c r="F9861" s="705">
        <v>4.998382277272298E-3</v>
      </c>
      <c r="G9861" s="705">
        <v>6.750932011967139</v>
      </c>
    </row>
    <row r="9862" spans="2:7" ht="11.25" hidden="1" customHeight="1" outlineLevel="2" x14ac:dyDescent="0.25">
      <c r="B9862" s="704" t="s">
        <v>688</v>
      </c>
      <c r="C9862" s="704" t="s">
        <v>821</v>
      </c>
      <c r="D9862" s="704" t="s">
        <v>822</v>
      </c>
      <c r="E9862" s="704" t="s">
        <v>448</v>
      </c>
      <c r="F9862" s="705">
        <v>6.2766772549652473E-3</v>
      </c>
      <c r="G9862" s="705">
        <v>8.4774355555770704</v>
      </c>
    </row>
    <row r="9863" spans="2:7" ht="11.25" hidden="1" customHeight="1" outlineLevel="2" x14ac:dyDescent="0.25">
      <c r="B9863" s="704" t="s">
        <v>689</v>
      </c>
      <c r="C9863" s="704" t="s">
        <v>821</v>
      </c>
      <c r="D9863" s="704" t="s">
        <v>822</v>
      </c>
      <c r="E9863" s="704" t="s">
        <v>448</v>
      </c>
      <c r="F9863" s="705">
        <v>1.8024355299800121E-33</v>
      </c>
      <c r="G9863" s="705">
        <v>2.5055075951912425E-30</v>
      </c>
    </row>
    <row r="9864" spans="2:7" ht="11.25" hidden="1" customHeight="1" outlineLevel="2" x14ac:dyDescent="0.25">
      <c r="B9864" s="704" t="s">
        <v>690</v>
      </c>
      <c r="C9864" s="704" t="s">
        <v>821</v>
      </c>
      <c r="D9864" s="704" t="s">
        <v>822</v>
      </c>
      <c r="E9864" s="704" t="s">
        <v>448</v>
      </c>
      <c r="F9864" s="705">
        <v>7.4628050578419269E-3</v>
      </c>
      <c r="G9864" s="705">
        <v>10.129353351378866</v>
      </c>
    </row>
    <row r="9865" spans="2:7" ht="11.25" hidden="1" customHeight="1" outlineLevel="2" x14ac:dyDescent="0.25">
      <c r="B9865" s="704" t="s">
        <v>691</v>
      </c>
      <c r="C9865" s="704" t="s">
        <v>821</v>
      </c>
      <c r="D9865" s="704" t="s">
        <v>822</v>
      </c>
      <c r="E9865" s="704" t="s">
        <v>448</v>
      </c>
      <c r="F9865" s="705">
        <v>4.8833825772056014E-3</v>
      </c>
      <c r="G9865" s="705">
        <v>6.628275164213294</v>
      </c>
    </row>
    <row r="9866" spans="2:7" ht="11.25" hidden="1" customHeight="1" outlineLevel="2" x14ac:dyDescent="0.25">
      <c r="B9866" s="704" t="s">
        <v>692</v>
      </c>
      <c r="C9866" s="704" t="s">
        <v>821</v>
      </c>
      <c r="D9866" s="704" t="s">
        <v>822</v>
      </c>
      <c r="E9866" s="704" t="s">
        <v>448</v>
      </c>
      <c r="F9866" s="705">
        <v>1.009667838308136E-34</v>
      </c>
      <c r="G9866" s="705">
        <v>1.3798314681467367E-31</v>
      </c>
    </row>
    <row r="9867" spans="2:7" ht="11.25" hidden="1" customHeight="1" outlineLevel="2" x14ac:dyDescent="0.25">
      <c r="B9867" s="704" t="s">
        <v>693</v>
      </c>
      <c r="C9867" s="704" t="s">
        <v>821</v>
      </c>
      <c r="D9867" s="704" t="s">
        <v>822</v>
      </c>
      <c r="E9867" s="704" t="s">
        <v>448</v>
      </c>
      <c r="F9867" s="705">
        <v>3.5648020414616141E-36</v>
      </c>
      <c r="G9867" s="705">
        <v>4.8941940554863511E-33</v>
      </c>
    </row>
    <row r="9868" spans="2:7" ht="11.25" hidden="1" customHeight="1" outlineLevel="2" x14ac:dyDescent="0.25">
      <c r="B9868" s="704" t="s">
        <v>694</v>
      </c>
      <c r="C9868" s="704" t="s">
        <v>821</v>
      </c>
      <c r="D9868" s="704" t="s">
        <v>822</v>
      </c>
      <c r="E9868" s="704" t="s">
        <v>448</v>
      </c>
      <c r="F9868" s="705">
        <v>5.7322654762894346E-5</v>
      </c>
      <c r="G9868" s="705">
        <v>7.7888305189482809E-2</v>
      </c>
    </row>
    <row r="9869" spans="2:7" ht="11.25" hidden="1" customHeight="1" outlineLevel="2" x14ac:dyDescent="0.25">
      <c r="B9869" s="704" t="s">
        <v>695</v>
      </c>
      <c r="C9869" s="704" t="s">
        <v>821</v>
      </c>
      <c r="D9869" s="704" t="s">
        <v>822</v>
      </c>
      <c r="E9869" s="704" t="s">
        <v>448</v>
      </c>
      <c r="F9869" s="705">
        <v>1.4296641266448002E-35</v>
      </c>
      <c r="G9869" s="705">
        <v>1.9649166645629601E-32</v>
      </c>
    </row>
    <row r="9870" spans="2:7" ht="11.25" hidden="1" customHeight="1" outlineLevel="2" x14ac:dyDescent="0.25">
      <c r="B9870" s="704" t="s">
        <v>696</v>
      </c>
      <c r="C9870" s="704" t="s">
        <v>821</v>
      </c>
      <c r="D9870" s="704" t="s">
        <v>822</v>
      </c>
      <c r="E9870" s="704" t="s">
        <v>448</v>
      </c>
      <c r="F9870" s="705">
        <v>5.8245920189223307E-3</v>
      </c>
      <c r="G9870" s="705">
        <v>7.8296999392866011</v>
      </c>
    </row>
    <row r="9871" spans="2:7" ht="11.25" hidden="1" customHeight="1" outlineLevel="2" x14ac:dyDescent="0.25">
      <c r="B9871" s="704" t="s">
        <v>697</v>
      </c>
      <c r="C9871" s="704" t="s">
        <v>821</v>
      </c>
      <c r="D9871" s="704" t="s">
        <v>822</v>
      </c>
      <c r="E9871" s="704" t="s">
        <v>448</v>
      </c>
      <c r="F9871" s="705">
        <v>1.2418145592836338E-4</v>
      </c>
      <c r="G9871" s="705">
        <v>0.16873380542616212</v>
      </c>
    </row>
    <row r="9872" spans="2:7" ht="11.25" hidden="1" customHeight="1" outlineLevel="2" x14ac:dyDescent="0.25">
      <c r="B9872" s="704" t="s">
        <v>698</v>
      </c>
      <c r="C9872" s="704" t="s">
        <v>821</v>
      </c>
      <c r="D9872" s="704" t="s">
        <v>822</v>
      </c>
      <c r="E9872" s="704" t="s">
        <v>448</v>
      </c>
      <c r="F9872" s="705">
        <v>5.7322654772868091E-5</v>
      </c>
      <c r="G9872" s="705">
        <v>7.7888305185286236E-2</v>
      </c>
    </row>
    <row r="9873" spans="2:7" ht="11.25" hidden="1" customHeight="1" outlineLevel="2" x14ac:dyDescent="0.25">
      <c r="B9873" s="704" t="s">
        <v>699</v>
      </c>
      <c r="C9873" s="704" t="s">
        <v>821</v>
      </c>
      <c r="D9873" s="704" t="s">
        <v>822</v>
      </c>
      <c r="E9873" s="704" t="s">
        <v>448</v>
      </c>
      <c r="F9873" s="705">
        <v>4.8649242329520974E-3</v>
      </c>
      <c r="G9873" s="705">
        <v>6.5706869497414058</v>
      </c>
    </row>
    <row r="9874" spans="2:7" ht="11.25" hidden="1" customHeight="1" outlineLevel="2" x14ac:dyDescent="0.25">
      <c r="B9874" s="704" t="s">
        <v>673</v>
      </c>
      <c r="C9874" s="704" t="s">
        <v>855</v>
      </c>
      <c r="D9874" s="704" t="s">
        <v>822</v>
      </c>
      <c r="E9874" s="704" t="s">
        <v>824</v>
      </c>
      <c r="F9874" s="705">
        <v>6.3325962534209286E-5</v>
      </c>
      <c r="G9874" s="705">
        <v>0.18330393030722936</v>
      </c>
    </row>
    <row r="9875" spans="2:7" ht="11.25" hidden="1" customHeight="1" outlineLevel="2" x14ac:dyDescent="0.25">
      <c r="B9875" s="704" t="s">
        <v>677</v>
      </c>
      <c r="C9875" s="704" t="s">
        <v>855</v>
      </c>
      <c r="D9875" s="704" t="s">
        <v>822</v>
      </c>
      <c r="E9875" s="704" t="s">
        <v>824</v>
      </c>
      <c r="F9875" s="705">
        <v>7.8530826325251803E-5</v>
      </c>
      <c r="G9875" s="705">
        <v>0.22731608768854003</v>
      </c>
    </row>
    <row r="9876" spans="2:7" ht="11.25" hidden="1" customHeight="1" outlineLevel="2" x14ac:dyDescent="0.25">
      <c r="B9876" s="704" t="s">
        <v>678</v>
      </c>
      <c r="C9876" s="704" t="s">
        <v>855</v>
      </c>
      <c r="D9876" s="704" t="s">
        <v>822</v>
      </c>
      <c r="E9876" s="704" t="s">
        <v>824</v>
      </c>
      <c r="F9876" s="706">
        <v>1.5163850278431337E-4</v>
      </c>
      <c r="G9876" s="705">
        <v>0.43893398205908468</v>
      </c>
    </row>
    <row r="9877" spans="2:7" ht="11.25" hidden="1" customHeight="1" outlineLevel="2" x14ac:dyDescent="0.25">
      <c r="B9877" s="704" t="s">
        <v>679</v>
      </c>
      <c r="C9877" s="704" t="s">
        <v>855</v>
      </c>
      <c r="D9877" s="704" t="s">
        <v>822</v>
      </c>
      <c r="E9877" s="704" t="s">
        <v>824</v>
      </c>
      <c r="F9877" s="706">
        <v>1.3212207888560816E-40</v>
      </c>
      <c r="G9877" s="705">
        <v>3.8274928299855921E-37</v>
      </c>
    </row>
    <row r="9878" spans="2:7" ht="11.25" hidden="1" customHeight="1" outlineLevel="2" x14ac:dyDescent="0.25">
      <c r="B9878" s="704" t="s">
        <v>680</v>
      </c>
      <c r="C9878" s="704" t="s">
        <v>855</v>
      </c>
      <c r="D9878" s="704" t="s">
        <v>822</v>
      </c>
      <c r="E9878" s="704" t="s">
        <v>824</v>
      </c>
      <c r="F9878" s="706">
        <v>1.3212207888560816E-40</v>
      </c>
      <c r="G9878" s="705">
        <v>3.8274928299855921E-37</v>
      </c>
    </row>
    <row r="9879" spans="2:7" ht="11.25" hidden="1" customHeight="1" outlineLevel="2" x14ac:dyDescent="0.25">
      <c r="B9879" s="704" t="s">
        <v>681</v>
      </c>
      <c r="C9879" s="704" t="s">
        <v>855</v>
      </c>
      <c r="D9879" s="704" t="s">
        <v>822</v>
      </c>
      <c r="E9879" s="704" t="s">
        <v>824</v>
      </c>
      <c r="F9879" s="706">
        <v>4.3478347593036507E-5</v>
      </c>
      <c r="G9879" s="705">
        <v>0.12585274377322919</v>
      </c>
    </row>
    <row r="9880" spans="2:7" ht="11.25" hidden="1" customHeight="1" outlineLevel="2" x14ac:dyDescent="0.25">
      <c r="B9880" s="704" t="s">
        <v>682</v>
      </c>
      <c r="C9880" s="704" t="s">
        <v>855</v>
      </c>
      <c r="D9880" s="704" t="s">
        <v>822</v>
      </c>
      <c r="E9880" s="704" t="s">
        <v>824</v>
      </c>
      <c r="F9880" s="706">
        <v>7.8722026819418156E-5</v>
      </c>
      <c r="G9880" s="705">
        <v>0.22786960514242463</v>
      </c>
    </row>
    <row r="9881" spans="2:7" ht="11.25" hidden="1" customHeight="1" outlineLevel="2" x14ac:dyDescent="0.25">
      <c r="B9881" s="704" t="s">
        <v>683</v>
      </c>
      <c r="C9881" s="704" t="s">
        <v>855</v>
      </c>
      <c r="D9881" s="704" t="s">
        <v>822</v>
      </c>
      <c r="E9881" s="704" t="s">
        <v>824</v>
      </c>
      <c r="F9881" s="706">
        <v>1.7992556344046129E-6</v>
      </c>
      <c r="G9881" s="705">
        <v>5.2081411352396245E-3</v>
      </c>
    </row>
    <row r="9882" spans="2:7" ht="11.25" hidden="1" customHeight="1" outlineLevel="2" x14ac:dyDescent="0.25">
      <c r="B9882" s="704" t="s">
        <v>684</v>
      </c>
      <c r="C9882" s="704" t="s">
        <v>855</v>
      </c>
      <c r="D9882" s="704" t="s">
        <v>822</v>
      </c>
      <c r="E9882" s="704" t="s">
        <v>824</v>
      </c>
      <c r="F9882" s="706">
        <v>1.3212207888560816E-40</v>
      </c>
      <c r="G9882" s="705">
        <v>3.8274928299855921E-37</v>
      </c>
    </row>
    <row r="9883" spans="2:7" ht="11.25" hidden="1" customHeight="1" outlineLevel="2" x14ac:dyDescent="0.25">
      <c r="B9883" s="704" t="s">
        <v>685</v>
      </c>
      <c r="C9883" s="704" t="s">
        <v>855</v>
      </c>
      <c r="D9883" s="704" t="s">
        <v>822</v>
      </c>
      <c r="E9883" s="704" t="s">
        <v>824</v>
      </c>
      <c r="F9883" s="705">
        <v>1.8290120817266112E-4</v>
      </c>
      <c r="G9883" s="705">
        <v>0.52942731005747823</v>
      </c>
    </row>
    <row r="9884" spans="2:7" ht="11.25" hidden="1" customHeight="1" outlineLevel="2" x14ac:dyDescent="0.25">
      <c r="B9884" s="704" t="s">
        <v>686</v>
      </c>
      <c r="C9884" s="704" t="s">
        <v>855</v>
      </c>
      <c r="D9884" s="704" t="s">
        <v>822</v>
      </c>
      <c r="E9884" s="704" t="s">
        <v>824</v>
      </c>
      <c r="F9884" s="705">
        <v>9.8612117992862046E-6</v>
      </c>
      <c r="G9884" s="705">
        <v>2.8544329065728707E-2</v>
      </c>
    </row>
    <row r="9885" spans="2:7" ht="11.25" hidden="1" customHeight="1" outlineLevel="2" x14ac:dyDescent="0.25">
      <c r="B9885" s="704" t="s">
        <v>687</v>
      </c>
      <c r="C9885" s="704" t="s">
        <v>855</v>
      </c>
      <c r="D9885" s="704" t="s">
        <v>822</v>
      </c>
      <c r="E9885" s="704" t="s">
        <v>824</v>
      </c>
      <c r="F9885" s="705">
        <v>7.9368761745345176E-5</v>
      </c>
      <c r="G9885" s="705">
        <v>0.22974137420610094</v>
      </c>
    </row>
    <row r="9886" spans="2:7" ht="11.25" hidden="1" customHeight="1" outlineLevel="2" x14ac:dyDescent="0.25">
      <c r="B9886" s="704" t="s">
        <v>688</v>
      </c>
      <c r="C9886" s="704" t="s">
        <v>855</v>
      </c>
      <c r="D9886" s="704" t="s">
        <v>822</v>
      </c>
      <c r="E9886" s="704" t="s">
        <v>824</v>
      </c>
      <c r="F9886" s="705">
        <v>9.9666658217980884E-5</v>
      </c>
      <c r="G9886" s="705">
        <v>0.28849559203544334</v>
      </c>
    </row>
    <row r="9887" spans="2:7" ht="11.25" hidden="1" customHeight="1" outlineLevel="2" x14ac:dyDescent="0.25">
      <c r="B9887" s="704" t="s">
        <v>689</v>
      </c>
      <c r="C9887" s="704" t="s">
        <v>855</v>
      </c>
      <c r="D9887" s="704" t="s">
        <v>822</v>
      </c>
      <c r="E9887" s="704" t="s">
        <v>824</v>
      </c>
      <c r="F9887" s="705">
        <v>1.4499303466871991E-40</v>
      </c>
      <c r="G9887" s="705">
        <v>4.201807518678484E-37</v>
      </c>
    </row>
    <row r="9888" spans="2:7" ht="11.25" hidden="1" customHeight="1" outlineLevel="2" x14ac:dyDescent="0.25">
      <c r="B9888" s="704" t="s">
        <v>690</v>
      </c>
      <c r="C9888" s="704" t="s">
        <v>855</v>
      </c>
      <c r="D9888" s="704" t="s">
        <v>822</v>
      </c>
      <c r="E9888" s="704" t="s">
        <v>824</v>
      </c>
      <c r="F9888" s="705">
        <v>1.1908781446108619E-4</v>
      </c>
      <c r="G9888" s="705">
        <v>0.34471234949977914</v>
      </c>
    </row>
    <row r="9889" spans="2:7" ht="11.25" hidden="1" customHeight="1" outlineLevel="2" x14ac:dyDescent="0.25">
      <c r="B9889" s="704" t="s">
        <v>691</v>
      </c>
      <c r="C9889" s="704" t="s">
        <v>855</v>
      </c>
      <c r="D9889" s="704" t="s">
        <v>822</v>
      </c>
      <c r="E9889" s="704" t="s">
        <v>824</v>
      </c>
      <c r="F9889" s="705">
        <v>7.7926602703024382E-5</v>
      </c>
      <c r="G9889" s="705">
        <v>0.22556683544568845</v>
      </c>
    </row>
    <row r="9890" spans="2:7" ht="11.25" hidden="1" customHeight="1" outlineLevel="2" x14ac:dyDescent="0.25">
      <c r="B9890" s="704" t="s">
        <v>692</v>
      </c>
      <c r="C9890" s="704" t="s">
        <v>855</v>
      </c>
      <c r="D9890" s="704" t="s">
        <v>822</v>
      </c>
      <c r="E9890" s="704" t="s">
        <v>824</v>
      </c>
      <c r="F9890" s="705">
        <v>1.32122078885608E-40</v>
      </c>
      <c r="G9890" s="705">
        <v>3.8274928299855871E-37</v>
      </c>
    </row>
    <row r="9891" spans="2:7" ht="11.25" hidden="1" customHeight="1" outlineLevel="2" x14ac:dyDescent="0.25">
      <c r="B9891" s="704" t="s">
        <v>693</v>
      </c>
      <c r="C9891" s="704" t="s">
        <v>855</v>
      </c>
      <c r="D9891" s="704" t="s">
        <v>822</v>
      </c>
      <c r="E9891" s="704" t="s">
        <v>824</v>
      </c>
      <c r="F9891" s="705">
        <v>1.3212207888560816E-40</v>
      </c>
      <c r="G9891" s="705">
        <v>3.8274928299855921E-37</v>
      </c>
    </row>
    <row r="9892" spans="2:7" ht="11.25" hidden="1" customHeight="1" outlineLevel="2" x14ac:dyDescent="0.25">
      <c r="B9892" s="704" t="s">
        <v>694</v>
      </c>
      <c r="C9892" s="704" t="s">
        <v>855</v>
      </c>
      <c r="D9892" s="704" t="s">
        <v>822</v>
      </c>
      <c r="E9892" s="704" t="s">
        <v>824</v>
      </c>
      <c r="F9892" s="705">
        <v>9.1570708988094493E-7</v>
      </c>
      <c r="G9892" s="705">
        <v>2.6506157893599865E-3</v>
      </c>
    </row>
    <row r="9893" spans="2:7" ht="11.25" hidden="1" customHeight="1" outlineLevel="2" x14ac:dyDescent="0.25">
      <c r="B9893" s="704" t="s">
        <v>695</v>
      </c>
      <c r="C9893" s="704" t="s">
        <v>855</v>
      </c>
      <c r="D9893" s="704" t="s">
        <v>822</v>
      </c>
      <c r="E9893" s="704" t="s">
        <v>824</v>
      </c>
      <c r="F9893" s="705">
        <v>1.3212207888560816E-40</v>
      </c>
      <c r="G9893" s="705">
        <v>3.8274928299855921E-37</v>
      </c>
    </row>
    <row r="9894" spans="2:7" ht="11.25" hidden="1" customHeight="1" outlineLevel="2" x14ac:dyDescent="0.25">
      <c r="B9894" s="704" t="s">
        <v>696</v>
      </c>
      <c r="C9894" s="704" t="s">
        <v>855</v>
      </c>
      <c r="D9894" s="704" t="s">
        <v>822</v>
      </c>
      <c r="E9894" s="704" t="s">
        <v>824</v>
      </c>
      <c r="F9894" s="705">
        <v>9.2051486309579456E-5</v>
      </c>
      <c r="G9894" s="705">
        <v>0.26645300607187544</v>
      </c>
    </row>
    <row r="9895" spans="2:7" ht="11.25" hidden="1" customHeight="1" outlineLevel="2" x14ac:dyDescent="0.25">
      <c r="B9895" s="704" t="s">
        <v>697</v>
      </c>
      <c r="C9895" s="704" t="s">
        <v>855</v>
      </c>
      <c r="D9895" s="704" t="s">
        <v>822</v>
      </c>
      <c r="E9895" s="704" t="s">
        <v>824</v>
      </c>
      <c r="F9895" s="705">
        <v>1.9837532846788799E-6</v>
      </c>
      <c r="G9895" s="705">
        <v>5.7421875522407576E-3</v>
      </c>
    </row>
    <row r="9896" spans="2:7" ht="11.25" hidden="1" customHeight="1" outlineLevel="2" x14ac:dyDescent="0.25">
      <c r="B9896" s="704" t="s">
        <v>698</v>
      </c>
      <c r="C9896" s="704" t="s">
        <v>855</v>
      </c>
      <c r="D9896" s="704" t="s">
        <v>822</v>
      </c>
      <c r="E9896" s="704" t="s">
        <v>824</v>
      </c>
      <c r="F9896" s="705">
        <v>9.1570708747803962E-7</v>
      </c>
      <c r="G9896" s="705">
        <v>2.650615789343802E-3</v>
      </c>
    </row>
    <row r="9897" spans="2:7" ht="11.25" hidden="1" customHeight="1" outlineLevel="2" x14ac:dyDescent="0.25">
      <c r="B9897" s="704" t="s">
        <v>699</v>
      </c>
      <c r="C9897" s="704" t="s">
        <v>855</v>
      </c>
      <c r="D9897" s="704" t="s">
        <v>822</v>
      </c>
      <c r="E9897" s="704" t="s">
        <v>824</v>
      </c>
      <c r="F9897" s="705">
        <v>7.7249555640880236E-5</v>
      </c>
      <c r="G9897" s="705">
        <v>0.22360691391480741</v>
      </c>
    </row>
    <row r="9898" spans="2:7" ht="11.25" hidden="1" customHeight="1" outlineLevel="1" x14ac:dyDescent="0.25">
      <c r="B9898" s="704"/>
      <c r="C9898" s="704"/>
      <c r="D9898" s="707" t="s">
        <v>936</v>
      </c>
      <c r="E9898" s="704"/>
      <c r="F9898" s="705">
        <f t="shared" ref="F9898:G9898" si="23">SUBTOTAL(9,F9826:F9897)</f>
        <v>8.0868368621387673E-2</v>
      </c>
      <c r="G9898" s="705">
        <f t="shared" si="23"/>
        <v>2404.5877546215102</v>
      </c>
    </row>
    <row r="9899" spans="2:7" ht="11.25" hidden="1" customHeight="1" outlineLevel="2" x14ac:dyDescent="0.25">
      <c r="B9899" s="704" t="s">
        <v>673</v>
      </c>
      <c r="C9899" s="704" t="s">
        <v>714</v>
      </c>
      <c r="D9899" s="704" t="s">
        <v>715</v>
      </c>
      <c r="E9899" s="704" t="s">
        <v>448</v>
      </c>
      <c r="F9899" s="705">
        <v>1.3477423744660915</v>
      </c>
      <c r="G9899" s="705">
        <v>341.6860885079401</v>
      </c>
    </row>
    <row r="9900" spans="2:7" ht="11.25" hidden="1" customHeight="1" outlineLevel="2" x14ac:dyDescent="0.25">
      <c r="B9900" s="704" t="s">
        <v>677</v>
      </c>
      <c r="C9900" s="704" t="s">
        <v>714</v>
      </c>
      <c r="D9900" s="704" t="s">
        <v>715</v>
      </c>
      <c r="E9900" s="704" t="s">
        <v>448</v>
      </c>
      <c r="F9900" s="705">
        <v>2.8270450232675479</v>
      </c>
      <c r="G9900" s="705">
        <v>715.67271940801993</v>
      </c>
    </row>
    <row r="9901" spans="2:7" ht="11.25" hidden="1" customHeight="1" outlineLevel="2" x14ac:dyDescent="0.25">
      <c r="B9901" s="704" t="s">
        <v>678</v>
      </c>
      <c r="C9901" s="704" t="s">
        <v>714</v>
      </c>
      <c r="D9901" s="704" t="s">
        <v>715</v>
      </c>
      <c r="E9901" s="704" t="s">
        <v>448</v>
      </c>
      <c r="F9901" s="705">
        <v>1.4115162662922598</v>
      </c>
      <c r="G9901" s="705">
        <v>357.83638726176002</v>
      </c>
    </row>
    <row r="9902" spans="2:7" ht="11.25" hidden="1" customHeight="1" outlineLevel="2" x14ac:dyDescent="0.25">
      <c r="B9902" s="704" t="s">
        <v>680</v>
      </c>
      <c r="C9902" s="704" t="s">
        <v>714</v>
      </c>
      <c r="D9902" s="704" t="s">
        <v>715</v>
      </c>
      <c r="E9902" s="704" t="s">
        <v>448</v>
      </c>
      <c r="F9902" s="705">
        <v>1.411431061829955</v>
      </c>
      <c r="G9902" s="705">
        <v>357.83638726176002</v>
      </c>
    </row>
    <row r="9903" spans="2:7" ht="11.25" hidden="1" customHeight="1" outlineLevel="2" x14ac:dyDescent="0.25">
      <c r="B9903" s="704" t="s">
        <v>681</v>
      </c>
      <c r="C9903" s="704" t="s">
        <v>714</v>
      </c>
      <c r="D9903" s="704" t="s">
        <v>715</v>
      </c>
      <c r="E9903" s="704" t="s">
        <v>448</v>
      </c>
      <c r="F9903" s="705">
        <v>1.4115162662922598</v>
      </c>
      <c r="G9903" s="705">
        <v>357.83638726176002</v>
      </c>
    </row>
    <row r="9904" spans="2:7" ht="11.25" hidden="1" customHeight="1" outlineLevel="2" x14ac:dyDescent="0.25">
      <c r="B9904" s="704" t="s">
        <v>682</v>
      </c>
      <c r="C9904" s="704" t="s">
        <v>714</v>
      </c>
      <c r="D9904" s="704" t="s">
        <v>715</v>
      </c>
      <c r="E9904" s="704" t="s">
        <v>448</v>
      </c>
      <c r="F9904" s="705">
        <v>3.7640427742339102</v>
      </c>
      <c r="G9904" s="705">
        <v>954.23028225580015</v>
      </c>
    </row>
    <row r="9905" spans="2:7" ht="11.25" hidden="1" customHeight="1" outlineLevel="2" x14ac:dyDescent="0.25">
      <c r="B9905" s="704" t="s">
        <v>683</v>
      </c>
      <c r="C9905" s="704" t="s">
        <v>714</v>
      </c>
      <c r="D9905" s="704" t="s">
        <v>715</v>
      </c>
      <c r="E9905" s="704" t="s">
        <v>448</v>
      </c>
      <c r="F9905" s="705">
        <v>1.4115162662922598</v>
      </c>
      <c r="G9905" s="705">
        <v>357.83638726176002</v>
      </c>
    </row>
    <row r="9906" spans="2:7" ht="11.25" hidden="1" customHeight="1" outlineLevel="2" x14ac:dyDescent="0.25">
      <c r="B9906" s="704" t="s">
        <v>684</v>
      </c>
      <c r="C9906" s="704" t="s">
        <v>714</v>
      </c>
      <c r="D9906" s="704" t="s">
        <v>715</v>
      </c>
      <c r="E9906" s="704" t="s">
        <v>448</v>
      </c>
      <c r="F9906" s="705">
        <v>0.47047698372110658</v>
      </c>
      <c r="G9906" s="705">
        <v>119.27879467744539</v>
      </c>
    </row>
    <row r="9907" spans="2:7" ht="11.25" hidden="1" customHeight="1" outlineLevel="2" x14ac:dyDescent="0.25">
      <c r="B9907" s="704" t="s">
        <v>685</v>
      </c>
      <c r="C9907" s="704" t="s">
        <v>714</v>
      </c>
      <c r="D9907" s="704" t="s">
        <v>715</v>
      </c>
      <c r="E9907" s="704" t="s">
        <v>448</v>
      </c>
      <c r="F9907" s="705">
        <v>1.4115162662922598</v>
      </c>
      <c r="G9907" s="705">
        <v>357.83638726176002</v>
      </c>
    </row>
    <row r="9908" spans="2:7" ht="11.25" hidden="1" customHeight="1" outlineLevel="2" x14ac:dyDescent="0.25">
      <c r="B9908" s="704" t="s">
        <v>686</v>
      </c>
      <c r="C9908" s="704" t="s">
        <v>714</v>
      </c>
      <c r="D9908" s="704" t="s">
        <v>715</v>
      </c>
      <c r="E9908" s="704" t="s">
        <v>448</v>
      </c>
      <c r="F9908" s="705">
        <v>1.411431061829955</v>
      </c>
      <c r="G9908" s="705">
        <v>357.83638726176002</v>
      </c>
    </row>
    <row r="9909" spans="2:7" ht="11.25" hidden="1" customHeight="1" outlineLevel="2" x14ac:dyDescent="0.25">
      <c r="B9909" s="704" t="s">
        <v>687</v>
      </c>
      <c r="C9909" s="704" t="s">
        <v>714</v>
      </c>
      <c r="D9909" s="704" t="s">
        <v>715</v>
      </c>
      <c r="E9909" s="704" t="s">
        <v>448</v>
      </c>
      <c r="F9909" s="705">
        <v>2.3525272841134837</v>
      </c>
      <c r="G9909" s="705">
        <v>596.39401624814002</v>
      </c>
    </row>
    <row r="9910" spans="2:7" ht="11.25" hidden="1" customHeight="1" outlineLevel="2" x14ac:dyDescent="0.25">
      <c r="B9910" s="704" t="s">
        <v>688</v>
      </c>
      <c r="C9910" s="704" t="s">
        <v>714</v>
      </c>
      <c r="D9910" s="704" t="s">
        <v>715</v>
      </c>
      <c r="E9910" s="704" t="s">
        <v>448</v>
      </c>
      <c r="F9910" s="705">
        <v>0.47050534946622041</v>
      </c>
      <c r="G9910" s="705">
        <v>119.27879467744539</v>
      </c>
    </row>
    <row r="9911" spans="2:7" ht="11.25" hidden="1" customHeight="1" outlineLevel="2" x14ac:dyDescent="0.25">
      <c r="B9911" s="704" t="s">
        <v>689</v>
      </c>
      <c r="C9911" s="704" t="s">
        <v>714</v>
      </c>
      <c r="D9911" s="704" t="s">
        <v>715</v>
      </c>
      <c r="E9911" s="704" t="s">
        <v>448</v>
      </c>
      <c r="F9911" s="705">
        <v>2.1661625763248415</v>
      </c>
      <c r="G9911" s="705">
        <v>549.17044737302001</v>
      </c>
    </row>
    <row r="9912" spans="2:7" ht="11.25" hidden="1" customHeight="1" outlineLevel="2" x14ac:dyDescent="0.25">
      <c r="B9912" s="704" t="s">
        <v>690</v>
      </c>
      <c r="C9912" s="704" t="s">
        <v>714</v>
      </c>
      <c r="D9912" s="704" t="s">
        <v>715</v>
      </c>
      <c r="E9912" s="704" t="s">
        <v>448</v>
      </c>
      <c r="F9912" s="705">
        <v>2.8230314851747247</v>
      </c>
      <c r="G9912" s="705">
        <v>715.67271940801993</v>
      </c>
    </row>
    <row r="9913" spans="2:7" ht="11.25" hidden="1" customHeight="1" outlineLevel="2" x14ac:dyDescent="0.25">
      <c r="B9913" s="704" t="s">
        <v>691</v>
      </c>
      <c r="C9913" s="704" t="s">
        <v>714</v>
      </c>
      <c r="D9913" s="704" t="s">
        <v>715</v>
      </c>
      <c r="E9913" s="704" t="s">
        <v>448</v>
      </c>
      <c r="F9913" s="705">
        <v>1.4115162663082719</v>
      </c>
      <c r="G9913" s="705">
        <v>357.83638726176002</v>
      </c>
    </row>
    <row r="9914" spans="2:7" ht="11.25" hidden="1" customHeight="1" outlineLevel="2" x14ac:dyDescent="0.25">
      <c r="B9914" s="704" t="s">
        <v>692</v>
      </c>
      <c r="C9914" s="704" t="s">
        <v>714</v>
      </c>
      <c r="D9914" s="704" t="s">
        <v>715</v>
      </c>
      <c r="E9914" s="704" t="s">
        <v>448</v>
      </c>
      <c r="F9914" s="705">
        <v>0.94101062915501865</v>
      </c>
      <c r="G9914" s="705">
        <v>238.55749708809904</v>
      </c>
    </row>
    <row r="9915" spans="2:7" ht="11.25" hidden="1" customHeight="1" outlineLevel="2" x14ac:dyDescent="0.25">
      <c r="B9915" s="704" t="s">
        <v>693</v>
      </c>
      <c r="C9915" s="704" t="s">
        <v>714</v>
      </c>
      <c r="D9915" s="704" t="s">
        <v>715</v>
      </c>
      <c r="E9915" s="704" t="s">
        <v>448</v>
      </c>
      <c r="F9915" s="705">
        <v>0.94095400949200236</v>
      </c>
      <c r="G9915" s="705">
        <v>238.55749708809904</v>
      </c>
    </row>
    <row r="9916" spans="2:7" ht="11.25" hidden="1" customHeight="1" outlineLevel="2" x14ac:dyDescent="0.25">
      <c r="B9916" s="704" t="s">
        <v>696</v>
      </c>
      <c r="C9916" s="704" t="s">
        <v>714</v>
      </c>
      <c r="D9916" s="704" t="s">
        <v>715</v>
      </c>
      <c r="E9916" s="704" t="s">
        <v>448</v>
      </c>
      <c r="F9916" s="706">
        <v>1.411431061829955</v>
      </c>
      <c r="G9916" s="705">
        <v>357.83638726176002</v>
      </c>
    </row>
    <row r="9917" spans="2:7" ht="11.25" hidden="1" customHeight="1" outlineLevel="2" x14ac:dyDescent="0.25">
      <c r="B9917" s="704" t="s">
        <v>697</v>
      </c>
      <c r="C9917" s="704" t="s">
        <v>714</v>
      </c>
      <c r="D9917" s="704" t="s">
        <v>715</v>
      </c>
      <c r="E9917" s="704" t="s">
        <v>448</v>
      </c>
      <c r="F9917" s="706">
        <v>1.4114310618249204</v>
      </c>
      <c r="G9917" s="705">
        <v>357.83638726176002</v>
      </c>
    </row>
    <row r="9918" spans="2:7" ht="11.25" hidden="1" customHeight="1" outlineLevel="2" x14ac:dyDescent="0.25">
      <c r="B9918" s="704" t="s">
        <v>698</v>
      </c>
      <c r="C9918" s="704" t="s">
        <v>714</v>
      </c>
      <c r="D9918" s="704" t="s">
        <v>715</v>
      </c>
      <c r="E9918" s="704" t="s">
        <v>448</v>
      </c>
      <c r="F9918" s="706">
        <v>1.8819082221943775</v>
      </c>
      <c r="G9918" s="705">
        <v>477.11495593981999</v>
      </c>
    </row>
    <row r="9919" spans="2:7" ht="11.25" hidden="1" customHeight="1" outlineLevel="2" x14ac:dyDescent="0.25">
      <c r="B9919" s="704" t="s">
        <v>673</v>
      </c>
      <c r="C9919" s="704" t="s">
        <v>716</v>
      </c>
      <c r="D9919" s="704" t="s">
        <v>715</v>
      </c>
      <c r="E9919" s="704" t="s">
        <v>448</v>
      </c>
      <c r="F9919" s="706">
        <v>1.2217467237388766E-33</v>
      </c>
      <c r="G9919" s="705">
        <v>1.4883506685854614E-30</v>
      </c>
    </row>
    <row r="9920" spans="2:7" ht="11.25" hidden="1" customHeight="1" outlineLevel="2" x14ac:dyDescent="0.25">
      <c r="B9920" s="704" t="s">
        <v>677</v>
      </c>
      <c r="C9920" s="704" t="s">
        <v>716</v>
      </c>
      <c r="D9920" s="704" t="s">
        <v>715</v>
      </c>
      <c r="E9920" s="704" t="s">
        <v>448</v>
      </c>
      <c r="F9920" s="706">
        <v>4.2915814961880154E-35</v>
      </c>
      <c r="G9920" s="705">
        <v>5.2178122498499936E-32</v>
      </c>
    </row>
    <row r="9921" spans="2:7" ht="11.25" hidden="1" customHeight="1" outlineLevel="2" x14ac:dyDescent="0.25">
      <c r="B9921" s="704" t="s">
        <v>678</v>
      </c>
      <c r="C9921" s="704" t="s">
        <v>716</v>
      </c>
      <c r="D9921" s="704" t="s">
        <v>715</v>
      </c>
      <c r="E9921" s="704" t="s">
        <v>448</v>
      </c>
      <c r="F9921" s="706">
        <v>1.220677049326443E-33</v>
      </c>
      <c r="G9921" s="705">
        <v>1.4883506685854614E-30</v>
      </c>
    </row>
    <row r="9922" spans="2:7" ht="11.25" hidden="1" customHeight="1" outlineLevel="2" x14ac:dyDescent="0.25">
      <c r="B9922" s="704" t="s">
        <v>679</v>
      </c>
      <c r="C9922" s="704" t="s">
        <v>716</v>
      </c>
      <c r="D9922" s="704" t="s">
        <v>715</v>
      </c>
      <c r="E9922" s="704" t="s">
        <v>448</v>
      </c>
      <c r="F9922" s="706">
        <v>3.4382141394124677E-35</v>
      </c>
      <c r="G9922" s="705">
        <v>4.1921589853032535E-32</v>
      </c>
    </row>
    <row r="9923" spans="2:7" ht="11.25" hidden="1" customHeight="1" outlineLevel="2" x14ac:dyDescent="0.25">
      <c r="B9923" s="704" t="s">
        <v>680</v>
      </c>
      <c r="C9923" s="704" t="s">
        <v>716</v>
      </c>
      <c r="D9923" s="704" t="s">
        <v>715</v>
      </c>
      <c r="E9923" s="704" t="s">
        <v>448</v>
      </c>
      <c r="F9923" s="705">
        <v>1.2217467237388766E-33</v>
      </c>
      <c r="G9923" s="705">
        <v>1.4883506685854614E-30</v>
      </c>
    </row>
    <row r="9924" spans="2:7" ht="11.25" hidden="1" customHeight="1" outlineLevel="2" x14ac:dyDescent="0.25">
      <c r="B9924" s="704" t="s">
        <v>681</v>
      </c>
      <c r="C9924" s="704" t="s">
        <v>716</v>
      </c>
      <c r="D9924" s="704" t="s">
        <v>715</v>
      </c>
      <c r="E9924" s="704" t="s">
        <v>448</v>
      </c>
      <c r="F9924" s="705">
        <v>1.220677049326443E-33</v>
      </c>
      <c r="G9924" s="705">
        <v>1.4883506685854614E-30</v>
      </c>
    </row>
    <row r="9925" spans="2:7" ht="11.25" hidden="1" customHeight="1" outlineLevel="2" x14ac:dyDescent="0.25">
      <c r="B9925" s="704" t="s">
        <v>682</v>
      </c>
      <c r="C9925" s="704" t="s">
        <v>716</v>
      </c>
      <c r="D9925" s="704" t="s">
        <v>715</v>
      </c>
      <c r="E9925" s="704" t="s">
        <v>448</v>
      </c>
      <c r="F9925" s="705">
        <v>2.2012928122670537E-34</v>
      </c>
      <c r="G9925" s="705">
        <v>2.6839964376933469E-31</v>
      </c>
    </row>
    <row r="9926" spans="2:7" ht="11.25" hidden="1" customHeight="1" outlineLevel="2" x14ac:dyDescent="0.25">
      <c r="B9926" s="704" t="s">
        <v>683</v>
      </c>
      <c r="C9926" s="704" t="s">
        <v>716</v>
      </c>
      <c r="D9926" s="704" t="s">
        <v>715</v>
      </c>
      <c r="E9926" s="704" t="s">
        <v>448</v>
      </c>
      <c r="F9926" s="706">
        <v>1.220677049326443E-33</v>
      </c>
      <c r="G9926" s="705">
        <v>1.4883506685854614E-30</v>
      </c>
    </row>
    <row r="9927" spans="2:7" ht="11.25" hidden="1" customHeight="1" outlineLevel="2" x14ac:dyDescent="0.25">
      <c r="B9927" s="704" t="s">
        <v>684</v>
      </c>
      <c r="C9927" s="704" t="s">
        <v>716</v>
      </c>
      <c r="D9927" s="704" t="s">
        <v>715</v>
      </c>
      <c r="E9927" s="704" t="s">
        <v>448</v>
      </c>
      <c r="F9927" s="705">
        <v>1.3055530020460593E-33</v>
      </c>
      <c r="G9927" s="705">
        <v>1.5904447834644856E-30</v>
      </c>
    </row>
    <row r="9928" spans="2:7" ht="11.25" hidden="1" customHeight="1" outlineLevel="2" x14ac:dyDescent="0.25">
      <c r="B9928" s="704" t="s">
        <v>685</v>
      </c>
      <c r="C9928" s="704" t="s">
        <v>716</v>
      </c>
      <c r="D9928" s="704" t="s">
        <v>715</v>
      </c>
      <c r="E9928" s="704" t="s">
        <v>448</v>
      </c>
      <c r="F9928" s="705">
        <v>1.220677049326443E-33</v>
      </c>
      <c r="G9928" s="705">
        <v>1.4883506685854614E-30</v>
      </c>
    </row>
    <row r="9929" spans="2:7" ht="11.25" hidden="1" customHeight="1" outlineLevel="2" x14ac:dyDescent="0.25">
      <c r="B9929" s="704" t="s">
        <v>686</v>
      </c>
      <c r="C9929" s="704" t="s">
        <v>716</v>
      </c>
      <c r="D9929" s="704" t="s">
        <v>715</v>
      </c>
      <c r="E9929" s="704" t="s">
        <v>448</v>
      </c>
      <c r="F9929" s="706">
        <v>0.71736616966103828</v>
      </c>
      <c r="G9929" s="705">
        <v>873.90651490484379</v>
      </c>
    </row>
    <row r="9930" spans="2:7" ht="11.25" hidden="1" customHeight="1" outlineLevel="2" x14ac:dyDescent="0.25">
      <c r="B9930" s="704" t="s">
        <v>687</v>
      </c>
      <c r="C9930" s="704" t="s">
        <v>716</v>
      </c>
      <c r="D9930" s="704" t="s">
        <v>715</v>
      </c>
      <c r="E9930" s="704" t="s">
        <v>448</v>
      </c>
      <c r="F9930" s="705">
        <v>1.1430547029828198E-33</v>
      </c>
      <c r="G9930" s="705">
        <v>1.3937069903059726E-30</v>
      </c>
    </row>
    <row r="9931" spans="2:7" ht="11.25" hidden="1" customHeight="1" outlineLevel="2" x14ac:dyDescent="0.25">
      <c r="B9931" s="704" t="s">
        <v>688</v>
      </c>
      <c r="C9931" s="704" t="s">
        <v>716</v>
      </c>
      <c r="D9931" s="704" t="s">
        <v>715</v>
      </c>
      <c r="E9931" s="704" t="s">
        <v>448</v>
      </c>
      <c r="F9931" s="705">
        <v>1.3044101874851183E-33</v>
      </c>
      <c r="G9931" s="705">
        <v>1.5904447834644856E-30</v>
      </c>
    </row>
    <row r="9932" spans="2:7" ht="11.25" hidden="1" customHeight="1" outlineLevel="2" x14ac:dyDescent="0.25">
      <c r="B9932" s="704" t="s">
        <v>689</v>
      </c>
      <c r="C9932" s="704" t="s">
        <v>716</v>
      </c>
      <c r="D9932" s="704" t="s">
        <v>715</v>
      </c>
      <c r="E9932" s="704" t="s">
        <v>448</v>
      </c>
      <c r="F9932" s="705">
        <v>2.1174128959979998E-33</v>
      </c>
      <c r="G9932" s="705">
        <v>2.5816114851933079E-30</v>
      </c>
    </row>
    <row r="9933" spans="2:7" ht="11.25" hidden="1" customHeight="1" outlineLevel="2" x14ac:dyDescent="0.25">
      <c r="B9933" s="704" t="s">
        <v>690</v>
      </c>
      <c r="C9933" s="704" t="s">
        <v>716</v>
      </c>
      <c r="D9933" s="704" t="s">
        <v>715</v>
      </c>
      <c r="E9933" s="704" t="s">
        <v>448</v>
      </c>
      <c r="F9933" s="706">
        <v>4.2794073780183934E-35</v>
      </c>
      <c r="G9933" s="705">
        <v>5.2178122498499936E-32</v>
      </c>
    </row>
    <row r="9934" spans="2:7" ht="11.25" hidden="1" customHeight="1" outlineLevel="2" x14ac:dyDescent="0.25">
      <c r="B9934" s="704" t="s">
        <v>691</v>
      </c>
      <c r="C9934" s="704" t="s">
        <v>716</v>
      </c>
      <c r="D9934" s="704" t="s">
        <v>715</v>
      </c>
      <c r="E9934" s="704" t="s">
        <v>448</v>
      </c>
      <c r="F9934" s="706">
        <v>1.2211720872999998E-33</v>
      </c>
      <c r="G9934" s="705">
        <v>1.4909845060000002E-30</v>
      </c>
    </row>
    <row r="9935" spans="2:7" ht="11.25" hidden="1" customHeight="1" outlineLevel="2" x14ac:dyDescent="0.25">
      <c r="B9935" s="704" t="s">
        <v>692</v>
      </c>
      <c r="C9935" s="704" t="s">
        <v>716</v>
      </c>
      <c r="D9935" s="704" t="s">
        <v>715</v>
      </c>
      <c r="E9935" s="704" t="s">
        <v>448</v>
      </c>
      <c r="F9935" s="706">
        <v>1.6991312156860277E-33</v>
      </c>
      <c r="G9935" s="705">
        <v>2.0717209505030632E-30</v>
      </c>
    </row>
    <row r="9936" spans="2:7" ht="11.25" hidden="1" customHeight="1" outlineLevel="2" x14ac:dyDescent="0.25">
      <c r="B9936" s="704" t="s">
        <v>693</v>
      </c>
      <c r="C9936" s="704" t="s">
        <v>716</v>
      </c>
      <c r="D9936" s="704" t="s">
        <v>715</v>
      </c>
      <c r="E9936" s="704" t="s">
        <v>448</v>
      </c>
      <c r="F9936" s="705">
        <v>1.7006194569637756E-33</v>
      </c>
      <c r="G9936" s="705">
        <v>2.0717209505030705E-30</v>
      </c>
    </row>
    <row r="9937" spans="2:7" ht="11.25" hidden="1" customHeight="1" outlineLevel="2" x14ac:dyDescent="0.25">
      <c r="B9937" s="704" t="s">
        <v>694</v>
      </c>
      <c r="C9937" s="704" t="s">
        <v>716</v>
      </c>
      <c r="D9937" s="704" t="s">
        <v>715</v>
      </c>
      <c r="E9937" s="704" t="s">
        <v>448</v>
      </c>
      <c r="F9937" s="705">
        <v>3.4412263012536057E-35</v>
      </c>
      <c r="G9937" s="705">
        <v>4.1921589853032535E-32</v>
      </c>
    </row>
    <row r="9938" spans="2:7" ht="11.25" hidden="1" customHeight="1" outlineLevel="2" x14ac:dyDescent="0.25">
      <c r="B9938" s="704" t="s">
        <v>695</v>
      </c>
      <c r="C9938" s="704" t="s">
        <v>716</v>
      </c>
      <c r="D9938" s="704" t="s">
        <v>715</v>
      </c>
      <c r="E9938" s="704" t="s">
        <v>448</v>
      </c>
      <c r="F9938" s="705">
        <v>3.4412263012536057E-35</v>
      </c>
      <c r="G9938" s="705">
        <v>4.1921589853032535E-32</v>
      </c>
    </row>
    <row r="9939" spans="2:7" ht="11.25" hidden="1" customHeight="1" outlineLevel="2" x14ac:dyDescent="0.25">
      <c r="B9939" s="704" t="s">
        <v>696</v>
      </c>
      <c r="C9939" s="704" t="s">
        <v>716</v>
      </c>
      <c r="D9939" s="704" t="s">
        <v>715</v>
      </c>
      <c r="E9939" s="704" t="s">
        <v>448</v>
      </c>
      <c r="F9939" s="705">
        <v>1.2217467237388766E-33</v>
      </c>
      <c r="G9939" s="705">
        <v>1.4883506685854614E-30</v>
      </c>
    </row>
    <row r="9940" spans="2:7" ht="11.25" hidden="1" customHeight="1" outlineLevel="2" x14ac:dyDescent="0.25">
      <c r="B9940" s="704" t="s">
        <v>697</v>
      </c>
      <c r="C9940" s="704" t="s">
        <v>716</v>
      </c>
      <c r="D9940" s="704" t="s">
        <v>715</v>
      </c>
      <c r="E9940" s="704" t="s">
        <v>448</v>
      </c>
      <c r="F9940" s="705">
        <v>1.2209185559999999E-33</v>
      </c>
      <c r="G9940" s="705">
        <v>1.4909845060000002E-30</v>
      </c>
    </row>
    <row r="9941" spans="2:7" ht="11.25" hidden="1" customHeight="1" outlineLevel="2" x14ac:dyDescent="0.25">
      <c r="B9941" s="704" t="s">
        <v>698</v>
      </c>
      <c r="C9941" s="704" t="s">
        <v>716</v>
      </c>
      <c r="D9941" s="704" t="s">
        <v>715</v>
      </c>
      <c r="E9941" s="704" t="s">
        <v>448</v>
      </c>
      <c r="F9941" s="705">
        <v>2.0888774499999998E-33</v>
      </c>
      <c r="G9941" s="705">
        <v>2.5436905559999998E-30</v>
      </c>
    </row>
    <row r="9942" spans="2:7" ht="11.25" hidden="1" customHeight="1" outlineLevel="2" x14ac:dyDescent="0.25">
      <c r="B9942" s="704" t="s">
        <v>699</v>
      </c>
      <c r="C9942" s="704" t="s">
        <v>716</v>
      </c>
      <c r="D9942" s="704" t="s">
        <v>715</v>
      </c>
      <c r="E9942" s="704" t="s">
        <v>448</v>
      </c>
      <c r="F9942" s="705">
        <v>3.4382141394124677E-35</v>
      </c>
      <c r="G9942" s="705">
        <v>4.1921589853032535E-32</v>
      </c>
    </row>
    <row r="9943" spans="2:7" ht="11.25" hidden="1" customHeight="1" outlineLevel="2" x14ac:dyDescent="0.25">
      <c r="B9943" s="704" t="s">
        <v>673</v>
      </c>
      <c r="C9943" s="704" t="s">
        <v>717</v>
      </c>
      <c r="D9943" s="704" t="s">
        <v>715</v>
      </c>
      <c r="E9943" s="704" t="s">
        <v>448</v>
      </c>
      <c r="F9943" s="705">
        <v>1.5118312018812359</v>
      </c>
      <c r="G9943" s="705">
        <v>413.18481786908904</v>
      </c>
    </row>
    <row r="9944" spans="2:7" ht="11.25" hidden="1" customHeight="1" outlineLevel="2" x14ac:dyDescent="0.25">
      <c r="B9944" s="704" t="s">
        <v>677</v>
      </c>
      <c r="C9944" s="704" t="s">
        <v>717</v>
      </c>
      <c r="D9944" s="704" t="s">
        <v>715</v>
      </c>
      <c r="E9944" s="704" t="s">
        <v>448</v>
      </c>
      <c r="F9944" s="705">
        <v>3.0281428506067716</v>
      </c>
      <c r="G9944" s="705">
        <v>826.36984331692997</v>
      </c>
    </row>
    <row r="9945" spans="2:7" ht="11.25" hidden="1" customHeight="1" outlineLevel="2" x14ac:dyDescent="0.25">
      <c r="B9945" s="704" t="s">
        <v>678</v>
      </c>
      <c r="C9945" s="704" t="s">
        <v>717</v>
      </c>
      <c r="D9945" s="704" t="s">
        <v>715</v>
      </c>
      <c r="E9945" s="704" t="s">
        <v>448</v>
      </c>
      <c r="F9945" s="705">
        <v>1.5119219198278302</v>
      </c>
      <c r="G9945" s="705">
        <v>413.18481786908904</v>
      </c>
    </row>
    <row r="9946" spans="2:7" ht="11.25" hidden="1" customHeight="1" outlineLevel="2" x14ac:dyDescent="0.25">
      <c r="B9946" s="704" t="s">
        <v>679</v>
      </c>
      <c r="C9946" s="704" t="s">
        <v>717</v>
      </c>
      <c r="D9946" s="704" t="s">
        <v>715</v>
      </c>
      <c r="E9946" s="704" t="s">
        <v>448</v>
      </c>
      <c r="F9946" s="705">
        <v>2.5727498841494662E-34</v>
      </c>
      <c r="G9946" s="705">
        <v>7.0309237561352104E-32</v>
      </c>
    </row>
    <row r="9947" spans="2:7" ht="11.25" hidden="1" customHeight="1" outlineLevel="2" x14ac:dyDescent="0.25">
      <c r="B9947" s="704" t="s">
        <v>680</v>
      </c>
      <c r="C9947" s="704" t="s">
        <v>717</v>
      </c>
      <c r="D9947" s="704" t="s">
        <v>715</v>
      </c>
      <c r="E9947" s="704" t="s">
        <v>448</v>
      </c>
      <c r="F9947" s="706">
        <v>1.5118312018812359</v>
      </c>
      <c r="G9947" s="705">
        <v>413.18481786908904</v>
      </c>
    </row>
    <row r="9948" spans="2:7" ht="11.25" hidden="1" customHeight="1" outlineLevel="2" x14ac:dyDescent="0.25">
      <c r="B9948" s="704" t="s">
        <v>681</v>
      </c>
      <c r="C9948" s="704" t="s">
        <v>717</v>
      </c>
      <c r="D9948" s="704" t="s">
        <v>715</v>
      </c>
      <c r="E9948" s="704" t="s">
        <v>448</v>
      </c>
      <c r="F9948" s="706">
        <v>1.5119219198278302</v>
      </c>
      <c r="G9948" s="705">
        <v>413.18481786908904</v>
      </c>
    </row>
    <row r="9949" spans="2:7" ht="11.25" hidden="1" customHeight="1" outlineLevel="2" x14ac:dyDescent="0.25">
      <c r="B9949" s="704" t="s">
        <v>682</v>
      </c>
      <c r="C9949" s="704" t="s">
        <v>717</v>
      </c>
      <c r="D9949" s="704" t="s">
        <v>715</v>
      </c>
      <c r="E9949" s="704" t="s">
        <v>448</v>
      </c>
      <c r="F9949" s="705">
        <v>4.0317920525453079</v>
      </c>
      <c r="G9949" s="705">
        <v>1101.8254873556698</v>
      </c>
    </row>
    <row r="9950" spans="2:7" ht="11.25" hidden="1" customHeight="1" outlineLevel="2" x14ac:dyDescent="0.25">
      <c r="B9950" s="704" t="s">
        <v>683</v>
      </c>
      <c r="C9950" s="704" t="s">
        <v>717</v>
      </c>
      <c r="D9950" s="704" t="s">
        <v>715</v>
      </c>
      <c r="E9950" s="704" t="s">
        <v>448</v>
      </c>
      <c r="F9950" s="705">
        <v>1.5119219198278302</v>
      </c>
      <c r="G9950" s="705">
        <v>413.18481786908904</v>
      </c>
    </row>
    <row r="9951" spans="2:7" ht="11.25" hidden="1" customHeight="1" outlineLevel="2" x14ac:dyDescent="0.25">
      <c r="B9951" s="704" t="s">
        <v>684</v>
      </c>
      <c r="C9951" s="704" t="s">
        <v>717</v>
      </c>
      <c r="D9951" s="704" t="s">
        <v>715</v>
      </c>
      <c r="E9951" s="704" t="s">
        <v>448</v>
      </c>
      <c r="F9951" s="705">
        <v>0.50394366596309903</v>
      </c>
      <c r="G9951" s="705">
        <v>137.72835295817683</v>
      </c>
    </row>
    <row r="9952" spans="2:7" ht="11.25" hidden="1" customHeight="1" outlineLevel="2" x14ac:dyDescent="0.25">
      <c r="B9952" s="704" t="s">
        <v>685</v>
      </c>
      <c r="C9952" s="704" t="s">
        <v>717</v>
      </c>
      <c r="D9952" s="704" t="s">
        <v>715</v>
      </c>
      <c r="E9952" s="704" t="s">
        <v>448</v>
      </c>
      <c r="F9952" s="705">
        <v>1.5119219198278302</v>
      </c>
      <c r="G9952" s="705">
        <v>413.18481786908904</v>
      </c>
    </row>
    <row r="9953" spans="2:7" ht="11.25" hidden="1" customHeight="1" outlineLevel="2" x14ac:dyDescent="0.25">
      <c r="B9953" s="704" t="s">
        <v>686</v>
      </c>
      <c r="C9953" s="704" t="s">
        <v>717</v>
      </c>
      <c r="D9953" s="704" t="s">
        <v>715</v>
      </c>
      <c r="E9953" s="704" t="s">
        <v>448</v>
      </c>
      <c r="F9953" s="705">
        <v>1.5118312018812359</v>
      </c>
      <c r="G9953" s="705">
        <v>413.18481786908904</v>
      </c>
    </row>
    <row r="9954" spans="2:7" ht="11.25" hidden="1" customHeight="1" outlineLevel="2" x14ac:dyDescent="0.25">
      <c r="B9954" s="704" t="s">
        <v>687</v>
      </c>
      <c r="C9954" s="704" t="s">
        <v>717</v>
      </c>
      <c r="D9954" s="704" t="s">
        <v>715</v>
      </c>
      <c r="E9954" s="704" t="s">
        <v>448</v>
      </c>
      <c r="F9954" s="705">
        <v>2.51986940727451</v>
      </c>
      <c r="G9954" s="705">
        <v>688.64149439337996</v>
      </c>
    </row>
    <row r="9955" spans="2:7" ht="11.25" hidden="1" customHeight="1" outlineLevel="2" x14ac:dyDescent="0.25">
      <c r="B9955" s="704" t="s">
        <v>688</v>
      </c>
      <c r="C9955" s="704" t="s">
        <v>717</v>
      </c>
      <c r="D9955" s="704" t="s">
        <v>715</v>
      </c>
      <c r="E9955" s="704" t="s">
        <v>448</v>
      </c>
      <c r="F9955" s="705">
        <v>0.5039738901659363</v>
      </c>
      <c r="G9955" s="705">
        <v>137.72835295817683</v>
      </c>
    </row>
    <row r="9956" spans="2:7" ht="11.25" hidden="1" customHeight="1" outlineLevel="2" x14ac:dyDescent="0.25">
      <c r="B9956" s="704" t="s">
        <v>689</v>
      </c>
      <c r="C9956" s="704" t="s">
        <v>717</v>
      </c>
      <c r="D9956" s="704" t="s">
        <v>715</v>
      </c>
      <c r="E9956" s="704" t="s">
        <v>448</v>
      </c>
      <c r="F9956" s="705">
        <v>2.320248947582443</v>
      </c>
      <c r="G9956" s="705">
        <v>634.11361969864902</v>
      </c>
    </row>
    <row r="9957" spans="2:7" ht="11.25" hidden="1" customHeight="1" outlineLevel="2" x14ac:dyDescent="0.25">
      <c r="B9957" s="704" t="s">
        <v>690</v>
      </c>
      <c r="C9957" s="704" t="s">
        <v>717</v>
      </c>
      <c r="D9957" s="704" t="s">
        <v>715</v>
      </c>
      <c r="E9957" s="704" t="s">
        <v>448</v>
      </c>
      <c r="F9957" s="705">
        <v>3.0238444471910184</v>
      </c>
      <c r="G9957" s="705">
        <v>826.36984331692997</v>
      </c>
    </row>
    <row r="9958" spans="2:7" ht="11.25" hidden="1" customHeight="1" outlineLevel="2" x14ac:dyDescent="0.25">
      <c r="B9958" s="704" t="s">
        <v>691</v>
      </c>
      <c r="C9958" s="704" t="s">
        <v>717</v>
      </c>
      <c r="D9958" s="704" t="s">
        <v>715</v>
      </c>
      <c r="E9958" s="704" t="s">
        <v>448</v>
      </c>
      <c r="F9958" s="705">
        <v>1.5119219198637137</v>
      </c>
      <c r="G9958" s="705">
        <v>413.18481786782138</v>
      </c>
    </row>
    <row r="9959" spans="2:7" ht="11.25" hidden="1" customHeight="1" outlineLevel="2" x14ac:dyDescent="0.25">
      <c r="B9959" s="704" t="s">
        <v>692</v>
      </c>
      <c r="C9959" s="704" t="s">
        <v>717</v>
      </c>
      <c r="D9959" s="704" t="s">
        <v>715</v>
      </c>
      <c r="E9959" s="704" t="s">
        <v>448</v>
      </c>
      <c r="F9959" s="705">
        <v>1.0079476137810657</v>
      </c>
      <c r="G9959" s="705">
        <v>275.45650629490206</v>
      </c>
    </row>
    <row r="9960" spans="2:7" ht="11.25" hidden="1" customHeight="1" outlineLevel="2" x14ac:dyDescent="0.25">
      <c r="B9960" s="704" t="s">
        <v>693</v>
      </c>
      <c r="C9960" s="704" t="s">
        <v>717</v>
      </c>
      <c r="D9960" s="704" t="s">
        <v>715</v>
      </c>
      <c r="E9960" s="704" t="s">
        <v>448</v>
      </c>
      <c r="F9960" s="705">
        <v>1.0078872714417808</v>
      </c>
      <c r="G9960" s="705">
        <v>275.45650629490206</v>
      </c>
    </row>
    <row r="9961" spans="2:7" ht="11.25" hidden="1" customHeight="1" outlineLevel="2" x14ac:dyDescent="0.25">
      <c r="B9961" s="704" t="s">
        <v>694</v>
      </c>
      <c r="C9961" s="704" t="s">
        <v>717</v>
      </c>
      <c r="D9961" s="704" t="s">
        <v>715</v>
      </c>
      <c r="E9961" s="704" t="s">
        <v>448</v>
      </c>
      <c r="F9961" s="705">
        <v>2.5725958477969523E-34</v>
      </c>
      <c r="G9961" s="705">
        <v>7.0309237561352104E-32</v>
      </c>
    </row>
    <row r="9962" spans="2:7" ht="11.25" hidden="1" customHeight="1" outlineLevel="2" x14ac:dyDescent="0.25">
      <c r="B9962" s="704" t="s">
        <v>695</v>
      </c>
      <c r="C9962" s="704" t="s">
        <v>717</v>
      </c>
      <c r="D9962" s="704" t="s">
        <v>715</v>
      </c>
      <c r="E9962" s="704" t="s">
        <v>448</v>
      </c>
      <c r="F9962" s="705">
        <v>2.5725958477969523E-34</v>
      </c>
      <c r="G9962" s="705">
        <v>7.0309237561352104E-32</v>
      </c>
    </row>
    <row r="9963" spans="2:7" ht="11.25" hidden="1" customHeight="1" outlineLevel="2" x14ac:dyDescent="0.25">
      <c r="B9963" s="704" t="s">
        <v>696</v>
      </c>
      <c r="C9963" s="704" t="s">
        <v>717</v>
      </c>
      <c r="D9963" s="704" t="s">
        <v>715</v>
      </c>
      <c r="E9963" s="704" t="s">
        <v>448</v>
      </c>
      <c r="F9963" s="705">
        <v>1.5118312018812359</v>
      </c>
      <c r="G9963" s="705">
        <v>413.18481786908904</v>
      </c>
    </row>
    <row r="9964" spans="2:7" ht="11.25" hidden="1" customHeight="1" outlineLevel="2" x14ac:dyDescent="0.25">
      <c r="B9964" s="704" t="s">
        <v>697</v>
      </c>
      <c r="C9964" s="704" t="s">
        <v>717</v>
      </c>
      <c r="D9964" s="704" t="s">
        <v>715</v>
      </c>
      <c r="E9964" s="704" t="s">
        <v>448</v>
      </c>
      <c r="F9964" s="706">
        <v>1.5118312018958091</v>
      </c>
      <c r="G9964" s="705">
        <v>413.18481786782138</v>
      </c>
    </row>
    <row r="9965" spans="2:7" ht="11.25" hidden="1" customHeight="1" outlineLevel="2" x14ac:dyDescent="0.25">
      <c r="B9965" s="704" t="s">
        <v>698</v>
      </c>
      <c r="C9965" s="704" t="s">
        <v>717</v>
      </c>
      <c r="D9965" s="704" t="s">
        <v>715</v>
      </c>
      <c r="E9965" s="704" t="s">
        <v>448</v>
      </c>
      <c r="F9965" s="706">
        <v>2.0157752595077456</v>
      </c>
      <c r="G9965" s="705">
        <v>550.91278721908009</v>
      </c>
    </row>
    <row r="9966" spans="2:7" ht="11.25" hidden="1" customHeight="1" outlineLevel="2" x14ac:dyDescent="0.25">
      <c r="B9966" s="704" t="s">
        <v>699</v>
      </c>
      <c r="C9966" s="704" t="s">
        <v>717</v>
      </c>
      <c r="D9966" s="704" t="s">
        <v>715</v>
      </c>
      <c r="E9966" s="704" t="s">
        <v>448</v>
      </c>
      <c r="F9966" s="706">
        <v>2.5727498841494662E-34</v>
      </c>
      <c r="G9966" s="705">
        <v>7.0309237561352104E-32</v>
      </c>
    </row>
    <row r="9967" spans="2:7" ht="11.25" hidden="1" customHeight="1" outlineLevel="2" x14ac:dyDescent="0.25">
      <c r="B9967" s="704" t="s">
        <v>673</v>
      </c>
      <c r="C9967" s="704" t="s">
        <v>718</v>
      </c>
      <c r="D9967" s="704" t="s">
        <v>715</v>
      </c>
      <c r="E9967" s="704" t="s">
        <v>448</v>
      </c>
      <c r="F9967" s="706">
        <v>9.6810498399260481E-2</v>
      </c>
      <c r="G9967" s="705">
        <v>106.22956157076491</v>
      </c>
    </row>
    <row r="9968" spans="2:7" ht="11.25" hidden="1" customHeight="1" outlineLevel="2" x14ac:dyDescent="0.25">
      <c r="B9968" s="704" t="s">
        <v>677</v>
      </c>
      <c r="C9968" s="704" t="s">
        <v>718</v>
      </c>
      <c r="D9968" s="704" t="s">
        <v>715</v>
      </c>
      <c r="E9968" s="704" t="s">
        <v>448</v>
      </c>
      <c r="F9968" s="706">
        <v>0.19390782594176903</v>
      </c>
      <c r="G9968" s="705">
        <v>212.45914634475341</v>
      </c>
    </row>
    <row r="9969" spans="2:7" ht="11.25" hidden="1" customHeight="1" outlineLevel="2" x14ac:dyDescent="0.25">
      <c r="B9969" s="704" t="s">
        <v>678</v>
      </c>
      <c r="C9969" s="704" t="s">
        <v>718</v>
      </c>
      <c r="D9969" s="704" t="s">
        <v>715</v>
      </c>
      <c r="E9969" s="704" t="s">
        <v>448</v>
      </c>
      <c r="F9969" s="706">
        <v>9.6816320427786207E-2</v>
      </c>
      <c r="G9969" s="705">
        <v>106.22956157076491</v>
      </c>
    </row>
    <row r="9970" spans="2:7" ht="11.25" hidden="1" customHeight="1" outlineLevel="2" x14ac:dyDescent="0.25">
      <c r="B9970" s="704" t="s">
        <v>679</v>
      </c>
      <c r="C9970" s="704" t="s">
        <v>718</v>
      </c>
      <c r="D9970" s="704" t="s">
        <v>715</v>
      </c>
      <c r="E9970" s="704" t="s">
        <v>448</v>
      </c>
      <c r="F9970" s="706">
        <v>1.0335191748071537E-33</v>
      </c>
      <c r="G9970" s="705">
        <v>1.1418625961266794E-30</v>
      </c>
    </row>
    <row r="9971" spans="2:7" ht="11.25" hidden="1" customHeight="1" outlineLevel="2" x14ac:dyDescent="0.25">
      <c r="B9971" s="704" t="s">
        <v>680</v>
      </c>
      <c r="C9971" s="704" t="s">
        <v>718</v>
      </c>
      <c r="D9971" s="704" t="s">
        <v>715</v>
      </c>
      <c r="E9971" s="704" t="s">
        <v>448</v>
      </c>
      <c r="F9971" s="706">
        <v>9.6810498399260481E-2</v>
      </c>
      <c r="G9971" s="705">
        <v>106.22956157076491</v>
      </c>
    </row>
    <row r="9972" spans="2:7" ht="11.25" hidden="1" customHeight="1" outlineLevel="2" x14ac:dyDescent="0.25">
      <c r="B9972" s="704" t="s">
        <v>681</v>
      </c>
      <c r="C9972" s="704" t="s">
        <v>718</v>
      </c>
      <c r="D9972" s="704" t="s">
        <v>715</v>
      </c>
      <c r="E9972" s="704" t="s">
        <v>448</v>
      </c>
      <c r="F9972" s="706">
        <v>9.6816320427786207E-2</v>
      </c>
      <c r="G9972" s="705">
        <v>106.22956157076491</v>
      </c>
    </row>
    <row r="9973" spans="2:7" ht="11.25" hidden="1" customHeight="1" outlineLevel="2" x14ac:dyDescent="0.25">
      <c r="B9973" s="704" t="s">
        <v>682</v>
      </c>
      <c r="C9973" s="704" t="s">
        <v>718</v>
      </c>
      <c r="D9973" s="704" t="s">
        <v>715</v>
      </c>
      <c r="E9973" s="704" t="s">
        <v>448</v>
      </c>
      <c r="F9973" s="706">
        <v>0.25817679020102169</v>
      </c>
      <c r="G9973" s="705">
        <v>283.27889607704628</v>
      </c>
    </row>
    <row r="9974" spans="2:7" ht="11.25" hidden="1" customHeight="1" outlineLevel="2" x14ac:dyDescent="0.25">
      <c r="B9974" s="704" t="s">
        <v>683</v>
      </c>
      <c r="C9974" s="704" t="s">
        <v>718</v>
      </c>
      <c r="D9974" s="704" t="s">
        <v>715</v>
      </c>
      <c r="E9974" s="704" t="s">
        <v>448</v>
      </c>
      <c r="F9974" s="705">
        <v>9.6816320427786207E-2</v>
      </c>
      <c r="G9974" s="705">
        <v>106.22956157076491</v>
      </c>
    </row>
    <row r="9975" spans="2:7" ht="11.25" hidden="1" customHeight="1" outlineLevel="2" x14ac:dyDescent="0.25">
      <c r="B9975" s="704" t="s">
        <v>684</v>
      </c>
      <c r="C9975" s="704" t="s">
        <v>718</v>
      </c>
      <c r="D9975" s="704" t="s">
        <v>715</v>
      </c>
      <c r="E9975" s="704" t="s">
        <v>448</v>
      </c>
      <c r="F9975" s="705">
        <v>3.2270168844169445E-2</v>
      </c>
      <c r="G9975" s="705">
        <v>35.409863596027456</v>
      </c>
    </row>
    <row r="9976" spans="2:7" ht="11.25" hidden="1" customHeight="1" outlineLevel="2" x14ac:dyDescent="0.25">
      <c r="B9976" s="704" t="s">
        <v>685</v>
      </c>
      <c r="C9976" s="704" t="s">
        <v>718</v>
      </c>
      <c r="D9976" s="704" t="s">
        <v>715</v>
      </c>
      <c r="E9976" s="704" t="s">
        <v>448</v>
      </c>
      <c r="F9976" s="706">
        <v>9.6816320427786207E-2</v>
      </c>
      <c r="G9976" s="705">
        <v>106.22956157076491</v>
      </c>
    </row>
    <row r="9977" spans="2:7" ht="11.25" hidden="1" customHeight="1" outlineLevel="2" x14ac:dyDescent="0.25">
      <c r="B9977" s="704" t="s">
        <v>686</v>
      </c>
      <c r="C9977" s="704" t="s">
        <v>718</v>
      </c>
      <c r="D9977" s="704" t="s">
        <v>715</v>
      </c>
      <c r="E9977" s="704" t="s">
        <v>448</v>
      </c>
      <c r="F9977" s="705">
        <v>9.6810498399260481E-2</v>
      </c>
      <c r="G9977" s="705">
        <v>106.22956157076491</v>
      </c>
    </row>
    <row r="9978" spans="2:7" ht="11.25" hidden="1" customHeight="1" outlineLevel="2" x14ac:dyDescent="0.25">
      <c r="B9978" s="704" t="s">
        <v>687</v>
      </c>
      <c r="C9978" s="704" t="s">
        <v>718</v>
      </c>
      <c r="D9978" s="704" t="s">
        <v>715</v>
      </c>
      <c r="E9978" s="704" t="s">
        <v>448</v>
      </c>
      <c r="F9978" s="705">
        <v>0.16136052086180849</v>
      </c>
      <c r="G9978" s="705">
        <v>177.049330128191</v>
      </c>
    </row>
    <row r="9979" spans="2:7" ht="11.25" hidden="1" customHeight="1" outlineLevel="2" x14ac:dyDescent="0.25">
      <c r="B9979" s="704" t="s">
        <v>688</v>
      </c>
      <c r="C9979" s="704" t="s">
        <v>718</v>
      </c>
      <c r="D9979" s="704" t="s">
        <v>715</v>
      </c>
      <c r="E9979" s="704" t="s">
        <v>448</v>
      </c>
      <c r="F9979" s="705">
        <v>3.2272107233087044E-2</v>
      </c>
      <c r="G9979" s="705">
        <v>35.409863596027456</v>
      </c>
    </row>
    <row r="9980" spans="2:7" ht="11.25" hidden="1" customHeight="1" outlineLevel="2" x14ac:dyDescent="0.25">
      <c r="B9980" s="704" t="s">
        <v>689</v>
      </c>
      <c r="C9980" s="704" t="s">
        <v>718</v>
      </c>
      <c r="D9980" s="704" t="s">
        <v>715</v>
      </c>
      <c r="E9980" s="704" t="s">
        <v>448</v>
      </c>
      <c r="F9980" s="705">
        <v>0.1485777577174219</v>
      </c>
      <c r="G9980" s="705">
        <v>163.03018305966535</v>
      </c>
    </row>
    <row r="9981" spans="2:7" ht="11.25" hidden="1" customHeight="1" outlineLevel="2" x14ac:dyDescent="0.25">
      <c r="B9981" s="704" t="s">
        <v>690</v>
      </c>
      <c r="C9981" s="704" t="s">
        <v>718</v>
      </c>
      <c r="D9981" s="704" t="s">
        <v>715</v>
      </c>
      <c r="E9981" s="704" t="s">
        <v>448</v>
      </c>
      <c r="F9981" s="705">
        <v>0.19363265633184704</v>
      </c>
      <c r="G9981" s="705">
        <v>212.45914634475341</v>
      </c>
    </row>
    <row r="9982" spans="2:7" ht="11.25" hidden="1" customHeight="1" outlineLevel="2" x14ac:dyDescent="0.25">
      <c r="B9982" s="704" t="s">
        <v>691</v>
      </c>
      <c r="C9982" s="704" t="s">
        <v>718</v>
      </c>
      <c r="D9982" s="704" t="s">
        <v>715</v>
      </c>
      <c r="E9982" s="704" t="s">
        <v>448</v>
      </c>
      <c r="F9982" s="705">
        <v>9.681632042604961E-2</v>
      </c>
      <c r="G9982" s="705">
        <v>106.22956157090668</v>
      </c>
    </row>
    <row r="9983" spans="2:7" ht="11.25" hidden="1" customHeight="1" outlineLevel="2" x14ac:dyDescent="0.25">
      <c r="B9983" s="704" t="s">
        <v>692</v>
      </c>
      <c r="C9983" s="704" t="s">
        <v>718</v>
      </c>
      <c r="D9983" s="704" t="s">
        <v>715</v>
      </c>
      <c r="E9983" s="704" t="s">
        <v>448</v>
      </c>
      <c r="F9983" s="705">
        <v>6.4544225624817819E-2</v>
      </c>
      <c r="G9983" s="705">
        <v>70.81972060486072</v>
      </c>
    </row>
    <row r="9984" spans="2:7" ht="11.25" hidden="1" customHeight="1" outlineLevel="2" x14ac:dyDescent="0.25">
      <c r="B9984" s="704" t="s">
        <v>693</v>
      </c>
      <c r="C9984" s="704" t="s">
        <v>718</v>
      </c>
      <c r="D9984" s="704" t="s">
        <v>715</v>
      </c>
      <c r="E9984" s="704" t="s">
        <v>448</v>
      </c>
      <c r="F9984" s="705">
        <v>6.4540336974387241E-2</v>
      </c>
      <c r="G9984" s="705">
        <v>70.819720604860905</v>
      </c>
    </row>
    <row r="9985" spans="2:7" ht="11.25" hidden="1" customHeight="1" outlineLevel="2" x14ac:dyDescent="0.25">
      <c r="B9985" s="704" t="s">
        <v>694</v>
      </c>
      <c r="C9985" s="704" t="s">
        <v>718</v>
      </c>
      <c r="D9985" s="704" t="s">
        <v>715</v>
      </c>
      <c r="E9985" s="704" t="s">
        <v>448</v>
      </c>
      <c r="F9985" s="705">
        <v>1.0334569929962253E-33</v>
      </c>
      <c r="G9985" s="705">
        <v>1.1418625961266794E-30</v>
      </c>
    </row>
    <row r="9986" spans="2:7" ht="11.25" hidden="1" customHeight="1" outlineLevel="2" x14ac:dyDescent="0.25">
      <c r="B9986" s="704" t="s">
        <v>695</v>
      </c>
      <c r="C9986" s="704" t="s">
        <v>718</v>
      </c>
      <c r="D9986" s="704" t="s">
        <v>715</v>
      </c>
      <c r="E9986" s="704" t="s">
        <v>448</v>
      </c>
      <c r="F9986" s="705">
        <v>1.0334569929962253E-33</v>
      </c>
      <c r="G9986" s="705">
        <v>1.1418625961266794E-30</v>
      </c>
    </row>
    <row r="9987" spans="2:7" ht="11.25" hidden="1" customHeight="1" outlineLevel="2" x14ac:dyDescent="0.25">
      <c r="B9987" s="704" t="s">
        <v>696</v>
      </c>
      <c r="C9987" s="704" t="s">
        <v>718</v>
      </c>
      <c r="D9987" s="704" t="s">
        <v>715</v>
      </c>
      <c r="E9987" s="704" t="s">
        <v>448</v>
      </c>
      <c r="F9987" s="705">
        <v>9.6810498399260481E-2</v>
      </c>
      <c r="G9987" s="705">
        <v>106.22956157076491</v>
      </c>
    </row>
    <row r="9988" spans="2:7" ht="11.25" hidden="1" customHeight="1" outlineLevel="2" x14ac:dyDescent="0.25">
      <c r="B9988" s="704" t="s">
        <v>697</v>
      </c>
      <c r="C9988" s="704" t="s">
        <v>718</v>
      </c>
      <c r="D9988" s="704" t="s">
        <v>715</v>
      </c>
      <c r="E9988" s="704" t="s">
        <v>448</v>
      </c>
      <c r="F9988" s="705">
        <v>9.6810498400065392E-2</v>
      </c>
      <c r="G9988" s="705">
        <v>106.22956157090668</v>
      </c>
    </row>
    <row r="9989" spans="2:7" ht="11.25" hidden="1" customHeight="1" outlineLevel="2" x14ac:dyDescent="0.25">
      <c r="B9989" s="704" t="s">
        <v>698</v>
      </c>
      <c r="C9989" s="704" t="s">
        <v>718</v>
      </c>
      <c r="D9989" s="704" t="s">
        <v>715</v>
      </c>
      <c r="E9989" s="704" t="s">
        <v>448</v>
      </c>
      <c r="F9989" s="705">
        <v>0.12908065053309148</v>
      </c>
      <c r="G9989" s="705">
        <v>141.6394103892313</v>
      </c>
    </row>
    <row r="9990" spans="2:7" ht="11.25" hidden="1" customHeight="1" outlineLevel="2" x14ac:dyDescent="0.25">
      <c r="B9990" s="704" t="s">
        <v>699</v>
      </c>
      <c r="C9990" s="704" t="s">
        <v>718</v>
      </c>
      <c r="D9990" s="704" t="s">
        <v>715</v>
      </c>
      <c r="E9990" s="704" t="s">
        <v>448</v>
      </c>
      <c r="F9990" s="705">
        <v>1.0335191748071537E-33</v>
      </c>
      <c r="G9990" s="705">
        <v>1.1418625961266794E-30</v>
      </c>
    </row>
    <row r="9991" spans="2:7" ht="11.25" hidden="1" customHeight="1" outlineLevel="2" x14ac:dyDescent="0.25">
      <c r="B9991" s="704" t="s">
        <v>673</v>
      </c>
      <c r="C9991" s="704" t="s">
        <v>746</v>
      </c>
      <c r="D9991" s="704" t="s">
        <v>715</v>
      </c>
      <c r="E9991" s="704" t="s">
        <v>448</v>
      </c>
      <c r="F9991" s="705">
        <v>0.24980878770086723</v>
      </c>
      <c r="G9991" s="705">
        <v>172.91043026300696</v>
      </c>
    </row>
    <row r="9992" spans="2:7" ht="11.25" hidden="1" customHeight="1" outlineLevel="2" x14ac:dyDescent="0.25">
      <c r="B9992" s="704" t="s">
        <v>677</v>
      </c>
      <c r="C9992" s="704" t="s">
        <v>746</v>
      </c>
      <c r="D9992" s="704" t="s">
        <v>715</v>
      </c>
      <c r="E9992" s="704" t="s">
        <v>448</v>
      </c>
      <c r="F9992" s="705">
        <v>0.50486545390013815</v>
      </c>
      <c r="G9992" s="705">
        <v>345.82096709269433</v>
      </c>
    </row>
    <row r="9993" spans="2:7" ht="11.25" hidden="1" customHeight="1" outlineLevel="2" x14ac:dyDescent="0.25">
      <c r="B9993" s="704" t="s">
        <v>678</v>
      </c>
      <c r="C9993" s="704" t="s">
        <v>746</v>
      </c>
      <c r="D9993" s="704" t="s">
        <v>715</v>
      </c>
      <c r="E9993" s="704" t="s">
        <v>448</v>
      </c>
      <c r="F9993" s="705">
        <v>0.24932029311468987</v>
      </c>
      <c r="G9993" s="705">
        <v>172.91043026300696</v>
      </c>
    </row>
    <row r="9994" spans="2:7" ht="11.25" hidden="1" customHeight="1" outlineLevel="2" x14ac:dyDescent="0.25">
      <c r="B9994" s="704" t="s">
        <v>679</v>
      </c>
      <c r="C9994" s="704" t="s">
        <v>746</v>
      </c>
      <c r="D9994" s="704" t="s">
        <v>715</v>
      </c>
      <c r="E9994" s="704" t="s">
        <v>448</v>
      </c>
      <c r="F9994" s="705">
        <v>1.7105528958338112E-34</v>
      </c>
      <c r="G9994" s="705">
        <v>1.1897629630715844E-31</v>
      </c>
    </row>
    <row r="9995" spans="2:7" ht="11.25" hidden="1" customHeight="1" outlineLevel="2" x14ac:dyDescent="0.25">
      <c r="B9995" s="704" t="s">
        <v>680</v>
      </c>
      <c r="C9995" s="704" t="s">
        <v>746</v>
      </c>
      <c r="D9995" s="704" t="s">
        <v>715</v>
      </c>
      <c r="E9995" s="704" t="s">
        <v>448</v>
      </c>
      <c r="F9995" s="705">
        <v>0.24812817860831204</v>
      </c>
      <c r="G9995" s="705">
        <v>172.91043026300696</v>
      </c>
    </row>
    <row r="9996" spans="2:7" ht="11.25" hidden="1" customHeight="1" outlineLevel="2" x14ac:dyDescent="0.25">
      <c r="B9996" s="704" t="s">
        <v>681</v>
      </c>
      <c r="C9996" s="704" t="s">
        <v>746</v>
      </c>
      <c r="D9996" s="704" t="s">
        <v>715</v>
      </c>
      <c r="E9996" s="704" t="s">
        <v>448</v>
      </c>
      <c r="F9996" s="705">
        <v>0.24932029311468987</v>
      </c>
      <c r="G9996" s="705">
        <v>172.91043026300696</v>
      </c>
    </row>
    <row r="9997" spans="2:7" ht="11.25" hidden="1" customHeight="1" outlineLevel="2" x14ac:dyDescent="0.25">
      <c r="B9997" s="704" t="s">
        <v>682</v>
      </c>
      <c r="C9997" s="704" t="s">
        <v>746</v>
      </c>
      <c r="D9997" s="704" t="s">
        <v>715</v>
      </c>
      <c r="E9997" s="704" t="s">
        <v>448</v>
      </c>
      <c r="F9997" s="706">
        <v>0.66484700248470152</v>
      </c>
      <c r="G9997" s="705">
        <v>461.09466113859071</v>
      </c>
    </row>
    <row r="9998" spans="2:7" ht="11.25" hidden="1" customHeight="1" outlineLevel="2" x14ac:dyDescent="0.25">
      <c r="B9998" s="704" t="s">
        <v>683</v>
      </c>
      <c r="C9998" s="704" t="s">
        <v>746</v>
      </c>
      <c r="D9998" s="704" t="s">
        <v>715</v>
      </c>
      <c r="E9998" s="704" t="s">
        <v>448</v>
      </c>
      <c r="F9998" s="706">
        <v>0.24859778283539105</v>
      </c>
      <c r="G9998" s="705">
        <v>172.91043026300696</v>
      </c>
    </row>
    <row r="9999" spans="2:7" ht="11.25" hidden="1" customHeight="1" outlineLevel="2" x14ac:dyDescent="0.25">
      <c r="B9999" s="704" t="s">
        <v>684</v>
      </c>
      <c r="C9999" s="704" t="s">
        <v>746</v>
      </c>
      <c r="D9999" s="704" t="s">
        <v>715</v>
      </c>
      <c r="E9999" s="704" t="s">
        <v>448</v>
      </c>
      <c r="F9999" s="706">
        <v>8.2709384545418693E-2</v>
      </c>
      <c r="G9999" s="705">
        <v>57.636762957816472</v>
      </c>
    </row>
    <row r="10000" spans="2:7" ht="11.25" hidden="1" customHeight="1" outlineLevel="2" x14ac:dyDescent="0.25">
      <c r="B10000" s="704" t="s">
        <v>685</v>
      </c>
      <c r="C10000" s="704" t="s">
        <v>746</v>
      </c>
      <c r="D10000" s="704" t="s">
        <v>715</v>
      </c>
      <c r="E10000" s="704" t="s">
        <v>448</v>
      </c>
      <c r="F10000" s="706">
        <v>0.24859778283539105</v>
      </c>
      <c r="G10000" s="705">
        <v>172.91043026300696</v>
      </c>
    </row>
    <row r="10001" spans="2:7" ht="11.25" hidden="1" customHeight="1" outlineLevel="2" x14ac:dyDescent="0.25">
      <c r="B10001" s="704" t="s">
        <v>686</v>
      </c>
      <c r="C10001" s="704" t="s">
        <v>746</v>
      </c>
      <c r="D10001" s="704" t="s">
        <v>715</v>
      </c>
      <c r="E10001" s="704" t="s">
        <v>448</v>
      </c>
      <c r="F10001" s="706">
        <v>0.24980878770086723</v>
      </c>
      <c r="G10001" s="705">
        <v>172.91043026300696</v>
      </c>
    </row>
    <row r="10002" spans="2:7" ht="11.25" hidden="1" customHeight="1" outlineLevel="2" x14ac:dyDescent="0.25">
      <c r="B10002" s="704" t="s">
        <v>687</v>
      </c>
      <c r="C10002" s="704" t="s">
        <v>746</v>
      </c>
      <c r="D10002" s="704" t="s">
        <v>715</v>
      </c>
      <c r="E10002" s="704" t="s">
        <v>448</v>
      </c>
      <c r="F10002" s="706">
        <v>0.41553378424287818</v>
      </c>
      <c r="G10002" s="705">
        <v>288.18382816427936</v>
      </c>
    </row>
    <row r="10003" spans="2:7" ht="11.25" hidden="1" customHeight="1" outlineLevel="2" x14ac:dyDescent="0.25">
      <c r="B10003" s="704" t="s">
        <v>688</v>
      </c>
      <c r="C10003" s="704" t="s">
        <v>746</v>
      </c>
      <c r="D10003" s="704" t="s">
        <v>715</v>
      </c>
      <c r="E10003" s="704" t="s">
        <v>448</v>
      </c>
      <c r="F10003" s="705">
        <v>8.3106761473369151E-2</v>
      </c>
      <c r="G10003" s="705">
        <v>61.33170564076778</v>
      </c>
    </row>
    <row r="10004" spans="2:7" ht="11.25" hidden="1" customHeight="1" outlineLevel="2" x14ac:dyDescent="0.25">
      <c r="B10004" s="704" t="s">
        <v>689</v>
      </c>
      <c r="C10004" s="704" t="s">
        <v>746</v>
      </c>
      <c r="D10004" s="704" t="s">
        <v>715</v>
      </c>
      <c r="E10004" s="704" t="s">
        <v>448</v>
      </c>
      <c r="F10004" s="705">
        <v>0.38336123207065215</v>
      </c>
      <c r="G10004" s="705">
        <v>265.36510731959726</v>
      </c>
    </row>
    <row r="10005" spans="2:7" ht="11.25" hidden="1" customHeight="1" outlineLevel="2" x14ac:dyDescent="0.25">
      <c r="B10005" s="704" t="s">
        <v>690</v>
      </c>
      <c r="C10005" s="704" t="s">
        <v>746</v>
      </c>
      <c r="D10005" s="704" t="s">
        <v>715</v>
      </c>
      <c r="E10005" s="704" t="s">
        <v>448</v>
      </c>
      <c r="F10005" s="705">
        <v>0.49719541933541239</v>
      </c>
      <c r="G10005" s="705">
        <v>345.82096709269433</v>
      </c>
    </row>
    <row r="10006" spans="2:7" ht="11.25" hidden="1" customHeight="1" outlineLevel="2" x14ac:dyDescent="0.25">
      <c r="B10006" s="704" t="s">
        <v>691</v>
      </c>
      <c r="C10006" s="704" t="s">
        <v>746</v>
      </c>
      <c r="D10006" s="704" t="s">
        <v>715</v>
      </c>
      <c r="E10006" s="704" t="s">
        <v>448</v>
      </c>
      <c r="F10006" s="705">
        <v>0.24859778284179687</v>
      </c>
      <c r="G10006" s="705">
        <v>172.91043027123987</v>
      </c>
    </row>
    <row r="10007" spans="2:7" ht="11.25" hidden="1" customHeight="1" outlineLevel="2" x14ac:dyDescent="0.25">
      <c r="B10007" s="704" t="s">
        <v>692</v>
      </c>
      <c r="C10007" s="704" t="s">
        <v>746</v>
      </c>
      <c r="D10007" s="704" t="s">
        <v>715</v>
      </c>
      <c r="E10007" s="704" t="s">
        <v>448</v>
      </c>
      <c r="F10007" s="705">
        <v>0.16621355563624429</v>
      </c>
      <c r="G10007" s="705">
        <v>115.27355122570387</v>
      </c>
    </row>
    <row r="10008" spans="2:7" ht="11.25" hidden="1" customHeight="1" outlineLevel="2" x14ac:dyDescent="0.25">
      <c r="B10008" s="704" t="s">
        <v>693</v>
      </c>
      <c r="C10008" s="704" t="s">
        <v>746</v>
      </c>
      <c r="D10008" s="704" t="s">
        <v>715</v>
      </c>
      <c r="E10008" s="704" t="s">
        <v>448</v>
      </c>
      <c r="F10008" s="705">
        <v>0.165418760382326</v>
      </c>
      <c r="G10008" s="705">
        <v>115.27355122570397</v>
      </c>
    </row>
    <row r="10009" spans="2:7" ht="11.25" hidden="1" customHeight="1" outlineLevel="2" x14ac:dyDescent="0.25">
      <c r="B10009" s="704" t="s">
        <v>694</v>
      </c>
      <c r="C10009" s="704" t="s">
        <v>746</v>
      </c>
      <c r="D10009" s="704" t="s">
        <v>715</v>
      </c>
      <c r="E10009" s="704" t="s">
        <v>448</v>
      </c>
      <c r="F10009" s="705">
        <v>1.7007293296187203E-31</v>
      </c>
      <c r="G10009" s="705">
        <v>1.1851687439838577E-28</v>
      </c>
    </row>
    <row r="10010" spans="2:7" ht="11.25" hidden="1" customHeight="1" outlineLevel="2" x14ac:dyDescent="0.25">
      <c r="B10010" s="704" t="s">
        <v>695</v>
      </c>
      <c r="C10010" s="704" t="s">
        <v>746</v>
      </c>
      <c r="D10010" s="704" t="s">
        <v>715</v>
      </c>
      <c r="E10010" s="704" t="s">
        <v>448</v>
      </c>
      <c r="F10010" s="705">
        <v>6.5686298980488706E-34</v>
      </c>
      <c r="G10010" s="705">
        <v>4.5774112357123968E-31</v>
      </c>
    </row>
    <row r="10011" spans="2:7" ht="11.25" hidden="1" customHeight="1" outlineLevel="2" x14ac:dyDescent="0.25">
      <c r="B10011" s="704" t="s">
        <v>696</v>
      </c>
      <c r="C10011" s="704" t="s">
        <v>746</v>
      </c>
      <c r="D10011" s="704" t="s">
        <v>715</v>
      </c>
      <c r="E10011" s="704" t="s">
        <v>448</v>
      </c>
      <c r="F10011" s="705">
        <v>0.24980878770086723</v>
      </c>
      <c r="G10011" s="705">
        <v>172.91043026300696</v>
      </c>
    </row>
    <row r="10012" spans="2:7" ht="11.25" hidden="1" customHeight="1" outlineLevel="2" x14ac:dyDescent="0.25">
      <c r="B10012" s="704" t="s">
        <v>697</v>
      </c>
      <c r="C10012" s="704" t="s">
        <v>746</v>
      </c>
      <c r="D10012" s="704" t="s">
        <v>715</v>
      </c>
      <c r="E10012" s="704" t="s">
        <v>448</v>
      </c>
      <c r="F10012" s="705">
        <v>0.24812817860500444</v>
      </c>
      <c r="G10012" s="705">
        <v>172.91043027123987</v>
      </c>
    </row>
    <row r="10013" spans="2:7" ht="11.25" hidden="1" customHeight="1" outlineLevel="2" x14ac:dyDescent="0.25">
      <c r="B10013" s="704" t="s">
        <v>698</v>
      </c>
      <c r="C10013" s="704" t="s">
        <v>746</v>
      </c>
      <c r="D10013" s="704" t="s">
        <v>715</v>
      </c>
      <c r="E10013" s="704" t="s">
        <v>448</v>
      </c>
      <c r="F10013" s="705">
        <v>0.3308374751944041</v>
      </c>
      <c r="G10013" s="705">
        <v>230.54722731669617</v>
      </c>
    </row>
    <row r="10014" spans="2:7" ht="11.25" hidden="1" customHeight="1" outlineLevel="2" x14ac:dyDescent="0.25">
      <c r="B10014" s="704" t="s">
        <v>699</v>
      </c>
      <c r="C10014" s="704" t="s">
        <v>746</v>
      </c>
      <c r="D10014" s="704" t="s">
        <v>715</v>
      </c>
      <c r="E10014" s="704" t="s">
        <v>448</v>
      </c>
      <c r="F10014" s="705">
        <v>1.0664417689639099E-35</v>
      </c>
      <c r="G10014" s="705">
        <v>7.3960601576518358E-33</v>
      </c>
    </row>
    <row r="10015" spans="2:7" ht="11.25" hidden="1" customHeight="1" outlineLevel="2" x14ac:dyDescent="0.25">
      <c r="B10015" s="704" t="s">
        <v>673</v>
      </c>
      <c r="C10015" s="704" t="s">
        <v>747</v>
      </c>
      <c r="D10015" s="704" t="s">
        <v>715</v>
      </c>
      <c r="E10015" s="704" t="s">
        <v>448</v>
      </c>
      <c r="F10015" s="705">
        <v>2.1628506190706775</v>
      </c>
      <c r="G10015" s="705">
        <v>1843.0009775508097</v>
      </c>
    </row>
    <row r="10016" spans="2:7" ht="11.25" hidden="1" customHeight="1" outlineLevel="2" x14ac:dyDescent="0.25">
      <c r="B10016" s="704" t="s">
        <v>677</v>
      </c>
      <c r="C10016" s="704" t="s">
        <v>747</v>
      </c>
      <c r="D10016" s="704" t="s">
        <v>715</v>
      </c>
      <c r="E10016" s="704" t="s">
        <v>448</v>
      </c>
      <c r="F10016" s="705">
        <v>4.3707746150550291</v>
      </c>
      <c r="G10016" s="705">
        <v>3686.0027520717504</v>
      </c>
    </row>
    <row r="10017" spans="2:7" ht="11.25" hidden="1" customHeight="1" outlineLevel="2" x14ac:dyDescent="0.25">
      <c r="B10017" s="704" t="s">
        <v>678</v>
      </c>
      <c r="C10017" s="704" t="s">
        <v>747</v>
      </c>
      <c r="D10017" s="704" t="s">
        <v>715</v>
      </c>
      <c r="E10017" s="704" t="s">
        <v>448</v>
      </c>
      <c r="F10017" s="705">
        <v>2.1586542945295277</v>
      </c>
      <c r="G10017" s="705">
        <v>1843.0009775508097</v>
      </c>
    </row>
    <row r="10018" spans="2:7" ht="11.25" hidden="1" customHeight="1" outlineLevel="2" x14ac:dyDescent="0.25">
      <c r="B10018" s="704" t="s">
        <v>679</v>
      </c>
      <c r="C10018" s="704" t="s">
        <v>747</v>
      </c>
      <c r="D10018" s="704" t="s">
        <v>715</v>
      </c>
      <c r="E10018" s="704" t="s">
        <v>448</v>
      </c>
      <c r="F10018" s="705">
        <v>5.7536827340914279E-36</v>
      </c>
      <c r="G10018" s="705">
        <v>4.9265022343375754E-33</v>
      </c>
    </row>
    <row r="10019" spans="2:7" ht="11.25" hidden="1" customHeight="1" outlineLevel="2" x14ac:dyDescent="0.25">
      <c r="B10019" s="704" t="s">
        <v>680</v>
      </c>
      <c r="C10019" s="704" t="s">
        <v>747</v>
      </c>
      <c r="D10019" s="704" t="s">
        <v>715</v>
      </c>
      <c r="E10019" s="704" t="s">
        <v>448</v>
      </c>
      <c r="F10019" s="705">
        <v>2.1484163262982103</v>
      </c>
      <c r="G10019" s="705">
        <v>1843.0009775508097</v>
      </c>
    </row>
    <row r="10020" spans="2:7" ht="11.25" hidden="1" customHeight="1" outlineLevel="2" x14ac:dyDescent="0.25">
      <c r="B10020" s="704" t="s">
        <v>681</v>
      </c>
      <c r="C10020" s="704" t="s">
        <v>747</v>
      </c>
      <c r="D10020" s="704" t="s">
        <v>715</v>
      </c>
      <c r="E10020" s="704" t="s">
        <v>448</v>
      </c>
      <c r="F10020" s="705">
        <v>2.1586542945295277</v>
      </c>
      <c r="G10020" s="705">
        <v>1843.0009775508097</v>
      </c>
    </row>
    <row r="10021" spans="2:7" ht="11.25" hidden="1" customHeight="1" outlineLevel="2" x14ac:dyDescent="0.25">
      <c r="B10021" s="704" t="s">
        <v>682</v>
      </c>
      <c r="C10021" s="704" t="s">
        <v>747</v>
      </c>
      <c r="D10021" s="704" t="s">
        <v>715</v>
      </c>
      <c r="E10021" s="704" t="s">
        <v>448</v>
      </c>
      <c r="F10021" s="705">
        <v>5.7563501889331663</v>
      </c>
      <c r="G10021" s="705">
        <v>4914.6737782423588</v>
      </c>
    </row>
    <row r="10022" spans="2:7" ht="11.25" hidden="1" customHeight="1" outlineLevel="2" x14ac:dyDescent="0.25">
      <c r="B10022" s="704" t="s">
        <v>683</v>
      </c>
      <c r="C10022" s="704" t="s">
        <v>747</v>
      </c>
      <c r="D10022" s="704" t="s">
        <v>715</v>
      </c>
      <c r="E10022" s="704" t="s">
        <v>448</v>
      </c>
      <c r="F10022" s="705">
        <v>2.1524488958734298</v>
      </c>
      <c r="G10022" s="705">
        <v>1843.0009775508097</v>
      </c>
    </row>
    <row r="10023" spans="2:7" ht="11.25" hidden="1" customHeight="1" outlineLevel="2" x14ac:dyDescent="0.25">
      <c r="B10023" s="704" t="s">
        <v>684</v>
      </c>
      <c r="C10023" s="704" t="s">
        <v>747</v>
      </c>
      <c r="D10023" s="704" t="s">
        <v>715</v>
      </c>
      <c r="E10023" s="704" t="s">
        <v>448</v>
      </c>
      <c r="F10023" s="705">
        <v>0.71613904397250361</v>
      </c>
      <c r="G10023" s="705">
        <v>614.33370561554136</v>
      </c>
    </row>
    <row r="10024" spans="2:7" ht="11.25" hidden="1" customHeight="1" outlineLevel="2" x14ac:dyDescent="0.25">
      <c r="B10024" s="704" t="s">
        <v>685</v>
      </c>
      <c r="C10024" s="704" t="s">
        <v>747</v>
      </c>
      <c r="D10024" s="704" t="s">
        <v>715</v>
      </c>
      <c r="E10024" s="704" t="s">
        <v>448</v>
      </c>
      <c r="F10024" s="705">
        <v>2.1524488958734298</v>
      </c>
      <c r="G10024" s="705">
        <v>1843.0009775508097</v>
      </c>
    </row>
    <row r="10025" spans="2:7" ht="11.25" hidden="1" customHeight="1" outlineLevel="2" x14ac:dyDescent="0.25">
      <c r="B10025" s="704" t="s">
        <v>686</v>
      </c>
      <c r="C10025" s="704" t="s">
        <v>747</v>
      </c>
      <c r="D10025" s="704" t="s">
        <v>715</v>
      </c>
      <c r="E10025" s="704" t="s">
        <v>448</v>
      </c>
      <c r="F10025" s="705">
        <v>2.1628506190706775</v>
      </c>
      <c r="G10025" s="705">
        <v>1843.0009775508097</v>
      </c>
    </row>
    <row r="10026" spans="2:7" ht="11.25" hidden="1" customHeight="1" outlineLevel="2" x14ac:dyDescent="0.25">
      <c r="B10026" s="704" t="s">
        <v>687</v>
      </c>
      <c r="C10026" s="704" t="s">
        <v>747</v>
      </c>
      <c r="D10026" s="704" t="s">
        <v>715</v>
      </c>
      <c r="E10026" s="704" t="s">
        <v>448</v>
      </c>
      <c r="F10026" s="705">
        <v>3.5977583247504477</v>
      </c>
      <c r="G10026" s="705">
        <v>3071.6686967914197</v>
      </c>
    </row>
    <row r="10027" spans="2:7" ht="11.25" hidden="1" customHeight="1" outlineLevel="2" x14ac:dyDescent="0.25">
      <c r="B10027" s="704" t="s">
        <v>688</v>
      </c>
      <c r="C10027" s="704" t="s">
        <v>747</v>
      </c>
      <c r="D10027" s="704" t="s">
        <v>715</v>
      </c>
      <c r="E10027" s="704" t="s">
        <v>448</v>
      </c>
      <c r="F10027" s="705">
        <v>0.76454160392909321</v>
      </c>
      <c r="G10027" s="705">
        <v>653.71695021305152</v>
      </c>
    </row>
    <row r="10028" spans="2:7" ht="11.25" hidden="1" customHeight="1" outlineLevel="2" x14ac:dyDescent="0.25">
      <c r="B10028" s="704" t="s">
        <v>689</v>
      </c>
      <c r="C10028" s="704" t="s">
        <v>747</v>
      </c>
      <c r="D10028" s="704" t="s">
        <v>715</v>
      </c>
      <c r="E10028" s="704" t="s">
        <v>448</v>
      </c>
      <c r="F10028" s="705">
        <v>3.3191531294215526</v>
      </c>
      <c r="G10028" s="705">
        <v>2828.4474201685898</v>
      </c>
    </row>
    <row r="10029" spans="2:7" ht="11.25" hidden="1" customHeight="1" outlineLevel="2" x14ac:dyDescent="0.25">
      <c r="B10029" s="704" t="s">
        <v>690</v>
      </c>
      <c r="C10029" s="704" t="s">
        <v>747</v>
      </c>
      <c r="D10029" s="704" t="s">
        <v>715</v>
      </c>
      <c r="E10029" s="704" t="s">
        <v>448</v>
      </c>
      <c r="F10029" s="705">
        <v>4.3048996387418095</v>
      </c>
      <c r="G10029" s="705">
        <v>3686.0027520717504</v>
      </c>
    </row>
    <row r="10030" spans="2:7" ht="11.25" hidden="1" customHeight="1" outlineLevel="2" x14ac:dyDescent="0.25">
      <c r="B10030" s="704" t="s">
        <v>691</v>
      </c>
      <c r="C10030" s="704" t="s">
        <v>747</v>
      </c>
      <c r="D10030" s="704" t="s">
        <v>715</v>
      </c>
      <c r="E10030" s="704" t="s">
        <v>448</v>
      </c>
      <c r="F10030" s="705">
        <v>2.15244889587568</v>
      </c>
      <c r="G10030" s="705">
        <v>1843.0009775508097</v>
      </c>
    </row>
    <row r="10031" spans="2:7" ht="11.25" hidden="1" customHeight="1" outlineLevel="2" x14ac:dyDescent="0.25">
      <c r="B10031" s="704" t="s">
        <v>692</v>
      </c>
      <c r="C10031" s="704" t="s">
        <v>747</v>
      </c>
      <c r="D10031" s="704" t="s">
        <v>715</v>
      </c>
      <c r="E10031" s="704" t="s">
        <v>448</v>
      </c>
      <c r="F10031" s="705">
        <v>1.4391035310394586</v>
      </c>
      <c r="G10031" s="705">
        <v>1228.6675850515908</v>
      </c>
    </row>
    <row r="10032" spans="2:7" ht="11.25" hidden="1" customHeight="1" outlineLevel="2" x14ac:dyDescent="0.25">
      <c r="B10032" s="704" t="s">
        <v>693</v>
      </c>
      <c r="C10032" s="704" t="s">
        <v>747</v>
      </c>
      <c r="D10032" s="704" t="s">
        <v>715</v>
      </c>
      <c r="E10032" s="704" t="s">
        <v>448</v>
      </c>
      <c r="F10032" s="705">
        <v>1.4322774119862323</v>
      </c>
      <c r="G10032" s="705">
        <v>1228.6675850515908</v>
      </c>
    </row>
    <row r="10033" spans="2:7" ht="11.25" hidden="1" customHeight="1" outlineLevel="2" x14ac:dyDescent="0.25">
      <c r="B10033" s="704" t="s">
        <v>694</v>
      </c>
      <c r="C10033" s="704" t="s">
        <v>747</v>
      </c>
      <c r="D10033" s="704" t="s">
        <v>715</v>
      </c>
      <c r="E10033" s="704" t="s">
        <v>448</v>
      </c>
      <c r="F10033" s="705">
        <v>3.7223526161049563E-31</v>
      </c>
      <c r="G10033" s="705">
        <v>3.1931912408776148E-28</v>
      </c>
    </row>
    <row r="10034" spans="2:7" ht="11.25" hidden="1" customHeight="1" outlineLevel="2" x14ac:dyDescent="0.25">
      <c r="B10034" s="704" t="s">
        <v>695</v>
      </c>
      <c r="C10034" s="704" t="s">
        <v>747</v>
      </c>
      <c r="D10034" s="704" t="s">
        <v>715</v>
      </c>
      <c r="E10034" s="704" t="s">
        <v>448</v>
      </c>
      <c r="F10034" s="705">
        <v>9.4610194307558104E-32</v>
      </c>
      <c r="G10034" s="705">
        <v>8.1160552133930694E-29</v>
      </c>
    </row>
    <row r="10035" spans="2:7" ht="11.25" hidden="1" customHeight="1" outlineLevel="2" x14ac:dyDescent="0.25">
      <c r="B10035" s="704" t="s">
        <v>696</v>
      </c>
      <c r="C10035" s="704" t="s">
        <v>747</v>
      </c>
      <c r="D10035" s="704" t="s">
        <v>715</v>
      </c>
      <c r="E10035" s="704" t="s">
        <v>448</v>
      </c>
      <c r="F10035" s="705">
        <v>2.1628506190706775</v>
      </c>
      <c r="G10035" s="705">
        <v>1843.0009775508097</v>
      </c>
    </row>
    <row r="10036" spans="2:7" ht="11.25" hidden="1" customHeight="1" outlineLevel="2" x14ac:dyDescent="0.25">
      <c r="B10036" s="704" t="s">
        <v>697</v>
      </c>
      <c r="C10036" s="704" t="s">
        <v>747</v>
      </c>
      <c r="D10036" s="704" t="s">
        <v>715</v>
      </c>
      <c r="E10036" s="704" t="s">
        <v>448</v>
      </c>
      <c r="F10036" s="705">
        <v>2.1484163264528555</v>
      </c>
      <c r="G10036" s="705">
        <v>1843.0009775508097</v>
      </c>
    </row>
    <row r="10037" spans="2:7" ht="11.25" hidden="1" customHeight="1" outlineLevel="2" x14ac:dyDescent="0.25">
      <c r="B10037" s="704" t="s">
        <v>698</v>
      </c>
      <c r="C10037" s="704" t="s">
        <v>747</v>
      </c>
      <c r="D10037" s="704" t="s">
        <v>715</v>
      </c>
      <c r="E10037" s="704" t="s">
        <v>448</v>
      </c>
      <c r="F10037" s="705">
        <v>2.8645550247846936</v>
      </c>
      <c r="G10037" s="705">
        <v>2457.33575153726</v>
      </c>
    </row>
    <row r="10038" spans="2:7" ht="11.25" hidden="1" customHeight="1" outlineLevel="2" x14ac:dyDescent="0.25">
      <c r="B10038" s="704" t="s">
        <v>699</v>
      </c>
      <c r="C10038" s="704" t="s">
        <v>747</v>
      </c>
      <c r="D10038" s="704" t="s">
        <v>715</v>
      </c>
      <c r="E10038" s="704" t="s">
        <v>448</v>
      </c>
      <c r="F10038" s="705">
        <v>8.9301601592572123E-35</v>
      </c>
      <c r="G10038" s="705">
        <v>7.6243334221304502E-32</v>
      </c>
    </row>
    <row r="10039" spans="2:7" ht="11.25" hidden="1" customHeight="1" outlineLevel="2" x14ac:dyDescent="0.25">
      <c r="B10039" s="704" t="s">
        <v>673</v>
      </c>
      <c r="C10039" s="704" t="s">
        <v>748</v>
      </c>
      <c r="D10039" s="704" t="s">
        <v>715</v>
      </c>
      <c r="E10039" s="704" t="s">
        <v>448</v>
      </c>
      <c r="F10039" s="705">
        <v>0.20034036704840155</v>
      </c>
      <c r="G10039" s="705">
        <v>258.99291158072703</v>
      </c>
    </row>
    <row r="10040" spans="2:7" ht="11.25" hidden="1" customHeight="1" outlineLevel="2" x14ac:dyDescent="0.25">
      <c r="B10040" s="704" t="s">
        <v>677</v>
      </c>
      <c r="C10040" s="704" t="s">
        <v>748</v>
      </c>
      <c r="D10040" s="704" t="s">
        <v>715</v>
      </c>
      <c r="E10040" s="704" t="s">
        <v>448</v>
      </c>
      <c r="F10040" s="705">
        <v>0.60749525696422157</v>
      </c>
      <c r="G10040" s="705">
        <v>776.97910231520143</v>
      </c>
    </row>
    <row r="10041" spans="2:7" ht="11.25" hidden="1" customHeight="1" outlineLevel="2" x14ac:dyDescent="0.25">
      <c r="B10041" s="704" t="s">
        <v>678</v>
      </c>
      <c r="C10041" s="704" t="s">
        <v>748</v>
      </c>
      <c r="D10041" s="704" t="s">
        <v>715</v>
      </c>
      <c r="E10041" s="704" t="s">
        <v>448</v>
      </c>
      <c r="F10041" s="705">
        <v>1.2662779654294303</v>
      </c>
      <c r="G10041" s="705">
        <v>1640.2881725503898</v>
      </c>
    </row>
    <row r="10042" spans="2:7" ht="11.25" hidden="1" customHeight="1" outlineLevel="2" x14ac:dyDescent="0.25">
      <c r="B10042" s="704" t="s">
        <v>679</v>
      </c>
      <c r="C10042" s="704" t="s">
        <v>748</v>
      </c>
      <c r="D10042" s="704" t="s">
        <v>715</v>
      </c>
      <c r="E10042" s="704" t="s">
        <v>448</v>
      </c>
      <c r="F10042" s="705">
        <v>0.13289620265377039</v>
      </c>
      <c r="G10042" s="705">
        <v>172.66211907688304</v>
      </c>
    </row>
    <row r="10043" spans="2:7" ht="11.25" hidden="1" customHeight="1" outlineLevel="2" x14ac:dyDescent="0.25">
      <c r="B10043" s="704" t="s">
        <v>680</v>
      </c>
      <c r="C10043" s="704" t="s">
        <v>748</v>
      </c>
      <c r="D10043" s="704" t="s">
        <v>715</v>
      </c>
      <c r="E10043" s="704" t="s">
        <v>448</v>
      </c>
      <c r="F10043" s="706">
        <v>0.1326387723974263</v>
      </c>
      <c r="G10043" s="705">
        <v>172.66211907688304</v>
      </c>
    </row>
    <row r="10044" spans="2:7" ht="11.25" hidden="1" customHeight="1" outlineLevel="2" x14ac:dyDescent="0.25">
      <c r="B10044" s="704" t="s">
        <v>681</v>
      </c>
      <c r="C10044" s="704" t="s">
        <v>748</v>
      </c>
      <c r="D10044" s="704" t="s">
        <v>715</v>
      </c>
      <c r="E10044" s="704" t="s">
        <v>448</v>
      </c>
      <c r="F10044" s="706">
        <v>0.46652358436248897</v>
      </c>
      <c r="G10044" s="705">
        <v>604.31721383640297</v>
      </c>
    </row>
    <row r="10045" spans="2:7" ht="11.25" hidden="1" customHeight="1" outlineLevel="2" x14ac:dyDescent="0.25">
      <c r="B10045" s="704" t="s">
        <v>682</v>
      </c>
      <c r="C10045" s="704" t="s">
        <v>748</v>
      </c>
      <c r="D10045" s="704" t="s">
        <v>715</v>
      </c>
      <c r="E10045" s="704" t="s">
        <v>448</v>
      </c>
      <c r="F10045" s="706">
        <v>0.26658176554838353</v>
      </c>
      <c r="G10045" s="705">
        <v>345.32406459591778</v>
      </c>
    </row>
    <row r="10046" spans="2:7" ht="11.25" hidden="1" customHeight="1" outlineLevel="2" x14ac:dyDescent="0.25">
      <c r="B10046" s="704" t="s">
        <v>683</v>
      </c>
      <c r="C10046" s="704" t="s">
        <v>748</v>
      </c>
      <c r="D10046" s="704" t="s">
        <v>715</v>
      </c>
      <c r="E10046" s="704" t="s">
        <v>448</v>
      </c>
      <c r="F10046" s="706">
        <v>0.1993442843807231</v>
      </c>
      <c r="G10046" s="705">
        <v>258.99291158072703</v>
      </c>
    </row>
    <row r="10047" spans="2:7" ht="11.25" hidden="1" customHeight="1" outlineLevel="2" x14ac:dyDescent="0.25">
      <c r="B10047" s="704" t="s">
        <v>684</v>
      </c>
      <c r="C10047" s="704" t="s">
        <v>748</v>
      </c>
      <c r="D10047" s="704" t="s">
        <v>715</v>
      </c>
      <c r="E10047" s="704" t="s">
        <v>448</v>
      </c>
      <c r="F10047" s="706">
        <v>0.1326387723974263</v>
      </c>
      <c r="G10047" s="705">
        <v>172.66211907688304</v>
      </c>
    </row>
    <row r="10048" spans="2:7" ht="11.25" hidden="1" customHeight="1" outlineLevel="2" x14ac:dyDescent="0.25">
      <c r="B10048" s="704" t="s">
        <v>685</v>
      </c>
      <c r="C10048" s="704" t="s">
        <v>748</v>
      </c>
      <c r="D10048" s="704" t="s">
        <v>715</v>
      </c>
      <c r="E10048" s="704" t="s">
        <v>448</v>
      </c>
      <c r="F10048" s="706">
        <v>0.86382521715261185</v>
      </c>
      <c r="G10048" s="705">
        <v>1122.3022796764401</v>
      </c>
    </row>
    <row r="10049" spans="2:7" ht="11.25" hidden="1" customHeight="1" outlineLevel="2" x14ac:dyDescent="0.25">
      <c r="B10049" s="704" t="s">
        <v>686</v>
      </c>
      <c r="C10049" s="704" t="s">
        <v>748</v>
      </c>
      <c r="D10049" s="704" t="s">
        <v>715</v>
      </c>
      <c r="E10049" s="704" t="s">
        <v>448</v>
      </c>
      <c r="F10049" s="706">
        <v>6.678011246689064E-2</v>
      </c>
      <c r="G10049" s="705">
        <v>86.330920114526606</v>
      </c>
    </row>
    <row r="10050" spans="2:7" ht="11.25" hidden="1" customHeight="1" outlineLevel="2" x14ac:dyDescent="0.25">
      <c r="B10050" s="704" t="s">
        <v>687</v>
      </c>
      <c r="C10050" s="704" t="s">
        <v>748</v>
      </c>
      <c r="D10050" s="704" t="s">
        <v>715</v>
      </c>
      <c r="E10050" s="704" t="s">
        <v>448</v>
      </c>
      <c r="F10050" s="706">
        <v>0.5998158455319319</v>
      </c>
      <c r="G10050" s="705">
        <v>776.97910231520143</v>
      </c>
    </row>
    <row r="10051" spans="2:7" ht="11.25" hidden="1" customHeight="1" outlineLevel="2" x14ac:dyDescent="0.25">
      <c r="B10051" s="704" t="s">
        <v>688</v>
      </c>
      <c r="C10051" s="704" t="s">
        <v>748</v>
      </c>
      <c r="D10051" s="704" t="s">
        <v>715</v>
      </c>
      <c r="E10051" s="704" t="s">
        <v>448</v>
      </c>
      <c r="F10051" s="706">
        <v>0.49566809847270477</v>
      </c>
      <c r="G10051" s="705">
        <v>643.05833530116308</v>
      </c>
    </row>
    <row r="10052" spans="2:7" ht="11.25" hidden="1" customHeight="1" outlineLevel="2" x14ac:dyDescent="0.25">
      <c r="B10052" s="704" t="s">
        <v>689</v>
      </c>
      <c r="C10052" s="704" t="s">
        <v>748</v>
      </c>
      <c r="D10052" s="704" t="s">
        <v>715</v>
      </c>
      <c r="E10052" s="704" t="s">
        <v>448</v>
      </c>
      <c r="F10052" s="706">
        <v>0.10248191457437132</v>
      </c>
      <c r="G10052" s="705">
        <v>132.49184721679083</v>
      </c>
    </row>
    <row r="10053" spans="2:7" ht="11.25" hidden="1" customHeight="1" outlineLevel="2" x14ac:dyDescent="0.25">
      <c r="B10053" s="704" t="s">
        <v>690</v>
      </c>
      <c r="C10053" s="704" t="s">
        <v>748</v>
      </c>
      <c r="D10053" s="704" t="s">
        <v>715</v>
      </c>
      <c r="E10053" s="704" t="s">
        <v>448</v>
      </c>
      <c r="F10053" s="706">
        <v>1.5283074236315448</v>
      </c>
      <c r="G10053" s="705">
        <v>1985.6121574312101</v>
      </c>
    </row>
    <row r="10054" spans="2:7" ht="11.25" hidden="1" customHeight="1" outlineLevel="2" x14ac:dyDescent="0.25">
      <c r="B10054" s="704" t="s">
        <v>691</v>
      </c>
      <c r="C10054" s="704" t="s">
        <v>748</v>
      </c>
      <c r="D10054" s="704" t="s">
        <v>715</v>
      </c>
      <c r="E10054" s="704" t="s">
        <v>448</v>
      </c>
      <c r="F10054" s="706">
        <v>0.6644813452097541</v>
      </c>
      <c r="G10054" s="705">
        <v>863.30920182332113</v>
      </c>
    </row>
    <row r="10055" spans="2:7" ht="11.25" hidden="1" customHeight="1" outlineLevel="2" x14ac:dyDescent="0.25">
      <c r="B10055" s="704" t="s">
        <v>692</v>
      </c>
      <c r="C10055" s="704" t="s">
        <v>748</v>
      </c>
      <c r="D10055" s="704" t="s">
        <v>715</v>
      </c>
      <c r="E10055" s="704" t="s">
        <v>448</v>
      </c>
      <c r="F10055" s="706">
        <v>0.13329244432360812</v>
      </c>
      <c r="G10055" s="705">
        <v>172.66211907688304</v>
      </c>
    </row>
    <row r="10056" spans="2:7" ht="11.25" hidden="1" customHeight="1" outlineLevel="2" x14ac:dyDescent="0.25">
      <c r="B10056" s="704" t="s">
        <v>693</v>
      </c>
      <c r="C10056" s="704" t="s">
        <v>748</v>
      </c>
      <c r="D10056" s="704" t="s">
        <v>715</v>
      </c>
      <c r="E10056" s="704" t="s">
        <v>448</v>
      </c>
      <c r="F10056" s="706">
        <v>6.6319380563515731E-2</v>
      </c>
      <c r="G10056" s="705">
        <v>86.330920114526606</v>
      </c>
    </row>
    <row r="10057" spans="2:7" ht="11.25" hidden="1" customHeight="1" outlineLevel="2" x14ac:dyDescent="0.25">
      <c r="B10057" s="704" t="s">
        <v>694</v>
      </c>
      <c r="C10057" s="704" t="s">
        <v>748</v>
      </c>
      <c r="D10057" s="704" t="s">
        <v>715</v>
      </c>
      <c r="E10057" s="704" t="s">
        <v>448</v>
      </c>
      <c r="F10057" s="706">
        <v>6.6319380563515731E-2</v>
      </c>
      <c r="G10057" s="705">
        <v>86.330920114526606</v>
      </c>
    </row>
    <row r="10058" spans="2:7" ht="11.25" hidden="1" customHeight="1" outlineLevel="2" x14ac:dyDescent="0.25">
      <c r="B10058" s="704" t="s">
        <v>695</v>
      </c>
      <c r="C10058" s="704" t="s">
        <v>748</v>
      </c>
      <c r="D10058" s="704" t="s">
        <v>715</v>
      </c>
      <c r="E10058" s="704" t="s">
        <v>448</v>
      </c>
      <c r="F10058" s="706">
        <v>6.6319380563515731E-2</v>
      </c>
      <c r="G10058" s="705">
        <v>86.330920114526606</v>
      </c>
    </row>
    <row r="10059" spans="2:7" ht="11.25" hidden="1" customHeight="1" outlineLevel="2" x14ac:dyDescent="0.25">
      <c r="B10059" s="704" t="s">
        <v>696</v>
      </c>
      <c r="C10059" s="704" t="s">
        <v>748</v>
      </c>
      <c r="D10059" s="704" t="s">
        <v>715</v>
      </c>
      <c r="E10059" s="704" t="s">
        <v>448</v>
      </c>
      <c r="F10059" s="706">
        <v>0.20034036704840155</v>
      </c>
      <c r="G10059" s="705">
        <v>258.99291158072703</v>
      </c>
    </row>
    <row r="10060" spans="2:7" ht="11.25" hidden="1" customHeight="1" outlineLevel="2" x14ac:dyDescent="0.25">
      <c r="B10060" s="704" t="s">
        <v>697</v>
      </c>
      <c r="C10060" s="704" t="s">
        <v>748</v>
      </c>
      <c r="D10060" s="704" t="s">
        <v>715</v>
      </c>
      <c r="E10060" s="704" t="s">
        <v>448</v>
      </c>
      <c r="F10060" s="706">
        <v>0.26527748897687153</v>
      </c>
      <c r="G10060" s="705">
        <v>345.32406464860134</v>
      </c>
    </row>
    <row r="10061" spans="2:7" ht="11.25" hidden="1" customHeight="1" outlineLevel="2" x14ac:dyDescent="0.25">
      <c r="B10061" s="704" t="s">
        <v>698</v>
      </c>
      <c r="C10061" s="704" t="s">
        <v>748</v>
      </c>
      <c r="D10061" s="704" t="s">
        <v>715</v>
      </c>
      <c r="E10061" s="704" t="s">
        <v>448</v>
      </c>
      <c r="F10061" s="706">
        <v>0.66319356519115358</v>
      </c>
      <c r="G10061" s="705">
        <v>863.30920182332113</v>
      </c>
    </row>
    <row r="10062" spans="2:7" ht="11.25" hidden="1" customHeight="1" outlineLevel="2" x14ac:dyDescent="0.25">
      <c r="B10062" s="704" t="s">
        <v>699</v>
      </c>
      <c r="C10062" s="704" t="s">
        <v>748</v>
      </c>
      <c r="D10062" s="704" t="s">
        <v>715</v>
      </c>
      <c r="E10062" s="704" t="s">
        <v>448</v>
      </c>
      <c r="F10062" s="706">
        <v>0.33323099182388533</v>
      </c>
      <c r="G10062" s="705">
        <v>431.65440620760694</v>
      </c>
    </row>
    <row r="10063" spans="2:7" ht="11.25" hidden="1" customHeight="1" outlineLevel="2" x14ac:dyDescent="0.25">
      <c r="B10063" s="704" t="s">
        <v>673</v>
      </c>
      <c r="C10063" s="704" t="s">
        <v>749</v>
      </c>
      <c r="D10063" s="704" t="s">
        <v>715</v>
      </c>
      <c r="E10063" s="704" t="s">
        <v>448</v>
      </c>
      <c r="F10063" s="706">
        <v>0.1320244259675516</v>
      </c>
      <c r="G10063" s="705">
        <v>103.65559872668655</v>
      </c>
    </row>
    <row r="10064" spans="2:7" ht="11.25" hidden="1" customHeight="1" outlineLevel="2" x14ac:dyDescent="0.25">
      <c r="B10064" s="704" t="s">
        <v>677</v>
      </c>
      <c r="C10064" s="704" t="s">
        <v>749</v>
      </c>
      <c r="D10064" s="704" t="s">
        <v>715</v>
      </c>
      <c r="E10064" s="704" t="s">
        <v>448</v>
      </c>
      <c r="F10064" s="706">
        <v>0.26657027709718789</v>
      </c>
      <c r="G10064" s="705">
        <v>207.31125697019095</v>
      </c>
    </row>
    <row r="10065" spans="2:7" ht="11.25" hidden="1" customHeight="1" outlineLevel="2" x14ac:dyDescent="0.25">
      <c r="B10065" s="704" t="s">
        <v>678</v>
      </c>
      <c r="C10065" s="704" t="s">
        <v>749</v>
      </c>
      <c r="D10065" s="704" t="s">
        <v>715</v>
      </c>
      <c r="E10065" s="704" t="s">
        <v>448</v>
      </c>
      <c r="F10065" s="706">
        <v>0.13178971866720832</v>
      </c>
      <c r="G10065" s="705">
        <v>103.65559872668655</v>
      </c>
    </row>
    <row r="10066" spans="2:7" ht="11.25" hidden="1" customHeight="1" outlineLevel="2" x14ac:dyDescent="0.25">
      <c r="B10066" s="704" t="s">
        <v>679</v>
      </c>
      <c r="C10066" s="704" t="s">
        <v>749</v>
      </c>
      <c r="D10066" s="704" t="s">
        <v>715</v>
      </c>
      <c r="E10066" s="704" t="s">
        <v>448</v>
      </c>
      <c r="F10066" s="706">
        <v>5.13782769293274E-33</v>
      </c>
      <c r="G10066" s="705">
        <v>3.8866786495174292E-30</v>
      </c>
    </row>
    <row r="10067" spans="2:7" ht="11.25" hidden="1" customHeight="1" outlineLevel="2" x14ac:dyDescent="0.25">
      <c r="B10067" s="704" t="s">
        <v>680</v>
      </c>
      <c r="C10067" s="704" t="s">
        <v>749</v>
      </c>
      <c r="D10067" s="704" t="s">
        <v>715</v>
      </c>
      <c r="E10067" s="704" t="s">
        <v>448</v>
      </c>
      <c r="F10067" s="706">
        <v>0.13121693630236717</v>
      </c>
      <c r="G10067" s="705">
        <v>103.65559872668655</v>
      </c>
    </row>
    <row r="10068" spans="2:7" ht="11.25" hidden="1" customHeight="1" outlineLevel="2" x14ac:dyDescent="0.25">
      <c r="B10068" s="704" t="s">
        <v>681</v>
      </c>
      <c r="C10068" s="704" t="s">
        <v>749</v>
      </c>
      <c r="D10068" s="704" t="s">
        <v>715</v>
      </c>
      <c r="E10068" s="704" t="s">
        <v>448</v>
      </c>
      <c r="F10068" s="705">
        <v>0.13178971866720832</v>
      </c>
      <c r="G10068" s="705">
        <v>103.65559872668655</v>
      </c>
    </row>
    <row r="10069" spans="2:7" ht="11.25" hidden="1" customHeight="1" outlineLevel="2" x14ac:dyDescent="0.25">
      <c r="B10069" s="704" t="s">
        <v>682</v>
      </c>
      <c r="C10069" s="704" t="s">
        <v>749</v>
      </c>
      <c r="D10069" s="704" t="s">
        <v>715</v>
      </c>
      <c r="E10069" s="704" t="s">
        <v>448</v>
      </c>
      <c r="F10069" s="705">
        <v>0.35143578834822214</v>
      </c>
      <c r="G10069" s="705">
        <v>276.41502108592425</v>
      </c>
    </row>
    <row r="10070" spans="2:7" ht="11.25" hidden="1" customHeight="1" outlineLevel="2" x14ac:dyDescent="0.25">
      <c r="B10070" s="704" t="s">
        <v>683</v>
      </c>
      <c r="C10070" s="704" t="s">
        <v>749</v>
      </c>
      <c r="D10070" s="704" t="s">
        <v>715</v>
      </c>
      <c r="E10070" s="704" t="s">
        <v>448</v>
      </c>
      <c r="F10070" s="705">
        <v>0.1314425563978556</v>
      </c>
      <c r="G10070" s="705">
        <v>103.65559872668655</v>
      </c>
    </row>
    <row r="10071" spans="2:7" ht="11.25" hidden="1" customHeight="1" outlineLevel="2" x14ac:dyDescent="0.25">
      <c r="B10071" s="704" t="s">
        <v>684</v>
      </c>
      <c r="C10071" s="704" t="s">
        <v>749</v>
      </c>
      <c r="D10071" s="704" t="s">
        <v>715</v>
      </c>
      <c r="E10071" s="704" t="s">
        <v>448</v>
      </c>
      <c r="F10071" s="705">
        <v>4.3738992516351945E-2</v>
      </c>
      <c r="G10071" s="705">
        <v>34.551876961557582</v>
      </c>
    </row>
    <row r="10072" spans="2:7" ht="11.25" hidden="1" customHeight="1" outlineLevel="2" x14ac:dyDescent="0.25">
      <c r="B10072" s="704" t="s">
        <v>685</v>
      </c>
      <c r="C10072" s="704" t="s">
        <v>749</v>
      </c>
      <c r="D10072" s="704" t="s">
        <v>715</v>
      </c>
      <c r="E10072" s="704" t="s">
        <v>448</v>
      </c>
      <c r="F10072" s="705">
        <v>0.1314425563978556</v>
      </c>
      <c r="G10072" s="705">
        <v>103.65559872668655</v>
      </c>
    </row>
    <row r="10073" spans="2:7" ht="11.25" hidden="1" customHeight="1" outlineLevel="2" x14ac:dyDescent="0.25">
      <c r="B10073" s="704" t="s">
        <v>686</v>
      </c>
      <c r="C10073" s="704" t="s">
        <v>749</v>
      </c>
      <c r="D10073" s="704" t="s">
        <v>715</v>
      </c>
      <c r="E10073" s="704" t="s">
        <v>448</v>
      </c>
      <c r="F10073" s="705">
        <v>0.1320244259675516</v>
      </c>
      <c r="G10073" s="705">
        <v>103.65559872668655</v>
      </c>
    </row>
    <row r="10074" spans="2:7" ht="11.25" hidden="1" customHeight="1" outlineLevel="2" x14ac:dyDescent="0.25">
      <c r="B10074" s="704" t="s">
        <v>687</v>
      </c>
      <c r="C10074" s="704" t="s">
        <v>749</v>
      </c>
      <c r="D10074" s="704" t="s">
        <v>715</v>
      </c>
      <c r="E10074" s="704" t="s">
        <v>448</v>
      </c>
      <c r="F10074" s="705">
        <v>0.21964949668623643</v>
      </c>
      <c r="G10074" s="705">
        <v>172.75935659987795</v>
      </c>
    </row>
    <row r="10075" spans="2:7" ht="11.25" hidden="1" customHeight="1" outlineLevel="2" x14ac:dyDescent="0.25">
      <c r="B10075" s="704" t="s">
        <v>688</v>
      </c>
      <c r="C10075" s="704" t="s">
        <v>749</v>
      </c>
      <c r="D10075" s="704" t="s">
        <v>715</v>
      </c>
      <c r="E10075" s="704" t="s">
        <v>448</v>
      </c>
      <c r="F10075" s="705">
        <v>4.6682428785114201E-2</v>
      </c>
      <c r="G10075" s="705">
        <v>36.766904978416434</v>
      </c>
    </row>
    <row r="10076" spans="2:7" ht="11.25" hidden="1" customHeight="1" outlineLevel="2" x14ac:dyDescent="0.25">
      <c r="B10076" s="704" t="s">
        <v>689</v>
      </c>
      <c r="C10076" s="704" t="s">
        <v>749</v>
      </c>
      <c r="D10076" s="704" t="s">
        <v>715</v>
      </c>
      <c r="E10076" s="704" t="s">
        <v>448</v>
      </c>
      <c r="F10076" s="705">
        <v>0.20260811585239022</v>
      </c>
      <c r="G10076" s="705">
        <v>159.07990325549704</v>
      </c>
    </row>
    <row r="10077" spans="2:7" ht="11.25" hidden="1" customHeight="1" outlineLevel="2" x14ac:dyDescent="0.25">
      <c r="B10077" s="704" t="s">
        <v>690</v>
      </c>
      <c r="C10077" s="704" t="s">
        <v>749</v>
      </c>
      <c r="D10077" s="704" t="s">
        <v>715</v>
      </c>
      <c r="E10077" s="704" t="s">
        <v>448</v>
      </c>
      <c r="F10077" s="705">
        <v>0.26288508667706811</v>
      </c>
      <c r="G10077" s="705">
        <v>207.31125697019095</v>
      </c>
    </row>
    <row r="10078" spans="2:7" ht="11.25" hidden="1" customHeight="1" outlineLevel="2" x14ac:dyDescent="0.25">
      <c r="B10078" s="704" t="s">
        <v>691</v>
      </c>
      <c r="C10078" s="704" t="s">
        <v>749</v>
      </c>
      <c r="D10078" s="704" t="s">
        <v>715</v>
      </c>
      <c r="E10078" s="704" t="s">
        <v>448</v>
      </c>
      <c r="F10078" s="705">
        <v>0.13144255639584618</v>
      </c>
      <c r="G10078" s="705">
        <v>103.65559872787497</v>
      </c>
    </row>
    <row r="10079" spans="2:7" ht="11.25" hidden="1" customHeight="1" outlineLevel="2" x14ac:dyDescent="0.25">
      <c r="B10079" s="704" t="s">
        <v>692</v>
      </c>
      <c r="C10079" s="704" t="s">
        <v>749</v>
      </c>
      <c r="D10079" s="704" t="s">
        <v>715</v>
      </c>
      <c r="E10079" s="704" t="s">
        <v>448</v>
      </c>
      <c r="F10079" s="705">
        <v>8.7859788630252747E-2</v>
      </c>
      <c r="G10079" s="705">
        <v>69.103759182832647</v>
      </c>
    </row>
    <row r="10080" spans="2:7" ht="11.25" hidden="1" customHeight="1" outlineLevel="2" x14ac:dyDescent="0.25">
      <c r="B10080" s="704" t="s">
        <v>693</v>
      </c>
      <c r="C10080" s="704" t="s">
        <v>749</v>
      </c>
      <c r="D10080" s="704" t="s">
        <v>715</v>
      </c>
      <c r="E10080" s="704" t="s">
        <v>448</v>
      </c>
      <c r="F10080" s="705">
        <v>8.747796445169749E-2</v>
      </c>
      <c r="G10080" s="705">
        <v>69.103759182832817</v>
      </c>
    </row>
    <row r="10081" spans="2:7" ht="11.25" hidden="1" customHeight="1" outlineLevel="2" x14ac:dyDescent="0.25">
      <c r="B10081" s="704" t="s">
        <v>694</v>
      </c>
      <c r="C10081" s="704" t="s">
        <v>749</v>
      </c>
      <c r="D10081" s="704" t="s">
        <v>715</v>
      </c>
      <c r="E10081" s="704" t="s">
        <v>448</v>
      </c>
      <c r="F10081" s="705">
        <v>1.6173722528088712E-35</v>
      </c>
      <c r="G10081" s="705">
        <v>1.5768694812717283E-32</v>
      </c>
    </row>
    <row r="10082" spans="2:7" ht="11.25" hidden="1" customHeight="1" outlineLevel="2" x14ac:dyDescent="0.25">
      <c r="B10082" s="704" t="s">
        <v>695</v>
      </c>
      <c r="C10082" s="704" t="s">
        <v>749</v>
      </c>
      <c r="D10082" s="704" t="s">
        <v>715</v>
      </c>
      <c r="E10082" s="704" t="s">
        <v>448</v>
      </c>
      <c r="F10082" s="705">
        <v>1.6173722528088712E-35</v>
      </c>
      <c r="G10082" s="705">
        <v>1.5768694812717283E-32</v>
      </c>
    </row>
    <row r="10083" spans="2:7" ht="11.25" hidden="1" customHeight="1" outlineLevel="2" x14ac:dyDescent="0.25">
      <c r="B10083" s="704" t="s">
        <v>696</v>
      </c>
      <c r="C10083" s="704" t="s">
        <v>749</v>
      </c>
      <c r="D10083" s="704" t="s">
        <v>715</v>
      </c>
      <c r="E10083" s="704" t="s">
        <v>448</v>
      </c>
      <c r="F10083" s="705">
        <v>0.1320244259675516</v>
      </c>
      <c r="G10083" s="705">
        <v>103.65559872668655</v>
      </c>
    </row>
    <row r="10084" spans="2:7" ht="11.25" hidden="1" customHeight="1" outlineLevel="2" x14ac:dyDescent="0.25">
      <c r="B10084" s="704" t="s">
        <v>697</v>
      </c>
      <c r="C10084" s="704" t="s">
        <v>749</v>
      </c>
      <c r="D10084" s="704" t="s">
        <v>715</v>
      </c>
      <c r="E10084" s="704" t="s">
        <v>448</v>
      </c>
      <c r="F10084" s="705">
        <v>0.13121693630474432</v>
      </c>
      <c r="G10084" s="705">
        <v>103.65559872787497</v>
      </c>
    </row>
    <row r="10085" spans="2:7" ht="11.25" hidden="1" customHeight="1" outlineLevel="2" x14ac:dyDescent="0.25">
      <c r="B10085" s="704" t="s">
        <v>698</v>
      </c>
      <c r="C10085" s="704" t="s">
        <v>749</v>
      </c>
      <c r="D10085" s="704" t="s">
        <v>715</v>
      </c>
      <c r="E10085" s="704" t="s">
        <v>448</v>
      </c>
      <c r="F10085" s="705">
        <v>0.17495593324540323</v>
      </c>
      <c r="G10085" s="705">
        <v>138.20751017470454</v>
      </c>
    </row>
    <row r="10086" spans="2:7" ht="11.25" hidden="1" customHeight="1" outlineLevel="2" x14ac:dyDescent="0.25">
      <c r="B10086" s="704" t="s">
        <v>699</v>
      </c>
      <c r="C10086" s="704" t="s">
        <v>749</v>
      </c>
      <c r="D10086" s="704" t="s">
        <v>715</v>
      </c>
      <c r="E10086" s="704" t="s">
        <v>448</v>
      </c>
      <c r="F10086" s="705">
        <v>7.3664304802545026E-35</v>
      </c>
      <c r="G10086" s="705">
        <v>9.0352181707436596E-32</v>
      </c>
    </row>
    <row r="10087" spans="2:7" ht="11.25" hidden="1" customHeight="1" outlineLevel="2" x14ac:dyDescent="0.25">
      <c r="B10087" s="704" t="s">
        <v>673</v>
      </c>
      <c r="C10087" s="704" t="s">
        <v>823</v>
      </c>
      <c r="D10087" s="704" t="s">
        <v>715</v>
      </c>
      <c r="E10087" s="704" t="s">
        <v>824</v>
      </c>
      <c r="F10087" s="705">
        <v>4.2912131950305875E-3</v>
      </c>
      <c r="G10087" s="705">
        <v>7.1692385698538557</v>
      </c>
    </row>
    <row r="10088" spans="2:7" ht="11.25" hidden="1" customHeight="1" outlineLevel="2" x14ac:dyDescent="0.25">
      <c r="B10088" s="704" t="s">
        <v>677</v>
      </c>
      <c r="C10088" s="704" t="s">
        <v>823</v>
      </c>
      <c r="D10088" s="704" t="s">
        <v>715</v>
      </c>
      <c r="E10088" s="704" t="s">
        <v>824</v>
      </c>
      <c r="F10088" s="706">
        <v>8.5824269271227577E-3</v>
      </c>
      <c r="G10088" s="705">
        <v>14.338478267024716</v>
      </c>
    </row>
    <row r="10089" spans="2:7" ht="11.25" hidden="1" customHeight="1" outlineLevel="2" x14ac:dyDescent="0.25">
      <c r="B10089" s="704" t="s">
        <v>678</v>
      </c>
      <c r="C10089" s="704" t="s">
        <v>823</v>
      </c>
      <c r="D10089" s="704" t="s">
        <v>715</v>
      </c>
      <c r="E10089" s="704" t="s">
        <v>824</v>
      </c>
      <c r="F10089" s="706">
        <v>4.2912131950305875E-3</v>
      </c>
      <c r="G10089" s="705">
        <v>7.1692385698538557</v>
      </c>
    </row>
    <row r="10090" spans="2:7" ht="11.25" hidden="1" customHeight="1" outlineLevel="2" x14ac:dyDescent="0.25">
      <c r="B10090" s="704" t="s">
        <v>679</v>
      </c>
      <c r="C10090" s="704" t="s">
        <v>823</v>
      </c>
      <c r="D10090" s="704" t="s">
        <v>715</v>
      </c>
      <c r="E10090" s="704" t="s">
        <v>824</v>
      </c>
      <c r="F10090" s="706">
        <v>1.9010908880696712E-35</v>
      </c>
      <c r="G10090" s="705">
        <v>3.1761120668295189E-32</v>
      </c>
    </row>
    <row r="10091" spans="2:7" ht="11.25" hidden="1" customHeight="1" outlineLevel="2" x14ac:dyDescent="0.25">
      <c r="B10091" s="704" t="s">
        <v>680</v>
      </c>
      <c r="C10091" s="704" t="s">
        <v>823</v>
      </c>
      <c r="D10091" s="704" t="s">
        <v>715</v>
      </c>
      <c r="E10091" s="704" t="s">
        <v>824</v>
      </c>
      <c r="F10091" s="706">
        <v>4.2912131950305875E-3</v>
      </c>
      <c r="G10091" s="705">
        <v>7.1692385698538557</v>
      </c>
    </row>
    <row r="10092" spans="2:7" ht="11.25" hidden="1" customHeight="1" outlineLevel="2" x14ac:dyDescent="0.25">
      <c r="B10092" s="704" t="s">
        <v>681</v>
      </c>
      <c r="C10092" s="704" t="s">
        <v>823</v>
      </c>
      <c r="D10092" s="704" t="s">
        <v>715</v>
      </c>
      <c r="E10092" s="704" t="s">
        <v>824</v>
      </c>
      <c r="F10092" s="706">
        <v>4.2912131950305875E-3</v>
      </c>
      <c r="G10092" s="705">
        <v>7.1692385698538557</v>
      </c>
    </row>
    <row r="10093" spans="2:7" ht="11.25" hidden="1" customHeight="1" outlineLevel="2" x14ac:dyDescent="0.25">
      <c r="B10093" s="704" t="s">
        <v>682</v>
      </c>
      <c r="C10093" s="704" t="s">
        <v>823</v>
      </c>
      <c r="D10093" s="704" t="s">
        <v>715</v>
      </c>
      <c r="E10093" s="704" t="s">
        <v>824</v>
      </c>
      <c r="F10093" s="706">
        <v>1.1443235182431401E-2</v>
      </c>
      <c r="G10093" s="705">
        <v>19.117966778259756</v>
      </c>
    </row>
    <row r="10094" spans="2:7" ht="11.25" hidden="1" customHeight="1" outlineLevel="2" x14ac:dyDescent="0.25">
      <c r="B10094" s="704" t="s">
        <v>683</v>
      </c>
      <c r="C10094" s="704" t="s">
        <v>823</v>
      </c>
      <c r="D10094" s="704" t="s">
        <v>715</v>
      </c>
      <c r="E10094" s="704" t="s">
        <v>824</v>
      </c>
      <c r="F10094" s="706">
        <v>4.2912131950305875E-3</v>
      </c>
      <c r="G10094" s="705">
        <v>7.1692385698538557</v>
      </c>
    </row>
    <row r="10095" spans="2:7" ht="11.25" hidden="1" customHeight="1" outlineLevel="2" x14ac:dyDescent="0.25">
      <c r="B10095" s="704" t="s">
        <v>684</v>
      </c>
      <c r="C10095" s="704" t="s">
        <v>823</v>
      </c>
      <c r="D10095" s="704" t="s">
        <v>715</v>
      </c>
      <c r="E10095" s="704" t="s">
        <v>824</v>
      </c>
      <c r="F10095" s="705">
        <v>1.4304042678230688E-3</v>
      </c>
      <c r="G10095" s="705">
        <v>2.389745619463544</v>
      </c>
    </row>
    <row r="10096" spans="2:7" ht="11.25" hidden="1" customHeight="1" outlineLevel="2" x14ac:dyDescent="0.25">
      <c r="B10096" s="704" t="s">
        <v>685</v>
      </c>
      <c r="C10096" s="704" t="s">
        <v>823</v>
      </c>
      <c r="D10096" s="704" t="s">
        <v>715</v>
      </c>
      <c r="E10096" s="704" t="s">
        <v>824</v>
      </c>
      <c r="F10096" s="705">
        <v>4.2912131950305875E-3</v>
      </c>
      <c r="G10096" s="705">
        <v>7.1692385698538557</v>
      </c>
    </row>
    <row r="10097" spans="2:7" ht="11.25" hidden="1" customHeight="1" outlineLevel="2" x14ac:dyDescent="0.25">
      <c r="B10097" s="704" t="s">
        <v>686</v>
      </c>
      <c r="C10097" s="704" t="s">
        <v>823</v>
      </c>
      <c r="D10097" s="704" t="s">
        <v>715</v>
      </c>
      <c r="E10097" s="704" t="s">
        <v>824</v>
      </c>
      <c r="F10097" s="705">
        <v>4.2912131950305875E-3</v>
      </c>
      <c r="G10097" s="705">
        <v>7.1692385698538557</v>
      </c>
    </row>
    <row r="10098" spans="2:7" ht="11.25" hidden="1" customHeight="1" outlineLevel="2" x14ac:dyDescent="0.25">
      <c r="B10098" s="704" t="s">
        <v>687</v>
      </c>
      <c r="C10098" s="704" t="s">
        <v>823</v>
      </c>
      <c r="D10098" s="704" t="s">
        <v>715</v>
      </c>
      <c r="E10098" s="704" t="s">
        <v>824</v>
      </c>
      <c r="F10098" s="705">
        <v>7.1520215805905268E-3</v>
      </c>
      <c r="G10098" s="705">
        <v>11.948725799974781</v>
      </c>
    </row>
    <row r="10099" spans="2:7" ht="11.25" hidden="1" customHeight="1" outlineLevel="2" x14ac:dyDescent="0.25">
      <c r="B10099" s="704" t="s">
        <v>688</v>
      </c>
      <c r="C10099" s="704" t="s">
        <v>823</v>
      </c>
      <c r="D10099" s="704" t="s">
        <v>715</v>
      </c>
      <c r="E10099" s="704" t="s">
        <v>824</v>
      </c>
      <c r="F10099" s="705">
        <v>1.5221035770581089E-3</v>
      </c>
      <c r="G10099" s="705">
        <v>2.542945650020723</v>
      </c>
    </row>
    <row r="10100" spans="2:7" ht="11.25" hidden="1" customHeight="1" outlineLevel="2" x14ac:dyDescent="0.25">
      <c r="B10100" s="704" t="s">
        <v>689</v>
      </c>
      <c r="C10100" s="704" t="s">
        <v>823</v>
      </c>
      <c r="D10100" s="704" t="s">
        <v>715</v>
      </c>
      <c r="E10100" s="704" t="s">
        <v>824</v>
      </c>
      <c r="F10100" s="705">
        <v>6.5857109872361061E-3</v>
      </c>
      <c r="G10100" s="705">
        <v>11.002608735574404</v>
      </c>
    </row>
    <row r="10101" spans="2:7" ht="11.25" hidden="1" customHeight="1" outlineLevel="2" x14ac:dyDescent="0.25">
      <c r="B10101" s="704" t="s">
        <v>690</v>
      </c>
      <c r="C10101" s="704" t="s">
        <v>823</v>
      </c>
      <c r="D10101" s="704" t="s">
        <v>715</v>
      </c>
      <c r="E10101" s="704" t="s">
        <v>824</v>
      </c>
      <c r="F10101" s="705">
        <v>8.5824269271227577E-3</v>
      </c>
      <c r="G10101" s="705">
        <v>14.338478267024716</v>
      </c>
    </row>
    <row r="10102" spans="2:7" ht="11.25" hidden="1" customHeight="1" outlineLevel="2" x14ac:dyDescent="0.25">
      <c r="B10102" s="704" t="s">
        <v>691</v>
      </c>
      <c r="C10102" s="704" t="s">
        <v>823</v>
      </c>
      <c r="D10102" s="704" t="s">
        <v>715</v>
      </c>
      <c r="E10102" s="704" t="s">
        <v>824</v>
      </c>
      <c r="F10102" s="705">
        <v>4.2912131951980698E-3</v>
      </c>
      <c r="G10102" s="705">
        <v>7.169238569826927</v>
      </c>
    </row>
    <row r="10103" spans="2:7" ht="11.25" hidden="1" customHeight="1" outlineLevel="2" x14ac:dyDescent="0.25">
      <c r="B10103" s="704" t="s">
        <v>692</v>
      </c>
      <c r="C10103" s="704" t="s">
        <v>823</v>
      </c>
      <c r="D10103" s="704" t="s">
        <v>715</v>
      </c>
      <c r="E10103" s="704" t="s">
        <v>824</v>
      </c>
      <c r="F10103" s="705">
        <v>2.8608091219981288E-3</v>
      </c>
      <c r="G10103" s="705">
        <v>4.7794929595290334</v>
      </c>
    </row>
    <row r="10104" spans="2:7" ht="11.25" hidden="1" customHeight="1" outlineLevel="2" x14ac:dyDescent="0.25">
      <c r="B10104" s="704" t="s">
        <v>693</v>
      </c>
      <c r="C10104" s="704" t="s">
        <v>823</v>
      </c>
      <c r="D10104" s="704" t="s">
        <v>715</v>
      </c>
      <c r="E10104" s="704" t="s">
        <v>824</v>
      </c>
      <c r="F10104" s="705">
        <v>2.8608091219981336E-3</v>
      </c>
      <c r="G10104" s="705">
        <v>4.7794929595290441</v>
      </c>
    </row>
    <row r="10105" spans="2:7" ht="11.25" hidden="1" customHeight="1" outlineLevel="2" x14ac:dyDescent="0.25">
      <c r="B10105" s="704" t="s">
        <v>694</v>
      </c>
      <c r="C10105" s="704" t="s">
        <v>823</v>
      </c>
      <c r="D10105" s="704" t="s">
        <v>715</v>
      </c>
      <c r="E10105" s="704" t="s">
        <v>824</v>
      </c>
      <c r="F10105" s="705">
        <v>1.9010908880696712E-35</v>
      </c>
      <c r="G10105" s="705">
        <v>3.1761120668295189E-32</v>
      </c>
    </row>
    <row r="10106" spans="2:7" ht="11.25" hidden="1" customHeight="1" outlineLevel="2" x14ac:dyDescent="0.25">
      <c r="B10106" s="704" t="s">
        <v>695</v>
      </c>
      <c r="C10106" s="704" t="s">
        <v>823</v>
      </c>
      <c r="D10106" s="704" t="s">
        <v>715</v>
      </c>
      <c r="E10106" s="704" t="s">
        <v>824</v>
      </c>
      <c r="F10106" s="705">
        <v>1.9010908880696712E-35</v>
      </c>
      <c r="G10106" s="705">
        <v>3.1761120668295189E-32</v>
      </c>
    </row>
    <row r="10107" spans="2:7" ht="11.25" hidden="1" customHeight="1" outlineLevel="2" x14ac:dyDescent="0.25">
      <c r="B10107" s="704" t="s">
        <v>696</v>
      </c>
      <c r="C10107" s="704" t="s">
        <v>823</v>
      </c>
      <c r="D10107" s="704" t="s">
        <v>715</v>
      </c>
      <c r="E10107" s="704" t="s">
        <v>824</v>
      </c>
      <c r="F10107" s="705">
        <v>4.2912131950305875E-3</v>
      </c>
      <c r="G10107" s="705">
        <v>7.1692385698538557</v>
      </c>
    </row>
    <row r="10108" spans="2:7" ht="11.25" hidden="1" customHeight="1" outlineLevel="2" x14ac:dyDescent="0.25">
      <c r="B10108" s="704" t="s">
        <v>697</v>
      </c>
      <c r="C10108" s="704" t="s">
        <v>823</v>
      </c>
      <c r="D10108" s="704" t="s">
        <v>715</v>
      </c>
      <c r="E10108" s="704" t="s">
        <v>824</v>
      </c>
      <c r="F10108" s="705">
        <v>4.2912131951980698E-3</v>
      </c>
      <c r="G10108" s="705">
        <v>7.169238569826927</v>
      </c>
    </row>
    <row r="10109" spans="2:7" ht="11.25" hidden="1" customHeight="1" outlineLevel="2" x14ac:dyDescent="0.25">
      <c r="B10109" s="704" t="s">
        <v>698</v>
      </c>
      <c r="C10109" s="704" t="s">
        <v>823</v>
      </c>
      <c r="D10109" s="704" t="s">
        <v>715</v>
      </c>
      <c r="E10109" s="704" t="s">
        <v>824</v>
      </c>
      <c r="F10109" s="705">
        <v>5.7216187382967583E-3</v>
      </c>
      <c r="G10109" s="705">
        <v>9.5589829727909787</v>
      </c>
    </row>
    <row r="10110" spans="2:7" ht="11.25" hidden="1" customHeight="1" outlineLevel="2" x14ac:dyDescent="0.25">
      <c r="B10110" s="704" t="s">
        <v>699</v>
      </c>
      <c r="C10110" s="704" t="s">
        <v>823</v>
      </c>
      <c r="D10110" s="704" t="s">
        <v>715</v>
      </c>
      <c r="E10110" s="704" t="s">
        <v>824</v>
      </c>
      <c r="F10110" s="705">
        <v>1.9010908880696712E-35</v>
      </c>
      <c r="G10110" s="705">
        <v>3.1761120668295189E-32</v>
      </c>
    </row>
    <row r="10111" spans="2:7" ht="11.25" hidden="1" customHeight="1" outlineLevel="2" x14ac:dyDescent="0.25">
      <c r="B10111" s="704" t="s">
        <v>673</v>
      </c>
      <c r="C10111" s="704" t="s">
        <v>860</v>
      </c>
      <c r="D10111" s="704" t="s">
        <v>715</v>
      </c>
      <c r="E10111" s="704" t="s">
        <v>861</v>
      </c>
      <c r="F10111" s="708"/>
      <c r="G10111" s="705">
        <v>142.09373670000505</v>
      </c>
    </row>
    <row r="10112" spans="2:7" ht="11.25" hidden="1" customHeight="1" outlineLevel="2" x14ac:dyDescent="0.25">
      <c r="B10112" s="704" t="s">
        <v>677</v>
      </c>
      <c r="C10112" s="704" t="s">
        <v>860</v>
      </c>
      <c r="D10112" s="704" t="s">
        <v>715</v>
      </c>
      <c r="E10112" s="704" t="s">
        <v>861</v>
      </c>
      <c r="F10112" s="705">
        <v>1.2237064805864962E-2</v>
      </c>
      <c r="G10112" s="705">
        <v>284.18749510955115</v>
      </c>
    </row>
    <row r="10113" spans="2:7" ht="11.25" hidden="1" customHeight="1" outlineLevel="2" x14ac:dyDescent="0.25">
      <c r="B10113" s="704" t="s">
        <v>678</v>
      </c>
      <c r="C10113" s="704" t="s">
        <v>860</v>
      </c>
      <c r="D10113" s="704" t="s">
        <v>715</v>
      </c>
      <c r="E10113" s="704" t="s">
        <v>861</v>
      </c>
      <c r="F10113" s="708"/>
      <c r="G10113" s="705">
        <v>142.09373670000505</v>
      </c>
    </row>
    <row r="10114" spans="2:7" ht="11.25" hidden="1" customHeight="1" outlineLevel="2" x14ac:dyDescent="0.25">
      <c r="B10114" s="704" t="s">
        <v>679</v>
      </c>
      <c r="C10114" s="704" t="s">
        <v>860</v>
      </c>
      <c r="D10114" s="704" t="s">
        <v>715</v>
      </c>
      <c r="E10114" s="704" t="s">
        <v>861</v>
      </c>
      <c r="F10114" s="708"/>
      <c r="G10114" s="705">
        <v>3.9412429149442822E-29</v>
      </c>
    </row>
    <row r="10115" spans="2:7" ht="11.25" hidden="1" customHeight="1" outlineLevel="2" x14ac:dyDescent="0.25">
      <c r="B10115" s="704" t="s">
        <v>680</v>
      </c>
      <c r="C10115" s="704" t="s">
        <v>860</v>
      </c>
      <c r="D10115" s="704" t="s">
        <v>715</v>
      </c>
      <c r="E10115" s="704" t="s">
        <v>861</v>
      </c>
      <c r="F10115" s="708"/>
      <c r="G10115" s="705">
        <v>142.09373670000505</v>
      </c>
    </row>
    <row r="10116" spans="2:7" ht="11.25" hidden="1" customHeight="1" outlineLevel="2" x14ac:dyDescent="0.25">
      <c r="B10116" s="704" t="s">
        <v>681</v>
      </c>
      <c r="C10116" s="704" t="s">
        <v>860</v>
      </c>
      <c r="D10116" s="704" t="s">
        <v>715</v>
      </c>
      <c r="E10116" s="704" t="s">
        <v>861</v>
      </c>
      <c r="F10116" s="708"/>
      <c r="G10116" s="705">
        <v>142.09373670000505</v>
      </c>
    </row>
    <row r="10117" spans="2:7" ht="11.25" hidden="1" customHeight="1" outlineLevel="2" x14ac:dyDescent="0.25">
      <c r="B10117" s="704" t="s">
        <v>682</v>
      </c>
      <c r="C10117" s="704" t="s">
        <v>860</v>
      </c>
      <c r="D10117" s="704" t="s">
        <v>715</v>
      </c>
      <c r="E10117" s="704" t="s">
        <v>861</v>
      </c>
      <c r="F10117" s="708"/>
      <c r="G10117" s="705">
        <v>378.91666585936753</v>
      </c>
    </row>
    <row r="10118" spans="2:7" ht="11.25" hidden="1" customHeight="1" outlineLevel="2" x14ac:dyDescent="0.25">
      <c r="B10118" s="704" t="s">
        <v>683</v>
      </c>
      <c r="C10118" s="704" t="s">
        <v>860</v>
      </c>
      <c r="D10118" s="704" t="s">
        <v>715</v>
      </c>
      <c r="E10118" s="704" t="s">
        <v>861</v>
      </c>
      <c r="F10118" s="708"/>
      <c r="G10118" s="705">
        <v>142.09373670000505</v>
      </c>
    </row>
    <row r="10119" spans="2:7" ht="11.25" hidden="1" customHeight="1" outlineLevel="2" x14ac:dyDescent="0.25">
      <c r="B10119" s="704" t="s">
        <v>684</v>
      </c>
      <c r="C10119" s="704" t="s">
        <v>860</v>
      </c>
      <c r="D10119" s="704" t="s">
        <v>715</v>
      </c>
      <c r="E10119" s="704" t="s">
        <v>861</v>
      </c>
      <c r="F10119" s="708"/>
      <c r="G10119" s="705">
        <v>47.364569184419921</v>
      </c>
    </row>
    <row r="10120" spans="2:7" ht="11.25" hidden="1" customHeight="1" outlineLevel="2" x14ac:dyDescent="0.25">
      <c r="B10120" s="704" t="s">
        <v>685</v>
      </c>
      <c r="C10120" s="704" t="s">
        <v>860</v>
      </c>
      <c r="D10120" s="704" t="s">
        <v>715</v>
      </c>
      <c r="E10120" s="704" t="s">
        <v>861</v>
      </c>
      <c r="F10120" s="708"/>
      <c r="G10120" s="705">
        <v>142.09373670000505</v>
      </c>
    </row>
    <row r="10121" spans="2:7" ht="11.25" hidden="1" customHeight="1" outlineLevel="2" x14ac:dyDescent="0.25">
      <c r="B10121" s="704" t="s">
        <v>686</v>
      </c>
      <c r="C10121" s="704" t="s">
        <v>860</v>
      </c>
      <c r="D10121" s="704" t="s">
        <v>715</v>
      </c>
      <c r="E10121" s="704" t="s">
        <v>861</v>
      </c>
      <c r="F10121" s="708"/>
      <c r="G10121" s="705">
        <v>142.09373670000505</v>
      </c>
    </row>
    <row r="10122" spans="2:7" ht="11.25" hidden="1" customHeight="1" outlineLevel="2" x14ac:dyDescent="0.25">
      <c r="B10122" s="704" t="s">
        <v>687</v>
      </c>
      <c r="C10122" s="704" t="s">
        <v>860</v>
      </c>
      <c r="D10122" s="704" t="s">
        <v>715</v>
      </c>
      <c r="E10122" s="704" t="s">
        <v>861</v>
      </c>
      <c r="F10122" s="708"/>
      <c r="G10122" s="705">
        <v>236.8229042114578</v>
      </c>
    </row>
    <row r="10123" spans="2:7" ht="11.25" hidden="1" customHeight="1" outlineLevel="2" x14ac:dyDescent="0.25">
      <c r="B10123" s="704" t="s">
        <v>688</v>
      </c>
      <c r="C10123" s="704" t="s">
        <v>860</v>
      </c>
      <c r="D10123" s="704" t="s">
        <v>715</v>
      </c>
      <c r="E10123" s="704" t="s">
        <v>861</v>
      </c>
      <c r="F10123" s="708"/>
      <c r="G10123" s="705">
        <v>50.400983409862945</v>
      </c>
    </row>
    <row r="10124" spans="2:7" ht="11.25" hidden="1" customHeight="1" outlineLevel="2" x14ac:dyDescent="0.25">
      <c r="B10124" s="704" t="s">
        <v>689</v>
      </c>
      <c r="C10124" s="704" t="s">
        <v>860</v>
      </c>
      <c r="D10124" s="704" t="s">
        <v>715</v>
      </c>
      <c r="E10124" s="704" t="s">
        <v>861</v>
      </c>
      <c r="F10124" s="708"/>
      <c r="G10124" s="705">
        <v>218.07082168546077</v>
      </c>
    </row>
    <row r="10125" spans="2:7" ht="11.25" hidden="1" customHeight="1" outlineLevel="2" x14ac:dyDescent="0.25">
      <c r="B10125" s="704" t="s">
        <v>690</v>
      </c>
      <c r="C10125" s="704" t="s">
        <v>860</v>
      </c>
      <c r="D10125" s="704" t="s">
        <v>715</v>
      </c>
      <c r="E10125" s="704" t="s">
        <v>861</v>
      </c>
      <c r="F10125" s="708"/>
      <c r="G10125" s="705">
        <v>284.18749510955115</v>
      </c>
    </row>
    <row r="10126" spans="2:7" ht="11.25" hidden="1" customHeight="1" outlineLevel="2" x14ac:dyDescent="0.25">
      <c r="B10126" s="704" t="s">
        <v>691</v>
      </c>
      <c r="C10126" s="704" t="s">
        <v>860</v>
      </c>
      <c r="D10126" s="704" t="s">
        <v>715</v>
      </c>
      <c r="E10126" s="704" t="s">
        <v>861</v>
      </c>
      <c r="F10126" s="708"/>
      <c r="G10126" s="705">
        <v>142.09373670146664</v>
      </c>
    </row>
    <row r="10127" spans="2:7" ht="11.25" hidden="1" customHeight="1" outlineLevel="2" x14ac:dyDescent="0.25">
      <c r="B10127" s="704" t="s">
        <v>692</v>
      </c>
      <c r="C10127" s="704" t="s">
        <v>860</v>
      </c>
      <c r="D10127" s="704" t="s">
        <v>715</v>
      </c>
      <c r="E10127" s="704" t="s">
        <v>861</v>
      </c>
      <c r="F10127" s="709"/>
      <c r="G10127" s="705">
        <v>94.729131698517364</v>
      </c>
    </row>
    <row r="10128" spans="2:7" ht="11.25" hidden="1" customHeight="1" outlineLevel="2" x14ac:dyDescent="0.25">
      <c r="B10128" s="704" t="s">
        <v>693</v>
      </c>
      <c r="C10128" s="704" t="s">
        <v>860</v>
      </c>
      <c r="D10128" s="704" t="s">
        <v>715</v>
      </c>
      <c r="E10128" s="704" t="s">
        <v>861</v>
      </c>
      <c r="F10128" s="709"/>
      <c r="G10128" s="705">
        <v>94.729131698517477</v>
      </c>
    </row>
    <row r="10129" spans="2:7" ht="11.25" hidden="1" customHeight="1" outlineLevel="2" x14ac:dyDescent="0.25">
      <c r="B10129" s="704" t="s">
        <v>694</v>
      </c>
      <c r="C10129" s="704" t="s">
        <v>860</v>
      </c>
      <c r="D10129" s="704" t="s">
        <v>715</v>
      </c>
      <c r="E10129" s="704" t="s">
        <v>861</v>
      </c>
      <c r="F10129" s="709"/>
      <c r="G10129" s="705">
        <v>3.9412429149442822E-29</v>
      </c>
    </row>
    <row r="10130" spans="2:7" ht="11.25" hidden="1" customHeight="1" outlineLevel="2" x14ac:dyDescent="0.25">
      <c r="B10130" s="704" t="s">
        <v>695</v>
      </c>
      <c r="C10130" s="704" t="s">
        <v>860</v>
      </c>
      <c r="D10130" s="704" t="s">
        <v>715</v>
      </c>
      <c r="E10130" s="704" t="s">
        <v>861</v>
      </c>
      <c r="F10130" s="709"/>
      <c r="G10130" s="705">
        <v>3.9412429149442822E-29</v>
      </c>
    </row>
    <row r="10131" spans="2:7" ht="11.25" hidden="1" customHeight="1" outlineLevel="2" x14ac:dyDescent="0.25">
      <c r="B10131" s="704" t="s">
        <v>696</v>
      </c>
      <c r="C10131" s="704" t="s">
        <v>860</v>
      </c>
      <c r="D10131" s="704" t="s">
        <v>715</v>
      </c>
      <c r="E10131" s="704" t="s">
        <v>861</v>
      </c>
      <c r="F10131" s="709"/>
      <c r="G10131" s="705">
        <v>142.09373670000505</v>
      </c>
    </row>
    <row r="10132" spans="2:7" ht="11.25" hidden="1" customHeight="1" outlineLevel="2" x14ac:dyDescent="0.25">
      <c r="B10132" s="704" t="s">
        <v>697</v>
      </c>
      <c r="C10132" s="704" t="s">
        <v>860</v>
      </c>
      <c r="D10132" s="704" t="s">
        <v>715</v>
      </c>
      <c r="E10132" s="704" t="s">
        <v>861</v>
      </c>
      <c r="F10132" s="709"/>
      <c r="G10132" s="705">
        <v>142.09373670146664</v>
      </c>
    </row>
    <row r="10133" spans="2:7" ht="11.25" hidden="1" customHeight="1" outlineLevel="2" x14ac:dyDescent="0.25">
      <c r="B10133" s="704" t="s">
        <v>698</v>
      </c>
      <c r="C10133" s="704" t="s">
        <v>860</v>
      </c>
      <c r="D10133" s="704" t="s">
        <v>715</v>
      </c>
      <c r="E10133" s="704" t="s">
        <v>861</v>
      </c>
      <c r="F10133" s="709"/>
      <c r="G10133" s="705">
        <v>189.45830064831205</v>
      </c>
    </row>
    <row r="10134" spans="2:7" ht="11.25" hidden="1" customHeight="1" outlineLevel="2" x14ac:dyDescent="0.25">
      <c r="B10134" s="704" t="s">
        <v>699</v>
      </c>
      <c r="C10134" s="704" t="s">
        <v>860</v>
      </c>
      <c r="D10134" s="704" t="s">
        <v>715</v>
      </c>
      <c r="E10134" s="704" t="s">
        <v>861</v>
      </c>
      <c r="F10134" s="708"/>
      <c r="G10134" s="705">
        <v>3.9412429149442822E-29</v>
      </c>
    </row>
    <row r="10135" spans="2:7" ht="11.25" hidden="1" customHeight="1" outlineLevel="1" x14ac:dyDescent="0.25">
      <c r="B10135" s="704"/>
      <c r="C10135" s="704"/>
      <c r="D10135" s="707" t="s">
        <v>937</v>
      </c>
      <c r="E10135" s="704"/>
      <c r="F10135" s="708">
        <f t="shared" ref="F10135:G10135" si="24">SUBTOTAL(9,F9899:F10134)</f>
        <v>139.33712321248819</v>
      </c>
      <c r="G10135" s="705">
        <f t="shared" si="24"/>
        <v>86243.509869231464</v>
      </c>
    </row>
    <row r="10136" spans="2:7" ht="11.25" hidden="1" customHeight="1" outlineLevel="2" x14ac:dyDescent="0.25">
      <c r="B10136" s="704" t="s">
        <v>673</v>
      </c>
      <c r="C10136" s="704" t="s">
        <v>919</v>
      </c>
      <c r="D10136" s="704" t="s">
        <v>920</v>
      </c>
      <c r="E10136" s="704" t="s">
        <v>861</v>
      </c>
      <c r="F10136" s="708"/>
      <c r="G10136" s="705">
        <v>6.5972143187212042</v>
      </c>
    </row>
    <row r="10137" spans="2:7" ht="11.25" hidden="1" customHeight="1" outlineLevel="2" x14ac:dyDescent="0.25">
      <c r="B10137" s="704" t="s">
        <v>677</v>
      </c>
      <c r="C10137" s="704" t="s">
        <v>919</v>
      </c>
      <c r="D10137" s="704" t="s">
        <v>920</v>
      </c>
      <c r="E10137" s="704" t="s">
        <v>861</v>
      </c>
      <c r="F10137" s="705">
        <v>1.5052875154613956E-33</v>
      </c>
      <c r="G10137" s="705">
        <v>1.6409897687458338E-29</v>
      </c>
    </row>
    <row r="10138" spans="2:7" ht="11.25" hidden="1" customHeight="1" outlineLevel="2" x14ac:dyDescent="0.25">
      <c r="B10138" s="704" t="s">
        <v>678</v>
      </c>
      <c r="C10138" s="704" t="s">
        <v>919</v>
      </c>
      <c r="D10138" s="704" t="s">
        <v>920</v>
      </c>
      <c r="E10138" s="704" t="s">
        <v>861</v>
      </c>
      <c r="F10138" s="709"/>
      <c r="G10138" s="705">
        <v>1.1859124293233922E-30</v>
      </c>
    </row>
    <row r="10139" spans="2:7" ht="11.25" hidden="1" customHeight="1" outlineLevel="2" x14ac:dyDescent="0.25">
      <c r="B10139" s="704" t="s">
        <v>679</v>
      </c>
      <c r="C10139" s="704" t="s">
        <v>919</v>
      </c>
      <c r="D10139" s="704" t="s">
        <v>920</v>
      </c>
      <c r="E10139" s="704" t="s">
        <v>861</v>
      </c>
      <c r="F10139" s="708"/>
      <c r="G10139" s="705">
        <v>2.0277223627944984E-29</v>
      </c>
    </row>
    <row r="10140" spans="2:7" ht="11.25" hidden="1" customHeight="1" outlineLevel="2" x14ac:dyDescent="0.25">
      <c r="B10140" s="704" t="s">
        <v>680</v>
      </c>
      <c r="C10140" s="704" t="s">
        <v>919</v>
      </c>
      <c r="D10140" s="704" t="s">
        <v>920</v>
      </c>
      <c r="E10140" s="704" t="s">
        <v>861</v>
      </c>
      <c r="F10140" s="708"/>
      <c r="G10140" s="705">
        <v>8.295574892227551E-30</v>
      </c>
    </row>
    <row r="10141" spans="2:7" ht="11.25" hidden="1" customHeight="1" outlineLevel="2" x14ac:dyDescent="0.25">
      <c r="B10141" s="704" t="s">
        <v>681</v>
      </c>
      <c r="C10141" s="704" t="s">
        <v>919</v>
      </c>
      <c r="D10141" s="704" t="s">
        <v>920</v>
      </c>
      <c r="E10141" s="704" t="s">
        <v>861</v>
      </c>
      <c r="F10141" s="709"/>
      <c r="G10141" s="705">
        <v>1.3456627778411454E-31</v>
      </c>
    </row>
    <row r="10142" spans="2:7" ht="11.25" hidden="1" customHeight="1" outlineLevel="2" x14ac:dyDescent="0.25">
      <c r="B10142" s="704" t="s">
        <v>682</v>
      </c>
      <c r="C10142" s="704" t="s">
        <v>919</v>
      </c>
      <c r="D10142" s="704" t="s">
        <v>920</v>
      </c>
      <c r="E10142" s="704" t="s">
        <v>861</v>
      </c>
      <c r="F10142" s="708"/>
      <c r="G10142" s="705">
        <v>3.0023057417662033E-30</v>
      </c>
    </row>
    <row r="10143" spans="2:7" ht="11.25" hidden="1" customHeight="1" outlineLevel="2" x14ac:dyDescent="0.25">
      <c r="B10143" s="704" t="s">
        <v>683</v>
      </c>
      <c r="C10143" s="704" t="s">
        <v>919</v>
      </c>
      <c r="D10143" s="704" t="s">
        <v>920</v>
      </c>
      <c r="E10143" s="704" t="s">
        <v>861</v>
      </c>
      <c r="F10143" s="708"/>
      <c r="G10143" s="705">
        <v>2.6063399786129779E-29</v>
      </c>
    </row>
    <row r="10144" spans="2:7" ht="11.25" hidden="1" customHeight="1" outlineLevel="2" x14ac:dyDescent="0.25">
      <c r="B10144" s="704" t="s">
        <v>684</v>
      </c>
      <c r="C10144" s="704" t="s">
        <v>919</v>
      </c>
      <c r="D10144" s="704" t="s">
        <v>920</v>
      </c>
      <c r="E10144" s="704" t="s">
        <v>861</v>
      </c>
      <c r="F10144" s="708"/>
      <c r="G10144" s="705">
        <v>3.0680674812669762E-29</v>
      </c>
    </row>
    <row r="10145" spans="2:7" ht="11.25" hidden="1" customHeight="1" outlineLevel="2" x14ac:dyDescent="0.25">
      <c r="B10145" s="704" t="s">
        <v>685</v>
      </c>
      <c r="C10145" s="704" t="s">
        <v>919</v>
      </c>
      <c r="D10145" s="704" t="s">
        <v>920</v>
      </c>
      <c r="E10145" s="704" t="s">
        <v>861</v>
      </c>
      <c r="F10145" s="709"/>
      <c r="G10145" s="705">
        <v>1.3149400217429464E-31</v>
      </c>
    </row>
    <row r="10146" spans="2:7" ht="11.25" hidden="1" customHeight="1" outlineLevel="2" x14ac:dyDescent="0.25">
      <c r="B10146" s="704" t="s">
        <v>686</v>
      </c>
      <c r="C10146" s="704" t="s">
        <v>919</v>
      </c>
      <c r="D10146" s="704" t="s">
        <v>920</v>
      </c>
      <c r="E10146" s="704" t="s">
        <v>861</v>
      </c>
      <c r="F10146" s="709"/>
      <c r="G10146" s="705">
        <v>3129.9053258562585</v>
      </c>
    </row>
    <row r="10147" spans="2:7" ht="11.25" hidden="1" customHeight="1" outlineLevel="2" x14ac:dyDescent="0.25">
      <c r="B10147" s="704" t="s">
        <v>687</v>
      </c>
      <c r="C10147" s="704" t="s">
        <v>919</v>
      </c>
      <c r="D10147" s="704" t="s">
        <v>920</v>
      </c>
      <c r="E10147" s="704" t="s">
        <v>861</v>
      </c>
      <c r="F10147" s="709"/>
      <c r="G10147" s="705">
        <v>3.0023057417662033E-30</v>
      </c>
    </row>
    <row r="10148" spans="2:7" ht="11.25" hidden="1" customHeight="1" outlineLevel="2" x14ac:dyDescent="0.25">
      <c r="B10148" s="704" t="s">
        <v>688</v>
      </c>
      <c r="C10148" s="704" t="s">
        <v>919</v>
      </c>
      <c r="D10148" s="704" t="s">
        <v>920</v>
      </c>
      <c r="E10148" s="704" t="s">
        <v>861</v>
      </c>
      <c r="F10148" s="708"/>
      <c r="G10148" s="705">
        <v>1.8151226406706658E-29</v>
      </c>
    </row>
    <row r="10149" spans="2:7" ht="11.25" hidden="1" customHeight="1" outlineLevel="2" x14ac:dyDescent="0.25">
      <c r="B10149" s="704" t="s">
        <v>689</v>
      </c>
      <c r="C10149" s="704" t="s">
        <v>919</v>
      </c>
      <c r="D10149" s="704" t="s">
        <v>920</v>
      </c>
      <c r="E10149" s="704" t="s">
        <v>861</v>
      </c>
      <c r="F10149" s="708"/>
      <c r="G10149" s="705">
        <v>3.5411677514379905E-30</v>
      </c>
    </row>
    <row r="10150" spans="2:7" ht="11.25" hidden="1" customHeight="1" outlineLevel="2" x14ac:dyDescent="0.25">
      <c r="B10150" s="704" t="s">
        <v>690</v>
      </c>
      <c r="C10150" s="704" t="s">
        <v>919</v>
      </c>
      <c r="D10150" s="704" t="s">
        <v>920</v>
      </c>
      <c r="E10150" s="704" t="s">
        <v>861</v>
      </c>
      <c r="F10150" s="708"/>
      <c r="G10150" s="705">
        <v>1.6409817621205942E-29</v>
      </c>
    </row>
    <row r="10151" spans="2:7" ht="11.25" hidden="1" customHeight="1" outlineLevel="2" x14ac:dyDescent="0.25">
      <c r="B10151" s="704" t="s">
        <v>691</v>
      </c>
      <c r="C10151" s="704" t="s">
        <v>919</v>
      </c>
      <c r="D10151" s="704" t="s">
        <v>920</v>
      </c>
      <c r="E10151" s="704" t="s">
        <v>861</v>
      </c>
      <c r="F10151" s="708"/>
      <c r="G10151" s="705">
        <v>1.6411632203999995E-29</v>
      </c>
    </row>
    <row r="10152" spans="2:7" ht="11.25" hidden="1" customHeight="1" outlineLevel="2" x14ac:dyDescent="0.25">
      <c r="B10152" s="704" t="s">
        <v>692</v>
      </c>
      <c r="C10152" s="704" t="s">
        <v>919</v>
      </c>
      <c r="D10152" s="704" t="s">
        <v>920</v>
      </c>
      <c r="E10152" s="704" t="s">
        <v>861</v>
      </c>
      <c r="F10152" s="708"/>
      <c r="G10152" s="705">
        <v>1.0497217153884028E-29</v>
      </c>
    </row>
    <row r="10153" spans="2:7" ht="11.25" hidden="1" customHeight="1" outlineLevel="2" x14ac:dyDescent="0.25">
      <c r="B10153" s="704" t="s">
        <v>693</v>
      </c>
      <c r="C10153" s="704" t="s">
        <v>919</v>
      </c>
      <c r="D10153" s="704" t="s">
        <v>920</v>
      </c>
      <c r="E10153" s="704" t="s">
        <v>861</v>
      </c>
      <c r="F10153" s="708"/>
      <c r="G10153" s="705">
        <v>1.2556964165000301E-30</v>
      </c>
    </row>
    <row r="10154" spans="2:7" ht="11.25" hidden="1" customHeight="1" outlineLevel="2" x14ac:dyDescent="0.25">
      <c r="B10154" s="704" t="s">
        <v>694</v>
      </c>
      <c r="C10154" s="704" t="s">
        <v>919</v>
      </c>
      <c r="D10154" s="704" t="s">
        <v>920</v>
      </c>
      <c r="E10154" s="704" t="s">
        <v>861</v>
      </c>
      <c r="F10154" s="708"/>
      <c r="G10154" s="705">
        <v>2.0277223627944984E-29</v>
      </c>
    </row>
    <row r="10155" spans="2:7" ht="11.25" hidden="1" customHeight="1" outlineLevel="2" x14ac:dyDescent="0.25">
      <c r="B10155" s="704" t="s">
        <v>695</v>
      </c>
      <c r="C10155" s="704" t="s">
        <v>919</v>
      </c>
      <c r="D10155" s="704" t="s">
        <v>920</v>
      </c>
      <c r="E10155" s="704" t="s">
        <v>861</v>
      </c>
      <c r="F10155" s="708"/>
      <c r="G10155" s="705">
        <v>7.3562761348962141E-30</v>
      </c>
    </row>
    <row r="10156" spans="2:7" ht="11.25" hidden="1" customHeight="1" outlineLevel="2" x14ac:dyDescent="0.25">
      <c r="B10156" s="704" t="s">
        <v>696</v>
      </c>
      <c r="C10156" s="704" t="s">
        <v>919</v>
      </c>
      <c r="D10156" s="704" t="s">
        <v>920</v>
      </c>
      <c r="E10156" s="704" t="s">
        <v>861</v>
      </c>
      <c r="F10156" s="708"/>
      <c r="G10156" s="705">
        <v>1.8944843593013732E-29</v>
      </c>
    </row>
    <row r="10157" spans="2:7" ht="11.25" hidden="1" customHeight="1" outlineLevel="2" x14ac:dyDescent="0.25">
      <c r="B10157" s="704" t="s">
        <v>697</v>
      </c>
      <c r="C10157" s="704" t="s">
        <v>919</v>
      </c>
      <c r="D10157" s="704" t="s">
        <v>920</v>
      </c>
      <c r="E10157" s="704" t="s">
        <v>861</v>
      </c>
      <c r="F10157" s="708"/>
      <c r="G10157" s="705">
        <v>3.0018436612999997E-30</v>
      </c>
    </row>
    <row r="10158" spans="2:7" ht="11.25" hidden="1" customHeight="1" outlineLevel="2" x14ac:dyDescent="0.25">
      <c r="B10158" s="704" t="s">
        <v>698</v>
      </c>
      <c r="C10158" s="704" t="s">
        <v>919</v>
      </c>
      <c r="D10158" s="704" t="s">
        <v>920</v>
      </c>
      <c r="E10158" s="704" t="s">
        <v>861</v>
      </c>
      <c r="F10158" s="709"/>
      <c r="G10158" s="705">
        <v>3.3823720964000013E-29</v>
      </c>
    </row>
    <row r="10159" spans="2:7" ht="11.25" hidden="1" customHeight="1" outlineLevel="2" x14ac:dyDescent="0.25">
      <c r="B10159" s="704" t="s">
        <v>699</v>
      </c>
      <c r="C10159" s="704" t="s">
        <v>919</v>
      </c>
      <c r="D10159" s="704" t="s">
        <v>920</v>
      </c>
      <c r="E10159" s="704" t="s">
        <v>861</v>
      </c>
      <c r="F10159" s="709"/>
      <c r="G10159" s="705">
        <v>3.0023057417662033E-30</v>
      </c>
    </row>
    <row r="10160" spans="2:7" ht="11.25" hidden="1" customHeight="1" outlineLevel="1" x14ac:dyDescent="0.25">
      <c r="B10160" s="710"/>
      <c r="C10160" s="710"/>
      <c r="D10160" s="711" t="s">
        <v>938</v>
      </c>
      <c r="E10160" s="710"/>
      <c r="F10160" s="709">
        <f t="shared" ref="F10160:G10160" si="25">SUBTOTAL(9,F10136:F10159)</f>
        <v>1.5052875154613956E-33</v>
      </c>
      <c r="G10160" s="706">
        <f t="shared" si="25"/>
        <v>3136.5025401749799</v>
      </c>
    </row>
    <row r="10161" spans="2:7" ht="11.25" customHeight="1" collapsed="1" x14ac:dyDescent="0.25">
      <c r="B10161" s="710"/>
      <c r="C10161" s="710"/>
      <c r="D10161" s="711" t="s">
        <v>597</v>
      </c>
      <c r="E10161" s="710"/>
      <c r="F10161" s="709">
        <f t="shared" ref="F10161:G10161" si="26">SUBTOTAL(9,F5089:F10159)</f>
        <v>1466.2725802679993</v>
      </c>
      <c r="G10161" s="706">
        <f t="shared" si="26"/>
        <v>3591419.5664793653</v>
      </c>
    </row>
    <row r="10162" spans="2:7" ht="11.25" customHeight="1" x14ac:dyDescent="0.2">
      <c r="B10162" s="466"/>
      <c r="C10162" s="466"/>
      <c r="D10162" s="466"/>
      <c r="E10162" s="466"/>
      <c r="F10162" s="466"/>
      <c r="G10162" s="466"/>
    </row>
    <row r="10163" spans="2:7" ht="11.25" customHeight="1" x14ac:dyDescent="0.2">
      <c r="B10163" s="466"/>
      <c r="C10163" s="466"/>
      <c r="D10163" s="466"/>
      <c r="E10163" s="466"/>
      <c r="F10163" s="466"/>
      <c r="G10163" s="466"/>
    </row>
    <row r="10164" spans="2:7" ht="11.25" customHeight="1" x14ac:dyDescent="0.2">
      <c r="B10164" s="702" t="s">
        <v>939</v>
      </c>
      <c r="C10164" s="466"/>
      <c r="D10164" s="466"/>
      <c r="E10164" s="466"/>
      <c r="F10164" s="466"/>
      <c r="G10164" s="466"/>
    </row>
    <row r="10165" spans="2:7" ht="11.25" customHeight="1" x14ac:dyDescent="0.35">
      <c r="B10165" s="703" t="s">
        <v>667</v>
      </c>
      <c r="C10165" s="703" t="s">
        <v>668</v>
      </c>
      <c r="D10165" s="703" t="s">
        <v>669</v>
      </c>
      <c r="E10165" s="703" t="s">
        <v>670</v>
      </c>
      <c r="F10165" s="703" t="s">
        <v>940</v>
      </c>
      <c r="G10165" s="703" t="s">
        <v>941</v>
      </c>
    </row>
    <row r="10166" spans="2:7" ht="11.25" hidden="1" customHeight="1" outlineLevel="2" x14ac:dyDescent="0.25">
      <c r="B10166" s="704" t="s">
        <v>673</v>
      </c>
      <c r="C10166" s="704" t="s">
        <v>739</v>
      </c>
      <c r="D10166" s="704" t="s">
        <v>44</v>
      </c>
      <c r="E10166" s="704" t="s">
        <v>448</v>
      </c>
      <c r="F10166" s="705">
        <v>3.1361120053399928E-4</v>
      </c>
      <c r="G10166" s="705">
        <v>0.19128313565227872</v>
      </c>
    </row>
    <row r="10167" spans="2:7" ht="11.25" hidden="1" customHeight="1" outlineLevel="2" x14ac:dyDescent="0.25">
      <c r="B10167" s="704" t="s">
        <v>673</v>
      </c>
      <c r="C10167" s="704" t="s">
        <v>796</v>
      </c>
      <c r="D10167" s="704" t="s">
        <v>44</v>
      </c>
      <c r="E10167" s="704" t="s">
        <v>448</v>
      </c>
      <c r="F10167" s="705">
        <v>3.307231916091914E-4</v>
      </c>
      <c r="G10167" s="705">
        <v>0.46402565820661557</v>
      </c>
    </row>
    <row r="10168" spans="2:7" ht="11.25" hidden="1" customHeight="1" outlineLevel="2" x14ac:dyDescent="0.25">
      <c r="B10168" s="704" t="s">
        <v>673</v>
      </c>
      <c r="C10168" s="704" t="s">
        <v>797</v>
      </c>
      <c r="D10168" s="704" t="s">
        <v>44</v>
      </c>
      <c r="E10168" s="704" t="s">
        <v>448</v>
      </c>
      <c r="F10168" s="705">
        <v>5.2828861422462463E-4</v>
      </c>
      <c r="G10168" s="705">
        <v>1.8054964728112008</v>
      </c>
    </row>
    <row r="10169" spans="2:7" ht="11.25" hidden="1" customHeight="1" outlineLevel="2" x14ac:dyDescent="0.25">
      <c r="B10169" s="704" t="s">
        <v>673</v>
      </c>
      <c r="C10169" s="704" t="s">
        <v>798</v>
      </c>
      <c r="D10169" s="704" t="s">
        <v>44</v>
      </c>
      <c r="E10169" s="704" t="s">
        <v>448</v>
      </c>
      <c r="F10169" s="705">
        <v>8.6766147210659216E-6</v>
      </c>
      <c r="G10169" s="705">
        <v>1.1372059441536986E-2</v>
      </c>
    </row>
    <row r="10170" spans="2:7" ht="11.25" hidden="1" customHeight="1" outlineLevel="2" x14ac:dyDescent="0.25">
      <c r="B10170" s="704" t="s">
        <v>673</v>
      </c>
      <c r="C10170" s="704" t="s">
        <v>799</v>
      </c>
      <c r="D10170" s="704" t="s">
        <v>44</v>
      </c>
      <c r="E10170" s="704" t="s">
        <v>448</v>
      </c>
      <c r="F10170" s="705">
        <v>9.373399868776816E-4</v>
      </c>
      <c r="G10170" s="705">
        <v>1.2275932206977453</v>
      </c>
    </row>
    <row r="10171" spans="2:7" ht="11.25" hidden="1" customHeight="1" outlineLevel="2" x14ac:dyDescent="0.25">
      <c r="B10171" s="704" t="s">
        <v>673</v>
      </c>
      <c r="C10171" s="704" t="s">
        <v>800</v>
      </c>
      <c r="D10171" s="704" t="s">
        <v>44</v>
      </c>
      <c r="E10171" s="704" t="s">
        <v>448</v>
      </c>
      <c r="F10171" s="705">
        <v>3.0885749659337384E-4</v>
      </c>
      <c r="G10171" s="705">
        <v>0.38453548307281227</v>
      </c>
    </row>
    <row r="10172" spans="2:7" ht="11.25" hidden="1" customHeight="1" outlineLevel="2" x14ac:dyDescent="0.25">
      <c r="B10172" s="704" t="s">
        <v>673</v>
      </c>
      <c r="C10172" s="704" t="s">
        <v>801</v>
      </c>
      <c r="D10172" s="704" t="s">
        <v>44</v>
      </c>
      <c r="E10172" s="704" t="s">
        <v>448</v>
      </c>
      <c r="F10172" s="705">
        <v>4.0285334961292479E-3</v>
      </c>
      <c r="G10172" s="705">
        <v>4.1772842770633227</v>
      </c>
    </row>
    <row r="10173" spans="2:7" ht="11.25" hidden="1" customHeight="1" outlineLevel="2" x14ac:dyDescent="0.25">
      <c r="B10173" s="704" t="s">
        <v>673</v>
      </c>
      <c r="C10173" s="704" t="s">
        <v>802</v>
      </c>
      <c r="D10173" s="704" t="s">
        <v>44</v>
      </c>
      <c r="E10173" s="704" t="s">
        <v>448</v>
      </c>
      <c r="F10173" s="705">
        <v>1.3241117115386706E-2</v>
      </c>
      <c r="G10173" s="705">
        <v>8.9540046803672304</v>
      </c>
    </row>
    <row r="10174" spans="2:7" ht="11.25" hidden="1" customHeight="1" outlineLevel="2" x14ac:dyDescent="0.25">
      <c r="B10174" s="704" t="s">
        <v>673</v>
      </c>
      <c r="C10174" s="704" t="s">
        <v>803</v>
      </c>
      <c r="D10174" s="704" t="s">
        <v>44</v>
      </c>
      <c r="E10174" s="704" t="s">
        <v>448</v>
      </c>
      <c r="F10174" s="705">
        <v>1.4874603130603078E-3</v>
      </c>
      <c r="G10174" s="705">
        <v>1.9480616581416537</v>
      </c>
    </row>
    <row r="10175" spans="2:7" ht="11.25" hidden="1" customHeight="1" outlineLevel="2" x14ac:dyDescent="0.25">
      <c r="B10175" s="704" t="s">
        <v>673</v>
      </c>
      <c r="C10175" s="704" t="s">
        <v>804</v>
      </c>
      <c r="D10175" s="704" t="s">
        <v>44</v>
      </c>
      <c r="E10175" s="704" t="s">
        <v>448</v>
      </c>
      <c r="F10175" s="705">
        <v>2.215066134150906E-3</v>
      </c>
      <c r="G10175" s="705">
        <v>2.8207847020052514</v>
      </c>
    </row>
    <row r="10176" spans="2:7" ht="11.25" hidden="1" customHeight="1" outlineLevel="2" x14ac:dyDescent="0.25">
      <c r="B10176" s="704" t="s">
        <v>673</v>
      </c>
      <c r="C10176" s="704" t="s">
        <v>805</v>
      </c>
      <c r="D10176" s="704" t="s">
        <v>44</v>
      </c>
      <c r="E10176" s="704" t="s">
        <v>448</v>
      </c>
      <c r="F10176" s="705">
        <v>4.4449912074997843E-4</v>
      </c>
      <c r="G10176" s="705">
        <v>3.129223420369053</v>
      </c>
    </row>
    <row r="10177" spans="2:7" ht="11.25" hidden="1" customHeight="1" outlineLevel="2" x14ac:dyDescent="0.25">
      <c r="B10177" s="704" t="s">
        <v>673</v>
      </c>
      <c r="C10177" s="704" t="s">
        <v>846</v>
      </c>
      <c r="D10177" s="704" t="s">
        <v>44</v>
      </c>
      <c r="E10177" s="704" t="s">
        <v>824</v>
      </c>
      <c r="F10177" s="705">
        <v>1.0778537831336322E-5</v>
      </c>
      <c r="G10177" s="705">
        <v>1.7126596845799324E-2</v>
      </c>
    </row>
    <row r="10178" spans="2:7" ht="11.25" hidden="1" customHeight="1" outlineLevel="2" x14ac:dyDescent="0.25">
      <c r="B10178" s="704" t="s">
        <v>673</v>
      </c>
      <c r="C10178" s="704" t="s">
        <v>847</v>
      </c>
      <c r="D10178" s="704" t="s">
        <v>44</v>
      </c>
      <c r="E10178" s="704" t="s">
        <v>824</v>
      </c>
      <c r="F10178" s="705">
        <v>2.2117353562977091E-6</v>
      </c>
      <c r="G10178" s="705">
        <v>2.3309109073780084E-2</v>
      </c>
    </row>
    <row r="10179" spans="2:7" ht="11.25" hidden="1" customHeight="1" outlineLevel="2" x14ac:dyDescent="0.25">
      <c r="B10179" s="704" t="s">
        <v>673</v>
      </c>
      <c r="C10179" s="704" t="s">
        <v>705</v>
      </c>
      <c r="D10179" s="704" t="s">
        <v>44</v>
      </c>
      <c r="E10179" s="704" t="s">
        <v>676</v>
      </c>
      <c r="F10179" s="705">
        <v>4.3147287449559672E-4</v>
      </c>
      <c r="G10179" s="705">
        <v>4.5241801433031853E-3</v>
      </c>
    </row>
    <row r="10180" spans="2:7" ht="11.25" hidden="1" customHeight="1" outlineLevel="2" x14ac:dyDescent="0.25">
      <c r="B10180" s="704" t="s">
        <v>673</v>
      </c>
      <c r="C10180" s="704" t="s">
        <v>706</v>
      </c>
      <c r="D10180" s="704" t="s">
        <v>44</v>
      </c>
      <c r="E10180" s="704" t="s">
        <v>676</v>
      </c>
      <c r="F10180" s="705">
        <v>1.369523116886923E-4</v>
      </c>
      <c r="G10180" s="705">
        <v>1.4355735687638863E-3</v>
      </c>
    </row>
    <row r="10181" spans="2:7" ht="11.25" hidden="1" customHeight="1" outlineLevel="2" x14ac:dyDescent="0.25">
      <c r="B10181" s="704" t="s">
        <v>673</v>
      </c>
      <c r="C10181" s="704" t="s">
        <v>901</v>
      </c>
      <c r="D10181" s="704" t="s">
        <v>44</v>
      </c>
      <c r="E10181" s="704" t="s">
        <v>861</v>
      </c>
      <c r="F10181" s="709"/>
      <c r="G10181" s="705">
        <v>3.3456514020855851E-2</v>
      </c>
    </row>
    <row r="10182" spans="2:7" ht="11.25" hidden="1" customHeight="1" outlineLevel="2" x14ac:dyDescent="0.25">
      <c r="B10182" s="704" t="s">
        <v>673</v>
      </c>
      <c r="C10182" s="704" t="s">
        <v>902</v>
      </c>
      <c r="D10182" s="704" t="s">
        <v>44</v>
      </c>
      <c r="E10182" s="704" t="s">
        <v>861</v>
      </c>
      <c r="F10182" s="709"/>
      <c r="G10182" s="705">
        <v>1446.4053030323942</v>
      </c>
    </row>
    <row r="10183" spans="2:7" ht="11.25" hidden="1" customHeight="1" outlineLevel="2" x14ac:dyDescent="0.25">
      <c r="B10183" s="704" t="s">
        <v>673</v>
      </c>
      <c r="C10183" s="704" t="s">
        <v>903</v>
      </c>
      <c r="D10183" s="704" t="s">
        <v>44</v>
      </c>
      <c r="E10183" s="704" t="s">
        <v>861</v>
      </c>
      <c r="F10183" s="709"/>
      <c r="G10183" s="705">
        <v>129.78666739986681</v>
      </c>
    </row>
    <row r="10184" spans="2:7" ht="11.25" hidden="1" customHeight="1" outlineLevel="2" x14ac:dyDescent="0.25">
      <c r="B10184" s="704" t="s">
        <v>673</v>
      </c>
      <c r="C10184" s="704" t="s">
        <v>904</v>
      </c>
      <c r="D10184" s="704" t="s">
        <v>44</v>
      </c>
      <c r="E10184" s="704" t="s">
        <v>861</v>
      </c>
      <c r="F10184" s="709"/>
      <c r="G10184" s="705">
        <v>0.7214365704901381</v>
      </c>
    </row>
    <row r="10185" spans="2:7" ht="11.25" hidden="1" customHeight="1" outlineLevel="2" x14ac:dyDescent="0.25">
      <c r="B10185" s="704" t="s">
        <v>673</v>
      </c>
      <c r="C10185" s="704" t="s">
        <v>905</v>
      </c>
      <c r="D10185" s="704" t="s">
        <v>44</v>
      </c>
      <c r="E10185" s="704" t="s">
        <v>861</v>
      </c>
      <c r="F10185" s="709"/>
      <c r="G10185" s="705">
        <v>0.14807385192438766</v>
      </c>
    </row>
    <row r="10186" spans="2:7" ht="11.25" hidden="1" customHeight="1" outlineLevel="2" x14ac:dyDescent="0.25">
      <c r="B10186" s="704" t="s">
        <v>673</v>
      </c>
      <c r="C10186" s="704" t="s">
        <v>906</v>
      </c>
      <c r="D10186" s="704" t="s">
        <v>44</v>
      </c>
      <c r="E10186" s="704" t="s">
        <v>861</v>
      </c>
      <c r="F10186" s="709"/>
      <c r="G10186" s="705">
        <v>11.017324150749189</v>
      </c>
    </row>
    <row r="10187" spans="2:7" ht="11.25" hidden="1" customHeight="1" outlineLevel="2" x14ac:dyDescent="0.25">
      <c r="B10187" s="704" t="s">
        <v>673</v>
      </c>
      <c r="C10187" s="704" t="s">
        <v>907</v>
      </c>
      <c r="D10187" s="704" t="s">
        <v>44</v>
      </c>
      <c r="E10187" s="704" t="s">
        <v>861</v>
      </c>
      <c r="F10187" s="709"/>
      <c r="G10187" s="705">
        <v>2.7594361322636186E-2</v>
      </c>
    </row>
    <row r="10188" spans="2:7" ht="11.25" hidden="1" customHeight="1" outlineLevel="2" x14ac:dyDescent="0.25">
      <c r="B10188" s="704" t="s">
        <v>673</v>
      </c>
      <c r="C10188" s="704" t="s">
        <v>908</v>
      </c>
      <c r="D10188" s="704" t="s">
        <v>44</v>
      </c>
      <c r="E10188" s="704" t="s">
        <v>861</v>
      </c>
      <c r="F10188" s="709"/>
      <c r="G10188" s="705">
        <v>10.183025679151571</v>
      </c>
    </row>
    <row r="10189" spans="2:7" ht="11.25" hidden="1" customHeight="1" outlineLevel="2" x14ac:dyDescent="0.25">
      <c r="B10189" s="704" t="s">
        <v>673</v>
      </c>
      <c r="C10189" s="704" t="s">
        <v>909</v>
      </c>
      <c r="D10189" s="704" t="s">
        <v>44</v>
      </c>
      <c r="E10189" s="704" t="s">
        <v>861</v>
      </c>
      <c r="F10189" s="709"/>
      <c r="G10189" s="705">
        <v>28.285758239622794</v>
      </c>
    </row>
    <row r="10190" spans="2:7" ht="11.25" hidden="1" customHeight="1" outlineLevel="2" x14ac:dyDescent="0.25">
      <c r="B10190" s="704" t="s">
        <v>673</v>
      </c>
      <c r="C10190" s="704" t="s">
        <v>910</v>
      </c>
      <c r="D10190" s="704" t="s">
        <v>44</v>
      </c>
      <c r="E10190" s="704" t="s">
        <v>861</v>
      </c>
      <c r="F10190" s="709"/>
      <c r="G10190" s="705">
        <v>20.795545367537141</v>
      </c>
    </row>
    <row r="10191" spans="2:7" ht="11.25" hidden="1" customHeight="1" outlineLevel="2" x14ac:dyDescent="0.25">
      <c r="B10191" s="704" t="s">
        <v>673</v>
      </c>
      <c r="C10191" s="704" t="s">
        <v>814</v>
      </c>
      <c r="D10191" s="704" t="s">
        <v>815</v>
      </c>
      <c r="E10191" s="704" t="s">
        <v>448</v>
      </c>
      <c r="F10191" s="705">
        <v>2.6027026481861473E-34</v>
      </c>
      <c r="G10191" s="705">
        <v>1.7109690376180409E-30</v>
      </c>
    </row>
    <row r="10192" spans="2:7" ht="11.25" hidden="1" customHeight="1" outlineLevel="2" x14ac:dyDescent="0.25">
      <c r="B10192" s="704" t="s">
        <v>673</v>
      </c>
      <c r="C10192" s="704" t="s">
        <v>854</v>
      </c>
      <c r="D10192" s="704" t="s">
        <v>815</v>
      </c>
      <c r="E10192" s="704" t="s">
        <v>824</v>
      </c>
      <c r="F10192" s="705">
        <v>1.6645027218787266E-36</v>
      </c>
      <c r="G10192" s="705">
        <v>2.4044512537756401E-32</v>
      </c>
    </row>
    <row r="10193" spans="2:7" ht="11.25" hidden="1" customHeight="1" outlineLevel="2" x14ac:dyDescent="0.25">
      <c r="B10193" s="704" t="s">
        <v>673</v>
      </c>
      <c r="C10193" s="704" t="s">
        <v>918</v>
      </c>
      <c r="D10193" s="704" t="s">
        <v>815</v>
      </c>
      <c r="E10193" s="704" t="s">
        <v>861</v>
      </c>
      <c r="F10193" s="709"/>
      <c r="G10193" s="705">
        <v>1.0800699774071823E-29</v>
      </c>
    </row>
    <row r="10194" spans="2:7" ht="11.25" hidden="1" customHeight="1" outlineLevel="2" x14ac:dyDescent="0.25">
      <c r="B10194" s="704" t="s">
        <v>673</v>
      </c>
      <c r="C10194" s="704" t="s">
        <v>740</v>
      </c>
      <c r="D10194" s="704" t="s">
        <v>562</v>
      </c>
      <c r="E10194" s="704" t="s">
        <v>448</v>
      </c>
      <c r="F10194" s="705">
        <v>7.3702866842318918E-3</v>
      </c>
      <c r="G10194" s="705">
        <v>3.652169111732305</v>
      </c>
    </row>
    <row r="10195" spans="2:7" ht="11.25" hidden="1" customHeight="1" outlineLevel="2" x14ac:dyDescent="0.25">
      <c r="B10195" s="704" t="s">
        <v>673</v>
      </c>
      <c r="C10195" s="704" t="s">
        <v>741</v>
      </c>
      <c r="D10195" s="704" t="s">
        <v>562</v>
      </c>
      <c r="E10195" s="704" t="s">
        <v>448</v>
      </c>
      <c r="F10195" s="705">
        <v>4.7095798836008729E-2</v>
      </c>
      <c r="G10195" s="705">
        <v>24.366114974648408</v>
      </c>
    </row>
    <row r="10196" spans="2:7" ht="11.25" hidden="1" customHeight="1" outlineLevel="2" x14ac:dyDescent="0.25">
      <c r="B10196" s="704" t="s">
        <v>673</v>
      </c>
      <c r="C10196" s="704" t="s">
        <v>742</v>
      </c>
      <c r="D10196" s="704" t="s">
        <v>562</v>
      </c>
      <c r="E10196" s="704" t="s">
        <v>448</v>
      </c>
      <c r="F10196" s="705">
        <v>2.0963845222397574E-5</v>
      </c>
      <c r="G10196" s="705">
        <v>9.3972635242634012E-3</v>
      </c>
    </row>
    <row r="10197" spans="2:7" ht="11.25" hidden="1" customHeight="1" outlineLevel="2" x14ac:dyDescent="0.25">
      <c r="B10197" s="704" t="s">
        <v>673</v>
      </c>
      <c r="C10197" s="704" t="s">
        <v>743</v>
      </c>
      <c r="D10197" s="704" t="s">
        <v>562</v>
      </c>
      <c r="E10197" s="704" t="s">
        <v>448</v>
      </c>
      <c r="F10197" s="705">
        <v>3.2986222814138008E-4</v>
      </c>
      <c r="G10197" s="705">
        <v>0.14786407801371526</v>
      </c>
    </row>
    <row r="10198" spans="2:7" ht="11.25" hidden="1" customHeight="1" outlineLevel="2" x14ac:dyDescent="0.25">
      <c r="B10198" s="704" t="s">
        <v>673</v>
      </c>
      <c r="C10198" s="704" t="s">
        <v>806</v>
      </c>
      <c r="D10198" s="704" t="s">
        <v>562</v>
      </c>
      <c r="E10198" s="704" t="s">
        <v>448</v>
      </c>
      <c r="F10198" s="705">
        <v>0.62825220434420115</v>
      </c>
      <c r="G10198" s="705">
        <v>751.78071449730828</v>
      </c>
    </row>
    <row r="10199" spans="2:7" ht="11.25" hidden="1" customHeight="1" outlineLevel="2" x14ac:dyDescent="0.25">
      <c r="B10199" s="704" t="s">
        <v>673</v>
      </c>
      <c r="C10199" s="704" t="s">
        <v>807</v>
      </c>
      <c r="D10199" s="704" t="s">
        <v>562</v>
      </c>
      <c r="E10199" s="704" t="s">
        <v>448</v>
      </c>
      <c r="F10199" s="705">
        <v>0.13522090382010343</v>
      </c>
      <c r="G10199" s="705">
        <v>188.12547563539894</v>
      </c>
    </row>
    <row r="10200" spans="2:7" ht="11.25" hidden="1" customHeight="1" outlineLevel="2" x14ac:dyDescent="0.25">
      <c r="B10200" s="704" t="s">
        <v>673</v>
      </c>
      <c r="C10200" s="704" t="s">
        <v>808</v>
      </c>
      <c r="D10200" s="704" t="s">
        <v>562</v>
      </c>
      <c r="E10200" s="704" t="s">
        <v>448</v>
      </c>
      <c r="F10200" s="705">
        <v>6.2416764107243512E-2</v>
      </c>
      <c r="G10200" s="705">
        <v>99.761567778925709</v>
      </c>
    </row>
    <row r="10201" spans="2:7" ht="11.25" hidden="1" customHeight="1" outlineLevel="2" x14ac:dyDescent="0.25">
      <c r="B10201" s="704" t="s">
        <v>673</v>
      </c>
      <c r="C10201" s="704" t="s">
        <v>809</v>
      </c>
      <c r="D10201" s="704" t="s">
        <v>562</v>
      </c>
      <c r="E10201" s="704" t="s">
        <v>448</v>
      </c>
      <c r="F10201" s="705">
        <v>0.14383021169032278</v>
      </c>
      <c r="G10201" s="705">
        <v>214.05211103029106</v>
      </c>
    </row>
    <row r="10202" spans="2:7" ht="11.25" hidden="1" customHeight="1" outlineLevel="2" x14ac:dyDescent="0.25">
      <c r="B10202" s="704" t="s">
        <v>673</v>
      </c>
      <c r="C10202" s="704" t="s">
        <v>810</v>
      </c>
      <c r="D10202" s="704" t="s">
        <v>562</v>
      </c>
      <c r="E10202" s="704" t="s">
        <v>448</v>
      </c>
      <c r="F10202" s="705">
        <v>0.27166171761358199</v>
      </c>
      <c r="G10202" s="705">
        <v>337.22070169515143</v>
      </c>
    </row>
    <row r="10203" spans="2:7" ht="11.25" hidden="1" customHeight="1" outlineLevel="2" x14ac:dyDescent="0.25">
      <c r="B10203" s="704" t="s">
        <v>673</v>
      </c>
      <c r="C10203" s="704" t="s">
        <v>811</v>
      </c>
      <c r="D10203" s="704" t="s">
        <v>562</v>
      </c>
      <c r="E10203" s="704" t="s">
        <v>448</v>
      </c>
      <c r="F10203" s="705">
        <v>1.1565134777539565E-2</v>
      </c>
      <c r="G10203" s="705">
        <v>15.860966418852914</v>
      </c>
    </row>
    <row r="10204" spans="2:7" ht="11.25" hidden="1" customHeight="1" outlineLevel="2" x14ac:dyDescent="0.25">
      <c r="B10204" s="704" t="s">
        <v>673</v>
      </c>
      <c r="C10204" s="704" t="s">
        <v>848</v>
      </c>
      <c r="D10204" s="704" t="s">
        <v>562</v>
      </c>
      <c r="E10204" s="704" t="s">
        <v>824</v>
      </c>
      <c r="F10204" s="705">
        <v>3.6384345763566771E-2</v>
      </c>
      <c r="G10204" s="705">
        <v>100.02805363405341</v>
      </c>
    </row>
    <row r="10205" spans="2:7" ht="11.25" hidden="1" customHeight="1" outlineLevel="2" x14ac:dyDescent="0.25">
      <c r="B10205" s="704" t="s">
        <v>673</v>
      </c>
      <c r="C10205" s="704" t="s">
        <v>849</v>
      </c>
      <c r="D10205" s="704" t="s">
        <v>562</v>
      </c>
      <c r="E10205" s="704" t="s">
        <v>824</v>
      </c>
      <c r="F10205" s="705">
        <v>5.2826159052379472E-3</v>
      </c>
      <c r="G10205" s="705">
        <v>22.279737619328749</v>
      </c>
    </row>
    <row r="10206" spans="2:7" ht="11.25" hidden="1" customHeight="1" outlineLevel="2" x14ac:dyDescent="0.25">
      <c r="B10206" s="704" t="s">
        <v>673</v>
      </c>
      <c r="C10206" s="704" t="s">
        <v>850</v>
      </c>
      <c r="D10206" s="704" t="s">
        <v>562</v>
      </c>
      <c r="E10206" s="704" t="s">
        <v>824</v>
      </c>
      <c r="F10206" s="705">
        <v>3.9081835497185545E-3</v>
      </c>
      <c r="G10206" s="705">
        <v>26.115864471802386</v>
      </c>
    </row>
    <row r="10207" spans="2:7" ht="11.25" hidden="1" customHeight="1" outlineLevel="2" x14ac:dyDescent="0.25">
      <c r="B10207" s="704" t="s">
        <v>673</v>
      </c>
      <c r="C10207" s="704" t="s">
        <v>851</v>
      </c>
      <c r="D10207" s="704" t="s">
        <v>562</v>
      </c>
      <c r="E10207" s="704" t="s">
        <v>824</v>
      </c>
      <c r="F10207" s="705">
        <v>6.8456794077263764E-3</v>
      </c>
      <c r="G10207" s="705">
        <v>32.442423705899067</v>
      </c>
    </row>
    <row r="10208" spans="2:7" ht="11.25" hidden="1" customHeight="1" outlineLevel="2" x14ac:dyDescent="0.25">
      <c r="B10208" s="704" t="s">
        <v>673</v>
      </c>
      <c r="C10208" s="704" t="s">
        <v>852</v>
      </c>
      <c r="D10208" s="704" t="s">
        <v>562</v>
      </c>
      <c r="E10208" s="704" t="s">
        <v>824</v>
      </c>
      <c r="F10208" s="705">
        <v>1.709327559185819E-4</v>
      </c>
      <c r="G10208" s="705">
        <v>0.4385482812485953</v>
      </c>
    </row>
    <row r="10209" spans="2:7" ht="11.25" hidden="1" customHeight="1" outlineLevel="2" x14ac:dyDescent="0.25">
      <c r="B10209" s="704" t="s">
        <v>673</v>
      </c>
      <c r="C10209" s="704" t="s">
        <v>853</v>
      </c>
      <c r="D10209" s="704" t="s">
        <v>562</v>
      </c>
      <c r="E10209" s="704" t="s">
        <v>824</v>
      </c>
      <c r="F10209" s="705">
        <v>4.9869833710106336E-5</v>
      </c>
      <c r="G10209" s="705">
        <v>0.40735357326601507</v>
      </c>
    </row>
    <row r="10210" spans="2:7" ht="11.25" hidden="1" customHeight="1" outlineLevel="2" x14ac:dyDescent="0.25">
      <c r="B10210" s="704" t="s">
        <v>673</v>
      </c>
      <c r="C10210" s="704" t="s">
        <v>707</v>
      </c>
      <c r="D10210" s="704" t="s">
        <v>562</v>
      </c>
      <c r="E10210" s="704" t="s">
        <v>676</v>
      </c>
      <c r="F10210" s="705">
        <v>0.80389029621148067</v>
      </c>
      <c r="G10210" s="705">
        <v>22.323202308482106</v>
      </c>
    </row>
    <row r="10211" spans="2:7" ht="11.25" hidden="1" customHeight="1" outlineLevel="2" x14ac:dyDescent="0.25">
      <c r="B10211" s="704" t="s">
        <v>673</v>
      </c>
      <c r="C10211" s="704" t="s">
        <v>708</v>
      </c>
      <c r="D10211" s="704" t="s">
        <v>562</v>
      </c>
      <c r="E10211" s="704" t="s">
        <v>676</v>
      </c>
      <c r="F10211" s="705">
        <v>3.0820012848344892E-2</v>
      </c>
      <c r="G10211" s="705">
        <v>1.1203546486198888</v>
      </c>
    </row>
    <row r="10212" spans="2:7" ht="11.25" hidden="1" customHeight="1" outlineLevel="2" x14ac:dyDescent="0.25">
      <c r="B10212" s="704" t="s">
        <v>673</v>
      </c>
      <c r="C10212" s="704" t="s">
        <v>709</v>
      </c>
      <c r="D10212" s="704" t="s">
        <v>562</v>
      </c>
      <c r="E10212" s="704" t="s">
        <v>676</v>
      </c>
      <c r="F10212" s="705">
        <v>2.2126505603820529E-2</v>
      </c>
      <c r="G10212" s="705">
        <v>1.5518808101577897</v>
      </c>
    </row>
    <row r="10213" spans="2:7" ht="11.25" hidden="1" customHeight="1" outlineLevel="2" x14ac:dyDescent="0.25">
      <c r="B10213" s="704" t="s">
        <v>673</v>
      </c>
      <c r="C10213" s="704" t="s">
        <v>710</v>
      </c>
      <c r="D10213" s="704" t="s">
        <v>562</v>
      </c>
      <c r="E10213" s="704" t="s">
        <v>676</v>
      </c>
      <c r="F10213" s="705">
        <v>0.26247878185096873</v>
      </c>
      <c r="G10213" s="705">
        <v>54.927756521867629</v>
      </c>
    </row>
    <row r="10214" spans="2:7" ht="11.25" hidden="1" customHeight="1" outlineLevel="2" x14ac:dyDescent="0.25">
      <c r="B10214" s="704" t="s">
        <v>673</v>
      </c>
      <c r="C10214" s="704" t="s">
        <v>911</v>
      </c>
      <c r="D10214" s="704" t="s">
        <v>562</v>
      </c>
      <c r="E10214" s="704" t="s">
        <v>861</v>
      </c>
      <c r="F10214" s="709"/>
      <c r="G10214" s="705">
        <v>585.73383072857894</v>
      </c>
    </row>
    <row r="10215" spans="2:7" ht="11.25" hidden="1" customHeight="1" outlineLevel="2" x14ac:dyDescent="0.25">
      <c r="B10215" s="704" t="s">
        <v>673</v>
      </c>
      <c r="C10215" s="704" t="s">
        <v>912</v>
      </c>
      <c r="D10215" s="704" t="s">
        <v>562</v>
      </c>
      <c r="E10215" s="704" t="s">
        <v>861</v>
      </c>
      <c r="F10215" s="709"/>
      <c r="G10215" s="705">
        <v>136.48354666299397</v>
      </c>
    </row>
    <row r="10216" spans="2:7" ht="11.25" hidden="1" customHeight="1" outlineLevel="2" x14ac:dyDescent="0.25">
      <c r="B10216" s="704" t="s">
        <v>673</v>
      </c>
      <c r="C10216" s="704" t="s">
        <v>913</v>
      </c>
      <c r="D10216" s="704" t="s">
        <v>562</v>
      </c>
      <c r="E10216" s="704" t="s">
        <v>861</v>
      </c>
      <c r="F10216" s="709"/>
      <c r="G10216" s="705">
        <v>378.68888805363827</v>
      </c>
    </row>
    <row r="10217" spans="2:7" ht="11.25" hidden="1" customHeight="1" outlineLevel="2" x14ac:dyDescent="0.25">
      <c r="B10217" s="704" t="s">
        <v>673</v>
      </c>
      <c r="C10217" s="704" t="s">
        <v>914</v>
      </c>
      <c r="D10217" s="704" t="s">
        <v>562</v>
      </c>
      <c r="E10217" s="704" t="s">
        <v>861</v>
      </c>
      <c r="F10217" s="709"/>
      <c r="G10217" s="705">
        <v>192.28596424197795</v>
      </c>
    </row>
    <row r="10218" spans="2:7" ht="11.25" hidden="1" customHeight="1" outlineLevel="2" x14ac:dyDescent="0.25">
      <c r="B10218" s="704" t="s">
        <v>673</v>
      </c>
      <c r="C10218" s="704" t="s">
        <v>915</v>
      </c>
      <c r="D10218" s="704" t="s">
        <v>562</v>
      </c>
      <c r="E10218" s="704" t="s">
        <v>861</v>
      </c>
      <c r="F10218" s="709"/>
      <c r="G10218" s="705">
        <v>18.472194354192006</v>
      </c>
    </row>
    <row r="10219" spans="2:7" ht="11.25" hidden="1" customHeight="1" outlineLevel="2" x14ac:dyDescent="0.25">
      <c r="B10219" s="704" t="s">
        <v>673</v>
      </c>
      <c r="C10219" s="704" t="s">
        <v>916</v>
      </c>
      <c r="D10219" s="704" t="s">
        <v>562</v>
      </c>
      <c r="E10219" s="704" t="s">
        <v>861</v>
      </c>
      <c r="F10219" s="709"/>
      <c r="G10219" s="705">
        <v>16.389019422585918</v>
      </c>
    </row>
    <row r="10220" spans="2:7" ht="11.25" hidden="1" customHeight="1" outlineLevel="2" x14ac:dyDescent="0.25">
      <c r="B10220" s="704" t="s">
        <v>673</v>
      </c>
      <c r="C10220" s="704" t="s">
        <v>719</v>
      </c>
      <c r="D10220" s="704" t="s">
        <v>675</v>
      </c>
      <c r="E10220" s="704" t="s">
        <v>448</v>
      </c>
      <c r="F10220" s="705">
        <v>6.6142066426953796E-3</v>
      </c>
      <c r="G10220" s="705">
        <v>4.0781214534397945</v>
      </c>
    </row>
    <row r="10221" spans="2:7" ht="11.25" hidden="1" customHeight="1" outlineLevel="2" x14ac:dyDescent="0.25">
      <c r="B10221" s="704" t="s">
        <v>673</v>
      </c>
      <c r="C10221" s="704" t="s">
        <v>720</v>
      </c>
      <c r="D10221" s="704" t="s">
        <v>675</v>
      </c>
      <c r="E10221" s="704" t="s">
        <v>448</v>
      </c>
      <c r="F10221" s="705">
        <v>5.4662198972995637E-4</v>
      </c>
      <c r="G10221" s="705">
        <v>0.26449728365327957</v>
      </c>
    </row>
    <row r="10222" spans="2:7" ht="11.25" hidden="1" customHeight="1" outlineLevel="2" x14ac:dyDescent="0.25">
      <c r="B10222" s="704" t="s">
        <v>673</v>
      </c>
      <c r="C10222" s="704" t="s">
        <v>721</v>
      </c>
      <c r="D10222" s="704" t="s">
        <v>675</v>
      </c>
      <c r="E10222" s="704" t="s">
        <v>448</v>
      </c>
      <c r="F10222" s="705">
        <v>6.6197567832325984E-4</v>
      </c>
      <c r="G10222" s="705">
        <v>0.31619112362015922</v>
      </c>
    </row>
    <row r="10223" spans="2:7" ht="11.25" hidden="1" customHeight="1" outlineLevel="2" x14ac:dyDescent="0.25">
      <c r="B10223" s="704" t="s">
        <v>673</v>
      </c>
      <c r="C10223" s="704" t="s">
        <v>722</v>
      </c>
      <c r="D10223" s="704" t="s">
        <v>675</v>
      </c>
      <c r="E10223" s="704" t="s">
        <v>448</v>
      </c>
      <c r="F10223" s="705">
        <v>5.2823638013481499E-6</v>
      </c>
      <c r="G10223" s="705">
        <v>2.3678055738047899E-3</v>
      </c>
    </row>
    <row r="10224" spans="2:7" ht="11.25" hidden="1" customHeight="1" outlineLevel="2" x14ac:dyDescent="0.25">
      <c r="B10224" s="704" t="s">
        <v>673</v>
      </c>
      <c r="C10224" s="704" t="s">
        <v>723</v>
      </c>
      <c r="D10224" s="704" t="s">
        <v>675</v>
      </c>
      <c r="E10224" s="704" t="s">
        <v>448</v>
      </c>
      <c r="F10224" s="705">
        <v>1.8843622714206962E-2</v>
      </c>
      <c r="G10224" s="705">
        <v>10.538505200237928</v>
      </c>
    </row>
    <row r="10225" spans="2:7" ht="11.25" hidden="1" customHeight="1" outlineLevel="2" x14ac:dyDescent="0.25">
      <c r="B10225" s="704" t="s">
        <v>673</v>
      </c>
      <c r="C10225" s="704" t="s">
        <v>724</v>
      </c>
      <c r="D10225" s="704" t="s">
        <v>675</v>
      </c>
      <c r="E10225" s="704" t="s">
        <v>448</v>
      </c>
      <c r="F10225" s="705">
        <v>1.3754850342295732E-4</v>
      </c>
      <c r="G10225" s="705">
        <v>6.1655689731861071E-2</v>
      </c>
    </row>
    <row r="10226" spans="2:7" ht="11.25" hidden="1" customHeight="1" outlineLevel="2" x14ac:dyDescent="0.25">
      <c r="B10226" s="704" t="s">
        <v>673</v>
      </c>
      <c r="C10226" s="704" t="s">
        <v>750</v>
      </c>
      <c r="D10226" s="704" t="s">
        <v>675</v>
      </c>
      <c r="E10226" s="704" t="s">
        <v>448</v>
      </c>
      <c r="F10226" s="705">
        <v>2.3470977454537914E-3</v>
      </c>
      <c r="G10226" s="705">
        <v>3.6253676111343944</v>
      </c>
    </row>
    <row r="10227" spans="2:7" ht="11.25" hidden="1" customHeight="1" outlineLevel="2" x14ac:dyDescent="0.25">
      <c r="B10227" s="704" t="s">
        <v>673</v>
      </c>
      <c r="C10227" s="704" t="s">
        <v>751</v>
      </c>
      <c r="D10227" s="704" t="s">
        <v>675</v>
      </c>
      <c r="E10227" s="704" t="s">
        <v>448</v>
      </c>
      <c r="F10227" s="705">
        <v>2.0791428830115198E-5</v>
      </c>
      <c r="G10227" s="705">
        <v>2.6790517933119217E-2</v>
      </c>
    </row>
    <row r="10228" spans="2:7" ht="11.25" hidden="1" customHeight="1" outlineLevel="2" x14ac:dyDescent="0.25">
      <c r="B10228" s="704" t="s">
        <v>673</v>
      </c>
      <c r="C10228" s="704" t="s">
        <v>752</v>
      </c>
      <c r="D10228" s="704" t="s">
        <v>675</v>
      </c>
      <c r="E10228" s="704" t="s">
        <v>448</v>
      </c>
      <c r="F10228" s="705">
        <v>5.7191920101656076E-3</v>
      </c>
      <c r="G10228" s="705">
        <v>6.78413957881763</v>
      </c>
    </row>
    <row r="10229" spans="2:7" ht="11.25" hidden="1" customHeight="1" outlineLevel="2" x14ac:dyDescent="0.25">
      <c r="B10229" s="704" t="s">
        <v>673</v>
      </c>
      <c r="C10229" s="704" t="s">
        <v>753</v>
      </c>
      <c r="D10229" s="704" t="s">
        <v>675</v>
      </c>
      <c r="E10229" s="704" t="s">
        <v>448</v>
      </c>
      <c r="F10229" s="705">
        <v>4.0965872834051635E-3</v>
      </c>
      <c r="G10229" s="705">
        <v>6.4105942367793354</v>
      </c>
    </row>
    <row r="10230" spans="2:7" ht="11.25" hidden="1" customHeight="1" outlineLevel="2" x14ac:dyDescent="0.25">
      <c r="B10230" s="704" t="s">
        <v>673</v>
      </c>
      <c r="C10230" s="704" t="s">
        <v>754</v>
      </c>
      <c r="D10230" s="704" t="s">
        <v>675</v>
      </c>
      <c r="E10230" s="704" t="s">
        <v>448</v>
      </c>
      <c r="F10230" s="705">
        <v>1.0086601966614546E-2</v>
      </c>
      <c r="G10230" s="705">
        <v>12.75925244931836</v>
      </c>
    </row>
    <row r="10231" spans="2:7" ht="11.25" hidden="1" customHeight="1" outlineLevel="2" x14ac:dyDescent="0.25">
      <c r="B10231" s="704" t="s">
        <v>673</v>
      </c>
      <c r="C10231" s="704" t="s">
        <v>755</v>
      </c>
      <c r="D10231" s="704" t="s">
        <v>675</v>
      </c>
      <c r="E10231" s="704" t="s">
        <v>448</v>
      </c>
      <c r="F10231" s="705">
        <v>3.9453336324789083E-3</v>
      </c>
      <c r="G10231" s="705">
        <v>5.3805788278073576</v>
      </c>
    </row>
    <row r="10232" spans="2:7" ht="11.25" hidden="1" customHeight="1" outlineLevel="2" x14ac:dyDescent="0.25">
      <c r="B10232" s="704" t="s">
        <v>673</v>
      </c>
      <c r="C10232" s="704" t="s">
        <v>756</v>
      </c>
      <c r="D10232" s="704" t="s">
        <v>675</v>
      </c>
      <c r="E10232" s="704" t="s">
        <v>448</v>
      </c>
      <c r="F10232" s="705">
        <v>2.1261539581283786E-4</v>
      </c>
      <c r="G10232" s="705">
        <v>0.27935609107643172</v>
      </c>
    </row>
    <row r="10233" spans="2:7" ht="11.25" hidden="1" customHeight="1" outlineLevel="2" x14ac:dyDescent="0.25">
      <c r="B10233" s="704" t="s">
        <v>673</v>
      </c>
      <c r="C10233" s="704" t="s">
        <v>757</v>
      </c>
      <c r="D10233" s="704" t="s">
        <v>675</v>
      </c>
      <c r="E10233" s="704" t="s">
        <v>448</v>
      </c>
      <c r="F10233" s="705">
        <v>7.5173782339259861E-3</v>
      </c>
      <c r="G10233" s="705">
        <v>11.264093231981585</v>
      </c>
    </row>
    <row r="10234" spans="2:7" ht="11.25" hidden="1" customHeight="1" outlineLevel="2" x14ac:dyDescent="0.25">
      <c r="B10234" s="704" t="s">
        <v>673</v>
      </c>
      <c r="C10234" s="704" t="s">
        <v>758</v>
      </c>
      <c r="D10234" s="704" t="s">
        <v>675</v>
      </c>
      <c r="E10234" s="704" t="s">
        <v>448</v>
      </c>
      <c r="F10234" s="705">
        <v>3.3837862718013156E-3</v>
      </c>
      <c r="G10234" s="705">
        <v>3.8795353341208401</v>
      </c>
    </row>
    <row r="10235" spans="2:7" ht="11.25" hidden="1" customHeight="1" outlineLevel="2" x14ac:dyDescent="0.25">
      <c r="B10235" s="704" t="s">
        <v>673</v>
      </c>
      <c r="C10235" s="704" t="s">
        <v>759</v>
      </c>
      <c r="D10235" s="704" t="s">
        <v>675</v>
      </c>
      <c r="E10235" s="704" t="s">
        <v>448</v>
      </c>
      <c r="F10235" s="705">
        <v>1.6747018168624526E-2</v>
      </c>
      <c r="G10235" s="705">
        <v>23.460891342720757</v>
      </c>
    </row>
    <row r="10236" spans="2:7" ht="11.25" hidden="1" customHeight="1" outlineLevel="2" x14ac:dyDescent="0.25">
      <c r="B10236" s="704" t="s">
        <v>673</v>
      </c>
      <c r="C10236" s="704" t="s">
        <v>760</v>
      </c>
      <c r="D10236" s="704" t="s">
        <v>675</v>
      </c>
      <c r="E10236" s="704" t="s">
        <v>448</v>
      </c>
      <c r="F10236" s="705">
        <v>1.1286243131800254E-2</v>
      </c>
      <c r="G10236" s="705">
        <v>11.238999827008357</v>
      </c>
    </row>
    <row r="10237" spans="2:7" ht="11.25" hidden="1" customHeight="1" outlineLevel="2" x14ac:dyDescent="0.25">
      <c r="B10237" s="704" t="s">
        <v>673</v>
      </c>
      <c r="C10237" s="704" t="s">
        <v>761</v>
      </c>
      <c r="D10237" s="704" t="s">
        <v>675</v>
      </c>
      <c r="E10237" s="704" t="s">
        <v>448</v>
      </c>
      <c r="F10237" s="705">
        <v>5.3579418989565565E-4</v>
      </c>
      <c r="G10237" s="705">
        <v>0.89592460058893952</v>
      </c>
    </row>
    <row r="10238" spans="2:7" ht="11.25" hidden="1" customHeight="1" outlineLevel="2" x14ac:dyDescent="0.25">
      <c r="B10238" s="704" t="s">
        <v>673</v>
      </c>
      <c r="C10238" s="704" t="s">
        <v>762</v>
      </c>
      <c r="D10238" s="704" t="s">
        <v>675</v>
      </c>
      <c r="E10238" s="704" t="s">
        <v>448</v>
      </c>
      <c r="F10238" s="705">
        <v>1.0904831015834803E-3</v>
      </c>
      <c r="G10238" s="705">
        <v>1.5191642571694584</v>
      </c>
    </row>
    <row r="10239" spans="2:7" ht="11.25" hidden="1" customHeight="1" outlineLevel="2" x14ac:dyDescent="0.25">
      <c r="B10239" s="704" t="s">
        <v>673</v>
      </c>
      <c r="C10239" s="704" t="s">
        <v>763</v>
      </c>
      <c r="D10239" s="704" t="s">
        <v>675</v>
      </c>
      <c r="E10239" s="704" t="s">
        <v>448</v>
      </c>
      <c r="F10239" s="705">
        <v>4.8405765105927602E-4</v>
      </c>
      <c r="G10239" s="705">
        <v>1.3613086046352181</v>
      </c>
    </row>
    <row r="10240" spans="2:7" ht="11.25" hidden="1" customHeight="1" outlineLevel="2" x14ac:dyDescent="0.25">
      <c r="B10240" s="704" t="s">
        <v>673</v>
      </c>
      <c r="C10240" s="704" t="s">
        <v>764</v>
      </c>
      <c r="D10240" s="704" t="s">
        <v>675</v>
      </c>
      <c r="E10240" s="704" t="s">
        <v>448</v>
      </c>
      <c r="F10240" s="705">
        <v>5.6409125147795073E-4</v>
      </c>
      <c r="G10240" s="705">
        <v>3.2514068607923261</v>
      </c>
    </row>
    <row r="10241" spans="2:7" ht="11.25" hidden="1" customHeight="1" outlineLevel="2" x14ac:dyDescent="0.25">
      <c r="B10241" s="704" t="s">
        <v>673</v>
      </c>
      <c r="C10241" s="704" t="s">
        <v>765</v>
      </c>
      <c r="D10241" s="704" t="s">
        <v>675</v>
      </c>
      <c r="E10241" s="704" t="s">
        <v>448</v>
      </c>
      <c r="F10241" s="705">
        <v>5.3393198250496999E-3</v>
      </c>
      <c r="G10241" s="705">
        <v>7.7049845249846376</v>
      </c>
    </row>
    <row r="10242" spans="2:7" ht="11.25" hidden="1" customHeight="1" outlineLevel="2" x14ac:dyDescent="0.25">
      <c r="B10242" s="704" t="s">
        <v>673</v>
      </c>
      <c r="C10242" s="704" t="s">
        <v>766</v>
      </c>
      <c r="D10242" s="704" t="s">
        <v>675</v>
      </c>
      <c r="E10242" s="704" t="s">
        <v>448</v>
      </c>
      <c r="F10242" s="705">
        <v>3.3103406103199571E-3</v>
      </c>
      <c r="G10242" s="705">
        <v>5.288033336867036</v>
      </c>
    </row>
    <row r="10243" spans="2:7" ht="11.25" hidden="1" customHeight="1" outlineLevel="2" x14ac:dyDescent="0.25">
      <c r="B10243" s="704" t="s">
        <v>673</v>
      </c>
      <c r="C10243" s="704" t="s">
        <v>767</v>
      </c>
      <c r="D10243" s="704" t="s">
        <v>675</v>
      </c>
      <c r="E10243" s="704" t="s">
        <v>448</v>
      </c>
      <c r="F10243" s="705">
        <v>1.6674982661846964E-3</v>
      </c>
      <c r="G10243" s="705">
        <v>1.7423591884838927</v>
      </c>
    </row>
    <row r="10244" spans="2:7" ht="11.25" hidden="1" customHeight="1" outlineLevel="2" x14ac:dyDescent="0.25">
      <c r="B10244" s="704" t="s">
        <v>673</v>
      </c>
      <c r="C10244" s="704" t="s">
        <v>768</v>
      </c>
      <c r="D10244" s="704" t="s">
        <v>675</v>
      </c>
      <c r="E10244" s="704" t="s">
        <v>448</v>
      </c>
      <c r="F10244" s="705">
        <v>7.7692727787547378E-4</v>
      </c>
      <c r="G10244" s="705">
        <v>1.2308575538862856</v>
      </c>
    </row>
    <row r="10245" spans="2:7" ht="11.25" hidden="1" customHeight="1" outlineLevel="2" x14ac:dyDescent="0.25">
      <c r="B10245" s="704" t="s">
        <v>673</v>
      </c>
      <c r="C10245" s="704" t="s">
        <v>825</v>
      </c>
      <c r="D10245" s="704" t="s">
        <v>675</v>
      </c>
      <c r="E10245" s="704" t="s">
        <v>824</v>
      </c>
      <c r="F10245" s="705">
        <v>1.4724494478168359E-4</v>
      </c>
      <c r="G10245" s="705">
        <v>0.69717689105758507</v>
      </c>
    </row>
    <row r="10246" spans="2:7" ht="11.25" hidden="1" customHeight="1" outlineLevel="2" x14ac:dyDescent="0.25">
      <c r="B10246" s="704" t="s">
        <v>673</v>
      </c>
      <c r="C10246" s="704" t="s">
        <v>826</v>
      </c>
      <c r="D10246" s="704" t="s">
        <v>675</v>
      </c>
      <c r="E10246" s="704" t="s">
        <v>824</v>
      </c>
      <c r="F10246" s="705">
        <v>1.0945712378554294E-4</v>
      </c>
      <c r="G10246" s="705">
        <v>1.1699954006757545</v>
      </c>
    </row>
    <row r="10247" spans="2:7" ht="11.25" hidden="1" customHeight="1" outlineLevel="2" x14ac:dyDescent="0.25">
      <c r="B10247" s="704" t="s">
        <v>673</v>
      </c>
      <c r="C10247" s="704" t="s">
        <v>827</v>
      </c>
      <c r="D10247" s="704" t="s">
        <v>675</v>
      </c>
      <c r="E10247" s="704" t="s">
        <v>824</v>
      </c>
      <c r="F10247" s="705">
        <v>8.1051147315854347E-5</v>
      </c>
      <c r="G10247" s="705">
        <v>0.1935521460979861</v>
      </c>
    </row>
    <row r="10248" spans="2:7" ht="11.25" hidden="1" customHeight="1" outlineLevel="2" x14ac:dyDescent="0.25">
      <c r="B10248" s="704" t="s">
        <v>673</v>
      </c>
      <c r="C10248" s="704" t="s">
        <v>828</v>
      </c>
      <c r="D10248" s="704" t="s">
        <v>675</v>
      </c>
      <c r="E10248" s="704" t="s">
        <v>824</v>
      </c>
      <c r="F10248" s="705">
        <v>2.2100911348229906E-5</v>
      </c>
      <c r="G10248" s="705">
        <v>0.12128413991516737</v>
      </c>
    </row>
    <row r="10249" spans="2:7" ht="11.25" hidden="1" customHeight="1" outlineLevel="2" x14ac:dyDescent="0.25">
      <c r="B10249" s="704" t="s">
        <v>673</v>
      </c>
      <c r="C10249" s="704" t="s">
        <v>829</v>
      </c>
      <c r="D10249" s="704" t="s">
        <v>675</v>
      </c>
      <c r="E10249" s="704" t="s">
        <v>824</v>
      </c>
      <c r="F10249" s="705">
        <v>4.7827884455283295E-4</v>
      </c>
      <c r="G10249" s="705">
        <v>2.1463188069936194</v>
      </c>
    </row>
    <row r="10250" spans="2:7" ht="11.25" hidden="1" customHeight="1" outlineLevel="2" x14ac:dyDescent="0.25">
      <c r="B10250" s="704" t="s">
        <v>673</v>
      </c>
      <c r="C10250" s="704" t="s">
        <v>830</v>
      </c>
      <c r="D10250" s="704" t="s">
        <v>675</v>
      </c>
      <c r="E10250" s="704" t="s">
        <v>824</v>
      </c>
      <c r="F10250" s="705">
        <v>4.3390917736020151E-4</v>
      </c>
      <c r="G10250" s="705">
        <v>0.77279812565908512</v>
      </c>
    </row>
    <row r="10251" spans="2:7" ht="11.25" hidden="1" customHeight="1" outlineLevel="2" x14ac:dyDescent="0.25">
      <c r="B10251" s="704" t="s">
        <v>673</v>
      </c>
      <c r="C10251" s="704" t="s">
        <v>831</v>
      </c>
      <c r="D10251" s="704" t="s">
        <v>675</v>
      </c>
      <c r="E10251" s="704" t="s">
        <v>824</v>
      </c>
      <c r="F10251" s="705">
        <v>1.2038978425747801E-4</v>
      </c>
      <c r="G10251" s="705">
        <v>1.985689365911584</v>
      </c>
    </row>
    <row r="10252" spans="2:7" ht="11.25" hidden="1" customHeight="1" outlineLevel="2" x14ac:dyDescent="0.25">
      <c r="B10252" s="704" t="s">
        <v>673</v>
      </c>
      <c r="C10252" s="704" t="s">
        <v>832</v>
      </c>
      <c r="D10252" s="704" t="s">
        <v>675</v>
      </c>
      <c r="E10252" s="704" t="s">
        <v>824</v>
      </c>
      <c r="F10252" s="705">
        <v>3.2908137132080007E-4</v>
      </c>
      <c r="G10252" s="705">
        <v>0.79087859166600727</v>
      </c>
    </row>
    <row r="10253" spans="2:7" ht="11.25" hidden="1" customHeight="1" outlineLevel="2" x14ac:dyDescent="0.25">
      <c r="B10253" s="704" t="s">
        <v>673</v>
      </c>
      <c r="C10253" s="704" t="s">
        <v>833</v>
      </c>
      <c r="D10253" s="704" t="s">
        <v>675</v>
      </c>
      <c r="E10253" s="704" t="s">
        <v>824</v>
      </c>
      <c r="F10253" s="705">
        <v>5.0259717809454929E-5</v>
      </c>
      <c r="G10253" s="705">
        <v>0.12726389617623471</v>
      </c>
    </row>
    <row r="10254" spans="2:7" ht="11.25" hidden="1" customHeight="1" outlineLevel="2" x14ac:dyDescent="0.25">
      <c r="B10254" s="704" t="s">
        <v>673</v>
      </c>
      <c r="C10254" s="704" t="s">
        <v>834</v>
      </c>
      <c r="D10254" s="704" t="s">
        <v>675</v>
      </c>
      <c r="E10254" s="704" t="s">
        <v>824</v>
      </c>
      <c r="F10254" s="705">
        <v>3.6404105112430103E-4</v>
      </c>
      <c r="G10254" s="705">
        <v>1.3767187810923898</v>
      </c>
    </row>
    <row r="10255" spans="2:7" ht="11.25" hidden="1" customHeight="1" outlineLevel="2" x14ac:dyDescent="0.25">
      <c r="B10255" s="704" t="s">
        <v>673</v>
      </c>
      <c r="C10255" s="704" t="s">
        <v>835</v>
      </c>
      <c r="D10255" s="704" t="s">
        <v>675</v>
      </c>
      <c r="E10255" s="704" t="s">
        <v>824</v>
      </c>
      <c r="F10255" s="705">
        <v>4.5658662558795338E-4</v>
      </c>
      <c r="G10255" s="705">
        <v>3.3523799833484489</v>
      </c>
    </row>
    <row r="10256" spans="2:7" ht="11.25" hidden="1" customHeight="1" outlineLevel="2" x14ac:dyDescent="0.25">
      <c r="B10256" s="704" t="s">
        <v>673</v>
      </c>
      <c r="C10256" s="704" t="s">
        <v>836</v>
      </c>
      <c r="D10256" s="704" t="s">
        <v>675</v>
      </c>
      <c r="E10256" s="704" t="s">
        <v>824</v>
      </c>
      <c r="F10256" s="705">
        <v>3.1858397912640682E-5</v>
      </c>
      <c r="G10256" s="705">
        <v>0.35019436064044152</v>
      </c>
    </row>
    <row r="10257" spans="2:7" ht="11.25" hidden="1" customHeight="1" outlineLevel="2" x14ac:dyDescent="0.25">
      <c r="B10257" s="704" t="s">
        <v>673</v>
      </c>
      <c r="C10257" s="704" t="s">
        <v>837</v>
      </c>
      <c r="D10257" s="704" t="s">
        <v>675</v>
      </c>
      <c r="E10257" s="704" t="s">
        <v>824</v>
      </c>
      <c r="F10257" s="705">
        <v>1.0506606430807563E-3</v>
      </c>
      <c r="G10257" s="705">
        <v>2.9008818485955983</v>
      </c>
    </row>
    <row r="10258" spans="2:7" ht="11.25" hidden="1" customHeight="1" outlineLevel="2" x14ac:dyDescent="0.25">
      <c r="B10258" s="704" t="s">
        <v>673</v>
      </c>
      <c r="C10258" s="704" t="s">
        <v>838</v>
      </c>
      <c r="D10258" s="704" t="s">
        <v>675</v>
      </c>
      <c r="E10258" s="704" t="s">
        <v>824</v>
      </c>
      <c r="F10258" s="705">
        <v>5.419616215420781E-4</v>
      </c>
      <c r="G10258" s="705">
        <v>1.1996342157668611</v>
      </c>
    </row>
    <row r="10259" spans="2:7" ht="11.25" hidden="1" customHeight="1" outlineLevel="2" x14ac:dyDescent="0.25">
      <c r="B10259" s="704" t="s">
        <v>673</v>
      </c>
      <c r="C10259" s="704" t="s">
        <v>674</v>
      </c>
      <c r="D10259" s="704" t="s">
        <v>675</v>
      </c>
      <c r="E10259" s="704" t="s">
        <v>676</v>
      </c>
      <c r="F10259" s="705">
        <v>1.536882996822734E-3</v>
      </c>
      <c r="G10259" s="705">
        <v>3.8034520024112894E-2</v>
      </c>
    </row>
    <row r="10260" spans="2:7" ht="11.25" hidden="1" customHeight="1" outlineLevel="2" x14ac:dyDescent="0.25">
      <c r="B10260" s="704" t="s">
        <v>673</v>
      </c>
      <c r="C10260" s="704" t="s">
        <v>862</v>
      </c>
      <c r="D10260" s="704" t="s">
        <v>675</v>
      </c>
      <c r="E10260" s="704" t="s">
        <v>861</v>
      </c>
      <c r="F10260" s="709"/>
      <c r="G10260" s="705">
        <v>112.92892940228325</v>
      </c>
    </row>
    <row r="10261" spans="2:7" ht="11.25" hidden="1" customHeight="1" outlineLevel="2" x14ac:dyDescent="0.25">
      <c r="B10261" s="704" t="s">
        <v>673</v>
      </c>
      <c r="C10261" s="704" t="s">
        <v>863</v>
      </c>
      <c r="D10261" s="704" t="s">
        <v>675</v>
      </c>
      <c r="E10261" s="704" t="s">
        <v>861</v>
      </c>
      <c r="F10261" s="709"/>
      <c r="G10261" s="705">
        <v>0.18408181297184548</v>
      </c>
    </row>
    <row r="10262" spans="2:7" ht="11.25" hidden="1" customHeight="1" outlineLevel="2" x14ac:dyDescent="0.25">
      <c r="B10262" s="704" t="s">
        <v>673</v>
      </c>
      <c r="C10262" s="704" t="s">
        <v>864</v>
      </c>
      <c r="D10262" s="704" t="s">
        <v>675</v>
      </c>
      <c r="E10262" s="704" t="s">
        <v>861</v>
      </c>
      <c r="F10262" s="709"/>
      <c r="G10262" s="705">
        <v>3.0326834664232796</v>
      </c>
    </row>
    <row r="10263" spans="2:7" ht="11.25" hidden="1" customHeight="1" outlineLevel="2" x14ac:dyDescent="0.25">
      <c r="B10263" s="704" t="s">
        <v>673</v>
      </c>
      <c r="C10263" s="704" t="s">
        <v>865</v>
      </c>
      <c r="D10263" s="704" t="s">
        <v>675</v>
      </c>
      <c r="E10263" s="704" t="s">
        <v>861</v>
      </c>
      <c r="F10263" s="709"/>
      <c r="G10263" s="705">
        <v>282.67437396437674</v>
      </c>
    </row>
    <row r="10264" spans="2:7" ht="11.25" hidden="1" customHeight="1" outlineLevel="2" x14ac:dyDescent="0.25">
      <c r="B10264" s="704" t="s">
        <v>673</v>
      </c>
      <c r="C10264" s="704" t="s">
        <v>866</v>
      </c>
      <c r="D10264" s="704" t="s">
        <v>675</v>
      </c>
      <c r="E10264" s="704" t="s">
        <v>861</v>
      </c>
      <c r="F10264" s="709"/>
      <c r="G10264" s="705">
        <v>307.49028747185116</v>
      </c>
    </row>
    <row r="10265" spans="2:7" ht="11.25" hidden="1" customHeight="1" outlineLevel="2" x14ac:dyDescent="0.25">
      <c r="B10265" s="704" t="s">
        <v>673</v>
      </c>
      <c r="C10265" s="704" t="s">
        <v>867</v>
      </c>
      <c r="D10265" s="704" t="s">
        <v>675</v>
      </c>
      <c r="E10265" s="704" t="s">
        <v>861</v>
      </c>
      <c r="F10265" s="709"/>
      <c r="G10265" s="705">
        <v>16.940687290986229</v>
      </c>
    </row>
    <row r="10266" spans="2:7" ht="11.25" hidden="1" customHeight="1" outlineLevel="2" x14ac:dyDescent="0.25">
      <c r="B10266" s="704" t="s">
        <v>673</v>
      </c>
      <c r="C10266" s="704" t="s">
        <v>868</v>
      </c>
      <c r="D10266" s="704" t="s">
        <v>675</v>
      </c>
      <c r="E10266" s="704" t="s">
        <v>861</v>
      </c>
      <c r="F10266" s="709"/>
      <c r="G10266" s="705">
        <v>10.456299590518821</v>
      </c>
    </row>
    <row r="10267" spans="2:7" ht="11.25" hidden="1" customHeight="1" outlineLevel="2" x14ac:dyDescent="0.25">
      <c r="B10267" s="704" t="s">
        <v>673</v>
      </c>
      <c r="C10267" s="704" t="s">
        <v>869</v>
      </c>
      <c r="D10267" s="704" t="s">
        <v>675</v>
      </c>
      <c r="E10267" s="704" t="s">
        <v>861</v>
      </c>
      <c r="F10267" s="709"/>
      <c r="G10267" s="705">
        <v>31.221973803910892</v>
      </c>
    </row>
    <row r="10268" spans="2:7" ht="11.25" hidden="1" customHeight="1" outlineLevel="2" x14ac:dyDescent="0.25">
      <c r="B10268" s="704" t="s">
        <v>673</v>
      </c>
      <c r="C10268" s="704" t="s">
        <v>870</v>
      </c>
      <c r="D10268" s="704" t="s">
        <v>675</v>
      </c>
      <c r="E10268" s="704" t="s">
        <v>861</v>
      </c>
      <c r="F10268" s="709"/>
      <c r="G10268" s="705">
        <v>134.10446074404604</v>
      </c>
    </row>
    <row r="10269" spans="2:7" ht="11.25" hidden="1" customHeight="1" outlineLevel="2" x14ac:dyDescent="0.25">
      <c r="B10269" s="704" t="s">
        <v>673</v>
      </c>
      <c r="C10269" s="704" t="s">
        <v>871</v>
      </c>
      <c r="D10269" s="704" t="s">
        <v>675</v>
      </c>
      <c r="E10269" s="704" t="s">
        <v>861</v>
      </c>
      <c r="F10269" s="709"/>
      <c r="G10269" s="705">
        <v>115.31415754520516</v>
      </c>
    </row>
    <row r="10270" spans="2:7" ht="11.25" hidden="1" customHeight="1" outlineLevel="2" x14ac:dyDescent="0.25">
      <c r="B10270" s="704" t="s">
        <v>673</v>
      </c>
      <c r="C10270" s="704" t="s">
        <v>872</v>
      </c>
      <c r="D10270" s="704" t="s">
        <v>675</v>
      </c>
      <c r="E10270" s="704" t="s">
        <v>861</v>
      </c>
      <c r="F10270" s="709"/>
      <c r="G10270" s="705">
        <v>1145.5710764301989</v>
      </c>
    </row>
    <row r="10271" spans="2:7" ht="11.25" hidden="1" customHeight="1" outlineLevel="2" x14ac:dyDescent="0.25">
      <c r="B10271" s="704" t="s">
        <v>673</v>
      </c>
      <c r="C10271" s="704" t="s">
        <v>873</v>
      </c>
      <c r="D10271" s="704" t="s">
        <v>675</v>
      </c>
      <c r="E10271" s="704" t="s">
        <v>861</v>
      </c>
      <c r="F10271" s="709"/>
      <c r="G10271" s="705">
        <v>9.5024559023550985</v>
      </c>
    </row>
    <row r="10272" spans="2:7" ht="11.25" hidden="1" customHeight="1" outlineLevel="2" x14ac:dyDescent="0.25">
      <c r="B10272" s="704" t="s">
        <v>673</v>
      </c>
      <c r="C10272" s="704" t="s">
        <v>874</v>
      </c>
      <c r="D10272" s="704" t="s">
        <v>675</v>
      </c>
      <c r="E10272" s="704" t="s">
        <v>861</v>
      </c>
      <c r="F10272" s="709"/>
      <c r="G10272" s="705">
        <v>4.4884455108699131</v>
      </c>
    </row>
    <row r="10273" spans="2:7" ht="11.25" hidden="1" customHeight="1" outlineLevel="2" x14ac:dyDescent="0.25">
      <c r="B10273" s="704" t="s">
        <v>673</v>
      </c>
      <c r="C10273" s="704" t="s">
        <v>875</v>
      </c>
      <c r="D10273" s="704" t="s">
        <v>675</v>
      </c>
      <c r="E10273" s="704" t="s">
        <v>861</v>
      </c>
      <c r="F10273" s="709"/>
      <c r="G10273" s="705">
        <v>261.6385610994264</v>
      </c>
    </row>
    <row r="10274" spans="2:7" ht="11.25" hidden="1" customHeight="1" outlineLevel="2" x14ac:dyDescent="0.25">
      <c r="B10274" s="704" t="s">
        <v>673</v>
      </c>
      <c r="C10274" s="704" t="s">
        <v>876</v>
      </c>
      <c r="D10274" s="704" t="s">
        <v>675</v>
      </c>
      <c r="E10274" s="704" t="s">
        <v>861</v>
      </c>
      <c r="F10274" s="709"/>
      <c r="G10274" s="705">
        <v>285.01103413851428</v>
      </c>
    </row>
    <row r="10275" spans="2:7" ht="11.25" hidden="1" customHeight="1" outlineLevel="2" x14ac:dyDescent="0.25">
      <c r="B10275" s="704" t="s">
        <v>673</v>
      </c>
      <c r="C10275" s="704" t="s">
        <v>877</v>
      </c>
      <c r="D10275" s="704" t="s">
        <v>675</v>
      </c>
      <c r="E10275" s="704" t="s">
        <v>861</v>
      </c>
      <c r="F10275" s="709"/>
      <c r="G10275" s="705">
        <v>979.79990107837341</v>
      </c>
    </row>
    <row r="10276" spans="2:7" ht="11.25" hidden="1" customHeight="1" outlineLevel="2" x14ac:dyDescent="0.25">
      <c r="B10276" s="704" t="s">
        <v>673</v>
      </c>
      <c r="C10276" s="704" t="s">
        <v>878</v>
      </c>
      <c r="D10276" s="704" t="s">
        <v>675</v>
      </c>
      <c r="E10276" s="704" t="s">
        <v>861</v>
      </c>
      <c r="F10276" s="709"/>
      <c r="G10276" s="705">
        <v>46.127607117533302</v>
      </c>
    </row>
    <row r="10277" spans="2:7" ht="11.25" hidden="1" customHeight="1" outlineLevel="2" x14ac:dyDescent="0.25">
      <c r="B10277" s="704" t="s">
        <v>673</v>
      </c>
      <c r="C10277" s="704" t="s">
        <v>879</v>
      </c>
      <c r="D10277" s="704" t="s">
        <v>675</v>
      </c>
      <c r="E10277" s="704" t="s">
        <v>861</v>
      </c>
      <c r="F10277" s="709"/>
      <c r="G10277" s="705">
        <v>366.68355618345879</v>
      </c>
    </row>
    <row r="10278" spans="2:7" ht="11.25" hidden="1" customHeight="1" outlineLevel="2" x14ac:dyDescent="0.25">
      <c r="B10278" s="704" t="s">
        <v>673</v>
      </c>
      <c r="C10278" s="704" t="s">
        <v>880</v>
      </c>
      <c r="D10278" s="704" t="s">
        <v>675</v>
      </c>
      <c r="E10278" s="704" t="s">
        <v>861</v>
      </c>
      <c r="F10278" s="709"/>
      <c r="G10278" s="705">
        <v>1246.9063462137522</v>
      </c>
    </row>
    <row r="10279" spans="2:7" ht="11.25" hidden="1" customHeight="1" outlineLevel="2" x14ac:dyDescent="0.25">
      <c r="B10279" s="704" t="s">
        <v>673</v>
      </c>
      <c r="C10279" s="704" t="s">
        <v>881</v>
      </c>
      <c r="D10279" s="704" t="s">
        <v>675</v>
      </c>
      <c r="E10279" s="704" t="s">
        <v>861</v>
      </c>
      <c r="F10279" s="709"/>
      <c r="G10279" s="705">
        <v>756.17298695551699</v>
      </c>
    </row>
    <row r="10280" spans="2:7" ht="11.25" hidden="1" customHeight="1" outlineLevel="2" x14ac:dyDescent="0.25">
      <c r="B10280" s="704" t="s">
        <v>673</v>
      </c>
      <c r="C10280" s="704" t="s">
        <v>882</v>
      </c>
      <c r="D10280" s="704" t="s">
        <v>675</v>
      </c>
      <c r="E10280" s="704" t="s">
        <v>861</v>
      </c>
      <c r="F10280" s="709"/>
      <c r="G10280" s="705">
        <v>1141.1631230349922</v>
      </c>
    </row>
    <row r="10281" spans="2:7" ht="11.25" hidden="1" customHeight="1" outlineLevel="2" x14ac:dyDescent="0.25">
      <c r="B10281" s="704" t="s">
        <v>673</v>
      </c>
      <c r="C10281" s="704" t="s">
        <v>883</v>
      </c>
      <c r="D10281" s="704" t="s">
        <v>675</v>
      </c>
      <c r="E10281" s="704" t="s">
        <v>861</v>
      </c>
      <c r="F10281" s="709"/>
      <c r="G10281" s="705">
        <v>518.50119686893345</v>
      </c>
    </row>
    <row r="10282" spans="2:7" ht="11.25" hidden="1" customHeight="1" outlineLevel="2" x14ac:dyDescent="0.25">
      <c r="B10282" s="704" t="s">
        <v>673</v>
      </c>
      <c r="C10282" s="704" t="s">
        <v>884</v>
      </c>
      <c r="D10282" s="704" t="s">
        <v>675</v>
      </c>
      <c r="E10282" s="704" t="s">
        <v>861</v>
      </c>
      <c r="F10282" s="709"/>
      <c r="G10282" s="705">
        <v>122.74568863682644</v>
      </c>
    </row>
    <row r="10283" spans="2:7" ht="11.25" hidden="1" customHeight="1" outlineLevel="2" x14ac:dyDescent="0.25">
      <c r="B10283" s="704" t="s">
        <v>673</v>
      </c>
      <c r="C10283" s="704" t="s">
        <v>885</v>
      </c>
      <c r="D10283" s="704" t="s">
        <v>675</v>
      </c>
      <c r="E10283" s="704" t="s">
        <v>861</v>
      </c>
      <c r="F10283" s="709"/>
      <c r="G10283" s="705">
        <v>1.5975416149777744</v>
      </c>
    </row>
    <row r="10284" spans="2:7" ht="11.25" hidden="1" customHeight="1" outlineLevel="2" x14ac:dyDescent="0.25">
      <c r="B10284" s="704" t="s">
        <v>673</v>
      </c>
      <c r="C10284" s="704" t="s">
        <v>886</v>
      </c>
      <c r="D10284" s="704" t="s">
        <v>675</v>
      </c>
      <c r="E10284" s="704" t="s">
        <v>861</v>
      </c>
      <c r="F10284" s="709"/>
      <c r="G10284" s="705">
        <v>117.61955531510569</v>
      </c>
    </row>
    <row r="10285" spans="2:7" ht="11.25" hidden="1" customHeight="1" outlineLevel="2" x14ac:dyDescent="0.25">
      <c r="B10285" s="704" t="s">
        <v>673</v>
      </c>
      <c r="C10285" s="704" t="s">
        <v>725</v>
      </c>
      <c r="D10285" s="704" t="s">
        <v>563</v>
      </c>
      <c r="E10285" s="704" t="s">
        <v>448</v>
      </c>
      <c r="F10285" s="705">
        <v>2.9567878804087519E-4</v>
      </c>
      <c r="G10285" s="705">
        <v>0.13254097279533403</v>
      </c>
    </row>
    <row r="10286" spans="2:7" ht="11.25" hidden="1" customHeight="1" outlineLevel="2" x14ac:dyDescent="0.25">
      <c r="B10286" s="704" t="s">
        <v>673</v>
      </c>
      <c r="C10286" s="704" t="s">
        <v>726</v>
      </c>
      <c r="D10286" s="704" t="s">
        <v>563</v>
      </c>
      <c r="E10286" s="704" t="s">
        <v>448</v>
      </c>
      <c r="F10286" s="705">
        <v>2.328732541675699E-5</v>
      </c>
      <c r="G10286" s="705">
        <v>1.0438782064317333E-2</v>
      </c>
    </row>
    <row r="10287" spans="2:7" ht="11.25" hidden="1" customHeight="1" outlineLevel="2" x14ac:dyDescent="0.25">
      <c r="B10287" s="704" t="s">
        <v>673</v>
      </c>
      <c r="C10287" s="704" t="s">
        <v>769</v>
      </c>
      <c r="D10287" s="704" t="s">
        <v>563</v>
      </c>
      <c r="E10287" s="704" t="s">
        <v>448</v>
      </c>
      <c r="F10287" s="705">
        <v>1.5213487945923707E-2</v>
      </c>
      <c r="G10287" s="705">
        <v>16.121582572880097</v>
      </c>
    </row>
    <row r="10288" spans="2:7" ht="11.25" hidden="1" customHeight="1" outlineLevel="2" x14ac:dyDescent="0.25">
      <c r="B10288" s="704" t="s">
        <v>673</v>
      </c>
      <c r="C10288" s="704" t="s">
        <v>770</v>
      </c>
      <c r="D10288" s="704" t="s">
        <v>563</v>
      </c>
      <c r="E10288" s="704" t="s">
        <v>448</v>
      </c>
      <c r="F10288" s="705">
        <v>1.3833928443991507E-2</v>
      </c>
      <c r="G10288" s="705">
        <v>47.740332808858454</v>
      </c>
    </row>
    <row r="10289" spans="2:7" ht="11.25" hidden="1" customHeight="1" outlineLevel="2" x14ac:dyDescent="0.25">
      <c r="B10289" s="704" t="s">
        <v>673</v>
      </c>
      <c r="C10289" s="704" t="s">
        <v>771</v>
      </c>
      <c r="D10289" s="704" t="s">
        <v>563</v>
      </c>
      <c r="E10289" s="704" t="s">
        <v>448</v>
      </c>
      <c r="F10289" s="705">
        <v>5.1795970225510827E-3</v>
      </c>
      <c r="G10289" s="705">
        <v>12.056931147145857</v>
      </c>
    </row>
    <row r="10290" spans="2:7" ht="11.25" hidden="1" customHeight="1" outlineLevel="2" x14ac:dyDescent="0.25">
      <c r="B10290" s="704" t="s">
        <v>673</v>
      </c>
      <c r="C10290" s="704" t="s">
        <v>772</v>
      </c>
      <c r="D10290" s="704" t="s">
        <v>563</v>
      </c>
      <c r="E10290" s="704" t="s">
        <v>448</v>
      </c>
      <c r="F10290" s="705">
        <v>1.7380174622713719E-2</v>
      </c>
      <c r="G10290" s="705">
        <v>22.473574423545639</v>
      </c>
    </row>
    <row r="10291" spans="2:7" ht="11.25" hidden="1" customHeight="1" outlineLevel="2" x14ac:dyDescent="0.25">
      <c r="B10291" s="704" t="s">
        <v>673</v>
      </c>
      <c r="C10291" s="704" t="s">
        <v>773</v>
      </c>
      <c r="D10291" s="704" t="s">
        <v>563</v>
      </c>
      <c r="E10291" s="704" t="s">
        <v>448</v>
      </c>
      <c r="F10291" s="705">
        <v>9.7202809782820864E-4</v>
      </c>
      <c r="G10291" s="705">
        <v>1.1041873832889446</v>
      </c>
    </row>
    <row r="10292" spans="2:7" ht="11.25" hidden="1" customHeight="1" outlineLevel="2" x14ac:dyDescent="0.25">
      <c r="B10292" s="704" t="s">
        <v>673</v>
      </c>
      <c r="C10292" s="704" t="s">
        <v>774</v>
      </c>
      <c r="D10292" s="704" t="s">
        <v>563</v>
      </c>
      <c r="E10292" s="704" t="s">
        <v>448</v>
      </c>
      <c r="F10292" s="705">
        <v>3.775422395862531E-4</v>
      </c>
      <c r="G10292" s="705">
        <v>0.50614138875111869</v>
      </c>
    </row>
    <row r="10293" spans="2:7" ht="11.25" hidden="1" customHeight="1" outlineLevel="2" x14ac:dyDescent="0.25">
      <c r="B10293" s="704" t="s">
        <v>673</v>
      </c>
      <c r="C10293" s="704" t="s">
        <v>775</v>
      </c>
      <c r="D10293" s="704" t="s">
        <v>563</v>
      </c>
      <c r="E10293" s="704" t="s">
        <v>448</v>
      </c>
      <c r="F10293" s="705">
        <v>3.8226915338767921E-4</v>
      </c>
      <c r="G10293" s="705">
        <v>4.8680174919265484</v>
      </c>
    </row>
    <row r="10294" spans="2:7" ht="11.25" hidden="1" customHeight="1" outlineLevel="2" x14ac:dyDescent="0.25">
      <c r="B10294" s="704" t="s">
        <v>673</v>
      </c>
      <c r="C10294" s="704" t="s">
        <v>839</v>
      </c>
      <c r="D10294" s="704" t="s">
        <v>563</v>
      </c>
      <c r="E10294" s="704" t="s">
        <v>824</v>
      </c>
      <c r="F10294" s="705">
        <v>1.6829863942939813E-2</v>
      </c>
      <c r="G10294" s="705">
        <v>40.840492336706774</v>
      </c>
    </row>
    <row r="10295" spans="2:7" ht="11.25" hidden="1" customHeight="1" outlineLevel="2" x14ac:dyDescent="0.25">
      <c r="B10295" s="704" t="s">
        <v>673</v>
      </c>
      <c r="C10295" s="704" t="s">
        <v>840</v>
      </c>
      <c r="D10295" s="704" t="s">
        <v>563</v>
      </c>
      <c r="E10295" s="704" t="s">
        <v>824</v>
      </c>
      <c r="F10295" s="705">
        <v>0.49046167252809003</v>
      </c>
      <c r="G10295" s="705">
        <v>3610.9267438831225</v>
      </c>
    </row>
    <row r="10296" spans="2:7" ht="11.25" hidden="1" customHeight="1" outlineLevel="2" x14ac:dyDescent="0.25">
      <c r="B10296" s="704" t="s">
        <v>673</v>
      </c>
      <c r="C10296" s="704" t="s">
        <v>841</v>
      </c>
      <c r="D10296" s="704" t="s">
        <v>563</v>
      </c>
      <c r="E10296" s="704" t="s">
        <v>824</v>
      </c>
      <c r="F10296" s="705">
        <v>2.3855812318781494E-3</v>
      </c>
      <c r="G10296" s="705">
        <v>27.298695493587068</v>
      </c>
    </row>
    <row r="10297" spans="2:7" ht="11.25" hidden="1" customHeight="1" outlineLevel="2" x14ac:dyDescent="0.25">
      <c r="B10297" s="704" t="s">
        <v>673</v>
      </c>
      <c r="C10297" s="704" t="s">
        <v>842</v>
      </c>
      <c r="D10297" s="704" t="s">
        <v>563</v>
      </c>
      <c r="E10297" s="704" t="s">
        <v>824</v>
      </c>
      <c r="F10297" s="705">
        <v>8.6447508423933791E-4</v>
      </c>
      <c r="G10297" s="705">
        <v>8.4613329321624224</v>
      </c>
    </row>
    <row r="10298" spans="2:7" ht="11.25" hidden="1" customHeight="1" outlineLevel="2" x14ac:dyDescent="0.25">
      <c r="B10298" s="704" t="s">
        <v>673</v>
      </c>
      <c r="C10298" s="704" t="s">
        <v>843</v>
      </c>
      <c r="D10298" s="704" t="s">
        <v>563</v>
      </c>
      <c r="E10298" s="704" t="s">
        <v>824</v>
      </c>
      <c r="F10298" s="705">
        <v>8.3556376516019681E-4</v>
      </c>
      <c r="G10298" s="705">
        <v>2.1831714079490294</v>
      </c>
    </row>
    <row r="10299" spans="2:7" ht="11.25" hidden="1" customHeight="1" outlineLevel="2" x14ac:dyDescent="0.25">
      <c r="B10299" s="704" t="s">
        <v>673</v>
      </c>
      <c r="C10299" s="704" t="s">
        <v>844</v>
      </c>
      <c r="D10299" s="704" t="s">
        <v>563</v>
      </c>
      <c r="E10299" s="704" t="s">
        <v>824</v>
      </c>
      <c r="F10299" s="705">
        <v>8.3559984622763183E-4</v>
      </c>
      <c r="G10299" s="705">
        <v>16.605585697720802</v>
      </c>
    </row>
    <row r="10300" spans="2:7" ht="11.25" hidden="1" customHeight="1" outlineLevel="2" x14ac:dyDescent="0.25">
      <c r="B10300" s="704" t="s">
        <v>673</v>
      </c>
      <c r="C10300" s="704" t="s">
        <v>700</v>
      </c>
      <c r="D10300" s="704" t="s">
        <v>563</v>
      </c>
      <c r="E10300" s="704" t="s">
        <v>676</v>
      </c>
      <c r="F10300" s="705">
        <v>2.532990367871486</v>
      </c>
      <c r="G10300" s="705">
        <v>213.16564248675621</v>
      </c>
    </row>
    <row r="10301" spans="2:7" ht="11.25" hidden="1" customHeight="1" outlineLevel="2" x14ac:dyDescent="0.25">
      <c r="B10301" s="704" t="s">
        <v>673</v>
      </c>
      <c r="C10301" s="704" t="s">
        <v>701</v>
      </c>
      <c r="D10301" s="704" t="s">
        <v>563</v>
      </c>
      <c r="E10301" s="704" t="s">
        <v>676</v>
      </c>
      <c r="F10301" s="705">
        <v>2.7666735069338424E-3</v>
      </c>
      <c r="G10301" s="705">
        <v>0.24227060685691709</v>
      </c>
    </row>
    <row r="10302" spans="2:7" ht="11.25" hidden="1" customHeight="1" outlineLevel="2" x14ac:dyDescent="0.25">
      <c r="B10302" s="704" t="s">
        <v>673</v>
      </c>
      <c r="C10302" s="704" t="s">
        <v>702</v>
      </c>
      <c r="D10302" s="704" t="s">
        <v>563</v>
      </c>
      <c r="E10302" s="704" t="s">
        <v>676</v>
      </c>
      <c r="F10302" s="705">
        <v>1.290928290094334E-3</v>
      </c>
      <c r="G10302" s="705">
        <v>0.13230678034539711</v>
      </c>
    </row>
    <row r="10303" spans="2:7" ht="11.25" hidden="1" customHeight="1" outlineLevel="2" x14ac:dyDescent="0.25">
      <c r="B10303" s="704" t="s">
        <v>673</v>
      </c>
      <c r="C10303" s="704" t="s">
        <v>703</v>
      </c>
      <c r="D10303" s="704" t="s">
        <v>563</v>
      </c>
      <c r="E10303" s="704" t="s">
        <v>676</v>
      </c>
      <c r="F10303" s="705">
        <v>4.8520215838762787E-3</v>
      </c>
      <c r="G10303" s="705">
        <v>0.47779736696586422</v>
      </c>
    </row>
    <row r="10304" spans="2:7" ht="11.25" hidden="1" customHeight="1" outlineLevel="2" x14ac:dyDescent="0.25">
      <c r="B10304" s="704" t="s">
        <v>673</v>
      </c>
      <c r="C10304" s="704" t="s">
        <v>704</v>
      </c>
      <c r="D10304" s="704" t="s">
        <v>563</v>
      </c>
      <c r="E10304" s="704" t="s">
        <v>676</v>
      </c>
      <c r="F10304" s="705">
        <v>4.3961793005563221E-3</v>
      </c>
      <c r="G10304" s="705">
        <v>0.98860506487890709</v>
      </c>
    </row>
    <row r="10305" spans="2:7" ht="11.25" hidden="1" customHeight="1" outlineLevel="2" x14ac:dyDescent="0.25">
      <c r="B10305" s="704" t="s">
        <v>673</v>
      </c>
      <c r="C10305" s="704" t="s">
        <v>887</v>
      </c>
      <c r="D10305" s="704" t="s">
        <v>563</v>
      </c>
      <c r="E10305" s="704" t="s">
        <v>861</v>
      </c>
      <c r="F10305" s="709"/>
      <c r="G10305" s="705">
        <v>66.445888904003255</v>
      </c>
    </row>
    <row r="10306" spans="2:7" ht="11.25" hidden="1" customHeight="1" outlineLevel="2" x14ac:dyDescent="0.25">
      <c r="B10306" s="704" t="s">
        <v>673</v>
      </c>
      <c r="C10306" s="704" t="s">
        <v>888</v>
      </c>
      <c r="D10306" s="704" t="s">
        <v>563</v>
      </c>
      <c r="E10306" s="704" t="s">
        <v>861</v>
      </c>
      <c r="F10306" s="709"/>
      <c r="G10306" s="705">
        <v>964.16756321826358</v>
      </c>
    </row>
    <row r="10307" spans="2:7" ht="11.25" hidden="1" customHeight="1" outlineLevel="2" x14ac:dyDescent="0.25">
      <c r="B10307" s="704" t="s">
        <v>673</v>
      </c>
      <c r="C10307" s="704" t="s">
        <v>889</v>
      </c>
      <c r="D10307" s="704" t="s">
        <v>563</v>
      </c>
      <c r="E10307" s="704" t="s">
        <v>861</v>
      </c>
      <c r="F10307" s="709"/>
      <c r="G10307" s="705">
        <v>420.82737188225394</v>
      </c>
    </row>
    <row r="10308" spans="2:7" ht="11.25" hidden="1" customHeight="1" outlineLevel="2" x14ac:dyDescent="0.25">
      <c r="B10308" s="704" t="s">
        <v>673</v>
      </c>
      <c r="C10308" s="704" t="s">
        <v>890</v>
      </c>
      <c r="D10308" s="704" t="s">
        <v>563</v>
      </c>
      <c r="E10308" s="704" t="s">
        <v>861</v>
      </c>
      <c r="F10308" s="709"/>
      <c r="G10308" s="705">
        <v>427.13535143347184</v>
      </c>
    </row>
    <row r="10309" spans="2:7" ht="11.25" hidden="1" customHeight="1" outlineLevel="2" x14ac:dyDescent="0.25">
      <c r="B10309" s="704" t="s">
        <v>673</v>
      </c>
      <c r="C10309" s="704" t="s">
        <v>891</v>
      </c>
      <c r="D10309" s="704" t="s">
        <v>563</v>
      </c>
      <c r="E10309" s="704" t="s">
        <v>861</v>
      </c>
      <c r="F10309" s="709"/>
      <c r="G10309" s="705">
        <v>16.420604497432766</v>
      </c>
    </row>
    <row r="10310" spans="2:7" ht="11.25" hidden="1" customHeight="1" outlineLevel="2" x14ac:dyDescent="0.25">
      <c r="B10310" s="704" t="s">
        <v>673</v>
      </c>
      <c r="C10310" s="704" t="s">
        <v>892</v>
      </c>
      <c r="D10310" s="704" t="s">
        <v>563</v>
      </c>
      <c r="E10310" s="704" t="s">
        <v>861</v>
      </c>
      <c r="F10310" s="709"/>
      <c r="G10310" s="705">
        <v>1389.7914665156632</v>
      </c>
    </row>
    <row r="10311" spans="2:7" ht="11.25" hidden="1" customHeight="1" outlineLevel="2" x14ac:dyDescent="0.25">
      <c r="B10311" s="704" t="s">
        <v>673</v>
      </c>
      <c r="C10311" s="704" t="s">
        <v>893</v>
      </c>
      <c r="D10311" s="704" t="s">
        <v>563</v>
      </c>
      <c r="E10311" s="704" t="s">
        <v>861</v>
      </c>
      <c r="F10311" s="709"/>
      <c r="G10311" s="705">
        <v>607.01783185409033</v>
      </c>
    </row>
    <row r="10312" spans="2:7" ht="11.25" hidden="1" customHeight="1" outlineLevel="2" x14ac:dyDescent="0.25">
      <c r="B10312" s="704" t="s">
        <v>673</v>
      </c>
      <c r="C10312" s="704" t="s">
        <v>727</v>
      </c>
      <c r="D10312" s="704" t="s">
        <v>728</v>
      </c>
      <c r="E10312" s="704" t="s">
        <v>448</v>
      </c>
      <c r="F10312" s="705">
        <v>6.0088696429767266E-3</v>
      </c>
      <c r="G10312" s="705">
        <v>3.2911559318039401</v>
      </c>
    </row>
    <row r="10313" spans="2:7" ht="11.25" hidden="1" customHeight="1" outlineLevel="2" x14ac:dyDescent="0.25">
      <c r="B10313" s="704" t="s">
        <v>673</v>
      </c>
      <c r="C10313" s="704" t="s">
        <v>729</v>
      </c>
      <c r="D10313" s="704" t="s">
        <v>728</v>
      </c>
      <c r="E10313" s="704" t="s">
        <v>448</v>
      </c>
      <c r="F10313" s="705">
        <v>6.0660905659068141E-3</v>
      </c>
      <c r="G10313" s="705">
        <v>3.2740856396465974</v>
      </c>
    </row>
    <row r="10314" spans="2:7" ht="11.25" hidden="1" customHeight="1" outlineLevel="2" x14ac:dyDescent="0.25">
      <c r="B10314" s="704" t="s">
        <v>673</v>
      </c>
      <c r="C10314" s="704" t="s">
        <v>730</v>
      </c>
      <c r="D10314" s="704" t="s">
        <v>728</v>
      </c>
      <c r="E10314" s="704" t="s">
        <v>448</v>
      </c>
      <c r="F10314" s="705">
        <v>8.6232075369762212E-2</v>
      </c>
      <c r="G10314" s="705">
        <v>44.95990295533214</v>
      </c>
    </row>
    <row r="10315" spans="2:7" ht="11.25" hidden="1" customHeight="1" outlineLevel="2" x14ac:dyDescent="0.25">
      <c r="B10315" s="704" t="s">
        <v>673</v>
      </c>
      <c r="C10315" s="704" t="s">
        <v>731</v>
      </c>
      <c r="D10315" s="704" t="s">
        <v>728</v>
      </c>
      <c r="E10315" s="704" t="s">
        <v>448</v>
      </c>
      <c r="F10315" s="705">
        <v>6.6457514559632488E-2</v>
      </c>
      <c r="G10315" s="705">
        <v>36.437103385874593</v>
      </c>
    </row>
    <row r="10316" spans="2:7" ht="11.25" hidden="1" customHeight="1" outlineLevel="2" x14ac:dyDescent="0.25">
      <c r="B10316" s="704" t="s">
        <v>673</v>
      </c>
      <c r="C10316" s="704" t="s">
        <v>732</v>
      </c>
      <c r="D10316" s="704" t="s">
        <v>728</v>
      </c>
      <c r="E10316" s="704" t="s">
        <v>448</v>
      </c>
      <c r="F10316" s="705">
        <v>0.10630655876500736</v>
      </c>
      <c r="G10316" s="705">
        <v>62.653801976408573</v>
      </c>
    </row>
    <row r="10317" spans="2:7" ht="11.25" hidden="1" customHeight="1" outlineLevel="2" x14ac:dyDescent="0.25">
      <c r="B10317" s="704" t="s">
        <v>673</v>
      </c>
      <c r="C10317" s="704" t="s">
        <v>733</v>
      </c>
      <c r="D10317" s="704" t="s">
        <v>728</v>
      </c>
      <c r="E10317" s="704" t="s">
        <v>448</v>
      </c>
      <c r="F10317" s="705">
        <v>6.274423415274169E-2</v>
      </c>
      <c r="G10317" s="705">
        <v>31.772529458901229</v>
      </c>
    </row>
    <row r="10318" spans="2:7" ht="11.25" hidden="1" customHeight="1" outlineLevel="2" x14ac:dyDescent="0.25">
      <c r="B10318" s="704" t="s">
        <v>673</v>
      </c>
      <c r="C10318" s="704" t="s">
        <v>734</v>
      </c>
      <c r="D10318" s="704" t="s">
        <v>728</v>
      </c>
      <c r="E10318" s="704" t="s">
        <v>448</v>
      </c>
      <c r="F10318" s="705">
        <v>7.4931532246820309E-2</v>
      </c>
      <c r="G10318" s="705">
        <v>40.323839803129083</v>
      </c>
    </row>
    <row r="10319" spans="2:7" ht="11.25" hidden="1" customHeight="1" outlineLevel="2" x14ac:dyDescent="0.25">
      <c r="B10319" s="704" t="s">
        <v>673</v>
      </c>
      <c r="C10319" s="704" t="s">
        <v>735</v>
      </c>
      <c r="D10319" s="704" t="s">
        <v>728</v>
      </c>
      <c r="E10319" s="704" t="s">
        <v>448</v>
      </c>
      <c r="F10319" s="705">
        <v>5.5378745732760866E-2</v>
      </c>
      <c r="G10319" s="705">
        <v>29.667979638745773</v>
      </c>
    </row>
    <row r="10320" spans="2:7" ht="11.25" hidden="1" customHeight="1" outlineLevel="2" x14ac:dyDescent="0.25">
      <c r="B10320" s="704" t="s">
        <v>673</v>
      </c>
      <c r="C10320" s="704" t="s">
        <v>736</v>
      </c>
      <c r="D10320" s="704" t="s">
        <v>728</v>
      </c>
      <c r="E10320" s="704" t="s">
        <v>448</v>
      </c>
      <c r="F10320" s="705">
        <v>0.13049815093121178</v>
      </c>
      <c r="G10320" s="705">
        <v>19.191831458053741</v>
      </c>
    </row>
    <row r="10321" spans="2:7" ht="11.25" hidden="1" customHeight="1" outlineLevel="2" x14ac:dyDescent="0.25">
      <c r="B10321" s="704" t="s">
        <v>673</v>
      </c>
      <c r="C10321" s="704" t="s">
        <v>737</v>
      </c>
      <c r="D10321" s="704" t="s">
        <v>728</v>
      </c>
      <c r="E10321" s="704" t="s">
        <v>448</v>
      </c>
      <c r="F10321" s="705">
        <v>6.4460967931616847E-2</v>
      </c>
      <c r="G10321" s="705">
        <v>9.480349901710543</v>
      </c>
    </row>
    <row r="10322" spans="2:7" ht="11.25" hidden="1" customHeight="1" outlineLevel="2" x14ac:dyDescent="0.25">
      <c r="B10322" s="704" t="s">
        <v>673</v>
      </c>
      <c r="C10322" s="704" t="s">
        <v>738</v>
      </c>
      <c r="D10322" s="704" t="s">
        <v>728</v>
      </c>
      <c r="E10322" s="704" t="s">
        <v>448</v>
      </c>
      <c r="F10322" s="705">
        <v>2.713018292373933E-5</v>
      </c>
      <c r="G10322" s="705">
        <v>1.3560782379484939E-2</v>
      </c>
    </row>
    <row r="10323" spans="2:7" ht="11.25" hidden="1" customHeight="1" outlineLevel="2" x14ac:dyDescent="0.25">
      <c r="B10323" s="704" t="s">
        <v>673</v>
      </c>
      <c r="C10323" s="704" t="s">
        <v>776</v>
      </c>
      <c r="D10323" s="704" t="s">
        <v>728</v>
      </c>
      <c r="E10323" s="704" t="s">
        <v>448</v>
      </c>
      <c r="F10323" s="705">
        <v>0.90853161191334786</v>
      </c>
      <c r="G10323" s="705">
        <v>561.68519784646469</v>
      </c>
    </row>
    <row r="10324" spans="2:7" ht="11.25" hidden="1" customHeight="1" outlineLevel="2" x14ac:dyDescent="0.25">
      <c r="B10324" s="704" t="s">
        <v>673</v>
      </c>
      <c r="C10324" s="704" t="s">
        <v>777</v>
      </c>
      <c r="D10324" s="704" t="s">
        <v>728</v>
      </c>
      <c r="E10324" s="704" t="s">
        <v>448</v>
      </c>
      <c r="F10324" s="705">
        <v>7.7982543407905391E-2</v>
      </c>
      <c r="G10324" s="705">
        <v>92.616456155292056</v>
      </c>
    </row>
    <row r="10325" spans="2:7" ht="11.25" hidden="1" customHeight="1" outlineLevel="2" x14ac:dyDescent="0.25">
      <c r="B10325" s="704" t="s">
        <v>673</v>
      </c>
      <c r="C10325" s="704" t="s">
        <v>778</v>
      </c>
      <c r="D10325" s="704" t="s">
        <v>728</v>
      </c>
      <c r="E10325" s="704" t="s">
        <v>448</v>
      </c>
      <c r="F10325" s="705">
        <v>7.6802950533157041E-2</v>
      </c>
      <c r="G10325" s="705">
        <v>47.098069005728441</v>
      </c>
    </row>
    <row r="10326" spans="2:7" ht="11.25" hidden="1" customHeight="1" outlineLevel="2" x14ac:dyDescent="0.25">
      <c r="B10326" s="704" t="s">
        <v>673</v>
      </c>
      <c r="C10326" s="704" t="s">
        <v>779</v>
      </c>
      <c r="D10326" s="704" t="s">
        <v>728</v>
      </c>
      <c r="E10326" s="704" t="s">
        <v>448</v>
      </c>
      <c r="F10326" s="705">
        <v>6.3209981428719544E-2</v>
      </c>
      <c r="G10326" s="705">
        <v>47.14261590316498</v>
      </c>
    </row>
    <row r="10327" spans="2:7" ht="11.25" hidden="1" customHeight="1" outlineLevel="2" x14ac:dyDescent="0.25">
      <c r="B10327" s="704" t="s">
        <v>673</v>
      </c>
      <c r="C10327" s="704" t="s">
        <v>780</v>
      </c>
      <c r="D10327" s="704" t="s">
        <v>728</v>
      </c>
      <c r="E10327" s="704" t="s">
        <v>448</v>
      </c>
      <c r="F10327" s="705">
        <v>4.1628208638618616E-3</v>
      </c>
      <c r="G10327" s="705">
        <v>3.1268944743017131</v>
      </c>
    </row>
    <row r="10328" spans="2:7" ht="11.25" hidden="1" customHeight="1" outlineLevel="2" x14ac:dyDescent="0.25">
      <c r="B10328" s="704" t="s">
        <v>673</v>
      </c>
      <c r="C10328" s="704" t="s">
        <v>781</v>
      </c>
      <c r="D10328" s="704" t="s">
        <v>728</v>
      </c>
      <c r="E10328" s="704" t="s">
        <v>448</v>
      </c>
      <c r="F10328" s="705">
        <v>1.7329488036997383E-3</v>
      </c>
      <c r="G10328" s="705">
        <v>2.1454478635684042</v>
      </c>
    </row>
    <row r="10329" spans="2:7" ht="11.25" hidden="1" customHeight="1" outlineLevel="2" x14ac:dyDescent="0.25">
      <c r="B10329" s="704" t="s">
        <v>673</v>
      </c>
      <c r="C10329" s="704" t="s">
        <v>782</v>
      </c>
      <c r="D10329" s="704" t="s">
        <v>728</v>
      </c>
      <c r="E10329" s="704" t="s">
        <v>448</v>
      </c>
      <c r="F10329" s="705">
        <v>7.9229285568175704E-3</v>
      </c>
      <c r="G10329" s="705">
        <v>5.9655548726052565</v>
      </c>
    </row>
    <row r="10330" spans="2:7" ht="11.25" hidden="1" customHeight="1" outlineLevel="2" x14ac:dyDescent="0.25">
      <c r="B10330" s="704" t="s">
        <v>673</v>
      </c>
      <c r="C10330" s="704" t="s">
        <v>783</v>
      </c>
      <c r="D10330" s="704" t="s">
        <v>728</v>
      </c>
      <c r="E10330" s="704" t="s">
        <v>448</v>
      </c>
      <c r="F10330" s="705">
        <v>5.6889140516091008E-2</v>
      </c>
      <c r="G10330" s="705">
        <v>88.510750044489853</v>
      </c>
    </row>
    <row r="10331" spans="2:7" ht="11.25" hidden="1" customHeight="1" outlineLevel="2" x14ac:dyDescent="0.25">
      <c r="B10331" s="704" t="s">
        <v>673</v>
      </c>
      <c r="C10331" s="704" t="s">
        <v>784</v>
      </c>
      <c r="D10331" s="704" t="s">
        <v>728</v>
      </c>
      <c r="E10331" s="704" t="s">
        <v>448</v>
      </c>
      <c r="F10331" s="705">
        <v>0.11537054485283946</v>
      </c>
      <c r="G10331" s="705">
        <v>62.005873852062422</v>
      </c>
    </row>
    <row r="10332" spans="2:7" ht="11.25" hidden="1" customHeight="1" outlineLevel="2" x14ac:dyDescent="0.25">
      <c r="B10332" s="704" t="s">
        <v>673</v>
      </c>
      <c r="C10332" s="704" t="s">
        <v>785</v>
      </c>
      <c r="D10332" s="704" t="s">
        <v>728</v>
      </c>
      <c r="E10332" s="704" t="s">
        <v>448</v>
      </c>
      <c r="F10332" s="705">
        <v>5.69852747144367E-2</v>
      </c>
      <c r="G10332" s="705">
        <v>30.629543562713476</v>
      </c>
    </row>
    <row r="10333" spans="2:7" ht="11.25" hidden="1" customHeight="1" outlineLevel="2" x14ac:dyDescent="0.25">
      <c r="B10333" s="704" t="s">
        <v>673</v>
      </c>
      <c r="C10333" s="704" t="s">
        <v>786</v>
      </c>
      <c r="D10333" s="704" t="s">
        <v>728</v>
      </c>
      <c r="E10333" s="704" t="s">
        <v>448</v>
      </c>
      <c r="F10333" s="705">
        <v>8.9366902994803918E-2</v>
      </c>
      <c r="G10333" s="705">
        <v>112.70001138933979</v>
      </c>
    </row>
    <row r="10334" spans="2:7" ht="11.25" hidden="1" customHeight="1" outlineLevel="2" x14ac:dyDescent="0.25">
      <c r="B10334" s="704" t="s">
        <v>673</v>
      </c>
      <c r="C10334" s="704" t="s">
        <v>787</v>
      </c>
      <c r="D10334" s="704" t="s">
        <v>728</v>
      </c>
      <c r="E10334" s="704" t="s">
        <v>448</v>
      </c>
      <c r="F10334" s="705">
        <v>7.2663141006427548E-3</v>
      </c>
      <c r="G10334" s="705">
        <v>10.225895357995777</v>
      </c>
    </row>
    <row r="10335" spans="2:7" ht="11.25" hidden="1" customHeight="1" outlineLevel="2" x14ac:dyDescent="0.25">
      <c r="B10335" s="704" t="s">
        <v>673</v>
      </c>
      <c r="C10335" s="704" t="s">
        <v>788</v>
      </c>
      <c r="D10335" s="704" t="s">
        <v>728</v>
      </c>
      <c r="E10335" s="704" t="s">
        <v>448</v>
      </c>
      <c r="F10335" s="705">
        <v>1.0241550323163826E-2</v>
      </c>
      <c r="G10335" s="705">
        <v>11.639181088941882</v>
      </c>
    </row>
    <row r="10336" spans="2:7" ht="11.25" hidden="1" customHeight="1" outlineLevel="2" x14ac:dyDescent="0.25">
      <c r="B10336" s="704" t="s">
        <v>673</v>
      </c>
      <c r="C10336" s="704" t="s">
        <v>789</v>
      </c>
      <c r="D10336" s="704" t="s">
        <v>728</v>
      </c>
      <c r="E10336" s="704" t="s">
        <v>448</v>
      </c>
      <c r="F10336" s="705">
        <v>7.8928660814043747E-3</v>
      </c>
      <c r="G10336" s="705">
        <v>5.4199677442692993</v>
      </c>
    </row>
    <row r="10337" spans="2:7" ht="11.25" hidden="1" customHeight="1" outlineLevel="2" x14ac:dyDescent="0.25">
      <c r="B10337" s="704" t="s">
        <v>673</v>
      </c>
      <c r="C10337" s="704" t="s">
        <v>790</v>
      </c>
      <c r="D10337" s="704" t="s">
        <v>728</v>
      </c>
      <c r="E10337" s="704" t="s">
        <v>448</v>
      </c>
      <c r="F10337" s="705">
        <v>1.195011996534691</v>
      </c>
      <c r="G10337" s="705">
        <v>1510.6664512089719</v>
      </c>
    </row>
    <row r="10338" spans="2:7" ht="11.25" hidden="1" customHeight="1" outlineLevel="2" x14ac:dyDescent="0.25">
      <c r="B10338" s="704" t="s">
        <v>673</v>
      </c>
      <c r="C10338" s="704" t="s">
        <v>791</v>
      </c>
      <c r="D10338" s="704" t="s">
        <v>728</v>
      </c>
      <c r="E10338" s="704" t="s">
        <v>448</v>
      </c>
      <c r="F10338" s="705">
        <v>9.8731820371513124E-2</v>
      </c>
      <c r="G10338" s="705">
        <v>138.97454405505468</v>
      </c>
    </row>
    <row r="10339" spans="2:7" ht="11.25" hidden="1" customHeight="1" outlineLevel="2" x14ac:dyDescent="0.25">
      <c r="B10339" s="704" t="s">
        <v>673</v>
      </c>
      <c r="C10339" s="704" t="s">
        <v>792</v>
      </c>
      <c r="D10339" s="704" t="s">
        <v>728</v>
      </c>
      <c r="E10339" s="704" t="s">
        <v>448</v>
      </c>
      <c r="F10339" s="705">
        <v>1.111495915818419E-2</v>
      </c>
      <c r="G10339" s="705">
        <v>23.267234694447765</v>
      </c>
    </row>
    <row r="10340" spans="2:7" ht="11.25" hidden="1" customHeight="1" outlineLevel="2" x14ac:dyDescent="0.25">
      <c r="B10340" s="704" t="s">
        <v>673</v>
      </c>
      <c r="C10340" s="704" t="s">
        <v>793</v>
      </c>
      <c r="D10340" s="704" t="s">
        <v>728</v>
      </c>
      <c r="E10340" s="704" t="s">
        <v>448</v>
      </c>
      <c r="F10340" s="705">
        <v>0.30920262396960679</v>
      </c>
      <c r="G10340" s="705">
        <v>448.34078988604381</v>
      </c>
    </row>
    <row r="10341" spans="2:7" ht="11.25" hidden="1" customHeight="1" outlineLevel="2" x14ac:dyDescent="0.25">
      <c r="B10341" s="704" t="s">
        <v>673</v>
      </c>
      <c r="C10341" s="704" t="s">
        <v>794</v>
      </c>
      <c r="D10341" s="704" t="s">
        <v>728</v>
      </c>
      <c r="E10341" s="704" t="s">
        <v>448</v>
      </c>
      <c r="F10341" s="705">
        <v>6.8726367289984144E-2</v>
      </c>
      <c r="G10341" s="705">
        <v>53.509703080186192</v>
      </c>
    </row>
    <row r="10342" spans="2:7" ht="11.25" hidden="1" customHeight="1" outlineLevel="2" x14ac:dyDescent="0.25">
      <c r="B10342" s="704" t="s">
        <v>673</v>
      </c>
      <c r="C10342" s="704" t="s">
        <v>795</v>
      </c>
      <c r="D10342" s="704" t="s">
        <v>728</v>
      </c>
      <c r="E10342" s="704" t="s">
        <v>448</v>
      </c>
      <c r="F10342" s="705">
        <v>1.7608283042233976E-2</v>
      </c>
      <c r="G10342" s="705">
        <v>13.736981342543363</v>
      </c>
    </row>
    <row r="10343" spans="2:7" ht="11.25" hidden="1" customHeight="1" outlineLevel="2" x14ac:dyDescent="0.25">
      <c r="B10343" s="704" t="s">
        <v>673</v>
      </c>
      <c r="C10343" s="704" t="s">
        <v>845</v>
      </c>
      <c r="D10343" s="704" t="s">
        <v>728</v>
      </c>
      <c r="E10343" s="704" t="s">
        <v>824</v>
      </c>
      <c r="F10343" s="705">
        <v>8.6526136381401774E-4</v>
      </c>
      <c r="G10343" s="705">
        <v>7.7184874589368766</v>
      </c>
    </row>
    <row r="10344" spans="2:7" ht="11.25" hidden="1" customHeight="1" outlineLevel="2" x14ac:dyDescent="0.25">
      <c r="B10344" s="704" t="s">
        <v>673</v>
      </c>
      <c r="C10344" s="704" t="s">
        <v>894</v>
      </c>
      <c r="D10344" s="704" t="s">
        <v>728</v>
      </c>
      <c r="E10344" s="704" t="s">
        <v>861</v>
      </c>
      <c r="F10344" s="709"/>
      <c r="G10344" s="705">
        <v>1.1998162028731316E-2</v>
      </c>
    </row>
    <row r="10345" spans="2:7" ht="11.25" hidden="1" customHeight="1" outlineLevel="2" x14ac:dyDescent="0.25">
      <c r="B10345" s="704" t="s">
        <v>673</v>
      </c>
      <c r="C10345" s="704" t="s">
        <v>895</v>
      </c>
      <c r="D10345" s="704" t="s">
        <v>728</v>
      </c>
      <c r="E10345" s="704" t="s">
        <v>861</v>
      </c>
      <c r="F10345" s="709"/>
      <c r="G10345" s="705">
        <v>3.2064114795481493</v>
      </c>
    </row>
    <row r="10346" spans="2:7" ht="11.25" hidden="1" customHeight="1" outlineLevel="2" x14ac:dyDescent="0.25">
      <c r="B10346" s="704" t="s">
        <v>673</v>
      </c>
      <c r="C10346" s="704" t="s">
        <v>896</v>
      </c>
      <c r="D10346" s="704" t="s">
        <v>728</v>
      </c>
      <c r="E10346" s="704" t="s">
        <v>861</v>
      </c>
      <c r="F10346" s="709"/>
      <c r="G10346" s="705">
        <v>83.900870991751745</v>
      </c>
    </row>
    <row r="10347" spans="2:7" ht="11.25" hidden="1" customHeight="1" outlineLevel="2" x14ac:dyDescent="0.25">
      <c r="B10347" s="704" t="s">
        <v>673</v>
      </c>
      <c r="C10347" s="704" t="s">
        <v>897</v>
      </c>
      <c r="D10347" s="704" t="s">
        <v>728</v>
      </c>
      <c r="E10347" s="704" t="s">
        <v>861</v>
      </c>
      <c r="F10347" s="709"/>
      <c r="G10347" s="705">
        <v>17.314300642795118</v>
      </c>
    </row>
    <row r="10348" spans="2:7" ht="11.25" hidden="1" customHeight="1" outlineLevel="2" x14ac:dyDescent="0.25">
      <c r="B10348" s="704" t="s">
        <v>673</v>
      </c>
      <c r="C10348" s="704" t="s">
        <v>898</v>
      </c>
      <c r="D10348" s="704" t="s">
        <v>728</v>
      </c>
      <c r="E10348" s="704" t="s">
        <v>861</v>
      </c>
      <c r="F10348" s="709"/>
      <c r="G10348" s="705">
        <v>114.22880460026066</v>
      </c>
    </row>
    <row r="10349" spans="2:7" ht="11.25" hidden="1" customHeight="1" outlineLevel="2" x14ac:dyDescent="0.25">
      <c r="B10349" s="704" t="s">
        <v>673</v>
      </c>
      <c r="C10349" s="704" t="s">
        <v>899</v>
      </c>
      <c r="D10349" s="704" t="s">
        <v>728</v>
      </c>
      <c r="E10349" s="704" t="s">
        <v>861</v>
      </c>
      <c r="F10349" s="709"/>
      <c r="G10349" s="705">
        <v>13.468560388639375</v>
      </c>
    </row>
    <row r="10350" spans="2:7" ht="11.25" hidden="1" customHeight="1" outlineLevel="2" x14ac:dyDescent="0.25">
      <c r="B10350" s="704" t="s">
        <v>673</v>
      </c>
      <c r="C10350" s="704" t="s">
        <v>900</v>
      </c>
      <c r="D10350" s="704" t="s">
        <v>728</v>
      </c>
      <c r="E10350" s="704" t="s">
        <v>861</v>
      </c>
      <c r="F10350" s="709"/>
      <c r="G10350" s="705">
        <v>0.32082952351062732</v>
      </c>
    </row>
    <row r="10351" spans="2:7" ht="11.25" hidden="1" customHeight="1" outlineLevel="2" x14ac:dyDescent="0.25">
      <c r="B10351" s="704" t="s">
        <v>673</v>
      </c>
      <c r="C10351" s="704" t="s">
        <v>744</v>
      </c>
      <c r="D10351" s="704" t="s">
        <v>745</v>
      </c>
      <c r="E10351" s="704" t="s">
        <v>448</v>
      </c>
      <c r="F10351" s="705">
        <v>3.7180765131007001E-2</v>
      </c>
      <c r="G10351" s="705">
        <v>21.499766962332874</v>
      </c>
    </row>
    <row r="10352" spans="2:7" ht="11.25" hidden="1" customHeight="1" outlineLevel="2" x14ac:dyDescent="0.25">
      <c r="B10352" s="704" t="s">
        <v>673</v>
      </c>
      <c r="C10352" s="704" t="s">
        <v>812</v>
      </c>
      <c r="D10352" s="704" t="s">
        <v>745</v>
      </c>
      <c r="E10352" s="704" t="s">
        <v>448</v>
      </c>
      <c r="F10352" s="705">
        <v>4.3932917690746628E-2</v>
      </c>
      <c r="G10352" s="705">
        <v>48.410055519617352</v>
      </c>
    </row>
    <row r="10353" spans="2:7" ht="11.25" hidden="1" customHeight="1" outlineLevel="2" x14ac:dyDescent="0.25">
      <c r="B10353" s="704" t="s">
        <v>673</v>
      </c>
      <c r="C10353" s="704" t="s">
        <v>813</v>
      </c>
      <c r="D10353" s="704" t="s">
        <v>745</v>
      </c>
      <c r="E10353" s="704" t="s">
        <v>448</v>
      </c>
      <c r="F10353" s="705">
        <v>4.506754532866608E-4</v>
      </c>
      <c r="G10353" s="705">
        <v>0.56870855026738631</v>
      </c>
    </row>
    <row r="10354" spans="2:7" ht="11.25" hidden="1" customHeight="1" outlineLevel="2" x14ac:dyDescent="0.25">
      <c r="B10354" s="704" t="s">
        <v>673</v>
      </c>
      <c r="C10354" s="704" t="s">
        <v>917</v>
      </c>
      <c r="D10354" s="704" t="s">
        <v>745</v>
      </c>
      <c r="E10354" s="704" t="s">
        <v>861</v>
      </c>
      <c r="F10354" s="709"/>
      <c r="G10354" s="705">
        <v>644.23711407806172</v>
      </c>
    </row>
    <row r="10355" spans="2:7" ht="11.25" hidden="1" customHeight="1" outlineLevel="2" x14ac:dyDescent="0.25">
      <c r="B10355" s="704" t="s">
        <v>673</v>
      </c>
      <c r="C10355" s="704" t="s">
        <v>816</v>
      </c>
      <c r="D10355" s="704" t="s">
        <v>712</v>
      </c>
      <c r="E10355" s="704" t="s">
        <v>448</v>
      </c>
      <c r="F10355" s="705">
        <v>6.3625560135058758E-36</v>
      </c>
      <c r="G10355" s="705">
        <v>7.370579327563089E-33</v>
      </c>
    </row>
    <row r="10356" spans="2:7" ht="11.25" hidden="1" customHeight="1" outlineLevel="2" x14ac:dyDescent="0.25">
      <c r="B10356" s="704" t="s">
        <v>673</v>
      </c>
      <c r="C10356" s="704" t="s">
        <v>711</v>
      </c>
      <c r="D10356" s="704" t="s">
        <v>712</v>
      </c>
      <c r="E10356" s="704" t="s">
        <v>676</v>
      </c>
      <c r="F10356" s="705">
        <v>3.136151520901011E-33</v>
      </c>
      <c r="G10356" s="705">
        <v>7.3601632656396319E-31</v>
      </c>
    </row>
    <row r="10357" spans="2:7" ht="11.25" hidden="1" customHeight="1" outlineLevel="2" x14ac:dyDescent="0.25">
      <c r="B10357" s="704" t="s">
        <v>673</v>
      </c>
      <c r="C10357" s="704" t="s">
        <v>921</v>
      </c>
      <c r="D10357" s="704" t="s">
        <v>712</v>
      </c>
      <c r="E10357" s="704" t="s">
        <v>861</v>
      </c>
      <c r="F10357" s="709"/>
      <c r="G10357" s="705">
        <v>7.9720101268876722E-32</v>
      </c>
    </row>
    <row r="10358" spans="2:7" ht="11.25" hidden="1" customHeight="1" outlineLevel="2" x14ac:dyDescent="0.25">
      <c r="B10358" s="704" t="s">
        <v>673</v>
      </c>
      <c r="C10358" s="704" t="s">
        <v>817</v>
      </c>
      <c r="D10358" s="704" t="s">
        <v>818</v>
      </c>
      <c r="E10358" s="704" t="s">
        <v>448</v>
      </c>
      <c r="F10358" s="705">
        <v>0.80587668172606619</v>
      </c>
      <c r="G10358" s="705">
        <v>662.21116533065538</v>
      </c>
    </row>
    <row r="10359" spans="2:7" ht="11.25" hidden="1" customHeight="1" outlineLevel="2" x14ac:dyDescent="0.25">
      <c r="B10359" s="704" t="s">
        <v>673</v>
      </c>
      <c r="C10359" s="704" t="s">
        <v>819</v>
      </c>
      <c r="D10359" s="704" t="s">
        <v>818</v>
      </c>
      <c r="E10359" s="704" t="s">
        <v>448</v>
      </c>
      <c r="F10359" s="705">
        <v>0.3509163969734993</v>
      </c>
      <c r="G10359" s="705">
        <v>279.45138027706378</v>
      </c>
    </row>
    <row r="10360" spans="2:7" ht="11.25" hidden="1" customHeight="1" outlineLevel="2" x14ac:dyDescent="0.25">
      <c r="B10360" s="704" t="s">
        <v>673</v>
      </c>
      <c r="C10360" s="704" t="s">
        <v>820</v>
      </c>
      <c r="D10360" s="704" t="s">
        <v>818</v>
      </c>
      <c r="E10360" s="704" t="s">
        <v>448</v>
      </c>
      <c r="F10360" s="705">
        <v>0.13415825553750715</v>
      </c>
      <c r="G10360" s="705">
        <v>208.58859402845923</v>
      </c>
    </row>
    <row r="10361" spans="2:7" ht="11.25" hidden="1" customHeight="1" outlineLevel="2" x14ac:dyDescent="0.25">
      <c r="B10361" s="704" t="s">
        <v>673</v>
      </c>
      <c r="C10361" s="704" t="s">
        <v>857</v>
      </c>
      <c r="D10361" s="704" t="s">
        <v>818</v>
      </c>
      <c r="E10361" s="704" t="s">
        <v>664</v>
      </c>
      <c r="F10361" s="709"/>
      <c r="G10361" s="705">
        <v>185.72005232980598</v>
      </c>
    </row>
    <row r="10362" spans="2:7" ht="11.25" hidden="1" customHeight="1" outlineLevel="2" x14ac:dyDescent="0.25">
      <c r="B10362" s="704" t="s">
        <v>673</v>
      </c>
      <c r="C10362" s="704" t="s">
        <v>858</v>
      </c>
      <c r="D10362" s="704" t="s">
        <v>818</v>
      </c>
      <c r="E10362" s="704" t="s">
        <v>664</v>
      </c>
      <c r="F10362" s="709"/>
      <c r="G10362" s="705">
        <v>1.5508319177792766</v>
      </c>
    </row>
    <row r="10363" spans="2:7" ht="11.25" hidden="1" customHeight="1" outlineLevel="2" x14ac:dyDescent="0.25">
      <c r="B10363" s="704" t="s">
        <v>673</v>
      </c>
      <c r="C10363" s="704" t="s">
        <v>922</v>
      </c>
      <c r="D10363" s="704" t="s">
        <v>822</v>
      </c>
      <c r="E10363" s="704" t="s">
        <v>861</v>
      </c>
      <c r="F10363" s="709"/>
      <c r="G10363" s="705">
        <v>125.76542773134474</v>
      </c>
    </row>
    <row r="10364" spans="2:7" ht="11.25" hidden="1" customHeight="1" outlineLevel="2" x14ac:dyDescent="0.25">
      <c r="B10364" s="704" t="s">
        <v>673</v>
      </c>
      <c r="C10364" s="704" t="s">
        <v>821</v>
      </c>
      <c r="D10364" s="704" t="s">
        <v>822</v>
      </c>
      <c r="E10364" s="704" t="s">
        <v>448</v>
      </c>
      <c r="F10364" s="705">
        <v>4.006977402499631E-3</v>
      </c>
      <c r="G10364" s="705">
        <v>5.3863819128015242</v>
      </c>
    </row>
    <row r="10365" spans="2:7" ht="11.25" hidden="1" customHeight="1" outlineLevel="2" x14ac:dyDescent="0.25">
      <c r="B10365" s="704" t="s">
        <v>673</v>
      </c>
      <c r="C10365" s="704" t="s">
        <v>855</v>
      </c>
      <c r="D10365" s="704" t="s">
        <v>822</v>
      </c>
      <c r="E10365" s="704" t="s">
        <v>824</v>
      </c>
      <c r="F10365" s="705">
        <v>6.3325962534209286E-5</v>
      </c>
      <c r="G10365" s="705">
        <v>0.18330393030722936</v>
      </c>
    </row>
    <row r="10366" spans="2:7" ht="11.25" hidden="1" customHeight="1" outlineLevel="2" x14ac:dyDescent="0.25">
      <c r="B10366" s="704" t="s">
        <v>673</v>
      </c>
      <c r="C10366" s="704" t="s">
        <v>714</v>
      </c>
      <c r="D10366" s="704" t="s">
        <v>715</v>
      </c>
      <c r="E10366" s="704" t="s">
        <v>448</v>
      </c>
      <c r="F10366" s="705">
        <v>1.3477423744660915</v>
      </c>
      <c r="G10366" s="705">
        <v>341.6860885079401</v>
      </c>
    </row>
    <row r="10367" spans="2:7" ht="11.25" hidden="1" customHeight="1" outlineLevel="2" x14ac:dyDescent="0.25">
      <c r="B10367" s="704" t="s">
        <v>673</v>
      </c>
      <c r="C10367" s="704" t="s">
        <v>716</v>
      </c>
      <c r="D10367" s="704" t="s">
        <v>715</v>
      </c>
      <c r="E10367" s="704" t="s">
        <v>448</v>
      </c>
      <c r="F10367" s="705">
        <v>1.2217467237388766E-33</v>
      </c>
      <c r="G10367" s="705">
        <v>1.4883506685854614E-30</v>
      </c>
    </row>
    <row r="10368" spans="2:7" ht="11.25" hidden="1" customHeight="1" outlineLevel="2" x14ac:dyDescent="0.25">
      <c r="B10368" s="704" t="s">
        <v>673</v>
      </c>
      <c r="C10368" s="704" t="s">
        <v>717</v>
      </c>
      <c r="D10368" s="704" t="s">
        <v>715</v>
      </c>
      <c r="E10368" s="704" t="s">
        <v>448</v>
      </c>
      <c r="F10368" s="705">
        <v>1.5118312018812359</v>
      </c>
      <c r="G10368" s="705">
        <v>413.18481786908904</v>
      </c>
    </row>
    <row r="10369" spans="2:7" ht="11.25" hidden="1" customHeight="1" outlineLevel="2" x14ac:dyDescent="0.25">
      <c r="B10369" s="704" t="s">
        <v>673</v>
      </c>
      <c r="C10369" s="704" t="s">
        <v>718</v>
      </c>
      <c r="D10369" s="704" t="s">
        <v>715</v>
      </c>
      <c r="E10369" s="704" t="s">
        <v>448</v>
      </c>
      <c r="F10369" s="705">
        <v>9.6810498399260481E-2</v>
      </c>
      <c r="G10369" s="705">
        <v>106.22956157076491</v>
      </c>
    </row>
    <row r="10370" spans="2:7" ht="11.25" hidden="1" customHeight="1" outlineLevel="2" x14ac:dyDescent="0.25">
      <c r="B10370" s="704" t="s">
        <v>673</v>
      </c>
      <c r="C10370" s="704" t="s">
        <v>746</v>
      </c>
      <c r="D10370" s="704" t="s">
        <v>715</v>
      </c>
      <c r="E10370" s="704" t="s">
        <v>448</v>
      </c>
      <c r="F10370" s="705">
        <v>0.24980878770086723</v>
      </c>
      <c r="G10370" s="705">
        <v>172.91043026300696</v>
      </c>
    </row>
    <row r="10371" spans="2:7" ht="11.25" hidden="1" customHeight="1" outlineLevel="2" x14ac:dyDescent="0.25">
      <c r="B10371" s="704" t="s">
        <v>673</v>
      </c>
      <c r="C10371" s="704" t="s">
        <v>747</v>
      </c>
      <c r="D10371" s="704" t="s">
        <v>715</v>
      </c>
      <c r="E10371" s="704" t="s">
        <v>448</v>
      </c>
      <c r="F10371" s="705">
        <v>2.1628506190706775</v>
      </c>
      <c r="G10371" s="705">
        <v>1843.0009775508097</v>
      </c>
    </row>
    <row r="10372" spans="2:7" ht="11.25" hidden="1" customHeight="1" outlineLevel="2" x14ac:dyDescent="0.25">
      <c r="B10372" s="704" t="s">
        <v>673</v>
      </c>
      <c r="C10372" s="704" t="s">
        <v>748</v>
      </c>
      <c r="D10372" s="704" t="s">
        <v>715</v>
      </c>
      <c r="E10372" s="704" t="s">
        <v>448</v>
      </c>
      <c r="F10372" s="705">
        <v>0.20034036704840155</v>
      </c>
      <c r="G10372" s="705">
        <v>258.99291158072703</v>
      </c>
    </row>
    <row r="10373" spans="2:7" ht="11.25" hidden="1" customHeight="1" outlineLevel="2" x14ac:dyDescent="0.25">
      <c r="B10373" s="704" t="s">
        <v>673</v>
      </c>
      <c r="C10373" s="704" t="s">
        <v>749</v>
      </c>
      <c r="D10373" s="704" t="s">
        <v>715</v>
      </c>
      <c r="E10373" s="704" t="s">
        <v>448</v>
      </c>
      <c r="F10373" s="705">
        <v>0.1320244259675516</v>
      </c>
      <c r="G10373" s="705">
        <v>103.65559872668655</v>
      </c>
    </row>
    <row r="10374" spans="2:7" ht="11.25" hidden="1" customHeight="1" outlineLevel="2" x14ac:dyDescent="0.25">
      <c r="B10374" s="704" t="s">
        <v>673</v>
      </c>
      <c r="C10374" s="704" t="s">
        <v>823</v>
      </c>
      <c r="D10374" s="704" t="s">
        <v>715</v>
      </c>
      <c r="E10374" s="704" t="s">
        <v>824</v>
      </c>
      <c r="F10374" s="705">
        <v>4.2912131950305875E-3</v>
      </c>
      <c r="G10374" s="705">
        <v>7.1692385698538557</v>
      </c>
    </row>
    <row r="10375" spans="2:7" ht="11.25" hidden="1" customHeight="1" outlineLevel="2" x14ac:dyDescent="0.25">
      <c r="B10375" s="704" t="s">
        <v>673</v>
      </c>
      <c r="C10375" s="704" t="s">
        <v>860</v>
      </c>
      <c r="D10375" s="704" t="s">
        <v>715</v>
      </c>
      <c r="E10375" s="704" t="s">
        <v>861</v>
      </c>
      <c r="F10375" s="709"/>
      <c r="G10375" s="705">
        <v>142.09373670000505</v>
      </c>
    </row>
    <row r="10376" spans="2:7" ht="11.25" hidden="1" customHeight="1" outlineLevel="2" x14ac:dyDescent="0.25">
      <c r="B10376" s="704" t="s">
        <v>673</v>
      </c>
      <c r="C10376" s="704" t="s">
        <v>919</v>
      </c>
      <c r="D10376" s="704" t="s">
        <v>920</v>
      </c>
      <c r="E10376" s="704" t="s">
        <v>861</v>
      </c>
      <c r="F10376" s="709"/>
      <c r="G10376" s="705">
        <v>6.5972143187212042</v>
      </c>
    </row>
    <row r="10377" spans="2:7" ht="11.25" hidden="1" customHeight="1" outlineLevel="1" x14ac:dyDescent="0.25">
      <c r="B10377" s="707" t="s">
        <v>942</v>
      </c>
      <c r="C10377" s="704"/>
      <c r="D10377" s="704"/>
      <c r="E10377" s="704"/>
      <c r="F10377" s="709">
        <f t="shared" ref="F10377:G10377" si="27">SUBTOTAL(9,F10166:F10376)</f>
        <v>16.65502480521311</v>
      </c>
      <c r="G10377" s="705">
        <f t="shared" si="27"/>
        <v>30343.574130883724</v>
      </c>
    </row>
    <row r="10378" spans="2:7" ht="11.25" hidden="1" customHeight="1" outlineLevel="2" x14ac:dyDescent="0.25">
      <c r="B10378" s="704" t="s">
        <v>677</v>
      </c>
      <c r="C10378" s="704" t="s">
        <v>739</v>
      </c>
      <c r="D10378" s="704" t="s">
        <v>44</v>
      </c>
      <c r="E10378" s="704" t="s">
        <v>448</v>
      </c>
      <c r="F10378" s="705">
        <v>5.8380535195254161E-4</v>
      </c>
      <c r="G10378" s="705">
        <v>0.35556396398702633</v>
      </c>
    </row>
    <row r="10379" spans="2:7" ht="11.25" hidden="1" customHeight="1" outlineLevel="2" x14ac:dyDescent="0.25">
      <c r="B10379" s="704" t="s">
        <v>677</v>
      </c>
      <c r="C10379" s="704" t="s">
        <v>796</v>
      </c>
      <c r="D10379" s="704" t="s">
        <v>44</v>
      </c>
      <c r="E10379" s="704" t="s">
        <v>448</v>
      </c>
      <c r="F10379" s="705">
        <v>6.21342149410344E-4</v>
      </c>
      <c r="G10379" s="705">
        <v>0.86254777236149827</v>
      </c>
    </row>
    <row r="10380" spans="2:7" ht="11.25" hidden="1" customHeight="1" outlineLevel="2" x14ac:dyDescent="0.25">
      <c r="B10380" s="704" t="s">
        <v>677</v>
      </c>
      <c r="C10380" s="704" t="s">
        <v>797</v>
      </c>
      <c r="D10380" s="704" t="s">
        <v>44</v>
      </c>
      <c r="E10380" s="704" t="s">
        <v>448</v>
      </c>
      <c r="F10380" s="705">
        <v>9.91776051435735E-4</v>
      </c>
      <c r="G10380" s="705">
        <v>3.3561245917512377</v>
      </c>
    </row>
    <row r="10381" spans="2:7" ht="11.25" hidden="1" customHeight="1" outlineLevel="2" x14ac:dyDescent="0.25">
      <c r="B10381" s="704" t="s">
        <v>677</v>
      </c>
      <c r="C10381" s="704" t="s">
        <v>798</v>
      </c>
      <c r="D10381" s="704" t="s">
        <v>44</v>
      </c>
      <c r="E10381" s="704" t="s">
        <v>448</v>
      </c>
      <c r="F10381" s="705">
        <v>1.6255472777299019E-5</v>
      </c>
      <c r="G10381" s="705">
        <v>2.1138786807130064E-2</v>
      </c>
    </row>
    <row r="10382" spans="2:7" ht="11.25" hidden="1" customHeight="1" outlineLevel="2" x14ac:dyDescent="0.25">
      <c r="B10382" s="704" t="s">
        <v>677</v>
      </c>
      <c r="C10382" s="704" t="s">
        <v>799</v>
      </c>
      <c r="D10382" s="704" t="s">
        <v>44</v>
      </c>
      <c r="E10382" s="704" t="s">
        <v>448</v>
      </c>
      <c r="F10382" s="705">
        <v>1.7560881175287216E-3</v>
      </c>
      <c r="G10382" s="705">
        <v>2.2818968435970044</v>
      </c>
    </row>
    <row r="10383" spans="2:7" ht="11.25" hidden="1" customHeight="1" outlineLevel="2" x14ac:dyDescent="0.25">
      <c r="B10383" s="704" t="s">
        <v>677</v>
      </c>
      <c r="C10383" s="704" t="s">
        <v>800</v>
      </c>
      <c r="D10383" s="704" t="s">
        <v>44</v>
      </c>
      <c r="E10383" s="704" t="s">
        <v>448</v>
      </c>
      <c r="F10383" s="705">
        <v>5.8026215994798032E-4</v>
      </c>
      <c r="G10383" s="705">
        <v>0.71478876563541771</v>
      </c>
    </row>
    <row r="10384" spans="2:7" ht="11.25" hidden="1" customHeight="1" outlineLevel="2" x14ac:dyDescent="0.25">
      <c r="B10384" s="704" t="s">
        <v>677</v>
      </c>
      <c r="C10384" s="704" t="s">
        <v>801</v>
      </c>
      <c r="D10384" s="704" t="s">
        <v>44</v>
      </c>
      <c r="E10384" s="704" t="s">
        <v>448</v>
      </c>
      <c r="F10384" s="705">
        <v>7.5630146551103157E-3</v>
      </c>
      <c r="G10384" s="705">
        <v>7.7648853358242462</v>
      </c>
    </row>
    <row r="10385" spans="2:7" ht="11.25" hidden="1" customHeight="1" outlineLevel="2" x14ac:dyDescent="0.25">
      <c r="B10385" s="704" t="s">
        <v>677</v>
      </c>
      <c r="C10385" s="704" t="s">
        <v>802</v>
      </c>
      <c r="D10385" s="704" t="s">
        <v>44</v>
      </c>
      <c r="E10385" s="704" t="s">
        <v>448</v>
      </c>
      <c r="F10385" s="705">
        <v>2.4834482234941391E-2</v>
      </c>
      <c r="G10385" s="705">
        <v>16.644039048352433</v>
      </c>
    </row>
    <row r="10386" spans="2:7" ht="11.25" hidden="1" customHeight="1" outlineLevel="2" x14ac:dyDescent="0.25">
      <c r="B10386" s="704" t="s">
        <v>677</v>
      </c>
      <c r="C10386" s="704" t="s">
        <v>803</v>
      </c>
      <c r="D10386" s="704" t="s">
        <v>44</v>
      </c>
      <c r="E10386" s="704" t="s">
        <v>448</v>
      </c>
      <c r="F10386" s="705">
        <v>2.7867262661299174E-3</v>
      </c>
      <c r="G10386" s="705">
        <v>3.6211278552893913</v>
      </c>
    </row>
    <row r="10387" spans="2:7" ht="11.25" hidden="1" customHeight="1" outlineLevel="2" x14ac:dyDescent="0.25">
      <c r="B10387" s="704" t="s">
        <v>677</v>
      </c>
      <c r="C10387" s="704" t="s">
        <v>804</v>
      </c>
      <c r="D10387" s="704" t="s">
        <v>44</v>
      </c>
      <c r="E10387" s="704" t="s">
        <v>448</v>
      </c>
      <c r="F10387" s="705">
        <v>4.1530530340291695E-3</v>
      </c>
      <c r="G10387" s="705">
        <v>5.2433787179537683</v>
      </c>
    </row>
    <row r="10388" spans="2:7" ht="11.25" hidden="1" customHeight="1" outlineLevel="2" x14ac:dyDescent="0.25">
      <c r="B10388" s="704" t="s">
        <v>677</v>
      </c>
      <c r="C10388" s="704" t="s">
        <v>805</v>
      </c>
      <c r="D10388" s="704" t="s">
        <v>44</v>
      </c>
      <c r="E10388" s="704" t="s">
        <v>448</v>
      </c>
      <c r="F10388" s="705">
        <v>8.3457628209423389E-4</v>
      </c>
      <c r="G10388" s="705">
        <v>5.8167145025079812</v>
      </c>
    </row>
    <row r="10389" spans="2:7" ht="11.25" hidden="1" customHeight="1" outlineLevel="2" x14ac:dyDescent="0.25">
      <c r="B10389" s="704" t="s">
        <v>677</v>
      </c>
      <c r="C10389" s="704" t="s">
        <v>846</v>
      </c>
      <c r="D10389" s="704" t="s">
        <v>44</v>
      </c>
      <c r="E10389" s="704" t="s">
        <v>824</v>
      </c>
      <c r="F10389" s="705">
        <v>2.0035527617092391E-5</v>
      </c>
      <c r="G10389" s="705">
        <v>3.1835549585027788E-2</v>
      </c>
    </row>
    <row r="10390" spans="2:7" ht="11.25" hidden="1" customHeight="1" outlineLevel="2" x14ac:dyDescent="0.25">
      <c r="B10390" s="704" t="s">
        <v>677</v>
      </c>
      <c r="C10390" s="704" t="s">
        <v>847</v>
      </c>
      <c r="D10390" s="704" t="s">
        <v>44</v>
      </c>
      <c r="E10390" s="704" t="s">
        <v>824</v>
      </c>
      <c r="F10390" s="705">
        <v>4.1112562073365846E-6</v>
      </c>
      <c r="G10390" s="705">
        <v>4.3327890813225987E-2</v>
      </c>
    </row>
    <row r="10391" spans="2:7" ht="11.25" hidden="1" customHeight="1" outlineLevel="2" x14ac:dyDescent="0.25">
      <c r="B10391" s="704" t="s">
        <v>677</v>
      </c>
      <c r="C10391" s="704" t="s">
        <v>705</v>
      </c>
      <c r="D10391" s="704" t="s">
        <v>44</v>
      </c>
      <c r="E10391" s="704" t="s">
        <v>676</v>
      </c>
      <c r="F10391" s="705">
        <v>8.0203678606623956E-4</v>
      </c>
      <c r="G10391" s="705">
        <v>8.4096959418351637E-3</v>
      </c>
    </row>
    <row r="10392" spans="2:7" ht="11.25" hidden="1" customHeight="1" outlineLevel="2" x14ac:dyDescent="0.25">
      <c r="B10392" s="704" t="s">
        <v>677</v>
      </c>
      <c r="C10392" s="704" t="s">
        <v>706</v>
      </c>
      <c r="D10392" s="704" t="s">
        <v>44</v>
      </c>
      <c r="E10392" s="704" t="s">
        <v>676</v>
      </c>
      <c r="F10392" s="705">
        <v>2.5457200493700523E-4</v>
      </c>
      <c r="G10392" s="705">
        <v>2.6684954758890646E-3</v>
      </c>
    </row>
    <row r="10393" spans="2:7" ht="11.25" hidden="1" customHeight="1" outlineLevel="2" x14ac:dyDescent="0.25">
      <c r="B10393" s="704" t="s">
        <v>677</v>
      </c>
      <c r="C10393" s="704" t="s">
        <v>901</v>
      </c>
      <c r="D10393" s="704" t="s">
        <v>44</v>
      </c>
      <c r="E10393" s="704" t="s">
        <v>861</v>
      </c>
      <c r="F10393" s="705">
        <v>5.5708340968698725E-6</v>
      </c>
      <c r="G10393" s="705">
        <v>6.219018949945785E-2</v>
      </c>
    </row>
    <row r="10394" spans="2:7" ht="11.25" hidden="1" customHeight="1" outlineLevel="2" x14ac:dyDescent="0.25">
      <c r="B10394" s="704" t="s">
        <v>677</v>
      </c>
      <c r="C10394" s="704" t="s">
        <v>902</v>
      </c>
      <c r="D10394" s="704" t="s">
        <v>44</v>
      </c>
      <c r="E10394" s="704" t="s">
        <v>861</v>
      </c>
      <c r="F10394" s="705">
        <v>7.591361101367966E-2</v>
      </c>
      <c r="G10394" s="705">
        <v>2688.6305600069909</v>
      </c>
    </row>
    <row r="10395" spans="2:7" ht="11.25" hidden="1" customHeight="1" outlineLevel="2" x14ac:dyDescent="0.25">
      <c r="B10395" s="704" t="s">
        <v>677</v>
      </c>
      <c r="C10395" s="704" t="s">
        <v>903</v>
      </c>
      <c r="D10395" s="704" t="s">
        <v>44</v>
      </c>
      <c r="E10395" s="704" t="s">
        <v>861</v>
      </c>
      <c r="F10395" s="705">
        <v>5.7095484283100715E-3</v>
      </c>
      <c r="G10395" s="705">
        <v>241.25228628463543</v>
      </c>
    </row>
    <row r="10396" spans="2:7" ht="11.25" hidden="1" customHeight="1" outlineLevel="2" x14ac:dyDescent="0.25">
      <c r="B10396" s="704" t="s">
        <v>677</v>
      </c>
      <c r="C10396" s="704" t="s">
        <v>904</v>
      </c>
      <c r="D10396" s="704" t="s">
        <v>44</v>
      </c>
      <c r="E10396" s="704" t="s">
        <v>861</v>
      </c>
      <c r="F10396" s="705">
        <v>3.4775931108175498E-5</v>
      </c>
      <c r="G10396" s="705">
        <v>1.341032897925073</v>
      </c>
    </row>
    <row r="10397" spans="2:7" ht="11.25" hidden="1" customHeight="1" outlineLevel="2" x14ac:dyDescent="0.25">
      <c r="B10397" s="704" t="s">
        <v>677</v>
      </c>
      <c r="C10397" s="704" t="s">
        <v>905</v>
      </c>
      <c r="D10397" s="704" t="s">
        <v>44</v>
      </c>
      <c r="E10397" s="704" t="s">
        <v>861</v>
      </c>
      <c r="F10397" s="705">
        <v>7.4846185154332063E-6</v>
      </c>
      <c r="G10397" s="705">
        <v>0.2752452274343512</v>
      </c>
    </row>
    <row r="10398" spans="2:7" ht="11.25" hidden="1" customHeight="1" outlineLevel="2" x14ac:dyDescent="0.25">
      <c r="B10398" s="704" t="s">
        <v>677</v>
      </c>
      <c r="C10398" s="704" t="s">
        <v>906</v>
      </c>
      <c r="D10398" s="704" t="s">
        <v>44</v>
      </c>
      <c r="E10398" s="704" t="s">
        <v>861</v>
      </c>
      <c r="F10398" s="705">
        <v>4.9421665841808157E-4</v>
      </c>
      <c r="G10398" s="705">
        <v>20.479403310092888</v>
      </c>
    </row>
    <row r="10399" spans="2:7" ht="11.25" hidden="1" customHeight="1" outlineLevel="2" x14ac:dyDescent="0.25">
      <c r="B10399" s="704" t="s">
        <v>677</v>
      </c>
      <c r="C10399" s="704" t="s">
        <v>907</v>
      </c>
      <c r="D10399" s="704" t="s">
        <v>44</v>
      </c>
      <c r="E10399" s="704" t="s">
        <v>861</v>
      </c>
      <c r="F10399" s="705">
        <v>1.059922675584318E-6</v>
      </c>
      <c r="G10399" s="705">
        <v>5.1293407108130198E-2</v>
      </c>
    </row>
    <row r="10400" spans="2:7" ht="11.25" hidden="1" customHeight="1" outlineLevel="2" x14ac:dyDescent="0.25">
      <c r="B10400" s="704" t="s">
        <v>677</v>
      </c>
      <c r="C10400" s="704" t="s">
        <v>908</v>
      </c>
      <c r="D10400" s="704" t="s">
        <v>44</v>
      </c>
      <c r="E10400" s="704" t="s">
        <v>861</v>
      </c>
      <c r="F10400" s="705">
        <v>4.7445631506761452E-4</v>
      </c>
      <c r="G10400" s="705">
        <v>18.928580510523975</v>
      </c>
    </row>
    <row r="10401" spans="2:7" ht="11.25" hidden="1" customHeight="1" outlineLevel="2" x14ac:dyDescent="0.25">
      <c r="B10401" s="704" t="s">
        <v>677</v>
      </c>
      <c r="C10401" s="704" t="s">
        <v>909</v>
      </c>
      <c r="D10401" s="704" t="s">
        <v>44</v>
      </c>
      <c r="E10401" s="704" t="s">
        <v>861</v>
      </c>
      <c r="F10401" s="705">
        <v>1.3395457533123207E-3</v>
      </c>
      <c r="G10401" s="705">
        <v>52.578603723110895</v>
      </c>
    </row>
    <row r="10402" spans="2:7" ht="11.25" hidden="1" customHeight="1" outlineLevel="2" x14ac:dyDescent="0.25">
      <c r="B10402" s="704" t="s">
        <v>677</v>
      </c>
      <c r="C10402" s="704" t="s">
        <v>910</v>
      </c>
      <c r="D10402" s="704" t="s">
        <v>44</v>
      </c>
      <c r="E10402" s="704" t="s">
        <v>861</v>
      </c>
      <c r="F10402" s="705">
        <v>1.2208815814322542E-3</v>
      </c>
      <c r="G10402" s="705">
        <v>38.655507139248847</v>
      </c>
    </row>
    <row r="10403" spans="2:7" ht="11.25" hidden="1" customHeight="1" outlineLevel="2" x14ac:dyDescent="0.25">
      <c r="B10403" s="704" t="s">
        <v>677</v>
      </c>
      <c r="C10403" s="704" t="s">
        <v>814</v>
      </c>
      <c r="D10403" s="704" t="s">
        <v>815</v>
      </c>
      <c r="E10403" s="704" t="s">
        <v>448</v>
      </c>
      <c r="F10403" s="705">
        <v>0.10608789328470504</v>
      </c>
      <c r="G10403" s="705">
        <v>303.62439702372995</v>
      </c>
    </row>
    <row r="10404" spans="2:7" ht="11.25" hidden="1" customHeight="1" outlineLevel="2" x14ac:dyDescent="0.25">
      <c r="B10404" s="704" t="s">
        <v>677</v>
      </c>
      <c r="C10404" s="704" t="s">
        <v>854</v>
      </c>
      <c r="D10404" s="704" t="s">
        <v>815</v>
      </c>
      <c r="E10404" s="704" t="s">
        <v>824</v>
      </c>
      <c r="F10404" s="705">
        <v>3.0204867505814241E-2</v>
      </c>
      <c r="G10404" s="705">
        <v>277.51855549860068</v>
      </c>
    </row>
    <row r="10405" spans="2:7" ht="11.25" hidden="1" customHeight="1" outlineLevel="2" x14ac:dyDescent="0.25">
      <c r="B10405" s="704" t="s">
        <v>677</v>
      </c>
      <c r="C10405" s="704" t="s">
        <v>918</v>
      </c>
      <c r="D10405" s="704" t="s">
        <v>815</v>
      </c>
      <c r="E10405" s="704" t="s">
        <v>861</v>
      </c>
      <c r="F10405" s="705">
        <v>0.57705415091552159</v>
      </c>
      <c r="G10405" s="705">
        <v>19083.152012938397</v>
      </c>
    </row>
    <row r="10406" spans="2:7" ht="11.25" hidden="1" customHeight="1" outlineLevel="2" x14ac:dyDescent="0.25">
      <c r="B10406" s="704" t="s">
        <v>677</v>
      </c>
      <c r="C10406" s="704" t="s">
        <v>740</v>
      </c>
      <c r="D10406" s="704" t="s">
        <v>562</v>
      </c>
      <c r="E10406" s="704" t="s">
        <v>448</v>
      </c>
      <c r="F10406" s="705">
        <v>7.4842654236593545E-2</v>
      </c>
      <c r="G10406" s="705">
        <v>37.027370508657683</v>
      </c>
    </row>
    <row r="10407" spans="2:7" ht="11.25" hidden="1" customHeight="1" outlineLevel="2" x14ac:dyDescent="0.25">
      <c r="B10407" s="704" t="s">
        <v>677</v>
      </c>
      <c r="C10407" s="704" t="s">
        <v>741</v>
      </c>
      <c r="D10407" s="704" t="s">
        <v>562</v>
      </c>
      <c r="E10407" s="704" t="s">
        <v>448</v>
      </c>
      <c r="F10407" s="705">
        <v>0.47824071431139598</v>
      </c>
      <c r="G10407" s="705">
        <v>247.03471866380158</v>
      </c>
    </row>
    <row r="10408" spans="2:7" ht="11.25" hidden="1" customHeight="1" outlineLevel="2" x14ac:dyDescent="0.25">
      <c r="B10408" s="704" t="s">
        <v>677</v>
      </c>
      <c r="C10408" s="704" t="s">
        <v>742</v>
      </c>
      <c r="D10408" s="704" t="s">
        <v>562</v>
      </c>
      <c r="E10408" s="704" t="s">
        <v>448</v>
      </c>
      <c r="F10408" s="705">
        <v>2.1288030916054792E-4</v>
      </c>
      <c r="G10408" s="705">
        <v>9.5273825633411871E-2</v>
      </c>
    </row>
    <row r="10409" spans="2:7" ht="11.25" hidden="1" customHeight="1" outlineLevel="2" x14ac:dyDescent="0.25">
      <c r="B10409" s="704" t="s">
        <v>677</v>
      </c>
      <c r="C10409" s="704" t="s">
        <v>743</v>
      </c>
      <c r="D10409" s="704" t="s">
        <v>562</v>
      </c>
      <c r="E10409" s="704" t="s">
        <v>448</v>
      </c>
      <c r="F10409" s="705">
        <v>3.349630970233909E-3</v>
      </c>
      <c r="G10409" s="705">
        <v>1.4991143732323027</v>
      </c>
    </row>
    <row r="10410" spans="2:7" ht="11.25" hidden="1" customHeight="1" outlineLevel="2" x14ac:dyDescent="0.25">
      <c r="B10410" s="704" t="s">
        <v>677</v>
      </c>
      <c r="C10410" s="704" t="s">
        <v>806</v>
      </c>
      <c r="D10410" s="704" t="s">
        <v>562</v>
      </c>
      <c r="E10410" s="704" t="s">
        <v>448</v>
      </c>
      <c r="F10410" s="705">
        <v>6.4354998010768583</v>
      </c>
      <c r="G10410" s="705">
        <v>7621.9013444893426</v>
      </c>
    </row>
    <row r="10411" spans="2:7" ht="11.25" hidden="1" customHeight="1" outlineLevel="2" x14ac:dyDescent="0.25">
      <c r="B10411" s="704" t="s">
        <v>677</v>
      </c>
      <c r="C10411" s="704" t="s">
        <v>807</v>
      </c>
      <c r="D10411" s="704" t="s">
        <v>562</v>
      </c>
      <c r="E10411" s="704" t="s">
        <v>448</v>
      </c>
      <c r="F10411" s="705">
        <v>1.3849621021815595</v>
      </c>
      <c r="G10411" s="705">
        <v>1907.3054832559583</v>
      </c>
    </row>
    <row r="10412" spans="2:7" ht="11.25" hidden="1" customHeight="1" outlineLevel="2" x14ac:dyDescent="0.25">
      <c r="B10412" s="704" t="s">
        <v>677</v>
      </c>
      <c r="C10412" s="704" t="s">
        <v>808</v>
      </c>
      <c r="D10412" s="704" t="s">
        <v>562</v>
      </c>
      <c r="E10412" s="704" t="s">
        <v>448</v>
      </c>
      <c r="F10412" s="705">
        <v>0.63925898419780991</v>
      </c>
      <c r="G10412" s="705">
        <v>1011.4286580449817</v>
      </c>
    </row>
    <row r="10413" spans="2:7" ht="11.25" hidden="1" customHeight="1" outlineLevel="2" x14ac:dyDescent="0.25">
      <c r="B10413" s="704" t="s">
        <v>677</v>
      </c>
      <c r="C10413" s="704" t="s">
        <v>809</v>
      </c>
      <c r="D10413" s="704" t="s">
        <v>562</v>
      </c>
      <c r="E10413" s="704" t="s">
        <v>448</v>
      </c>
      <c r="F10413" s="705">
        <v>1.4731857228006735</v>
      </c>
      <c r="G10413" s="705">
        <v>2170.1600656973615</v>
      </c>
    </row>
    <row r="10414" spans="2:7" ht="11.25" hidden="1" customHeight="1" outlineLevel="2" x14ac:dyDescent="0.25">
      <c r="B10414" s="704" t="s">
        <v>677</v>
      </c>
      <c r="C10414" s="704" t="s">
        <v>810</v>
      </c>
      <c r="D10414" s="704" t="s">
        <v>562</v>
      </c>
      <c r="E10414" s="704" t="s">
        <v>448</v>
      </c>
      <c r="F10414" s="705">
        <v>2.7827754777491314</v>
      </c>
      <c r="G10414" s="705">
        <v>3418.8975955506776</v>
      </c>
    </row>
    <row r="10415" spans="2:7" ht="11.25" hidden="1" customHeight="1" outlineLevel="2" x14ac:dyDescent="0.25">
      <c r="B10415" s="704" t="s">
        <v>677</v>
      </c>
      <c r="C10415" s="704" t="s">
        <v>811</v>
      </c>
      <c r="D10415" s="704" t="s">
        <v>562</v>
      </c>
      <c r="E10415" s="704" t="s">
        <v>448</v>
      </c>
      <c r="F10415" s="705">
        <v>0.11846688800462295</v>
      </c>
      <c r="G10415" s="705">
        <v>160.80583685890625</v>
      </c>
    </row>
    <row r="10416" spans="2:7" ht="11.25" hidden="1" customHeight="1" outlineLevel="2" x14ac:dyDescent="0.25">
      <c r="B10416" s="704" t="s">
        <v>677</v>
      </c>
      <c r="C10416" s="704" t="s">
        <v>848</v>
      </c>
      <c r="D10416" s="704" t="s">
        <v>562</v>
      </c>
      <c r="E10416" s="704" t="s">
        <v>824</v>
      </c>
      <c r="F10416" s="705">
        <v>0.36888139860577845</v>
      </c>
      <c r="G10416" s="705">
        <v>1014.1306600621522</v>
      </c>
    </row>
    <row r="10417" spans="2:7" ht="11.25" hidden="1" customHeight="1" outlineLevel="2" x14ac:dyDescent="0.25">
      <c r="B10417" s="704" t="s">
        <v>677</v>
      </c>
      <c r="C10417" s="704" t="s">
        <v>849</v>
      </c>
      <c r="D10417" s="704" t="s">
        <v>562</v>
      </c>
      <c r="E10417" s="704" t="s">
        <v>824</v>
      </c>
      <c r="F10417" s="705">
        <v>5.3557592745492585E-2</v>
      </c>
      <c r="G10417" s="705">
        <v>225.8820426583093</v>
      </c>
    </row>
    <row r="10418" spans="2:7" ht="11.25" hidden="1" customHeight="1" outlineLevel="2" x14ac:dyDescent="0.25">
      <c r="B10418" s="704" t="s">
        <v>677</v>
      </c>
      <c r="C10418" s="704" t="s">
        <v>850</v>
      </c>
      <c r="D10418" s="704" t="s">
        <v>562</v>
      </c>
      <c r="E10418" s="704" t="s">
        <v>824</v>
      </c>
      <c r="F10418" s="705">
        <v>3.9622987548885796E-2</v>
      </c>
      <c r="G10418" s="705">
        <v>264.77450172930423</v>
      </c>
    </row>
    <row r="10419" spans="2:7" ht="11.25" hidden="1" customHeight="1" outlineLevel="2" x14ac:dyDescent="0.25">
      <c r="B10419" s="704" t="s">
        <v>677</v>
      </c>
      <c r="C10419" s="704" t="s">
        <v>851</v>
      </c>
      <c r="D10419" s="704" t="s">
        <v>562</v>
      </c>
      <c r="E10419" s="704" t="s">
        <v>824</v>
      </c>
      <c r="F10419" s="705">
        <v>6.940462645987458E-2</v>
      </c>
      <c r="G10419" s="705">
        <v>328.91617569000817</v>
      </c>
    </row>
    <row r="10420" spans="2:7" ht="11.25" hidden="1" customHeight="1" outlineLevel="2" x14ac:dyDescent="0.25">
      <c r="B10420" s="704" t="s">
        <v>677</v>
      </c>
      <c r="C10420" s="704" t="s">
        <v>852</v>
      </c>
      <c r="D10420" s="704" t="s">
        <v>562</v>
      </c>
      <c r="E10420" s="704" t="s">
        <v>824</v>
      </c>
      <c r="F10420" s="705">
        <v>1.7329953949131356E-3</v>
      </c>
      <c r="G10420" s="705">
        <v>4.4462087468212346</v>
      </c>
    </row>
    <row r="10421" spans="2:7" ht="11.25" hidden="1" customHeight="1" outlineLevel="2" x14ac:dyDescent="0.25">
      <c r="B10421" s="704" t="s">
        <v>677</v>
      </c>
      <c r="C10421" s="704" t="s">
        <v>853</v>
      </c>
      <c r="D10421" s="704" t="s">
        <v>562</v>
      </c>
      <c r="E10421" s="704" t="s">
        <v>824</v>
      </c>
      <c r="F10421" s="705">
        <v>5.0560314801938156E-4</v>
      </c>
      <c r="G10421" s="705">
        <v>4.1299417230520508</v>
      </c>
    </row>
    <row r="10422" spans="2:7" ht="11.25" hidden="1" customHeight="1" outlineLevel="2" x14ac:dyDescent="0.25">
      <c r="B10422" s="704" t="s">
        <v>677</v>
      </c>
      <c r="C10422" s="704" t="s">
        <v>707</v>
      </c>
      <c r="D10422" s="704" t="s">
        <v>562</v>
      </c>
      <c r="E10422" s="704" t="s">
        <v>676</v>
      </c>
      <c r="F10422" s="705">
        <v>8.1502164299902571</v>
      </c>
      <c r="G10422" s="705">
        <v>226.32283468358179</v>
      </c>
    </row>
    <row r="10423" spans="2:7" ht="11.25" hidden="1" customHeight="1" outlineLevel="2" x14ac:dyDescent="0.25">
      <c r="B10423" s="704" t="s">
        <v>677</v>
      </c>
      <c r="C10423" s="704" t="s">
        <v>708</v>
      </c>
      <c r="D10423" s="704" t="s">
        <v>562</v>
      </c>
      <c r="E10423" s="704" t="s">
        <v>676</v>
      </c>
      <c r="F10423" s="705">
        <v>0.31246768022732224</v>
      </c>
      <c r="G10423" s="705">
        <v>11.358677462985122</v>
      </c>
    </row>
    <row r="10424" spans="2:7" ht="11.25" hidden="1" customHeight="1" outlineLevel="2" x14ac:dyDescent="0.25">
      <c r="B10424" s="704" t="s">
        <v>677</v>
      </c>
      <c r="C10424" s="704" t="s">
        <v>709</v>
      </c>
      <c r="D10424" s="704" t="s">
        <v>562</v>
      </c>
      <c r="E10424" s="704" t="s">
        <v>676</v>
      </c>
      <c r="F10424" s="705">
        <v>0.22432880827507179</v>
      </c>
      <c r="G10424" s="705">
        <v>15.733691800152682</v>
      </c>
    </row>
    <row r="10425" spans="2:7" ht="11.25" hidden="1" customHeight="1" outlineLevel="2" x14ac:dyDescent="0.25">
      <c r="B10425" s="704" t="s">
        <v>677</v>
      </c>
      <c r="C10425" s="704" t="s">
        <v>710</v>
      </c>
      <c r="D10425" s="704" t="s">
        <v>562</v>
      </c>
      <c r="E10425" s="704" t="s">
        <v>676</v>
      </c>
      <c r="F10425" s="705">
        <v>2.6281236090389046</v>
      </c>
      <c r="G10425" s="705">
        <v>549.97583847754686</v>
      </c>
    </row>
    <row r="10426" spans="2:7" ht="11.25" hidden="1" customHeight="1" outlineLevel="2" x14ac:dyDescent="0.25">
      <c r="B10426" s="704" t="s">
        <v>677</v>
      </c>
      <c r="C10426" s="704" t="s">
        <v>911</v>
      </c>
      <c r="D10426" s="704" t="s">
        <v>562</v>
      </c>
      <c r="E10426" s="704" t="s">
        <v>861</v>
      </c>
      <c r="F10426" s="705">
        <v>0.17141661872200284</v>
      </c>
      <c r="G10426" s="705">
        <v>5864.7825924575491</v>
      </c>
    </row>
    <row r="10427" spans="2:7" ht="11.25" hidden="1" customHeight="1" outlineLevel="2" x14ac:dyDescent="0.25">
      <c r="B10427" s="704" t="s">
        <v>677</v>
      </c>
      <c r="C10427" s="704" t="s">
        <v>912</v>
      </c>
      <c r="D10427" s="704" t="s">
        <v>562</v>
      </c>
      <c r="E10427" s="704" t="s">
        <v>861</v>
      </c>
      <c r="F10427" s="705">
        <v>4.0264582391522627E-2</v>
      </c>
      <c r="G10427" s="705">
        <v>1383.7336298814432</v>
      </c>
    </row>
    <row r="10428" spans="2:7" ht="11.25" hidden="1" customHeight="1" outlineLevel="2" x14ac:dyDescent="0.25">
      <c r="B10428" s="704" t="s">
        <v>677</v>
      </c>
      <c r="C10428" s="704" t="s">
        <v>913</v>
      </c>
      <c r="D10428" s="704" t="s">
        <v>562</v>
      </c>
      <c r="E10428" s="704" t="s">
        <v>861</v>
      </c>
      <c r="F10428" s="705">
        <v>0.12299801942185914</v>
      </c>
      <c r="G10428" s="705">
        <v>3839.3247121136696</v>
      </c>
    </row>
    <row r="10429" spans="2:7" ht="11.25" hidden="1" customHeight="1" outlineLevel="2" x14ac:dyDescent="0.25">
      <c r="B10429" s="704" t="s">
        <v>677</v>
      </c>
      <c r="C10429" s="704" t="s">
        <v>914</v>
      </c>
      <c r="D10429" s="704" t="s">
        <v>562</v>
      </c>
      <c r="E10429" s="704" t="s">
        <v>861</v>
      </c>
      <c r="F10429" s="705">
        <v>8.7448058575009827E-2</v>
      </c>
      <c r="G10429" s="705">
        <v>1949.4837018132544</v>
      </c>
    </row>
    <row r="10430" spans="2:7" ht="11.25" hidden="1" customHeight="1" outlineLevel="2" x14ac:dyDescent="0.25">
      <c r="B10430" s="704" t="s">
        <v>677</v>
      </c>
      <c r="C10430" s="704" t="s">
        <v>915</v>
      </c>
      <c r="D10430" s="704" t="s">
        <v>562</v>
      </c>
      <c r="E10430" s="704" t="s">
        <v>861</v>
      </c>
      <c r="F10430" s="705">
        <v>5.1802243113613297E-3</v>
      </c>
      <c r="G10430" s="705">
        <v>187.27960591098969</v>
      </c>
    </row>
    <row r="10431" spans="2:7" ht="11.25" hidden="1" customHeight="1" outlineLevel="2" x14ac:dyDescent="0.25">
      <c r="B10431" s="704" t="s">
        <v>677</v>
      </c>
      <c r="C10431" s="704" t="s">
        <v>916</v>
      </c>
      <c r="D10431" s="704" t="s">
        <v>562</v>
      </c>
      <c r="E10431" s="704" t="s">
        <v>861</v>
      </c>
      <c r="F10431" s="705">
        <v>5.7979484059478784E-3</v>
      </c>
      <c r="G10431" s="705">
        <v>166.15941357230355</v>
      </c>
    </row>
    <row r="10432" spans="2:7" ht="11.25" hidden="1" customHeight="1" outlineLevel="2" x14ac:dyDescent="0.25">
      <c r="B10432" s="704" t="s">
        <v>677</v>
      </c>
      <c r="C10432" s="704" t="s">
        <v>719</v>
      </c>
      <c r="D10432" s="704" t="s">
        <v>675</v>
      </c>
      <c r="E10432" s="704" t="s">
        <v>448</v>
      </c>
      <c r="F10432" s="705">
        <v>0.10993362970885104</v>
      </c>
      <c r="G10432" s="705">
        <v>67.675765490648899</v>
      </c>
    </row>
    <row r="10433" spans="2:7" ht="11.25" hidden="1" customHeight="1" outlineLevel="2" x14ac:dyDescent="0.25">
      <c r="B10433" s="704" t="s">
        <v>677</v>
      </c>
      <c r="C10433" s="704" t="s">
        <v>720</v>
      </c>
      <c r="D10433" s="704" t="s">
        <v>675</v>
      </c>
      <c r="E10433" s="704" t="s">
        <v>448</v>
      </c>
      <c r="F10433" s="705">
        <v>9.0853139453660504E-3</v>
      </c>
      <c r="G10433" s="705">
        <v>4.3892895127946501</v>
      </c>
    </row>
    <row r="10434" spans="2:7" ht="11.25" hidden="1" customHeight="1" outlineLevel="2" x14ac:dyDescent="0.25">
      <c r="B10434" s="704" t="s">
        <v>677</v>
      </c>
      <c r="C10434" s="704" t="s">
        <v>721</v>
      </c>
      <c r="D10434" s="704" t="s">
        <v>675</v>
      </c>
      <c r="E10434" s="704" t="s">
        <v>448</v>
      </c>
      <c r="F10434" s="705">
        <v>1.1002583213390581E-2</v>
      </c>
      <c r="G10434" s="705">
        <v>5.247141629432253</v>
      </c>
    </row>
    <row r="10435" spans="2:7" ht="11.25" hidden="1" customHeight="1" outlineLevel="2" x14ac:dyDescent="0.25">
      <c r="B10435" s="704" t="s">
        <v>677</v>
      </c>
      <c r="C10435" s="704" t="s">
        <v>722</v>
      </c>
      <c r="D10435" s="704" t="s">
        <v>675</v>
      </c>
      <c r="E10435" s="704" t="s">
        <v>448</v>
      </c>
      <c r="F10435" s="705">
        <v>8.7797244029837665E-5</v>
      </c>
      <c r="G10435" s="705">
        <v>3.9293332053138043E-2</v>
      </c>
    </row>
    <row r="10436" spans="2:7" ht="11.25" hidden="1" customHeight="1" outlineLevel="2" x14ac:dyDescent="0.25">
      <c r="B10436" s="704" t="s">
        <v>677</v>
      </c>
      <c r="C10436" s="704" t="s">
        <v>723</v>
      </c>
      <c r="D10436" s="704" t="s">
        <v>675</v>
      </c>
      <c r="E10436" s="704" t="s">
        <v>448</v>
      </c>
      <c r="F10436" s="705">
        <v>0.31319683181140168</v>
      </c>
      <c r="G10436" s="705">
        <v>174.88467945201646</v>
      </c>
    </row>
    <row r="10437" spans="2:7" ht="11.25" hidden="1" customHeight="1" outlineLevel="2" x14ac:dyDescent="0.25">
      <c r="B10437" s="704" t="s">
        <v>677</v>
      </c>
      <c r="C10437" s="704" t="s">
        <v>724</v>
      </c>
      <c r="D10437" s="704" t="s">
        <v>675</v>
      </c>
      <c r="E10437" s="704" t="s">
        <v>448</v>
      </c>
      <c r="F10437" s="705">
        <v>2.2861693825184217E-3</v>
      </c>
      <c r="G10437" s="705">
        <v>1.0231666970461255</v>
      </c>
    </row>
    <row r="10438" spans="2:7" ht="11.25" hidden="1" customHeight="1" outlineLevel="2" x14ac:dyDescent="0.25">
      <c r="B10438" s="704" t="s">
        <v>677</v>
      </c>
      <c r="C10438" s="704" t="s">
        <v>750</v>
      </c>
      <c r="D10438" s="704" t="s">
        <v>675</v>
      </c>
      <c r="E10438" s="704" t="s">
        <v>448</v>
      </c>
      <c r="F10438" s="705">
        <v>3.9351792123335658E-2</v>
      </c>
      <c r="G10438" s="705">
        <v>60.162369810044666</v>
      </c>
    </row>
    <row r="10439" spans="2:7" ht="11.25" hidden="1" customHeight="1" outlineLevel="2" x14ac:dyDescent="0.25">
      <c r="B10439" s="704" t="s">
        <v>677</v>
      </c>
      <c r="C10439" s="704" t="s">
        <v>751</v>
      </c>
      <c r="D10439" s="704" t="s">
        <v>675</v>
      </c>
      <c r="E10439" s="704" t="s">
        <v>448</v>
      </c>
      <c r="F10439" s="705">
        <v>3.4864731458997402E-4</v>
      </c>
      <c r="G10439" s="705">
        <v>0.44458438956335261</v>
      </c>
    </row>
    <row r="10440" spans="2:7" ht="11.25" hidden="1" customHeight="1" outlineLevel="2" x14ac:dyDescent="0.25">
      <c r="B10440" s="704" t="s">
        <v>677</v>
      </c>
      <c r="C10440" s="704" t="s">
        <v>752</v>
      </c>
      <c r="D10440" s="704" t="s">
        <v>675</v>
      </c>
      <c r="E10440" s="704" t="s">
        <v>448</v>
      </c>
      <c r="F10440" s="705">
        <v>9.5904017693048196E-2</v>
      </c>
      <c r="G10440" s="705">
        <v>112.58171934712634</v>
      </c>
    </row>
    <row r="10441" spans="2:7" ht="11.25" hidden="1" customHeight="1" outlineLevel="2" x14ac:dyDescent="0.25">
      <c r="B10441" s="704" t="s">
        <v>677</v>
      </c>
      <c r="C10441" s="704" t="s">
        <v>753</v>
      </c>
      <c r="D10441" s="704" t="s">
        <v>675</v>
      </c>
      <c r="E10441" s="704" t="s">
        <v>448</v>
      </c>
      <c r="F10441" s="705">
        <v>6.8692428760668181E-2</v>
      </c>
      <c r="G10441" s="705">
        <v>106.38274255202634</v>
      </c>
    </row>
    <row r="10442" spans="2:7" ht="11.25" hidden="1" customHeight="1" outlineLevel="2" x14ac:dyDescent="0.25">
      <c r="B10442" s="704" t="s">
        <v>677</v>
      </c>
      <c r="C10442" s="704" t="s">
        <v>754</v>
      </c>
      <c r="D10442" s="704" t="s">
        <v>675</v>
      </c>
      <c r="E10442" s="704" t="s">
        <v>448</v>
      </c>
      <c r="F10442" s="705">
        <v>0.16913559068365674</v>
      </c>
      <c r="G10442" s="705">
        <v>211.73776566086232</v>
      </c>
    </row>
    <row r="10443" spans="2:7" ht="11.25" hidden="1" customHeight="1" outlineLevel="2" x14ac:dyDescent="0.25">
      <c r="B10443" s="704" t="s">
        <v>677</v>
      </c>
      <c r="C10443" s="704" t="s">
        <v>755</v>
      </c>
      <c r="D10443" s="704" t="s">
        <v>675</v>
      </c>
      <c r="E10443" s="704" t="s">
        <v>448</v>
      </c>
      <c r="F10443" s="705">
        <v>6.6157611596048271E-2</v>
      </c>
      <c r="G10443" s="705">
        <v>89.289826822928163</v>
      </c>
    </row>
    <row r="10444" spans="2:7" ht="11.25" hidden="1" customHeight="1" outlineLevel="2" x14ac:dyDescent="0.25">
      <c r="B10444" s="704" t="s">
        <v>677</v>
      </c>
      <c r="C10444" s="704" t="s">
        <v>756</v>
      </c>
      <c r="D10444" s="704" t="s">
        <v>675</v>
      </c>
      <c r="E10444" s="704" t="s">
        <v>448</v>
      </c>
      <c r="F10444" s="705">
        <v>3.5653070302279063E-3</v>
      </c>
      <c r="G10444" s="705">
        <v>4.6358685431137454</v>
      </c>
    </row>
    <row r="10445" spans="2:7" ht="11.25" hidden="1" customHeight="1" outlineLevel="2" x14ac:dyDescent="0.25">
      <c r="B10445" s="704" t="s">
        <v>677</v>
      </c>
      <c r="C10445" s="704" t="s">
        <v>757</v>
      </c>
      <c r="D10445" s="704" t="s">
        <v>675</v>
      </c>
      <c r="E10445" s="704" t="s">
        <v>448</v>
      </c>
      <c r="F10445" s="705">
        <v>0.12603708479081513</v>
      </c>
      <c r="G10445" s="705">
        <v>186.9257999695933</v>
      </c>
    </row>
    <row r="10446" spans="2:7" ht="11.25" hidden="1" customHeight="1" outlineLevel="2" x14ac:dyDescent="0.25">
      <c r="B10446" s="704" t="s">
        <v>677</v>
      </c>
      <c r="C10446" s="704" t="s">
        <v>758</v>
      </c>
      <c r="D10446" s="704" t="s">
        <v>675</v>
      </c>
      <c r="E10446" s="704" t="s">
        <v>448</v>
      </c>
      <c r="F10446" s="705">
        <v>5.6714708037978269E-2</v>
      </c>
      <c r="G10446" s="705">
        <v>64.380251940692716</v>
      </c>
    </row>
    <row r="10447" spans="2:7" ht="11.25" hidden="1" customHeight="1" outlineLevel="2" x14ac:dyDescent="0.25">
      <c r="B10447" s="704" t="s">
        <v>677</v>
      </c>
      <c r="C10447" s="704" t="s">
        <v>759</v>
      </c>
      <c r="D10447" s="704" t="s">
        <v>675</v>
      </c>
      <c r="E10447" s="704" t="s">
        <v>448</v>
      </c>
      <c r="F10447" s="705">
        <v>0.28082682873278003</v>
      </c>
      <c r="G10447" s="705">
        <v>389.32961734280099</v>
      </c>
    </row>
    <row r="10448" spans="2:7" ht="11.25" hidden="1" customHeight="1" outlineLevel="2" x14ac:dyDescent="0.25">
      <c r="B10448" s="704" t="s">
        <v>677</v>
      </c>
      <c r="C10448" s="704" t="s">
        <v>760</v>
      </c>
      <c r="D10448" s="704" t="s">
        <v>675</v>
      </c>
      <c r="E10448" s="704" t="s">
        <v>448</v>
      </c>
      <c r="F10448" s="705">
        <v>0.18925189697909559</v>
      </c>
      <c r="G10448" s="705">
        <v>186.50937383735328</v>
      </c>
    </row>
    <row r="10449" spans="2:7" ht="11.25" hidden="1" customHeight="1" outlineLevel="2" x14ac:dyDescent="0.25">
      <c r="B10449" s="704" t="s">
        <v>677</v>
      </c>
      <c r="C10449" s="704" t="s">
        <v>761</v>
      </c>
      <c r="D10449" s="704" t="s">
        <v>675</v>
      </c>
      <c r="E10449" s="704" t="s">
        <v>448</v>
      </c>
      <c r="F10449" s="705">
        <v>8.9657674816854844E-3</v>
      </c>
      <c r="G10449" s="705">
        <v>14.867727178828478</v>
      </c>
    </row>
    <row r="10450" spans="2:7" ht="11.25" hidden="1" customHeight="1" outlineLevel="2" x14ac:dyDescent="0.25">
      <c r="B10450" s="704" t="s">
        <v>677</v>
      </c>
      <c r="C10450" s="704" t="s">
        <v>762</v>
      </c>
      <c r="D10450" s="704" t="s">
        <v>675</v>
      </c>
      <c r="E10450" s="704" t="s">
        <v>448</v>
      </c>
      <c r="F10450" s="705">
        <v>1.8283270945554573E-2</v>
      </c>
      <c r="G10450" s="705">
        <v>25.210291456756615</v>
      </c>
    </row>
    <row r="10451" spans="2:7" ht="11.25" hidden="1" customHeight="1" outlineLevel="2" x14ac:dyDescent="0.25">
      <c r="B10451" s="704" t="s">
        <v>677</v>
      </c>
      <c r="C10451" s="704" t="s">
        <v>763</v>
      </c>
      <c r="D10451" s="704" t="s">
        <v>675</v>
      </c>
      <c r="E10451" s="704" t="s">
        <v>448</v>
      </c>
      <c r="F10451" s="705">
        <v>8.100496467256536E-3</v>
      </c>
      <c r="G10451" s="705">
        <v>22.590694558193594</v>
      </c>
    </row>
    <row r="10452" spans="2:7" ht="11.25" hidden="1" customHeight="1" outlineLevel="2" x14ac:dyDescent="0.25">
      <c r="B10452" s="704" t="s">
        <v>677</v>
      </c>
      <c r="C10452" s="704" t="s">
        <v>764</v>
      </c>
      <c r="D10452" s="704" t="s">
        <v>675</v>
      </c>
      <c r="E10452" s="704" t="s">
        <v>448</v>
      </c>
      <c r="F10452" s="705">
        <v>9.446348463655033E-3</v>
      </c>
      <c r="G10452" s="705">
        <v>53.956541496335049</v>
      </c>
    </row>
    <row r="10453" spans="2:7" ht="11.25" hidden="1" customHeight="1" outlineLevel="2" x14ac:dyDescent="0.25">
      <c r="B10453" s="704" t="s">
        <v>677</v>
      </c>
      <c r="C10453" s="704" t="s">
        <v>765</v>
      </c>
      <c r="D10453" s="704" t="s">
        <v>675</v>
      </c>
      <c r="E10453" s="704" t="s">
        <v>448</v>
      </c>
      <c r="F10453" s="705">
        <v>8.9533387765775768E-2</v>
      </c>
      <c r="G10453" s="705">
        <v>127.86298104008107</v>
      </c>
    </row>
    <row r="10454" spans="2:7" ht="11.25" hidden="1" customHeight="1" outlineLevel="2" x14ac:dyDescent="0.25">
      <c r="B10454" s="704" t="s">
        <v>677</v>
      </c>
      <c r="C10454" s="704" t="s">
        <v>766</v>
      </c>
      <c r="D10454" s="704" t="s">
        <v>675</v>
      </c>
      <c r="E10454" s="704" t="s">
        <v>448</v>
      </c>
      <c r="F10454" s="705">
        <v>5.5452066675657809E-2</v>
      </c>
      <c r="G10454" s="705">
        <v>87.75405322223088</v>
      </c>
    </row>
    <row r="10455" spans="2:7" ht="11.25" hidden="1" customHeight="1" outlineLevel="2" x14ac:dyDescent="0.25">
      <c r="B10455" s="704" t="s">
        <v>677</v>
      </c>
      <c r="C10455" s="704" t="s">
        <v>767</v>
      </c>
      <c r="D10455" s="704" t="s">
        <v>675</v>
      </c>
      <c r="E10455" s="704" t="s">
        <v>448</v>
      </c>
      <c r="F10455" s="705">
        <v>2.7956649512240389E-2</v>
      </c>
      <c r="G10455" s="705">
        <v>28.914162741830111</v>
      </c>
    </row>
    <row r="10456" spans="2:7" ht="11.25" hidden="1" customHeight="1" outlineLevel="2" x14ac:dyDescent="0.25">
      <c r="B10456" s="704" t="s">
        <v>677</v>
      </c>
      <c r="C10456" s="704" t="s">
        <v>768</v>
      </c>
      <c r="D10456" s="704" t="s">
        <v>675</v>
      </c>
      <c r="E10456" s="704" t="s">
        <v>448</v>
      </c>
      <c r="F10456" s="705">
        <v>1.2994631924494258E-2</v>
      </c>
      <c r="G10456" s="705">
        <v>20.425876570073228</v>
      </c>
    </row>
    <row r="10457" spans="2:7" ht="11.25" hidden="1" customHeight="1" outlineLevel="2" x14ac:dyDescent="0.25">
      <c r="B10457" s="704" t="s">
        <v>677</v>
      </c>
      <c r="C10457" s="704" t="s">
        <v>825</v>
      </c>
      <c r="D10457" s="704" t="s">
        <v>675</v>
      </c>
      <c r="E10457" s="704" t="s">
        <v>824</v>
      </c>
      <c r="F10457" s="705">
        <v>2.4435071069017823E-3</v>
      </c>
      <c r="G10457" s="705">
        <v>11.569540446650805</v>
      </c>
    </row>
    <row r="10458" spans="2:7" ht="11.25" hidden="1" customHeight="1" outlineLevel="2" x14ac:dyDescent="0.25">
      <c r="B10458" s="704" t="s">
        <v>677</v>
      </c>
      <c r="C10458" s="704" t="s">
        <v>826</v>
      </c>
      <c r="D10458" s="704" t="s">
        <v>675</v>
      </c>
      <c r="E10458" s="704" t="s">
        <v>824</v>
      </c>
      <c r="F10458" s="705">
        <v>1.8164231031035745E-3</v>
      </c>
      <c r="G10458" s="705">
        <v>19.415865343743292</v>
      </c>
    </row>
    <row r="10459" spans="2:7" ht="11.25" hidden="1" customHeight="1" outlineLevel="2" x14ac:dyDescent="0.25">
      <c r="B10459" s="704" t="s">
        <v>677</v>
      </c>
      <c r="C10459" s="704" t="s">
        <v>827</v>
      </c>
      <c r="D10459" s="704" t="s">
        <v>675</v>
      </c>
      <c r="E10459" s="704" t="s">
        <v>824</v>
      </c>
      <c r="F10459" s="705">
        <v>1.3450307972903185E-3</v>
      </c>
      <c r="G10459" s="705">
        <v>3.2119668811962843</v>
      </c>
    </row>
    <row r="10460" spans="2:7" ht="11.25" hidden="1" customHeight="1" outlineLevel="2" x14ac:dyDescent="0.25">
      <c r="B10460" s="704" t="s">
        <v>677</v>
      </c>
      <c r="C10460" s="704" t="s">
        <v>828</v>
      </c>
      <c r="D10460" s="704" t="s">
        <v>675</v>
      </c>
      <c r="E10460" s="704" t="s">
        <v>824</v>
      </c>
      <c r="F10460" s="705">
        <v>3.6676107427986211E-4</v>
      </c>
      <c r="G10460" s="705">
        <v>2.0126903422817954</v>
      </c>
    </row>
    <row r="10461" spans="2:7" ht="11.25" hidden="1" customHeight="1" outlineLevel="2" x14ac:dyDescent="0.25">
      <c r="B10461" s="704" t="s">
        <v>677</v>
      </c>
      <c r="C10461" s="704" t="s">
        <v>829</v>
      </c>
      <c r="D10461" s="704" t="s">
        <v>675</v>
      </c>
      <c r="E10461" s="704" t="s">
        <v>824</v>
      </c>
      <c r="F10461" s="705">
        <v>7.9369587344715262E-3</v>
      </c>
      <c r="G10461" s="705">
        <v>35.6178058716512</v>
      </c>
    </row>
    <row r="10462" spans="2:7" ht="11.25" hidden="1" customHeight="1" outlineLevel="2" x14ac:dyDescent="0.25">
      <c r="B10462" s="704" t="s">
        <v>677</v>
      </c>
      <c r="C10462" s="704" t="s">
        <v>830</v>
      </c>
      <c r="D10462" s="704" t="s">
        <v>675</v>
      </c>
      <c r="E10462" s="704" t="s">
        <v>824</v>
      </c>
      <c r="F10462" s="705">
        <v>7.2006534639395521E-3</v>
      </c>
      <c r="G10462" s="705">
        <v>12.824461713536497</v>
      </c>
    </row>
    <row r="10463" spans="2:7" ht="11.25" hidden="1" customHeight="1" outlineLevel="2" x14ac:dyDescent="0.25">
      <c r="B10463" s="704" t="s">
        <v>677</v>
      </c>
      <c r="C10463" s="704" t="s">
        <v>831</v>
      </c>
      <c r="D10463" s="704" t="s">
        <v>675</v>
      </c>
      <c r="E10463" s="704" t="s">
        <v>824</v>
      </c>
      <c r="F10463" s="705">
        <v>1.997849793368341E-3</v>
      </c>
      <c r="G10463" s="705">
        <v>32.952172705121257</v>
      </c>
    </row>
    <row r="10464" spans="2:7" ht="11.25" hidden="1" customHeight="1" outlineLevel="2" x14ac:dyDescent="0.25">
      <c r="B10464" s="704" t="s">
        <v>677</v>
      </c>
      <c r="C10464" s="704" t="s">
        <v>832</v>
      </c>
      <c r="D10464" s="704" t="s">
        <v>675</v>
      </c>
      <c r="E10464" s="704" t="s">
        <v>824</v>
      </c>
      <c r="F10464" s="705">
        <v>5.4610541127784358E-3</v>
      </c>
      <c r="G10464" s="705">
        <v>13.124499515856058</v>
      </c>
    </row>
    <row r="10465" spans="2:7" ht="11.25" hidden="1" customHeight="1" outlineLevel="2" x14ac:dyDescent="0.25">
      <c r="B10465" s="704" t="s">
        <v>677</v>
      </c>
      <c r="C10465" s="704" t="s">
        <v>833</v>
      </c>
      <c r="D10465" s="704" t="s">
        <v>675</v>
      </c>
      <c r="E10465" s="704" t="s">
        <v>824</v>
      </c>
      <c r="F10465" s="705">
        <v>8.3405253239465251E-4</v>
      </c>
      <c r="G10465" s="705">
        <v>2.1119246133467899</v>
      </c>
    </row>
    <row r="10466" spans="2:7" ht="11.25" hidden="1" customHeight="1" outlineLevel="2" x14ac:dyDescent="0.25">
      <c r="B10466" s="704" t="s">
        <v>677</v>
      </c>
      <c r="C10466" s="704" t="s">
        <v>834</v>
      </c>
      <c r="D10466" s="704" t="s">
        <v>675</v>
      </c>
      <c r="E10466" s="704" t="s">
        <v>824</v>
      </c>
      <c r="F10466" s="705">
        <v>6.0412024094079501E-3</v>
      </c>
      <c r="G10466" s="705">
        <v>22.846420749796103</v>
      </c>
    </row>
    <row r="10467" spans="2:7" ht="11.25" hidden="1" customHeight="1" outlineLevel="2" x14ac:dyDescent="0.25">
      <c r="B10467" s="704" t="s">
        <v>677</v>
      </c>
      <c r="C10467" s="704" t="s">
        <v>835</v>
      </c>
      <c r="D10467" s="704" t="s">
        <v>675</v>
      </c>
      <c r="E10467" s="704" t="s">
        <v>824</v>
      </c>
      <c r="F10467" s="705">
        <v>7.5769772877128973E-3</v>
      </c>
      <c r="G10467" s="705">
        <v>55.632209370459151</v>
      </c>
    </row>
    <row r="10468" spans="2:7" ht="11.25" hidden="1" customHeight="1" outlineLevel="2" x14ac:dyDescent="0.25">
      <c r="B10468" s="704" t="s">
        <v>677</v>
      </c>
      <c r="C10468" s="704" t="s">
        <v>836</v>
      </c>
      <c r="D10468" s="704" t="s">
        <v>675</v>
      </c>
      <c r="E10468" s="704" t="s">
        <v>824</v>
      </c>
      <c r="F10468" s="705">
        <v>5.2868502714368756E-4</v>
      </c>
      <c r="G10468" s="705">
        <v>5.8114202908787949</v>
      </c>
    </row>
    <row r="10469" spans="2:7" ht="11.25" hidden="1" customHeight="1" outlineLevel="2" x14ac:dyDescent="0.25">
      <c r="B10469" s="704" t="s">
        <v>677</v>
      </c>
      <c r="C10469" s="704" t="s">
        <v>837</v>
      </c>
      <c r="D10469" s="704" t="s">
        <v>675</v>
      </c>
      <c r="E10469" s="704" t="s">
        <v>824</v>
      </c>
      <c r="F10469" s="705">
        <v>1.7435543102257797E-2</v>
      </c>
      <c r="G10469" s="705">
        <v>48.139681210220779</v>
      </c>
    </row>
    <row r="10470" spans="2:7" ht="11.25" hidden="1" customHeight="1" outlineLevel="2" x14ac:dyDescent="0.25">
      <c r="B10470" s="704" t="s">
        <v>677</v>
      </c>
      <c r="C10470" s="704" t="s">
        <v>838</v>
      </c>
      <c r="D10470" s="704" t="s">
        <v>675</v>
      </c>
      <c r="E10470" s="704" t="s">
        <v>824</v>
      </c>
      <c r="F10470" s="705">
        <v>8.9937562856983125E-3</v>
      </c>
      <c r="G10470" s="705">
        <v>19.907754856203077</v>
      </c>
    </row>
    <row r="10471" spans="2:7" ht="11.25" hidden="1" customHeight="1" outlineLevel="2" x14ac:dyDescent="0.25">
      <c r="B10471" s="704" t="s">
        <v>677</v>
      </c>
      <c r="C10471" s="704" t="s">
        <v>674</v>
      </c>
      <c r="D10471" s="704" t="s">
        <v>675</v>
      </c>
      <c r="E10471" s="704" t="s">
        <v>676</v>
      </c>
      <c r="F10471" s="705">
        <v>2.5504325386466391E-2</v>
      </c>
      <c r="G10471" s="705">
        <v>0.63117670345983867</v>
      </c>
    </row>
    <row r="10472" spans="2:7" ht="11.25" hidden="1" customHeight="1" outlineLevel="2" x14ac:dyDescent="0.25">
      <c r="B10472" s="704" t="s">
        <v>677</v>
      </c>
      <c r="C10472" s="704" t="s">
        <v>862</v>
      </c>
      <c r="D10472" s="704" t="s">
        <v>675</v>
      </c>
      <c r="E10472" s="704" t="s">
        <v>861</v>
      </c>
      <c r="F10472" s="705">
        <v>6.2063333535991375E-2</v>
      </c>
      <c r="G10472" s="705">
        <v>1874.0373568088044</v>
      </c>
    </row>
    <row r="10473" spans="2:7" ht="11.25" hidden="1" customHeight="1" outlineLevel="2" x14ac:dyDescent="0.25">
      <c r="B10473" s="704" t="s">
        <v>677</v>
      </c>
      <c r="C10473" s="704" t="s">
        <v>863</v>
      </c>
      <c r="D10473" s="704" t="s">
        <v>675</v>
      </c>
      <c r="E10473" s="704" t="s">
        <v>861</v>
      </c>
      <c r="F10473" s="705">
        <v>2.2922326966446803E-4</v>
      </c>
      <c r="G10473" s="705">
        <v>3.0548081027743423</v>
      </c>
    </row>
    <row r="10474" spans="2:7" ht="11.25" hidden="1" customHeight="1" outlineLevel="2" x14ac:dyDescent="0.25">
      <c r="B10474" s="704" t="s">
        <v>677</v>
      </c>
      <c r="C10474" s="704" t="s">
        <v>864</v>
      </c>
      <c r="D10474" s="704" t="s">
        <v>675</v>
      </c>
      <c r="E10474" s="704" t="s">
        <v>861</v>
      </c>
      <c r="F10474" s="705">
        <v>3.590689941708095E-3</v>
      </c>
      <c r="G10474" s="705">
        <v>50.326874473500737</v>
      </c>
    </row>
    <row r="10475" spans="2:7" ht="11.25" hidden="1" customHeight="1" outlineLevel="2" x14ac:dyDescent="0.25">
      <c r="B10475" s="704" t="s">
        <v>677</v>
      </c>
      <c r="C10475" s="704" t="s">
        <v>865</v>
      </c>
      <c r="D10475" s="704" t="s">
        <v>675</v>
      </c>
      <c r="E10475" s="704" t="s">
        <v>861</v>
      </c>
      <c r="F10475" s="705">
        <v>0.16404737994373894</v>
      </c>
      <c r="G10475" s="705">
        <v>4690.9365503674626</v>
      </c>
    </row>
    <row r="10476" spans="2:7" ht="11.25" hidden="1" customHeight="1" outlineLevel="2" x14ac:dyDescent="0.25">
      <c r="B10476" s="704" t="s">
        <v>677</v>
      </c>
      <c r="C10476" s="704" t="s">
        <v>866</v>
      </c>
      <c r="D10476" s="704" t="s">
        <v>675</v>
      </c>
      <c r="E10476" s="704" t="s">
        <v>861</v>
      </c>
      <c r="F10476" s="705">
        <v>0.13850505320868839</v>
      </c>
      <c r="G10476" s="705">
        <v>5102.7528402799371</v>
      </c>
    </row>
    <row r="10477" spans="2:7" ht="11.25" hidden="1" customHeight="1" outlineLevel="2" x14ac:dyDescent="0.25">
      <c r="B10477" s="704" t="s">
        <v>677</v>
      </c>
      <c r="C10477" s="704" t="s">
        <v>867</v>
      </c>
      <c r="D10477" s="704" t="s">
        <v>675</v>
      </c>
      <c r="E10477" s="704" t="s">
        <v>861</v>
      </c>
      <c r="F10477" s="705">
        <v>1.0146753052866888E-2</v>
      </c>
      <c r="G10477" s="705">
        <v>281.12797347091413</v>
      </c>
    </row>
    <row r="10478" spans="2:7" ht="11.25" hidden="1" customHeight="1" outlineLevel="2" x14ac:dyDescent="0.25">
      <c r="B10478" s="704" t="s">
        <v>677</v>
      </c>
      <c r="C10478" s="704" t="s">
        <v>868</v>
      </c>
      <c r="D10478" s="704" t="s">
        <v>675</v>
      </c>
      <c r="E10478" s="704" t="s">
        <v>861</v>
      </c>
      <c r="F10478" s="705">
        <v>5.0830889194446362E-3</v>
      </c>
      <c r="G10478" s="705">
        <v>173.52055990953764</v>
      </c>
    </row>
    <row r="10479" spans="2:7" ht="11.25" hidden="1" customHeight="1" outlineLevel="2" x14ac:dyDescent="0.25">
      <c r="B10479" s="704" t="s">
        <v>677</v>
      </c>
      <c r="C10479" s="704" t="s">
        <v>869</v>
      </c>
      <c r="D10479" s="704" t="s">
        <v>675</v>
      </c>
      <c r="E10479" s="704" t="s">
        <v>861</v>
      </c>
      <c r="F10479" s="705">
        <v>2.8102835609977304E-2</v>
      </c>
      <c r="G10479" s="705">
        <v>518.12367756493836</v>
      </c>
    </row>
    <row r="10480" spans="2:7" ht="11.25" hidden="1" customHeight="1" outlineLevel="2" x14ac:dyDescent="0.25">
      <c r="B10480" s="704" t="s">
        <v>677</v>
      </c>
      <c r="C10480" s="704" t="s">
        <v>870</v>
      </c>
      <c r="D10480" s="704" t="s">
        <v>675</v>
      </c>
      <c r="E10480" s="704" t="s">
        <v>861</v>
      </c>
      <c r="F10480" s="705">
        <v>7.3184321258552329E-2</v>
      </c>
      <c r="G10480" s="705">
        <v>2225.4420124042695</v>
      </c>
    </row>
    <row r="10481" spans="2:7" ht="11.25" hidden="1" customHeight="1" outlineLevel="2" x14ac:dyDescent="0.25">
      <c r="B10481" s="704" t="s">
        <v>677</v>
      </c>
      <c r="C10481" s="704" t="s">
        <v>871</v>
      </c>
      <c r="D10481" s="704" t="s">
        <v>675</v>
      </c>
      <c r="E10481" s="704" t="s">
        <v>861</v>
      </c>
      <c r="F10481" s="705">
        <v>4.4731628140244881E-2</v>
      </c>
      <c r="G10481" s="705">
        <v>1913.6195586632939</v>
      </c>
    </row>
    <row r="10482" spans="2:7" ht="11.25" hidden="1" customHeight="1" outlineLevel="2" x14ac:dyDescent="0.25">
      <c r="B10482" s="704" t="s">
        <v>677</v>
      </c>
      <c r="C10482" s="704" t="s">
        <v>872</v>
      </c>
      <c r="D10482" s="704" t="s">
        <v>675</v>
      </c>
      <c r="E10482" s="704" t="s">
        <v>861</v>
      </c>
      <c r="F10482" s="705">
        <v>0.58626737043763022</v>
      </c>
      <c r="G10482" s="705">
        <v>19010.568858304807</v>
      </c>
    </row>
    <row r="10483" spans="2:7" ht="11.25" hidden="1" customHeight="1" outlineLevel="2" x14ac:dyDescent="0.25">
      <c r="B10483" s="704" t="s">
        <v>677</v>
      </c>
      <c r="C10483" s="704" t="s">
        <v>873</v>
      </c>
      <c r="D10483" s="704" t="s">
        <v>675</v>
      </c>
      <c r="E10483" s="704" t="s">
        <v>861</v>
      </c>
      <c r="F10483" s="705">
        <v>5.8336617882605076E-3</v>
      </c>
      <c r="G10483" s="705">
        <v>157.69175639036578</v>
      </c>
    </row>
    <row r="10484" spans="2:7" ht="11.25" hidden="1" customHeight="1" outlineLevel="2" x14ac:dyDescent="0.25">
      <c r="B10484" s="704" t="s">
        <v>677</v>
      </c>
      <c r="C10484" s="704" t="s">
        <v>874</v>
      </c>
      <c r="D10484" s="704" t="s">
        <v>675</v>
      </c>
      <c r="E10484" s="704" t="s">
        <v>861</v>
      </c>
      <c r="F10484" s="705">
        <v>2.2224104415720664E-3</v>
      </c>
      <c r="G10484" s="705">
        <v>74.485037296919316</v>
      </c>
    </row>
    <row r="10485" spans="2:7" ht="11.25" hidden="1" customHeight="1" outlineLevel="2" x14ac:dyDescent="0.25">
      <c r="B10485" s="704" t="s">
        <v>677</v>
      </c>
      <c r="C10485" s="704" t="s">
        <v>875</v>
      </c>
      <c r="D10485" s="704" t="s">
        <v>675</v>
      </c>
      <c r="E10485" s="704" t="s">
        <v>861</v>
      </c>
      <c r="F10485" s="705">
        <v>0.12760420935217642</v>
      </c>
      <c r="G10485" s="705">
        <v>4341.8496005876941</v>
      </c>
    </row>
    <row r="10486" spans="2:7" ht="11.25" hidden="1" customHeight="1" outlineLevel="2" x14ac:dyDescent="0.25">
      <c r="B10486" s="704" t="s">
        <v>677</v>
      </c>
      <c r="C10486" s="704" t="s">
        <v>876</v>
      </c>
      <c r="D10486" s="704" t="s">
        <v>675</v>
      </c>
      <c r="E10486" s="704" t="s">
        <v>861</v>
      </c>
      <c r="F10486" s="705">
        <v>0.14615141355139191</v>
      </c>
      <c r="G10486" s="705">
        <v>4729.7100099539202</v>
      </c>
    </row>
    <row r="10487" spans="2:7" ht="11.25" hidden="1" customHeight="1" outlineLevel="2" x14ac:dyDescent="0.25">
      <c r="B10487" s="704" t="s">
        <v>677</v>
      </c>
      <c r="C10487" s="704" t="s">
        <v>877</v>
      </c>
      <c r="D10487" s="704" t="s">
        <v>675</v>
      </c>
      <c r="E10487" s="704" t="s">
        <v>861</v>
      </c>
      <c r="F10487" s="705">
        <v>0.57197739114006174</v>
      </c>
      <c r="G10487" s="705">
        <v>16259.618370754453</v>
      </c>
    </row>
    <row r="10488" spans="2:7" ht="11.25" hidden="1" customHeight="1" outlineLevel="2" x14ac:dyDescent="0.25">
      <c r="B10488" s="704" t="s">
        <v>677</v>
      </c>
      <c r="C10488" s="704" t="s">
        <v>878</v>
      </c>
      <c r="D10488" s="704" t="s">
        <v>675</v>
      </c>
      <c r="E10488" s="704" t="s">
        <v>861</v>
      </c>
      <c r="F10488" s="705">
        <v>2.2223886984418698E-2</v>
      </c>
      <c r="G10488" s="705">
        <v>765.48034814439382</v>
      </c>
    </row>
    <row r="10489" spans="2:7" ht="11.25" hidden="1" customHeight="1" outlineLevel="2" x14ac:dyDescent="0.25">
      <c r="B10489" s="704" t="s">
        <v>677</v>
      </c>
      <c r="C10489" s="704" t="s">
        <v>879</v>
      </c>
      <c r="D10489" s="704" t="s">
        <v>675</v>
      </c>
      <c r="E10489" s="704" t="s">
        <v>861</v>
      </c>
      <c r="F10489" s="705">
        <v>0.20644567582031118</v>
      </c>
      <c r="G10489" s="705">
        <v>6085.0538708928207</v>
      </c>
    </row>
    <row r="10490" spans="2:7" ht="11.25" hidden="1" customHeight="1" outlineLevel="2" x14ac:dyDescent="0.25">
      <c r="B10490" s="704" t="s">
        <v>677</v>
      </c>
      <c r="C10490" s="704" t="s">
        <v>880</v>
      </c>
      <c r="D10490" s="704" t="s">
        <v>675</v>
      </c>
      <c r="E10490" s="704" t="s">
        <v>861</v>
      </c>
      <c r="F10490" s="705">
        <v>0.60878282559782748</v>
      </c>
      <c r="G10490" s="705">
        <v>20692.208321247803</v>
      </c>
    </row>
    <row r="10491" spans="2:7" ht="11.25" hidden="1" customHeight="1" outlineLevel="2" x14ac:dyDescent="0.25">
      <c r="B10491" s="704" t="s">
        <v>677</v>
      </c>
      <c r="C10491" s="704" t="s">
        <v>881</v>
      </c>
      <c r="D10491" s="704" t="s">
        <v>675</v>
      </c>
      <c r="E10491" s="704" t="s">
        <v>861</v>
      </c>
      <c r="F10491" s="705">
        <v>0.62185607320161418</v>
      </c>
      <c r="G10491" s="705">
        <v>12548.569498351602</v>
      </c>
    </row>
    <row r="10492" spans="2:7" ht="11.25" hidden="1" customHeight="1" outlineLevel="2" x14ac:dyDescent="0.25">
      <c r="B10492" s="704" t="s">
        <v>677</v>
      </c>
      <c r="C10492" s="704" t="s">
        <v>882</v>
      </c>
      <c r="D10492" s="704" t="s">
        <v>675</v>
      </c>
      <c r="E10492" s="704" t="s">
        <v>861</v>
      </c>
      <c r="F10492" s="705">
        <v>0.56384913726194985</v>
      </c>
      <c r="G10492" s="705">
        <v>18937.419316028816</v>
      </c>
    </row>
    <row r="10493" spans="2:7" ht="11.25" hidden="1" customHeight="1" outlineLevel="2" x14ac:dyDescent="0.25">
      <c r="B10493" s="704" t="s">
        <v>677</v>
      </c>
      <c r="C10493" s="704" t="s">
        <v>883</v>
      </c>
      <c r="D10493" s="704" t="s">
        <v>675</v>
      </c>
      <c r="E10493" s="704" t="s">
        <v>861</v>
      </c>
      <c r="F10493" s="705">
        <v>0.37986238309612236</v>
      </c>
      <c r="G10493" s="705">
        <v>8604.4422469753536</v>
      </c>
    </row>
    <row r="10494" spans="2:7" ht="11.25" hidden="1" customHeight="1" outlineLevel="2" x14ac:dyDescent="0.25">
      <c r="B10494" s="704" t="s">
        <v>677</v>
      </c>
      <c r="C10494" s="704" t="s">
        <v>884</v>
      </c>
      <c r="D10494" s="704" t="s">
        <v>675</v>
      </c>
      <c r="E10494" s="704" t="s">
        <v>861</v>
      </c>
      <c r="F10494" s="705">
        <v>5.5726778536169731E-2</v>
      </c>
      <c r="G10494" s="705">
        <v>2036.9448898070061</v>
      </c>
    </row>
    <row r="10495" spans="2:7" ht="11.25" hidden="1" customHeight="1" outlineLevel="2" x14ac:dyDescent="0.25">
      <c r="B10495" s="704" t="s">
        <v>677</v>
      </c>
      <c r="C10495" s="704" t="s">
        <v>885</v>
      </c>
      <c r="D10495" s="704" t="s">
        <v>675</v>
      </c>
      <c r="E10495" s="704" t="s">
        <v>861</v>
      </c>
      <c r="F10495" s="705">
        <v>1.2853391584113135E-3</v>
      </c>
      <c r="G10495" s="705">
        <v>26.510945109893473</v>
      </c>
    </row>
    <row r="10496" spans="2:7" ht="11.25" hidden="1" customHeight="1" outlineLevel="2" x14ac:dyDescent="0.25">
      <c r="B10496" s="704" t="s">
        <v>677</v>
      </c>
      <c r="C10496" s="704" t="s">
        <v>886</v>
      </c>
      <c r="D10496" s="704" t="s">
        <v>675</v>
      </c>
      <c r="E10496" s="704" t="s">
        <v>861</v>
      </c>
      <c r="F10496" s="705">
        <v>4.801830915258172E-2</v>
      </c>
      <c r="G10496" s="705">
        <v>1951.8771470774648</v>
      </c>
    </row>
    <row r="10497" spans="2:7" ht="11.25" hidden="1" customHeight="1" outlineLevel="2" x14ac:dyDescent="0.25">
      <c r="B10497" s="704" t="s">
        <v>677</v>
      </c>
      <c r="C10497" s="704" t="s">
        <v>725</v>
      </c>
      <c r="D10497" s="704" t="s">
        <v>563</v>
      </c>
      <c r="E10497" s="704" t="s">
        <v>448</v>
      </c>
      <c r="F10497" s="705">
        <v>1.2548497752644526E-3</v>
      </c>
      <c r="G10497" s="705">
        <v>0.56160357303741903</v>
      </c>
    </row>
    <row r="10498" spans="2:7" ht="11.25" hidden="1" customHeight="1" outlineLevel="2" x14ac:dyDescent="0.25">
      <c r="B10498" s="704" t="s">
        <v>677</v>
      </c>
      <c r="C10498" s="704" t="s">
        <v>726</v>
      </c>
      <c r="D10498" s="704" t="s">
        <v>563</v>
      </c>
      <c r="E10498" s="704" t="s">
        <v>448</v>
      </c>
      <c r="F10498" s="705">
        <v>9.8830367406113658E-5</v>
      </c>
      <c r="G10498" s="705">
        <v>4.4231227617380207E-2</v>
      </c>
    </row>
    <row r="10499" spans="2:7" ht="11.25" hidden="1" customHeight="1" outlineLevel="2" x14ac:dyDescent="0.25">
      <c r="B10499" s="704" t="s">
        <v>677</v>
      </c>
      <c r="C10499" s="704" t="s">
        <v>769</v>
      </c>
      <c r="D10499" s="704" t="s">
        <v>563</v>
      </c>
      <c r="E10499" s="704" t="s">
        <v>448</v>
      </c>
      <c r="F10499" s="705">
        <v>6.4999079531758361E-2</v>
      </c>
      <c r="G10499" s="705">
        <v>68.31038307665645</v>
      </c>
    </row>
    <row r="10500" spans="2:7" ht="11.25" hidden="1" customHeight="1" outlineLevel="2" x14ac:dyDescent="0.25">
      <c r="B10500" s="704" t="s">
        <v>677</v>
      </c>
      <c r="C10500" s="704" t="s">
        <v>770</v>
      </c>
      <c r="D10500" s="704" t="s">
        <v>563</v>
      </c>
      <c r="E10500" s="704" t="s">
        <v>448</v>
      </c>
      <c r="F10500" s="705">
        <v>5.9119199692486461E-2</v>
      </c>
      <c r="G10500" s="705">
        <v>202.28545366487577</v>
      </c>
    </row>
    <row r="10501" spans="2:7" ht="11.25" hidden="1" customHeight="1" outlineLevel="2" x14ac:dyDescent="0.25">
      <c r="B10501" s="704" t="s">
        <v>677</v>
      </c>
      <c r="C10501" s="704" t="s">
        <v>771</v>
      </c>
      <c r="D10501" s="704" t="s">
        <v>563</v>
      </c>
      <c r="E10501" s="704" t="s">
        <v>448</v>
      </c>
      <c r="F10501" s="705">
        <v>2.2167644747385438E-2</v>
      </c>
      <c r="G10501" s="705">
        <v>51.08770233517486</v>
      </c>
    </row>
    <row r="10502" spans="2:7" ht="11.25" hidden="1" customHeight="1" outlineLevel="2" x14ac:dyDescent="0.25">
      <c r="B10502" s="704" t="s">
        <v>677</v>
      </c>
      <c r="C10502" s="704" t="s">
        <v>772</v>
      </c>
      <c r="D10502" s="704" t="s">
        <v>563</v>
      </c>
      <c r="E10502" s="704" t="s">
        <v>448</v>
      </c>
      <c r="F10502" s="705">
        <v>7.4403475242024328E-2</v>
      </c>
      <c r="G10502" s="705">
        <v>95.225119079348843</v>
      </c>
    </row>
    <row r="10503" spans="2:7" ht="11.25" hidden="1" customHeight="1" outlineLevel="2" x14ac:dyDescent="0.25">
      <c r="B10503" s="704" t="s">
        <v>677</v>
      </c>
      <c r="C10503" s="704" t="s">
        <v>773</v>
      </c>
      <c r="D10503" s="704" t="s">
        <v>563</v>
      </c>
      <c r="E10503" s="704" t="s">
        <v>448</v>
      </c>
      <c r="F10503" s="705">
        <v>4.1539269009508682E-3</v>
      </c>
      <c r="G10503" s="705">
        <v>4.6786671292178035</v>
      </c>
    </row>
    <row r="10504" spans="2:7" ht="11.25" hidden="1" customHeight="1" outlineLevel="2" x14ac:dyDescent="0.25">
      <c r="B10504" s="704" t="s">
        <v>677</v>
      </c>
      <c r="C10504" s="704" t="s">
        <v>774</v>
      </c>
      <c r="D10504" s="704" t="s">
        <v>563</v>
      </c>
      <c r="E10504" s="704" t="s">
        <v>448</v>
      </c>
      <c r="F10504" s="705">
        <v>2.5881763704647827E-3</v>
      </c>
      <c r="G10504" s="705">
        <v>3.4341572276266112</v>
      </c>
    </row>
    <row r="10505" spans="2:7" ht="11.25" hidden="1" customHeight="1" outlineLevel="2" x14ac:dyDescent="0.25">
      <c r="B10505" s="704" t="s">
        <v>677</v>
      </c>
      <c r="C10505" s="704" t="s">
        <v>775</v>
      </c>
      <c r="D10505" s="704" t="s">
        <v>563</v>
      </c>
      <c r="E10505" s="704" t="s">
        <v>448</v>
      </c>
      <c r="F10505" s="705">
        <v>1.6365424220981153E-3</v>
      </c>
      <c r="G10505" s="705">
        <v>20.626774585261938</v>
      </c>
    </row>
    <row r="10506" spans="2:7" ht="11.25" hidden="1" customHeight="1" outlineLevel="2" x14ac:dyDescent="0.25">
      <c r="B10506" s="704" t="s">
        <v>677</v>
      </c>
      <c r="C10506" s="704" t="s">
        <v>839</v>
      </c>
      <c r="D10506" s="704" t="s">
        <v>563</v>
      </c>
      <c r="E10506" s="704" t="s">
        <v>824</v>
      </c>
      <c r="F10506" s="705">
        <v>7.1311467527524999E-2</v>
      </c>
      <c r="G10506" s="705">
        <v>173.04953761016941</v>
      </c>
    </row>
    <row r="10507" spans="2:7" ht="11.25" hidden="1" customHeight="1" outlineLevel="2" x14ac:dyDescent="0.25">
      <c r="B10507" s="704" t="s">
        <v>677</v>
      </c>
      <c r="C10507" s="704" t="s">
        <v>840</v>
      </c>
      <c r="D10507" s="704" t="s">
        <v>563</v>
      </c>
      <c r="E10507" s="704" t="s">
        <v>824</v>
      </c>
      <c r="F10507" s="705">
        <v>2.0781860740434253</v>
      </c>
      <c r="G10507" s="705">
        <v>15300.23373785902</v>
      </c>
    </row>
    <row r="10508" spans="2:7" ht="11.25" hidden="1" customHeight="1" outlineLevel="2" x14ac:dyDescent="0.25">
      <c r="B10508" s="704" t="s">
        <v>677</v>
      </c>
      <c r="C10508" s="704" t="s">
        <v>841</v>
      </c>
      <c r="D10508" s="704" t="s">
        <v>563</v>
      </c>
      <c r="E10508" s="704" t="s">
        <v>824</v>
      </c>
      <c r="F10508" s="705">
        <v>1.0108175199944737E-2</v>
      </c>
      <c r="G10508" s="705">
        <v>115.670140503507</v>
      </c>
    </row>
    <row r="10509" spans="2:7" ht="11.25" hidden="1" customHeight="1" outlineLevel="2" x14ac:dyDescent="0.25">
      <c r="B10509" s="704" t="s">
        <v>677</v>
      </c>
      <c r="C10509" s="704" t="s">
        <v>842</v>
      </c>
      <c r="D10509" s="704" t="s">
        <v>563</v>
      </c>
      <c r="E10509" s="704" t="s">
        <v>824</v>
      </c>
      <c r="F10509" s="705">
        <v>3.6629580724601659E-3</v>
      </c>
      <c r="G10509" s="705">
        <v>35.852387243204284</v>
      </c>
    </row>
    <row r="10510" spans="2:7" ht="11.25" hidden="1" customHeight="1" outlineLevel="2" x14ac:dyDescent="0.25">
      <c r="B10510" s="704" t="s">
        <v>677</v>
      </c>
      <c r="C10510" s="704" t="s">
        <v>843</v>
      </c>
      <c r="D10510" s="704" t="s">
        <v>563</v>
      </c>
      <c r="E10510" s="704" t="s">
        <v>824</v>
      </c>
      <c r="F10510" s="705">
        <v>3.5404539671011048E-3</v>
      </c>
      <c r="G10510" s="705">
        <v>9.2505299541467547</v>
      </c>
    </row>
    <row r="10511" spans="2:7" ht="11.25" hidden="1" customHeight="1" outlineLevel="2" x14ac:dyDescent="0.25">
      <c r="B10511" s="704" t="s">
        <v>677</v>
      </c>
      <c r="C10511" s="704" t="s">
        <v>844</v>
      </c>
      <c r="D10511" s="704" t="s">
        <v>563</v>
      </c>
      <c r="E10511" s="704" t="s">
        <v>824</v>
      </c>
      <c r="F10511" s="705">
        <v>3.5406029461706331E-3</v>
      </c>
      <c r="G10511" s="705">
        <v>70.361152539809495</v>
      </c>
    </row>
    <row r="10512" spans="2:7" ht="11.25" hidden="1" customHeight="1" outlineLevel="2" x14ac:dyDescent="0.25">
      <c r="B10512" s="704" t="s">
        <v>677</v>
      </c>
      <c r="C10512" s="704" t="s">
        <v>700</v>
      </c>
      <c r="D10512" s="704" t="s">
        <v>563</v>
      </c>
      <c r="E10512" s="704" t="s">
        <v>676</v>
      </c>
      <c r="F10512" s="705">
        <v>10.732806975830586</v>
      </c>
      <c r="G10512" s="705">
        <v>903.22582637940388</v>
      </c>
    </row>
    <row r="10513" spans="2:7" ht="11.25" hidden="1" customHeight="1" outlineLevel="2" x14ac:dyDescent="0.25">
      <c r="B10513" s="704" t="s">
        <v>677</v>
      </c>
      <c r="C10513" s="704" t="s">
        <v>701</v>
      </c>
      <c r="D10513" s="704" t="s">
        <v>563</v>
      </c>
      <c r="E10513" s="704" t="s">
        <v>676</v>
      </c>
      <c r="F10513" s="705">
        <v>1.1722952699144907E-2</v>
      </c>
      <c r="G10513" s="705">
        <v>1.0265490824245398</v>
      </c>
    </row>
    <row r="10514" spans="2:7" ht="11.25" hidden="1" customHeight="1" outlineLevel="2" x14ac:dyDescent="0.25">
      <c r="B10514" s="704" t="s">
        <v>677</v>
      </c>
      <c r="C10514" s="704" t="s">
        <v>702</v>
      </c>
      <c r="D10514" s="704" t="s">
        <v>563</v>
      </c>
      <c r="E10514" s="704" t="s">
        <v>676</v>
      </c>
      <c r="F10514" s="705">
        <v>5.469924400568496E-3</v>
      </c>
      <c r="G10514" s="705">
        <v>0.56060988564558822</v>
      </c>
    </row>
    <row r="10515" spans="2:7" ht="11.25" hidden="1" customHeight="1" outlineLevel="2" x14ac:dyDescent="0.25">
      <c r="B10515" s="704" t="s">
        <v>677</v>
      </c>
      <c r="C10515" s="704" t="s">
        <v>703</v>
      </c>
      <c r="D10515" s="704" t="s">
        <v>563</v>
      </c>
      <c r="E10515" s="704" t="s">
        <v>676</v>
      </c>
      <c r="F10515" s="705">
        <v>3.2920788349754197E-2</v>
      </c>
      <c r="G10515" s="705">
        <v>3.2418401485929378</v>
      </c>
    </row>
    <row r="10516" spans="2:7" ht="11.25" hidden="1" customHeight="1" outlineLevel="2" x14ac:dyDescent="0.25">
      <c r="B10516" s="704" t="s">
        <v>677</v>
      </c>
      <c r="C10516" s="704" t="s">
        <v>704</v>
      </c>
      <c r="D10516" s="704" t="s">
        <v>563</v>
      </c>
      <c r="E10516" s="704" t="s">
        <v>676</v>
      </c>
      <c r="F10516" s="705">
        <v>1.8627499771432986E-2</v>
      </c>
      <c r="G10516" s="705">
        <v>4.1889197883083629</v>
      </c>
    </row>
    <row r="10517" spans="2:7" ht="11.25" hidden="1" customHeight="1" outlineLevel="2" x14ac:dyDescent="0.25">
      <c r="B10517" s="704" t="s">
        <v>677</v>
      </c>
      <c r="C10517" s="704" t="s">
        <v>887</v>
      </c>
      <c r="D10517" s="704" t="s">
        <v>563</v>
      </c>
      <c r="E10517" s="704" t="s">
        <v>861</v>
      </c>
      <c r="F10517" s="705">
        <v>1.1927067988934758E-2</v>
      </c>
      <c r="G10517" s="705">
        <v>281.54469298608655</v>
      </c>
    </row>
    <row r="10518" spans="2:7" ht="11.25" hidden="1" customHeight="1" outlineLevel="2" x14ac:dyDescent="0.25">
      <c r="B10518" s="704" t="s">
        <v>677</v>
      </c>
      <c r="C10518" s="704" t="s">
        <v>888</v>
      </c>
      <c r="D10518" s="704" t="s">
        <v>563</v>
      </c>
      <c r="E10518" s="704" t="s">
        <v>861</v>
      </c>
      <c r="F10518" s="705">
        <v>0.11340818890118315</v>
      </c>
      <c r="G10518" s="705">
        <v>4085.373719001861</v>
      </c>
    </row>
    <row r="10519" spans="2:7" ht="11.25" hidden="1" customHeight="1" outlineLevel="2" x14ac:dyDescent="0.25">
      <c r="B10519" s="704" t="s">
        <v>677</v>
      </c>
      <c r="C10519" s="704" t="s">
        <v>889</v>
      </c>
      <c r="D10519" s="704" t="s">
        <v>563</v>
      </c>
      <c r="E10519" s="704" t="s">
        <v>861</v>
      </c>
      <c r="F10519" s="705">
        <v>6.0026738435033582E-2</v>
      </c>
      <c r="G10519" s="705">
        <v>1783.1313157881639</v>
      </c>
    </row>
    <row r="10520" spans="2:7" ht="11.25" hidden="1" customHeight="1" outlineLevel="2" x14ac:dyDescent="0.25">
      <c r="B10520" s="704" t="s">
        <v>677</v>
      </c>
      <c r="C10520" s="704" t="s">
        <v>890</v>
      </c>
      <c r="D10520" s="704" t="s">
        <v>563</v>
      </c>
      <c r="E10520" s="704" t="s">
        <v>861</v>
      </c>
      <c r="F10520" s="705">
        <v>5.9286149430456549E-2</v>
      </c>
      <c r="G10520" s="705">
        <v>1809.8586097159537</v>
      </c>
    </row>
    <row r="10521" spans="2:7" ht="11.25" hidden="1" customHeight="1" outlineLevel="2" x14ac:dyDescent="0.25">
      <c r="B10521" s="704" t="s">
        <v>677</v>
      </c>
      <c r="C10521" s="704" t="s">
        <v>891</v>
      </c>
      <c r="D10521" s="704" t="s">
        <v>563</v>
      </c>
      <c r="E10521" s="704" t="s">
        <v>861</v>
      </c>
      <c r="F10521" s="705">
        <v>2.9190354804197243E-3</v>
      </c>
      <c r="G10521" s="705">
        <v>69.577419224102485</v>
      </c>
    </row>
    <row r="10522" spans="2:7" ht="11.25" hidden="1" customHeight="1" outlineLevel="2" x14ac:dyDescent="0.25">
      <c r="B10522" s="704" t="s">
        <v>677</v>
      </c>
      <c r="C10522" s="704" t="s">
        <v>892</v>
      </c>
      <c r="D10522" s="704" t="s">
        <v>563</v>
      </c>
      <c r="E10522" s="704" t="s">
        <v>861</v>
      </c>
      <c r="F10522" s="705">
        <v>0.34716001822801501</v>
      </c>
      <c r="G10522" s="705">
        <v>9429.7069584766014</v>
      </c>
    </row>
    <row r="10523" spans="2:7" ht="11.25" hidden="1" customHeight="1" outlineLevel="2" x14ac:dyDescent="0.25">
      <c r="B10523" s="704" t="s">
        <v>677</v>
      </c>
      <c r="C10523" s="704" t="s">
        <v>893</v>
      </c>
      <c r="D10523" s="704" t="s">
        <v>563</v>
      </c>
      <c r="E10523" s="704" t="s">
        <v>861</v>
      </c>
      <c r="F10523" s="705">
        <v>7.6930378378637684E-2</v>
      </c>
      <c r="G10523" s="705">
        <v>2572.0578003392188</v>
      </c>
    </row>
    <row r="10524" spans="2:7" ht="11.25" hidden="1" customHeight="1" outlineLevel="2" x14ac:dyDescent="0.25">
      <c r="B10524" s="704" t="s">
        <v>677</v>
      </c>
      <c r="C10524" s="704" t="s">
        <v>727</v>
      </c>
      <c r="D10524" s="704" t="s">
        <v>728</v>
      </c>
      <c r="E10524" s="704" t="s">
        <v>448</v>
      </c>
      <c r="F10524" s="705">
        <v>3.5456564283758381E-2</v>
      </c>
      <c r="G10524" s="705">
        <v>19.391720429346382</v>
      </c>
    </row>
    <row r="10525" spans="2:7" ht="11.25" hidden="1" customHeight="1" outlineLevel="2" x14ac:dyDescent="0.25">
      <c r="B10525" s="704" t="s">
        <v>677</v>
      </c>
      <c r="C10525" s="704" t="s">
        <v>729</v>
      </c>
      <c r="D10525" s="704" t="s">
        <v>728</v>
      </c>
      <c r="E10525" s="704" t="s">
        <v>448</v>
      </c>
      <c r="F10525" s="705">
        <v>0.29111278070711355</v>
      </c>
      <c r="G10525" s="705">
        <v>156.89428795720096</v>
      </c>
    </row>
    <row r="10526" spans="2:7" ht="11.25" hidden="1" customHeight="1" outlineLevel="2" x14ac:dyDescent="0.25">
      <c r="B10526" s="704" t="s">
        <v>677</v>
      </c>
      <c r="C10526" s="704" t="s">
        <v>730</v>
      </c>
      <c r="D10526" s="704" t="s">
        <v>728</v>
      </c>
      <c r="E10526" s="704" t="s">
        <v>448</v>
      </c>
      <c r="F10526" s="705">
        <v>0.50889545808077941</v>
      </c>
      <c r="G10526" s="705">
        <v>264.90708518681004</v>
      </c>
    </row>
    <row r="10527" spans="2:7" ht="11.25" hidden="1" customHeight="1" outlineLevel="2" x14ac:dyDescent="0.25">
      <c r="B10527" s="704" t="s">
        <v>677</v>
      </c>
      <c r="C10527" s="704" t="s">
        <v>731</v>
      </c>
      <c r="D10527" s="704" t="s">
        <v>728</v>
      </c>
      <c r="E10527" s="704" t="s">
        <v>448</v>
      </c>
      <c r="F10527" s="705">
        <v>3.1897214516403496</v>
      </c>
      <c r="G10527" s="705">
        <v>1746.0658743220004</v>
      </c>
    </row>
    <row r="10528" spans="2:7" ht="11.25" hidden="1" customHeight="1" outlineLevel="2" x14ac:dyDescent="0.25">
      <c r="B10528" s="704" t="s">
        <v>677</v>
      </c>
      <c r="C10528" s="704" t="s">
        <v>732</v>
      </c>
      <c r="D10528" s="704" t="s">
        <v>728</v>
      </c>
      <c r="E10528" s="704" t="s">
        <v>448</v>
      </c>
      <c r="F10528" s="705">
        <v>0.62728309348157096</v>
      </c>
      <c r="G10528" s="705">
        <v>369.1606211990607</v>
      </c>
    </row>
    <row r="10529" spans="2:7" ht="11.25" hidden="1" customHeight="1" outlineLevel="2" x14ac:dyDescent="0.25">
      <c r="B10529" s="704" t="s">
        <v>677</v>
      </c>
      <c r="C10529" s="704" t="s">
        <v>733</v>
      </c>
      <c r="D10529" s="704" t="s">
        <v>728</v>
      </c>
      <c r="E10529" s="704" t="s">
        <v>448</v>
      </c>
      <c r="F10529" s="705">
        <v>3.011111626906247</v>
      </c>
      <c r="G10529" s="705">
        <v>1522.5390313362384</v>
      </c>
    </row>
    <row r="10530" spans="2:7" ht="11.25" hidden="1" customHeight="1" outlineLevel="2" x14ac:dyDescent="0.25">
      <c r="B10530" s="704" t="s">
        <v>677</v>
      </c>
      <c r="C10530" s="704" t="s">
        <v>734</v>
      </c>
      <c r="D10530" s="704" t="s">
        <v>728</v>
      </c>
      <c r="E10530" s="704" t="s">
        <v>448</v>
      </c>
      <c r="F10530" s="705">
        <v>0.44214824707057743</v>
      </c>
      <c r="G10530" s="705">
        <v>237.59108192634793</v>
      </c>
    </row>
    <row r="10531" spans="2:7" ht="11.25" hidden="1" customHeight="1" outlineLevel="2" x14ac:dyDescent="0.25">
      <c r="B10531" s="704" t="s">
        <v>677</v>
      </c>
      <c r="C10531" s="704" t="s">
        <v>735</v>
      </c>
      <c r="D10531" s="704" t="s">
        <v>728</v>
      </c>
      <c r="E10531" s="704" t="s">
        <v>448</v>
      </c>
      <c r="F10531" s="705">
        <v>2.6576377534383653</v>
      </c>
      <c r="G10531" s="705">
        <v>1421.6890469635975</v>
      </c>
    </row>
    <row r="10532" spans="2:7" ht="11.25" hidden="1" customHeight="1" outlineLevel="2" x14ac:dyDescent="0.25">
      <c r="B10532" s="704" t="s">
        <v>677</v>
      </c>
      <c r="C10532" s="704" t="s">
        <v>736</v>
      </c>
      <c r="D10532" s="704" t="s">
        <v>728</v>
      </c>
      <c r="E10532" s="704" t="s">
        <v>448</v>
      </c>
      <c r="F10532" s="705">
        <v>0.7704165333447357</v>
      </c>
      <c r="G10532" s="705">
        <v>113.07970190747871</v>
      </c>
    </row>
    <row r="10533" spans="2:7" ht="11.25" hidden="1" customHeight="1" outlineLevel="2" x14ac:dyDescent="0.25">
      <c r="B10533" s="704" t="s">
        <v>677</v>
      </c>
      <c r="C10533" s="704" t="s">
        <v>737</v>
      </c>
      <c r="D10533" s="704" t="s">
        <v>728</v>
      </c>
      <c r="E10533" s="704" t="s">
        <v>448</v>
      </c>
      <c r="F10533" s="705">
        <v>3.0950530964024674</v>
      </c>
      <c r="G10533" s="705">
        <v>454.29836691316001</v>
      </c>
    </row>
    <row r="10534" spans="2:7" ht="11.25" hidden="1" customHeight="1" outlineLevel="2" x14ac:dyDescent="0.25">
      <c r="B10534" s="704" t="s">
        <v>677</v>
      </c>
      <c r="C10534" s="704" t="s">
        <v>738</v>
      </c>
      <c r="D10534" s="704" t="s">
        <v>728</v>
      </c>
      <c r="E10534" s="704" t="s">
        <v>448</v>
      </c>
      <c r="F10534" s="705">
        <v>1.3019821715585893E-3</v>
      </c>
      <c r="G10534" s="705">
        <v>0.64983246829680452</v>
      </c>
    </row>
    <row r="10535" spans="2:7" ht="11.25" hidden="1" customHeight="1" outlineLevel="2" x14ac:dyDescent="0.25">
      <c r="B10535" s="704" t="s">
        <v>677</v>
      </c>
      <c r="C10535" s="704" t="s">
        <v>776</v>
      </c>
      <c r="D10535" s="704" t="s">
        <v>728</v>
      </c>
      <c r="E10535" s="704" t="s">
        <v>448</v>
      </c>
      <c r="F10535" s="705">
        <v>5.4104964967075615</v>
      </c>
      <c r="G10535" s="705">
        <v>3309.4882379777764</v>
      </c>
    </row>
    <row r="10536" spans="2:7" ht="11.25" hidden="1" customHeight="1" outlineLevel="2" x14ac:dyDescent="0.25">
      <c r="B10536" s="704" t="s">
        <v>677</v>
      </c>
      <c r="C10536" s="704" t="s">
        <v>777</v>
      </c>
      <c r="D10536" s="704" t="s">
        <v>728</v>
      </c>
      <c r="E10536" s="704" t="s">
        <v>448</v>
      </c>
      <c r="F10536" s="705">
        <v>3.7769372079889179</v>
      </c>
      <c r="G10536" s="705">
        <v>4438.1776183954744</v>
      </c>
    </row>
    <row r="10537" spans="2:7" ht="11.25" hidden="1" customHeight="1" outlineLevel="2" x14ac:dyDescent="0.25">
      <c r="B10537" s="704" t="s">
        <v>677</v>
      </c>
      <c r="C10537" s="704" t="s">
        <v>778</v>
      </c>
      <c r="D10537" s="704" t="s">
        <v>728</v>
      </c>
      <c r="E10537" s="704" t="s">
        <v>448</v>
      </c>
      <c r="F10537" s="705">
        <v>0.45737767016965858</v>
      </c>
      <c r="G10537" s="705">
        <v>277.50510824223437</v>
      </c>
    </row>
    <row r="10538" spans="2:7" ht="11.25" hidden="1" customHeight="1" outlineLevel="2" x14ac:dyDescent="0.25">
      <c r="B10538" s="704" t="s">
        <v>677</v>
      </c>
      <c r="C10538" s="704" t="s">
        <v>779</v>
      </c>
      <c r="D10538" s="704" t="s">
        <v>728</v>
      </c>
      <c r="E10538" s="704" t="s">
        <v>448</v>
      </c>
      <c r="F10538" s="705">
        <v>3.0614546718316933</v>
      </c>
      <c r="G10538" s="705">
        <v>2259.0744484784232</v>
      </c>
    </row>
    <row r="10539" spans="2:7" ht="11.25" hidden="1" customHeight="1" outlineLevel="2" x14ac:dyDescent="0.25">
      <c r="B10539" s="704" t="s">
        <v>677</v>
      </c>
      <c r="C10539" s="704" t="s">
        <v>780</v>
      </c>
      <c r="D10539" s="704" t="s">
        <v>728</v>
      </c>
      <c r="E10539" s="704" t="s">
        <v>448</v>
      </c>
      <c r="F10539" s="705">
        <v>2.4790479153226092E-2</v>
      </c>
      <c r="G10539" s="705">
        <v>18.423881008037394</v>
      </c>
    </row>
    <row r="10540" spans="2:7" ht="11.25" hidden="1" customHeight="1" outlineLevel="2" x14ac:dyDescent="0.25">
      <c r="B10540" s="704" t="s">
        <v>677</v>
      </c>
      <c r="C10540" s="704" t="s">
        <v>781</v>
      </c>
      <c r="D10540" s="704" t="s">
        <v>728</v>
      </c>
      <c r="E10540" s="704" t="s">
        <v>448</v>
      </c>
      <c r="F10540" s="705">
        <v>8.3932076843363068E-2</v>
      </c>
      <c r="G10540" s="705">
        <v>102.80984131424373</v>
      </c>
    </row>
    <row r="10541" spans="2:7" ht="11.25" hidden="1" customHeight="1" outlineLevel="2" x14ac:dyDescent="0.25">
      <c r="B10541" s="704" t="s">
        <v>677</v>
      </c>
      <c r="C10541" s="704" t="s">
        <v>782</v>
      </c>
      <c r="D10541" s="704" t="s">
        <v>728</v>
      </c>
      <c r="E10541" s="704" t="s">
        <v>448</v>
      </c>
      <c r="F10541" s="705">
        <v>4.7182712761836311E-2</v>
      </c>
      <c r="G10541" s="705">
        <v>35.149479872858116</v>
      </c>
    </row>
    <row r="10542" spans="2:7" ht="11.25" hidden="1" customHeight="1" outlineLevel="2" x14ac:dyDescent="0.25">
      <c r="B10542" s="704" t="s">
        <v>677</v>
      </c>
      <c r="C10542" s="704" t="s">
        <v>783</v>
      </c>
      <c r="D10542" s="704" t="s">
        <v>728</v>
      </c>
      <c r="E10542" s="704" t="s">
        <v>448</v>
      </c>
      <c r="F10542" s="705">
        <v>2.7547829782272633</v>
      </c>
      <c r="G10542" s="705">
        <v>4241.4337711204171</v>
      </c>
    </row>
    <row r="10543" spans="2:7" ht="11.25" hidden="1" customHeight="1" outlineLevel="2" x14ac:dyDescent="0.25">
      <c r="B10543" s="704" t="s">
        <v>677</v>
      </c>
      <c r="C10543" s="704" t="s">
        <v>784</v>
      </c>
      <c r="D10543" s="704" t="s">
        <v>728</v>
      </c>
      <c r="E10543" s="704" t="s">
        <v>448</v>
      </c>
      <c r="F10543" s="705">
        <v>0.68608543389834287</v>
      </c>
      <c r="G10543" s="705">
        <v>365.34283663543698</v>
      </c>
    </row>
    <row r="10544" spans="2:7" ht="11.25" hidden="1" customHeight="1" outlineLevel="2" x14ac:dyDescent="0.25">
      <c r="B10544" s="704" t="s">
        <v>677</v>
      </c>
      <c r="C10544" s="704" t="s">
        <v>785</v>
      </c>
      <c r="D10544" s="704" t="s">
        <v>728</v>
      </c>
      <c r="E10544" s="704" t="s">
        <v>448</v>
      </c>
      <c r="F10544" s="705">
        <v>2.7561703273802154</v>
      </c>
      <c r="G10544" s="705">
        <v>1467.76969866736</v>
      </c>
    </row>
    <row r="10545" spans="2:7" ht="11.25" hidden="1" customHeight="1" outlineLevel="2" x14ac:dyDescent="0.25">
      <c r="B10545" s="704" t="s">
        <v>677</v>
      </c>
      <c r="C10545" s="704" t="s">
        <v>786</v>
      </c>
      <c r="D10545" s="704" t="s">
        <v>728</v>
      </c>
      <c r="E10545" s="704" t="s">
        <v>448</v>
      </c>
      <c r="F10545" s="705">
        <v>0.53219751372268875</v>
      </c>
      <c r="G10545" s="705">
        <v>664.03640313747076</v>
      </c>
    </row>
    <row r="10546" spans="2:7" ht="11.25" hidden="1" customHeight="1" outlineLevel="2" x14ac:dyDescent="0.25">
      <c r="B10546" s="704" t="s">
        <v>677</v>
      </c>
      <c r="C10546" s="704" t="s">
        <v>787</v>
      </c>
      <c r="D10546" s="704" t="s">
        <v>728</v>
      </c>
      <c r="E10546" s="704" t="s">
        <v>448</v>
      </c>
      <c r="F10546" s="705">
        <v>0.35193007134621079</v>
      </c>
      <c r="G10546" s="705">
        <v>490.02546778289849</v>
      </c>
    </row>
    <row r="10547" spans="2:7" ht="11.25" hidden="1" customHeight="1" outlineLevel="2" x14ac:dyDescent="0.25">
      <c r="B10547" s="704" t="s">
        <v>677</v>
      </c>
      <c r="C10547" s="704" t="s">
        <v>788</v>
      </c>
      <c r="D10547" s="704" t="s">
        <v>728</v>
      </c>
      <c r="E10547" s="704" t="s">
        <v>448</v>
      </c>
      <c r="F10547" s="705">
        <v>0.49600760853637943</v>
      </c>
      <c r="G10547" s="705">
        <v>557.74977159147943</v>
      </c>
    </row>
    <row r="10548" spans="2:7" ht="11.25" hidden="1" customHeight="1" outlineLevel="2" x14ac:dyDescent="0.25">
      <c r="B10548" s="704" t="s">
        <v>677</v>
      </c>
      <c r="C10548" s="704" t="s">
        <v>789</v>
      </c>
      <c r="D10548" s="704" t="s">
        <v>728</v>
      </c>
      <c r="E10548" s="704" t="s">
        <v>448</v>
      </c>
      <c r="F10548" s="705">
        <v>0.38227593610605715</v>
      </c>
      <c r="G10548" s="705">
        <v>259.72488130298979</v>
      </c>
    </row>
    <row r="10549" spans="2:7" ht="11.25" hidden="1" customHeight="1" outlineLevel="2" x14ac:dyDescent="0.25">
      <c r="B10549" s="704" t="s">
        <v>677</v>
      </c>
      <c r="C10549" s="704" t="s">
        <v>790</v>
      </c>
      <c r="D10549" s="704" t="s">
        <v>728</v>
      </c>
      <c r="E10549" s="704" t="s">
        <v>448</v>
      </c>
      <c r="F10549" s="705">
        <v>7.1165482978162604</v>
      </c>
      <c r="G10549" s="705">
        <v>8900.9507003110939</v>
      </c>
    </row>
    <row r="10550" spans="2:7" ht="11.25" hidden="1" customHeight="1" outlineLevel="2" x14ac:dyDescent="0.25">
      <c r="B10550" s="704" t="s">
        <v>677</v>
      </c>
      <c r="C10550" s="704" t="s">
        <v>791</v>
      </c>
      <c r="D10550" s="704" t="s">
        <v>728</v>
      </c>
      <c r="E10550" s="704" t="s">
        <v>448</v>
      </c>
      <c r="F10550" s="705">
        <v>4.7818887861999624</v>
      </c>
      <c r="G10550" s="705">
        <v>6659.6603572267222</v>
      </c>
    </row>
    <row r="10551" spans="2:7" ht="11.25" hidden="1" customHeight="1" outlineLevel="2" x14ac:dyDescent="0.25">
      <c r="B10551" s="704" t="s">
        <v>677</v>
      </c>
      <c r="C10551" s="704" t="s">
        <v>792</v>
      </c>
      <c r="D10551" s="704" t="s">
        <v>728</v>
      </c>
      <c r="E10551" s="704" t="s">
        <v>448</v>
      </c>
      <c r="F10551" s="705">
        <v>0.53825425033547436</v>
      </c>
      <c r="G10551" s="705">
        <v>1114.9658312192089</v>
      </c>
    </row>
    <row r="10552" spans="2:7" ht="11.25" hidden="1" customHeight="1" outlineLevel="2" x14ac:dyDescent="0.25">
      <c r="B10552" s="704" t="s">
        <v>677</v>
      </c>
      <c r="C10552" s="704" t="s">
        <v>793</v>
      </c>
      <c r="D10552" s="704" t="s">
        <v>728</v>
      </c>
      <c r="E10552" s="704" t="s">
        <v>448</v>
      </c>
      <c r="F10552" s="705">
        <v>14.975636663005217</v>
      </c>
      <c r="G10552" s="705">
        <v>21484.486960780298</v>
      </c>
    </row>
    <row r="10553" spans="2:7" ht="11.25" hidden="1" customHeight="1" outlineLevel="2" x14ac:dyDescent="0.25">
      <c r="B10553" s="704" t="s">
        <v>677</v>
      </c>
      <c r="C10553" s="704" t="s">
        <v>794</v>
      </c>
      <c r="D10553" s="704" t="s">
        <v>728</v>
      </c>
      <c r="E10553" s="704" t="s">
        <v>448</v>
      </c>
      <c r="F10553" s="705">
        <v>0.40927422503684496</v>
      </c>
      <c r="G10553" s="705">
        <v>315.28292510666802</v>
      </c>
    </row>
    <row r="10554" spans="2:7" ht="11.25" hidden="1" customHeight="1" outlineLevel="2" x14ac:dyDescent="0.25">
      <c r="B10554" s="704" t="s">
        <v>677</v>
      </c>
      <c r="C10554" s="704" t="s">
        <v>795</v>
      </c>
      <c r="D10554" s="704" t="s">
        <v>728</v>
      </c>
      <c r="E10554" s="704" t="s">
        <v>448</v>
      </c>
      <c r="F10554" s="705">
        <v>0.85280623707817682</v>
      </c>
      <c r="G10554" s="705">
        <v>658.27617020195044</v>
      </c>
    </row>
    <row r="10555" spans="2:7" ht="11.25" hidden="1" customHeight="1" outlineLevel="2" x14ac:dyDescent="0.25">
      <c r="B10555" s="704" t="s">
        <v>677</v>
      </c>
      <c r="C10555" s="704" t="s">
        <v>845</v>
      </c>
      <c r="D10555" s="704" t="s">
        <v>728</v>
      </c>
      <c r="E10555" s="704" t="s">
        <v>824</v>
      </c>
      <c r="F10555" s="705">
        <v>4.1463315534896593E-2</v>
      </c>
      <c r="G10555" s="705">
        <v>369.87012422605295</v>
      </c>
    </row>
    <row r="10556" spans="2:7" ht="11.25" hidden="1" customHeight="1" outlineLevel="2" x14ac:dyDescent="0.25">
      <c r="B10556" s="704" t="s">
        <v>677</v>
      </c>
      <c r="C10556" s="704" t="s">
        <v>894</v>
      </c>
      <c r="D10556" s="704" t="s">
        <v>728</v>
      </c>
      <c r="E10556" s="704" t="s">
        <v>861</v>
      </c>
      <c r="F10556" s="705">
        <v>2.345460143416961E-5</v>
      </c>
      <c r="G10556" s="705">
        <v>0.57495193200366446</v>
      </c>
    </row>
    <row r="10557" spans="2:7" ht="11.25" hidden="1" customHeight="1" outlineLevel="2" x14ac:dyDescent="0.25">
      <c r="B10557" s="704" t="s">
        <v>677</v>
      </c>
      <c r="C10557" s="704" t="s">
        <v>895</v>
      </c>
      <c r="D10557" s="704" t="s">
        <v>728</v>
      </c>
      <c r="E10557" s="704" t="s">
        <v>861</v>
      </c>
      <c r="F10557" s="705">
        <v>3.4254043259993143E-3</v>
      </c>
      <c r="G10557" s="705">
        <v>153.65123158384466</v>
      </c>
    </row>
    <row r="10558" spans="2:7" ht="11.25" hidden="1" customHeight="1" outlineLevel="2" x14ac:dyDescent="0.25">
      <c r="B10558" s="704" t="s">
        <v>677</v>
      </c>
      <c r="C10558" s="704" t="s">
        <v>896</v>
      </c>
      <c r="D10558" s="704" t="s">
        <v>728</v>
      </c>
      <c r="E10558" s="704" t="s">
        <v>861</v>
      </c>
      <c r="F10558" s="705">
        <v>0.1783965451353498</v>
      </c>
      <c r="G10558" s="705">
        <v>4020.5302942067983</v>
      </c>
    </row>
    <row r="10559" spans="2:7" ht="11.25" hidden="1" customHeight="1" outlineLevel="2" x14ac:dyDescent="0.25">
      <c r="B10559" s="704" t="s">
        <v>677</v>
      </c>
      <c r="C10559" s="704" t="s">
        <v>897</v>
      </c>
      <c r="D10559" s="704" t="s">
        <v>728</v>
      </c>
      <c r="E10559" s="704" t="s">
        <v>861</v>
      </c>
      <c r="F10559" s="705">
        <v>5.1808914362204771E-2</v>
      </c>
      <c r="G10559" s="705">
        <v>829.7012505210962</v>
      </c>
    </row>
    <row r="10560" spans="2:7" ht="11.25" hidden="1" customHeight="1" outlineLevel="2" x14ac:dyDescent="0.25">
      <c r="B10560" s="704" t="s">
        <v>677</v>
      </c>
      <c r="C10560" s="704" t="s">
        <v>898</v>
      </c>
      <c r="D10560" s="704" t="s">
        <v>728</v>
      </c>
      <c r="E10560" s="704" t="s">
        <v>861</v>
      </c>
      <c r="F10560" s="705">
        <v>0.13483777688399134</v>
      </c>
      <c r="G10560" s="705">
        <v>5473.8443261483071</v>
      </c>
    </row>
    <row r="10561" spans="2:7" ht="11.25" hidden="1" customHeight="1" outlineLevel="2" x14ac:dyDescent="0.25">
      <c r="B10561" s="704" t="s">
        <v>677</v>
      </c>
      <c r="C10561" s="704" t="s">
        <v>899</v>
      </c>
      <c r="D10561" s="704" t="s">
        <v>728</v>
      </c>
      <c r="E10561" s="704" t="s">
        <v>861</v>
      </c>
      <c r="F10561" s="705">
        <v>2.5860788763594836E-2</v>
      </c>
      <c r="G10561" s="705">
        <v>645.41337422681465</v>
      </c>
    </row>
    <row r="10562" spans="2:7" ht="11.25" hidden="1" customHeight="1" outlineLevel="2" x14ac:dyDescent="0.25">
      <c r="B10562" s="704" t="s">
        <v>677</v>
      </c>
      <c r="C10562" s="704" t="s">
        <v>900</v>
      </c>
      <c r="D10562" s="704" t="s">
        <v>728</v>
      </c>
      <c r="E10562" s="704" t="s">
        <v>861</v>
      </c>
      <c r="F10562" s="705">
        <v>5.400954619712426E-4</v>
      </c>
      <c r="G10562" s="705">
        <v>15.374149160054172</v>
      </c>
    </row>
    <row r="10563" spans="2:7" ht="11.25" hidden="1" customHeight="1" outlineLevel="2" x14ac:dyDescent="0.25">
      <c r="B10563" s="704" t="s">
        <v>677</v>
      </c>
      <c r="C10563" s="704" t="s">
        <v>744</v>
      </c>
      <c r="D10563" s="704" t="s">
        <v>745</v>
      </c>
      <c r="E10563" s="704" t="s">
        <v>448</v>
      </c>
      <c r="F10563" s="705">
        <v>3.4073256181683047E-2</v>
      </c>
      <c r="G10563" s="705">
        <v>19.671464850963325</v>
      </c>
    </row>
    <row r="10564" spans="2:7" ht="11.25" hidden="1" customHeight="1" outlineLevel="2" x14ac:dyDescent="0.25">
      <c r="B10564" s="704" t="s">
        <v>677</v>
      </c>
      <c r="C10564" s="704" t="s">
        <v>812</v>
      </c>
      <c r="D10564" s="704" t="s">
        <v>745</v>
      </c>
      <c r="E10564" s="704" t="s">
        <v>448</v>
      </c>
      <c r="F10564" s="705">
        <v>4.0610596693594618E-2</v>
      </c>
      <c r="G10564" s="705">
        <v>44.293366034735534</v>
      </c>
    </row>
    <row r="10565" spans="2:7" ht="11.25" hidden="1" customHeight="1" outlineLevel="2" x14ac:dyDescent="0.25">
      <c r="B10565" s="704" t="s">
        <v>677</v>
      </c>
      <c r="C10565" s="704" t="s">
        <v>813</v>
      </c>
      <c r="D10565" s="704" t="s">
        <v>745</v>
      </c>
      <c r="E10565" s="704" t="s">
        <v>448</v>
      </c>
      <c r="F10565" s="705">
        <v>4.1662536772323777E-4</v>
      </c>
      <c r="G10565" s="705">
        <v>0.52034692557121331</v>
      </c>
    </row>
    <row r="10566" spans="2:7" ht="11.25" hidden="1" customHeight="1" outlineLevel="2" x14ac:dyDescent="0.25">
      <c r="B10566" s="704" t="s">
        <v>677</v>
      </c>
      <c r="C10566" s="704" t="s">
        <v>917</v>
      </c>
      <c r="D10566" s="704" t="s">
        <v>745</v>
      </c>
      <c r="E10566" s="704" t="s">
        <v>861</v>
      </c>
      <c r="F10566" s="705">
        <v>1.7736484479236297E-2</v>
      </c>
      <c r="G10566" s="705">
        <v>589.45238494461307</v>
      </c>
    </row>
    <row r="10567" spans="2:7" ht="11.25" hidden="1" customHeight="1" outlineLevel="2" x14ac:dyDescent="0.25">
      <c r="B10567" s="704" t="s">
        <v>677</v>
      </c>
      <c r="C10567" s="704" t="s">
        <v>816</v>
      </c>
      <c r="D10567" s="704" t="s">
        <v>712</v>
      </c>
      <c r="E10567" s="704" t="s">
        <v>448</v>
      </c>
      <c r="F10567" s="705">
        <v>1.083038714440662E-33</v>
      </c>
      <c r="G10567" s="705">
        <v>1.3540678341841603E-30</v>
      </c>
    </row>
    <row r="10568" spans="2:7" ht="11.25" hidden="1" customHeight="1" outlineLevel="2" x14ac:dyDescent="0.25">
      <c r="B10568" s="704" t="s">
        <v>677</v>
      </c>
      <c r="C10568" s="704" t="s">
        <v>711</v>
      </c>
      <c r="D10568" s="704" t="s">
        <v>712</v>
      </c>
      <c r="E10568" s="704" t="s">
        <v>676</v>
      </c>
      <c r="F10568" s="705">
        <v>3.136151520901011E-33</v>
      </c>
      <c r="G10568" s="705">
        <v>7.3601632656396319E-31</v>
      </c>
    </row>
    <row r="10569" spans="2:7" ht="11.25" hidden="1" customHeight="1" outlineLevel="2" x14ac:dyDescent="0.25">
      <c r="B10569" s="704" t="s">
        <v>677</v>
      </c>
      <c r="C10569" s="704" t="s">
        <v>921</v>
      </c>
      <c r="D10569" s="704" t="s">
        <v>712</v>
      </c>
      <c r="E10569" s="704" t="s">
        <v>861</v>
      </c>
      <c r="F10569" s="705">
        <v>2.3468378065165502E-36</v>
      </c>
      <c r="G10569" s="705">
        <v>7.9720101268876722E-32</v>
      </c>
    </row>
    <row r="10570" spans="2:7" ht="11.25" hidden="1" customHeight="1" outlineLevel="2" x14ac:dyDescent="0.25">
      <c r="B10570" s="704" t="s">
        <v>677</v>
      </c>
      <c r="C10570" s="704" t="s">
        <v>817</v>
      </c>
      <c r="D10570" s="704" t="s">
        <v>818</v>
      </c>
      <c r="E10570" s="704" t="s">
        <v>448</v>
      </c>
      <c r="F10570" s="705">
        <v>9.2437073020179188</v>
      </c>
      <c r="G10570" s="705">
        <v>7585.3273372182566</v>
      </c>
    </row>
    <row r="10571" spans="2:7" ht="11.25" hidden="1" customHeight="1" outlineLevel="2" x14ac:dyDescent="0.25">
      <c r="B10571" s="704" t="s">
        <v>677</v>
      </c>
      <c r="C10571" s="704" t="s">
        <v>819</v>
      </c>
      <c r="D10571" s="704" t="s">
        <v>818</v>
      </c>
      <c r="E10571" s="704" t="s">
        <v>448</v>
      </c>
      <c r="F10571" s="705">
        <v>4.0251407272833433</v>
      </c>
      <c r="G10571" s="705">
        <v>3200.9890977144969</v>
      </c>
    </row>
    <row r="10572" spans="2:7" ht="11.25" hidden="1" customHeight="1" outlineLevel="2" x14ac:dyDescent="0.25">
      <c r="B10572" s="704" t="s">
        <v>677</v>
      </c>
      <c r="C10572" s="704" t="s">
        <v>820</v>
      </c>
      <c r="D10572" s="704" t="s">
        <v>818</v>
      </c>
      <c r="E10572" s="704" t="s">
        <v>448</v>
      </c>
      <c r="F10572" s="705">
        <v>3.9833981758278356</v>
      </c>
      <c r="G10572" s="705">
        <v>6124.9216596624119</v>
      </c>
    </row>
    <row r="10573" spans="2:7" ht="11.25" hidden="1" customHeight="1" outlineLevel="2" x14ac:dyDescent="0.25">
      <c r="B10573" s="704" t="s">
        <v>677</v>
      </c>
      <c r="C10573" s="704" t="s">
        <v>857</v>
      </c>
      <c r="D10573" s="704" t="s">
        <v>818</v>
      </c>
      <c r="E10573" s="704" t="s">
        <v>664</v>
      </c>
      <c r="F10573" s="705">
        <v>0.14117151128875055</v>
      </c>
      <c r="G10573" s="705">
        <v>5453.4156672570853</v>
      </c>
    </row>
    <row r="10574" spans="2:7" ht="11.25" hidden="1" customHeight="1" outlineLevel="2" x14ac:dyDescent="0.25">
      <c r="B10574" s="704" t="s">
        <v>677</v>
      </c>
      <c r="C10574" s="704" t="s">
        <v>858</v>
      </c>
      <c r="D10574" s="704" t="s">
        <v>818</v>
      </c>
      <c r="E10574" s="704" t="s">
        <v>664</v>
      </c>
      <c r="F10574" s="705">
        <v>9.0249721766475876E-4</v>
      </c>
      <c r="G10574" s="705">
        <v>17.76407549991692</v>
      </c>
    </row>
    <row r="10575" spans="2:7" ht="11.25" hidden="1" customHeight="1" outlineLevel="2" x14ac:dyDescent="0.25">
      <c r="B10575" s="704" t="s">
        <v>677</v>
      </c>
      <c r="C10575" s="704" t="s">
        <v>922</v>
      </c>
      <c r="D10575" s="704" t="s">
        <v>822</v>
      </c>
      <c r="E10575" s="704" t="s">
        <v>861</v>
      </c>
      <c r="F10575" s="705">
        <v>6.6885691685737853E-3</v>
      </c>
      <c r="G10575" s="705">
        <v>155.96218990722787</v>
      </c>
    </row>
    <row r="10576" spans="2:7" ht="11.25" hidden="1" customHeight="1" outlineLevel="2" x14ac:dyDescent="0.25">
      <c r="B10576" s="704" t="s">
        <v>677</v>
      </c>
      <c r="C10576" s="704" t="s">
        <v>821</v>
      </c>
      <c r="D10576" s="704" t="s">
        <v>822</v>
      </c>
      <c r="E10576" s="704" t="s">
        <v>448</v>
      </c>
      <c r="F10576" s="705">
        <v>5.0202942664993883E-3</v>
      </c>
      <c r="G10576" s="705">
        <v>6.6796687042765832</v>
      </c>
    </row>
    <row r="10577" spans="2:7" ht="11.25" hidden="1" customHeight="1" outlineLevel="2" x14ac:dyDescent="0.25">
      <c r="B10577" s="704" t="s">
        <v>677</v>
      </c>
      <c r="C10577" s="704" t="s">
        <v>855</v>
      </c>
      <c r="D10577" s="704" t="s">
        <v>822</v>
      </c>
      <c r="E10577" s="704" t="s">
        <v>824</v>
      </c>
      <c r="F10577" s="705">
        <v>7.8530826325251803E-5</v>
      </c>
      <c r="G10577" s="705">
        <v>0.22731608768854003</v>
      </c>
    </row>
    <row r="10578" spans="2:7" ht="11.25" hidden="1" customHeight="1" outlineLevel="2" x14ac:dyDescent="0.25">
      <c r="B10578" s="704" t="s">
        <v>677</v>
      </c>
      <c r="C10578" s="704" t="s">
        <v>714</v>
      </c>
      <c r="D10578" s="704" t="s">
        <v>715</v>
      </c>
      <c r="E10578" s="704" t="s">
        <v>448</v>
      </c>
      <c r="F10578" s="705">
        <v>2.8270450232675479</v>
      </c>
      <c r="G10578" s="705">
        <v>715.67271940801993</v>
      </c>
    </row>
    <row r="10579" spans="2:7" ht="11.25" hidden="1" customHeight="1" outlineLevel="2" x14ac:dyDescent="0.25">
      <c r="B10579" s="704" t="s">
        <v>677</v>
      </c>
      <c r="C10579" s="704" t="s">
        <v>716</v>
      </c>
      <c r="D10579" s="704" t="s">
        <v>715</v>
      </c>
      <c r="E10579" s="704" t="s">
        <v>448</v>
      </c>
      <c r="F10579" s="705">
        <v>4.2915814961880154E-35</v>
      </c>
      <c r="G10579" s="705">
        <v>5.2178122498499936E-32</v>
      </c>
    </row>
    <row r="10580" spans="2:7" ht="11.25" hidden="1" customHeight="1" outlineLevel="2" x14ac:dyDescent="0.25">
      <c r="B10580" s="704" t="s">
        <v>677</v>
      </c>
      <c r="C10580" s="704" t="s">
        <v>717</v>
      </c>
      <c r="D10580" s="704" t="s">
        <v>715</v>
      </c>
      <c r="E10580" s="704" t="s">
        <v>448</v>
      </c>
      <c r="F10580" s="705">
        <v>3.0281428506067716</v>
      </c>
      <c r="G10580" s="705">
        <v>826.36984331692997</v>
      </c>
    </row>
    <row r="10581" spans="2:7" ht="11.25" hidden="1" customHeight="1" outlineLevel="2" x14ac:dyDescent="0.25">
      <c r="B10581" s="704" t="s">
        <v>677</v>
      </c>
      <c r="C10581" s="704" t="s">
        <v>718</v>
      </c>
      <c r="D10581" s="704" t="s">
        <v>715</v>
      </c>
      <c r="E10581" s="704" t="s">
        <v>448</v>
      </c>
      <c r="F10581" s="705">
        <v>0.19390782594176903</v>
      </c>
      <c r="G10581" s="705">
        <v>212.45914634475341</v>
      </c>
    </row>
    <row r="10582" spans="2:7" ht="11.25" hidden="1" customHeight="1" outlineLevel="2" x14ac:dyDescent="0.25">
      <c r="B10582" s="704" t="s">
        <v>677</v>
      </c>
      <c r="C10582" s="704" t="s">
        <v>746</v>
      </c>
      <c r="D10582" s="704" t="s">
        <v>715</v>
      </c>
      <c r="E10582" s="704" t="s">
        <v>448</v>
      </c>
      <c r="F10582" s="705">
        <v>0.50486545390013815</v>
      </c>
      <c r="G10582" s="705">
        <v>345.82096709269433</v>
      </c>
    </row>
    <row r="10583" spans="2:7" ht="11.25" hidden="1" customHeight="1" outlineLevel="2" x14ac:dyDescent="0.25">
      <c r="B10583" s="704" t="s">
        <v>677</v>
      </c>
      <c r="C10583" s="704" t="s">
        <v>747</v>
      </c>
      <c r="D10583" s="704" t="s">
        <v>715</v>
      </c>
      <c r="E10583" s="704" t="s">
        <v>448</v>
      </c>
      <c r="F10583" s="705">
        <v>4.3707746150550291</v>
      </c>
      <c r="G10583" s="705">
        <v>3686.0027520717504</v>
      </c>
    </row>
    <row r="10584" spans="2:7" ht="11.25" hidden="1" customHeight="1" outlineLevel="2" x14ac:dyDescent="0.25">
      <c r="B10584" s="704" t="s">
        <v>677</v>
      </c>
      <c r="C10584" s="704" t="s">
        <v>748</v>
      </c>
      <c r="D10584" s="704" t="s">
        <v>715</v>
      </c>
      <c r="E10584" s="704" t="s">
        <v>448</v>
      </c>
      <c r="F10584" s="705">
        <v>0.60749525696422157</v>
      </c>
      <c r="G10584" s="705">
        <v>776.97910231520143</v>
      </c>
    </row>
    <row r="10585" spans="2:7" ht="11.25" hidden="1" customHeight="1" outlineLevel="2" x14ac:dyDescent="0.25">
      <c r="B10585" s="704" t="s">
        <v>677</v>
      </c>
      <c r="C10585" s="704" t="s">
        <v>749</v>
      </c>
      <c r="D10585" s="704" t="s">
        <v>715</v>
      </c>
      <c r="E10585" s="704" t="s">
        <v>448</v>
      </c>
      <c r="F10585" s="705">
        <v>0.26657027709718789</v>
      </c>
      <c r="G10585" s="705">
        <v>207.31125697019095</v>
      </c>
    </row>
    <row r="10586" spans="2:7" ht="11.25" hidden="1" customHeight="1" outlineLevel="2" x14ac:dyDescent="0.25">
      <c r="B10586" s="704" t="s">
        <v>677</v>
      </c>
      <c r="C10586" s="704" t="s">
        <v>823</v>
      </c>
      <c r="D10586" s="704" t="s">
        <v>715</v>
      </c>
      <c r="E10586" s="704" t="s">
        <v>824</v>
      </c>
      <c r="F10586" s="705">
        <v>8.5824269271227577E-3</v>
      </c>
      <c r="G10586" s="705">
        <v>14.338478267024716</v>
      </c>
    </row>
    <row r="10587" spans="2:7" ht="11.25" hidden="1" customHeight="1" outlineLevel="2" x14ac:dyDescent="0.25">
      <c r="B10587" s="704" t="s">
        <v>677</v>
      </c>
      <c r="C10587" s="704" t="s">
        <v>860</v>
      </c>
      <c r="D10587" s="704" t="s">
        <v>715</v>
      </c>
      <c r="E10587" s="704" t="s">
        <v>861</v>
      </c>
      <c r="F10587" s="705">
        <v>1.2237064805864962E-2</v>
      </c>
      <c r="G10587" s="705">
        <v>284.18749510955115</v>
      </c>
    </row>
    <row r="10588" spans="2:7" ht="11.25" hidden="1" customHeight="1" outlineLevel="2" x14ac:dyDescent="0.25">
      <c r="B10588" s="704" t="s">
        <v>677</v>
      </c>
      <c r="C10588" s="704" t="s">
        <v>919</v>
      </c>
      <c r="D10588" s="704" t="s">
        <v>920</v>
      </c>
      <c r="E10588" s="704" t="s">
        <v>861</v>
      </c>
      <c r="F10588" s="705">
        <v>1.5052875154613956E-33</v>
      </c>
      <c r="G10588" s="705">
        <v>1.6409897687458338E-29</v>
      </c>
    </row>
    <row r="10589" spans="2:7" ht="11.25" hidden="1" customHeight="1" outlineLevel="1" x14ac:dyDescent="0.25">
      <c r="B10589" s="707" t="s">
        <v>943</v>
      </c>
      <c r="C10589" s="704"/>
      <c r="D10589" s="704"/>
      <c r="E10589" s="704"/>
      <c r="F10589" s="705">
        <f t="shared" ref="F10589:G10589" si="28">SUBTOTAL(9,F10378:F10588)</f>
        <v>140.61774411674367</v>
      </c>
      <c r="G10589" s="705">
        <f t="shared" si="28"/>
        <v>333572.40432731836</v>
      </c>
    </row>
    <row r="10590" spans="2:7" ht="11.25" hidden="1" customHeight="1" outlineLevel="2" x14ac:dyDescent="0.25">
      <c r="B10590" s="704" t="s">
        <v>678</v>
      </c>
      <c r="C10590" s="704" t="s">
        <v>739</v>
      </c>
      <c r="D10590" s="704" t="s">
        <v>44</v>
      </c>
      <c r="E10590" s="704" t="s">
        <v>448</v>
      </c>
      <c r="F10590" s="705">
        <v>1.1927206808498806E-3</v>
      </c>
      <c r="G10590" s="705">
        <v>0.72739728040289386</v>
      </c>
    </row>
    <row r="10591" spans="2:7" ht="11.25" hidden="1" customHeight="1" outlineLevel="2" x14ac:dyDescent="0.25">
      <c r="B10591" s="704" t="s">
        <v>678</v>
      </c>
      <c r="C10591" s="704" t="s">
        <v>796</v>
      </c>
      <c r="D10591" s="704" t="s">
        <v>44</v>
      </c>
      <c r="E10591" s="704" t="s">
        <v>448</v>
      </c>
      <c r="F10591" s="705">
        <v>1.2559628782545362E-3</v>
      </c>
      <c r="G10591" s="705">
        <v>1.7645618417897038</v>
      </c>
    </row>
    <row r="10592" spans="2:7" ht="11.25" hidden="1" customHeight="1" outlineLevel="2" x14ac:dyDescent="0.25">
      <c r="B10592" s="704" t="s">
        <v>678</v>
      </c>
      <c r="C10592" s="704" t="s">
        <v>797</v>
      </c>
      <c r="D10592" s="704" t="s">
        <v>44</v>
      </c>
      <c r="E10592" s="704" t="s">
        <v>448</v>
      </c>
      <c r="F10592" s="705">
        <v>2.0064326319665167E-3</v>
      </c>
      <c r="G10592" s="705">
        <v>6.8658097540113587</v>
      </c>
    </row>
    <row r="10593" spans="2:7" ht="11.25" hidden="1" customHeight="1" outlineLevel="2" x14ac:dyDescent="0.25">
      <c r="B10593" s="704" t="s">
        <v>678</v>
      </c>
      <c r="C10593" s="704" t="s">
        <v>798</v>
      </c>
      <c r="D10593" s="704" t="s">
        <v>44</v>
      </c>
      <c r="E10593" s="704" t="s">
        <v>448</v>
      </c>
      <c r="F10593" s="705">
        <v>3.2962229421609667E-5</v>
      </c>
      <c r="G10593" s="705">
        <v>4.3244840383316503E-2</v>
      </c>
    </row>
    <row r="10594" spans="2:7" ht="11.25" hidden="1" customHeight="1" outlineLevel="2" x14ac:dyDescent="0.25">
      <c r="B10594" s="704" t="s">
        <v>678</v>
      </c>
      <c r="C10594" s="704" t="s">
        <v>799</v>
      </c>
      <c r="D10594" s="704" t="s">
        <v>44</v>
      </c>
      <c r="E10594" s="704" t="s">
        <v>448</v>
      </c>
      <c r="F10594" s="705">
        <v>3.5609314318175117E-3</v>
      </c>
      <c r="G10594" s="705">
        <v>4.668202728453168</v>
      </c>
    </row>
    <row r="10595" spans="2:7" ht="11.25" hidden="1" customHeight="1" outlineLevel="2" x14ac:dyDescent="0.25">
      <c r="B10595" s="704" t="s">
        <v>678</v>
      </c>
      <c r="C10595" s="704" t="s">
        <v>800</v>
      </c>
      <c r="D10595" s="704" t="s">
        <v>44</v>
      </c>
      <c r="E10595" s="704" t="s">
        <v>448</v>
      </c>
      <c r="F10595" s="705">
        <v>1.1729250395252765E-3</v>
      </c>
      <c r="G10595" s="705">
        <v>1.4622828598574302</v>
      </c>
    </row>
    <row r="10596" spans="2:7" ht="11.25" hidden="1" customHeight="1" outlineLevel="2" x14ac:dyDescent="0.25">
      <c r="B10596" s="704" t="s">
        <v>678</v>
      </c>
      <c r="C10596" s="704" t="s">
        <v>801</v>
      </c>
      <c r="D10596" s="704" t="s">
        <v>44</v>
      </c>
      <c r="E10596" s="704" t="s">
        <v>448</v>
      </c>
      <c r="F10596" s="705">
        <v>1.5300286158764779E-2</v>
      </c>
      <c r="G10596" s="705">
        <v>15.885064052815455</v>
      </c>
    </row>
    <row r="10597" spans="2:7" ht="11.25" hidden="1" customHeight="1" outlineLevel="2" x14ac:dyDescent="0.25">
      <c r="B10597" s="704" t="s">
        <v>678</v>
      </c>
      <c r="C10597" s="704" t="s">
        <v>802</v>
      </c>
      <c r="D10597" s="704" t="s">
        <v>44</v>
      </c>
      <c r="E10597" s="704" t="s">
        <v>448</v>
      </c>
      <c r="F10597" s="705">
        <v>5.029563892653844E-2</v>
      </c>
      <c r="G10597" s="705">
        <v>34.049648477356506</v>
      </c>
    </row>
    <row r="10598" spans="2:7" ht="11.25" hidden="1" customHeight="1" outlineLevel="2" x14ac:dyDescent="0.25">
      <c r="B10598" s="704" t="s">
        <v>678</v>
      </c>
      <c r="C10598" s="704" t="s">
        <v>803</v>
      </c>
      <c r="D10598" s="704" t="s">
        <v>44</v>
      </c>
      <c r="E10598" s="704" t="s">
        <v>448</v>
      </c>
      <c r="F10598" s="705">
        <v>5.6508224740235164E-3</v>
      </c>
      <c r="G10598" s="705">
        <v>7.4079452945079707</v>
      </c>
    </row>
    <row r="10599" spans="2:7" ht="11.25" hidden="1" customHeight="1" outlineLevel="2" x14ac:dyDescent="0.25">
      <c r="B10599" s="704" t="s">
        <v>678</v>
      </c>
      <c r="C10599" s="704" t="s">
        <v>804</v>
      </c>
      <c r="D10599" s="704" t="s">
        <v>44</v>
      </c>
      <c r="E10599" s="704" t="s">
        <v>448</v>
      </c>
      <c r="F10599" s="705">
        <v>8.4141668842201006E-3</v>
      </c>
      <c r="G10599" s="705">
        <v>10.726676957534073</v>
      </c>
    </row>
    <row r="10600" spans="2:7" ht="11.25" hidden="1" customHeight="1" outlineLevel="2" x14ac:dyDescent="0.25">
      <c r="B10600" s="704" t="s">
        <v>678</v>
      </c>
      <c r="C10600" s="704" t="s">
        <v>805</v>
      </c>
      <c r="D10600" s="704" t="s">
        <v>44</v>
      </c>
      <c r="E10600" s="704" t="s">
        <v>448</v>
      </c>
      <c r="F10600" s="705">
        <v>1.6881750385983781E-3</v>
      </c>
      <c r="G10600" s="705">
        <v>11.899581978210328</v>
      </c>
    </row>
    <row r="10601" spans="2:7" ht="11.25" hidden="1" customHeight="1" outlineLevel="2" x14ac:dyDescent="0.25">
      <c r="B10601" s="704" t="s">
        <v>678</v>
      </c>
      <c r="C10601" s="704" t="s">
        <v>846</v>
      </c>
      <c r="D10601" s="704" t="s">
        <v>44</v>
      </c>
      <c r="E10601" s="704" t="s">
        <v>824</v>
      </c>
      <c r="F10601" s="705">
        <v>4.0987819283817823E-5</v>
      </c>
      <c r="G10601" s="705">
        <v>6.5127728430840665E-2</v>
      </c>
    </row>
    <row r="10602" spans="2:7" ht="11.25" hidden="1" customHeight="1" outlineLevel="2" x14ac:dyDescent="0.25">
      <c r="B10602" s="704" t="s">
        <v>678</v>
      </c>
      <c r="C10602" s="704" t="s">
        <v>847</v>
      </c>
      <c r="D10602" s="704" t="s">
        <v>44</v>
      </c>
      <c r="E10602" s="704" t="s">
        <v>824</v>
      </c>
      <c r="F10602" s="705">
        <v>8.4106333985163646E-6</v>
      </c>
      <c r="G10602" s="705">
        <v>8.8638182920546149E-2</v>
      </c>
    </row>
    <row r="10603" spans="2:7" ht="11.25" hidden="1" customHeight="1" outlineLevel="2" x14ac:dyDescent="0.25">
      <c r="B10603" s="704" t="s">
        <v>678</v>
      </c>
      <c r="C10603" s="704" t="s">
        <v>705</v>
      </c>
      <c r="D10603" s="704" t="s">
        <v>44</v>
      </c>
      <c r="E10603" s="704" t="s">
        <v>676</v>
      </c>
      <c r="F10603" s="705">
        <v>1.6407709416962728E-3</v>
      </c>
      <c r="G10603" s="705">
        <v>1.7204203193938922E-2</v>
      </c>
    </row>
    <row r="10604" spans="2:7" ht="11.25" hidden="1" customHeight="1" outlineLevel="2" x14ac:dyDescent="0.25">
      <c r="B10604" s="704" t="s">
        <v>678</v>
      </c>
      <c r="C10604" s="704" t="s">
        <v>706</v>
      </c>
      <c r="D10604" s="704" t="s">
        <v>44</v>
      </c>
      <c r="E10604" s="704" t="s">
        <v>676</v>
      </c>
      <c r="F10604" s="705">
        <v>5.2079235839338513E-4</v>
      </c>
      <c r="G10604" s="705">
        <v>5.4590912505382647E-3</v>
      </c>
    </row>
    <row r="10605" spans="2:7" ht="11.25" hidden="1" customHeight="1" outlineLevel="2" x14ac:dyDescent="0.25">
      <c r="B10605" s="704" t="s">
        <v>678</v>
      </c>
      <c r="C10605" s="704" t="s">
        <v>901</v>
      </c>
      <c r="D10605" s="704" t="s">
        <v>44</v>
      </c>
      <c r="E10605" s="704" t="s">
        <v>861</v>
      </c>
      <c r="F10605" s="709"/>
      <c r="G10605" s="705">
        <v>0.12722594928147507</v>
      </c>
    </row>
    <row r="10606" spans="2:7" ht="11.25" hidden="1" customHeight="1" outlineLevel="2" x14ac:dyDescent="0.25">
      <c r="B10606" s="704" t="s">
        <v>678</v>
      </c>
      <c r="C10606" s="704" t="s">
        <v>902</v>
      </c>
      <c r="D10606" s="704" t="s">
        <v>44</v>
      </c>
      <c r="E10606" s="704" t="s">
        <v>861</v>
      </c>
      <c r="F10606" s="709"/>
      <c r="G10606" s="705">
        <v>5500.2828290000116</v>
      </c>
    </row>
    <row r="10607" spans="2:7" ht="11.25" hidden="1" customHeight="1" outlineLevel="2" x14ac:dyDescent="0.25">
      <c r="B10607" s="704" t="s">
        <v>678</v>
      </c>
      <c r="C10607" s="704" t="s">
        <v>903</v>
      </c>
      <c r="D10607" s="704" t="s">
        <v>44</v>
      </c>
      <c r="E10607" s="704" t="s">
        <v>861</v>
      </c>
      <c r="F10607" s="709"/>
      <c r="G10607" s="705">
        <v>493.54329037037172</v>
      </c>
    </row>
    <row r="10608" spans="2:7" ht="11.25" hidden="1" customHeight="1" outlineLevel="2" x14ac:dyDescent="0.25">
      <c r="B10608" s="704" t="s">
        <v>678</v>
      </c>
      <c r="C10608" s="704" t="s">
        <v>904</v>
      </c>
      <c r="D10608" s="704" t="s">
        <v>44</v>
      </c>
      <c r="E10608" s="704" t="s">
        <v>861</v>
      </c>
      <c r="F10608" s="709"/>
      <c r="G10608" s="705">
        <v>2.7434266858076253</v>
      </c>
    </row>
    <row r="10609" spans="2:7" ht="11.25" hidden="1" customHeight="1" outlineLevel="2" x14ac:dyDescent="0.25">
      <c r="B10609" s="704" t="s">
        <v>678</v>
      </c>
      <c r="C10609" s="704" t="s">
        <v>905</v>
      </c>
      <c r="D10609" s="704" t="s">
        <v>44</v>
      </c>
      <c r="E10609" s="704" t="s">
        <v>861</v>
      </c>
      <c r="F10609" s="709"/>
      <c r="G10609" s="705">
        <v>0.56308431002487314</v>
      </c>
    </row>
    <row r="10610" spans="2:7" ht="11.25" hidden="1" customHeight="1" outlineLevel="2" x14ac:dyDescent="0.25">
      <c r="B10610" s="704" t="s">
        <v>678</v>
      </c>
      <c r="C10610" s="704" t="s">
        <v>906</v>
      </c>
      <c r="D10610" s="704" t="s">
        <v>44</v>
      </c>
      <c r="E10610" s="704" t="s">
        <v>861</v>
      </c>
      <c r="F10610" s="709"/>
      <c r="G10610" s="705">
        <v>41.895865909008975</v>
      </c>
    </row>
    <row r="10611" spans="2:7" ht="11.25" hidden="1" customHeight="1" outlineLevel="2" x14ac:dyDescent="0.25">
      <c r="B10611" s="704" t="s">
        <v>678</v>
      </c>
      <c r="C10611" s="704" t="s">
        <v>907</v>
      </c>
      <c r="D10611" s="704" t="s">
        <v>44</v>
      </c>
      <c r="E10611" s="704" t="s">
        <v>861</v>
      </c>
      <c r="F10611" s="709"/>
      <c r="G10611" s="705">
        <v>0.10493379531791923</v>
      </c>
    </row>
    <row r="10612" spans="2:7" ht="11.25" hidden="1" customHeight="1" outlineLevel="2" x14ac:dyDescent="0.25">
      <c r="B10612" s="704" t="s">
        <v>678</v>
      </c>
      <c r="C10612" s="704" t="s">
        <v>908</v>
      </c>
      <c r="D10612" s="704" t="s">
        <v>44</v>
      </c>
      <c r="E10612" s="704" t="s">
        <v>861</v>
      </c>
      <c r="F10612" s="709"/>
      <c r="G10612" s="705">
        <v>38.72325093205616</v>
      </c>
    </row>
    <row r="10613" spans="2:7" ht="11.25" hidden="1" customHeight="1" outlineLevel="2" x14ac:dyDescent="0.25">
      <c r="B10613" s="704" t="s">
        <v>678</v>
      </c>
      <c r="C10613" s="704" t="s">
        <v>909</v>
      </c>
      <c r="D10613" s="704" t="s">
        <v>44</v>
      </c>
      <c r="E10613" s="704" t="s">
        <v>861</v>
      </c>
      <c r="F10613" s="709"/>
      <c r="G10613" s="705">
        <v>107.56304795310963</v>
      </c>
    </row>
    <row r="10614" spans="2:7" ht="11.25" hidden="1" customHeight="1" outlineLevel="2" x14ac:dyDescent="0.25">
      <c r="B10614" s="704" t="s">
        <v>678</v>
      </c>
      <c r="C10614" s="704" t="s">
        <v>910</v>
      </c>
      <c r="D10614" s="704" t="s">
        <v>44</v>
      </c>
      <c r="E10614" s="704" t="s">
        <v>861</v>
      </c>
      <c r="F10614" s="709"/>
      <c r="G10614" s="705">
        <v>79.079760456691147</v>
      </c>
    </row>
    <row r="10615" spans="2:7" ht="11.25" hidden="1" customHeight="1" outlineLevel="2" x14ac:dyDescent="0.25">
      <c r="B10615" s="704" t="s">
        <v>678</v>
      </c>
      <c r="C10615" s="704" t="s">
        <v>814</v>
      </c>
      <c r="D10615" s="704" t="s">
        <v>815</v>
      </c>
      <c r="E10615" s="704" t="s">
        <v>448</v>
      </c>
      <c r="F10615" s="705">
        <v>7.5074450865664661E-5</v>
      </c>
      <c r="G10615" s="705">
        <v>0.21800921633107243</v>
      </c>
    </row>
    <row r="10616" spans="2:7" ht="11.25" hidden="1" customHeight="1" outlineLevel="2" x14ac:dyDescent="0.25">
      <c r="B10616" s="704" t="s">
        <v>678</v>
      </c>
      <c r="C10616" s="704" t="s">
        <v>854</v>
      </c>
      <c r="D10616" s="704" t="s">
        <v>815</v>
      </c>
      <c r="E10616" s="704" t="s">
        <v>824</v>
      </c>
      <c r="F10616" s="705">
        <v>2.1687760857036613E-5</v>
      </c>
      <c r="G10616" s="705">
        <v>0.19926444626918161</v>
      </c>
    </row>
    <row r="10617" spans="2:7" ht="11.25" hidden="1" customHeight="1" outlineLevel="2" x14ac:dyDescent="0.25">
      <c r="B10617" s="704" t="s">
        <v>678</v>
      </c>
      <c r="C10617" s="704" t="s">
        <v>918</v>
      </c>
      <c r="D10617" s="704" t="s">
        <v>815</v>
      </c>
      <c r="E10617" s="704" t="s">
        <v>861</v>
      </c>
      <c r="F10617" s="709"/>
      <c r="G10617" s="705">
        <v>13.7021273564749</v>
      </c>
    </row>
    <row r="10618" spans="2:7" ht="11.25" hidden="1" customHeight="1" outlineLevel="2" x14ac:dyDescent="0.25">
      <c r="B10618" s="704" t="s">
        <v>678</v>
      </c>
      <c r="C10618" s="704" t="s">
        <v>740</v>
      </c>
      <c r="D10618" s="704" t="s">
        <v>562</v>
      </c>
      <c r="E10618" s="704" t="s">
        <v>448</v>
      </c>
      <c r="F10618" s="705">
        <v>0.11428657386350884</v>
      </c>
      <c r="G10618" s="705">
        <v>56.636718159409739</v>
      </c>
    </row>
    <row r="10619" spans="2:7" ht="11.25" hidden="1" customHeight="1" outlineLevel="2" x14ac:dyDescent="0.25">
      <c r="B10619" s="704" t="s">
        <v>678</v>
      </c>
      <c r="C10619" s="704" t="s">
        <v>741</v>
      </c>
      <c r="D10619" s="704" t="s">
        <v>562</v>
      </c>
      <c r="E10619" s="704" t="s">
        <v>448</v>
      </c>
      <c r="F10619" s="705">
        <v>0.73028567078512452</v>
      </c>
      <c r="G10619" s="705">
        <v>383.79431954510562</v>
      </c>
    </row>
    <row r="10620" spans="2:7" ht="11.25" hidden="1" customHeight="1" outlineLevel="2" x14ac:dyDescent="0.25">
      <c r="B10620" s="704" t="s">
        <v>678</v>
      </c>
      <c r="C10620" s="704" t="s">
        <v>742</v>
      </c>
      <c r="D10620" s="704" t="s">
        <v>562</v>
      </c>
      <c r="E10620" s="704" t="s">
        <v>448</v>
      </c>
      <c r="F10620" s="705">
        <v>3.3018083893596178E-4</v>
      </c>
      <c r="G10620" s="705">
        <v>0.14572982938756895</v>
      </c>
    </row>
    <row r="10621" spans="2:7" ht="11.25" hidden="1" customHeight="1" outlineLevel="2" x14ac:dyDescent="0.25">
      <c r="B10621" s="704" t="s">
        <v>678</v>
      </c>
      <c r="C10621" s="704" t="s">
        <v>743</v>
      </c>
      <c r="D10621" s="704" t="s">
        <v>562</v>
      </c>
      <c r="E10621" s="704" t="s">
        <v>448</v>
      </c>
      <c r="F10621" s="705">
        <v>5.1149736432730773E-3</v>
      </c>
      <c r="G10621" s="705">
        <v>2.2930323379367263</v>
      </c>
    </row>
    <row r="10622" spans="2:7" ht="11.25" hidden="1" customHeight="1" outlineLevel="2" x14ac:dyDescent="0.25">
      <c r="B10622" s="704" t="s">
        <v>678</v>
      </c>
      <c r="C10622" s="704" t="s">
        <v>806</v>
      </c>
      <c r="D10622" s="704" t="s">
        <v>562</v>
      </c>
      <c r="E10622" s="704" t="s">
        <v>448</v>
      </c>
      <c r="F10622" s="705">
        <v>9.6965335318887647</v>
      </c>
      <c r="G10622" s="705">
        <v>11658.386264400582</v>
      </c>
    </row>
    <row r="10623" spans="2:7" ht="11.25" hidden="1" customHeight="1" outlineLevel="2" x14ac:dyDescent="0.25">
      <c r="B10623" s="704" t="s">
        <v>678</v>
      </c>
      <c r="C10623" s="704" t="s">
        <v>807</v>
      </c>
      <c r="D10623" s="704" t="s">
        <v>562</v>
      </c>
      <c r="E10623" s="704" t="s">
        <v>448</v>
      </c>
      <c r="F10623" s="705">
        <v>2.087139642350635</v>
      </c>
      <c r="G10623" s="705">
        <v>2917.395559776568</v>
      </c>
    </row>
    <row r="10624" spans="2:7" ht="11.25" hidden="1" customHeight="1" outlineLevel="2" x14ac:dyDescent="0.25">
      <c r="B10624" s="704" t="s">
        <v>678</v>
      </c>
      <c r="C10624" s="704" t="s">
        <v>808</v>
      </c>
      <c r="D10624" s="704" t="s">
        <v>562</v>
      </c>
      <c r="E10624" s="704" t="s">
        <v>448</v>
      </c>
      <c r="F10624" s="705">
        <v>0.9634243155897495</v>
      </c>
      <c r="G10624" s="705">
        <v>1547.0711299458567</v>
      </c>
    </row>
    <row r="10625" spans="2:7" ht="11.25" hidden="1" customHeight="1" outlineLevel="2" x14ac:dyDescent="0.25">
      <c r="B10625" s="704" t="s">
        <v>678</v>
      </c>
      <c r="C10625" s="704" t="s">
        <v>809</v>
      </c>
      <c r="D10625" s="704" t="s">
        <v>562</v>
      </c>
      <c r="E10625" s="704" t="s">
        <v>448</v>
      </c>
      <c r="F10625" s="705">
        <v>2.2199933029878864</v>
      </c>
      <c r="G10625" s="705">
        <v>3319.4559034055983</v>
      </c>
    </row>
    <row r="10626" spans="2:7" ht="11.25" hidden="1" customHeight="1" outlineLevel="2" x14ac:dyDescent="0.25">
      <c r="B10626" s="704" t="s">
        <v>678</v>
      </c>
      <c r="C10626" s="704" t="s">
        <v>810</v>
      </c>
      <c r="D10626" s="704" t="s">
        <v>562</v>
      </c>
      <c r="E10626" s="704" t="s">
        <v>448</v>
      </c>
      <c r="F10626" s="705">
        <v>4.1928603075270461</v>
      </c>
      <c r="G10626" s="705">
        <v>5229.5111581098772</v>
      </c>
    </row>
    <row r="10627" spans="2:7" ht="11.25" hidden="1" customHeight="1" outlineLevel="2" x14ac:dyDescent="0.25">
      <c r="B10627" s="704" t="s">
        <v>678</v>
      </c>
      <c r="C10627" s="704" t="s">
        <v>811</v>
      </c>
      <c r="D10627" s="704" t="s">
        <v>562</v>
      </c>
      <c r="E10627" s="704" t="s">
        <v>448</v>
      </c>
      <c r="F10627" s="705">
        <v>0.17849838683746341</v>
      </c>
      <c r="G10627" s="705">
        <v>245.96709721365178</v>
      </c>
    </row>
    <row r="10628" spans="2:7" ht="11.25" hidden="1" customHeight="1" outlineLevel="2" x14ac:dyDescent="0.25">
      <c r="B10628" s="704" t="s">
        <v>678</v>
      </c>
      <c r="C10628" s="704" t="s">
        <v>848</v>
      </c>
      <c r="D10628" s="704" t="s">
        <v>562</v>
      </c>
      <c r="E10628" s="704" t="s">
        <v>824</v>
      </c>
      <c r="F10628" s="705">
        <v>0.56423763009244987</v>
      </c>
      <c r="G10628" s="705">
        <v>1551.2045324630681</v>
      </c>
    </row>
    <row r="10629" spans="2:7" ht="11.25" hidden="1" customHeight="1" outlineLevel="2" x14ac:dyDescent="0.25">
      <c r="B10629" s="704" t="s">
        <v>678</v>
      </c>
      <c r="C10629" s="704" t="s">
        <v>849</v>
      </c>
      <c r="D10629" s="704" t="s">
        <v>562</v>
      </c>
      <c r="E10629" s="704" t="s">
        <v>824</v>
      </c>
      <c r="F10629" s="705">
        <v>8.1921207419282785E-2</v>
      </c>
      <c r="G10629" s="705">
        <v>345.50706750717495</v>
      </c>
    </row>
    <row r="10630" spans="2:7" ht="11.25" hidden="1" customHeight="1" outlineLevel="2" x14ac:dyDescent="0.25">
      <c r="B10630" s="704" t="s">
        <v>678</v>
      </c>
      <c r="C10630" s="704" t="s">
        <v>850</v>
      </c>
      <c r="D10630" s="704" t="s">
        <v>562</v>
      </c>
      <c r="E10630" s="704" t="s">
        <v>824</v>
      </c>
      <c r="F10630" s="705">
        <v>6.0606933308219903E-2</v>
      </c>
      <c r="G10630" s="705">
        <v>404.99647378806412</v>
      </c>
    </row>
    <row r="10631" spans="2:7" ht="11.25" hidden="1" customHeight="1" outlineLevel="2" x14ac:dyDescent="0.25">
      <c r="B10631" s="704" t="s">
        <v>678</v>
      </c>
      <c r="C10631" s="704" t="s">
        <v>851</v>
      </c>
      <c r="D10631" s="704" t="s">
        <v>562</v>
      </c>
      <c r="E10631" s="704" t="s">
        <v>824</v>
      </c>
      <c r="F10631" s="705">
        <v>0.10616070306572964</v>
      </c>
      <c r="G10631" s="705">
        <v>503.10715499542187</v>
      </c>
    </row>
    <row r="10632" spans="2:7" ht="11.25" hidden="1" customHeight="1" outlineLevel="2" x14ac:dyDescent="0.25">
      <c r="B10632" s="704" t="s">
        <v>678</v>
      </c>
      <c r="C10632" s="704" t="s">
        <v>852</v>
      </c>
      <c r="D10632" s="704" t="s">
        <v>562</v>
      </c>
      <c r="E10632" s="704" t="s">
        <v>824</v>
      </c>
      <c r="F10632" s="705">
        <v>2.6507734895127254E-3</v>
      </c>
      <c r="G10632" s="705">
        <v>6.8008713755718073</v>
      </c>
    </row>
    <row r="10633" spans="2:7" ht="11.25" hidden="1" customHeight="1" outlineLevel="2" x14ac:dyDescent="0.25">
      <c r="B10633" s="704" t="s">
        <v>678</v>
      </c>
      <c r="C10633" s="704" t="s">
        <v>853</v>
      </c>
      <c r="D10633" s="704" t="s">
        <v>562</v>
      </c>
      <c r="E10633" s="704" t="s">
        <v>824</v>
      </c>
      <c r="F10633" s="705">
        <v>7.7336572515426881E-4</v>
      </c>
      <c r="G10633" s="705">
        <v>6.3171143407926156</v>
      </c>
    </row>
    <row r="10634" spans="2:7" ht="11.25" hidden="1" customHeight="1" outlineLevel="2" x14ac:dyDescent="0.25">
      <c r="B10634" s="704" t="s">
        <v>678</v>
      </c>
      <c r="C10634" s="704" t="s">
        <v>707</v>
      </c>
      <c r="D10634" s="704" t="s">
        <v>562</v>
      </c>
      <c r="E10634" s="704" t="s">
        <v>676</v>
      </c>
      <c r="F10634" s="705">
        <v>12.466476998302486</v>
      </c>
      <c r="G10634" s="705">
        <v>340.74661593145191</v>
      </c>
    </row>
    <row r="10635" spans="2:7" ht="11.25" hidden="1" customHeight="1" outlineLevel="2" x14ac:dyDescent="0.25">
      <c r="B10635" s="704" t="s">
        <v>678</v>
      </c>
      <c r="C10635" s="704" t="s">
        <v>708</v>
      </c>
      <c r="D10635" s="704" t="s">
        <v>562</v>
      </c>
      <c r="E10635" s="704" t="s">
        <v>676</v>
      </c>
      <c r="F10635" s="705">
        <v>0.47044393202359197</v>
      </c>
      <c r="G10635" s="705">
        <v>17.37411697467277</v>
      </c>
    </row>
    <row r="10636" spans="2:7" ht="11.25" hidden="1" customHeight="1" outlineLevel="2" x14ac:dyDescent="0.25">
      <c r="B10636" s="704" t="s">
        <v>678</v>
      </c>
      <c r="C10636" s="704" t="s">
        <v>709</v>
      </c>
      <c r="D10636" s="704" t="s">
        <v>562</v>
      </c>
      <c r="E10636" s="704" t="s">
        <v>676</v>
      </c>
      <c r="F10636" s="705">
        <v>0.34313093907309017</v>
      </c>
      <c r="G10636" s="705">
        <v>24.066112630568846</v>
      </c>
    </row>
    <row r="10637" spans="2:7" ht="11.25" hidden="1" customHeight="1" outlineLevel="2" x14ac:dyDescent="0.25">
      <c r="B10637" s="704" t="s">
        <v>678</v>
      </c>
      <c r="C10637" s="704" t="s">
        <v>710</v>
      </c>
      <c r="D10637" s="704" t="s">
        <v>562</v>
      </c>
      <c r="E10637" s="704" t="s">
        <v>676</v>
      </c>
      <c r="F10637" s="705">
        <v>4.0199516030353193</v>
      </c>
      <c r="G10637" s="705">
        <v>841.23768857037055</v>
      </c>
    </row>
    <row r="10638" spans="2:7" ht="11.25" hidden="1" customHeight="1" outlineLevel="2" x14ac:dyDescent="0.25">
      <c r="B10638" s="704" t="s">
        <v>678</v>
      </c>
      <c r="C10638" s="704" t="s">
        <v>911</v>
      </c>
      <c r="D10638" s="704" t="s">
        <v>562</v>
      </c>
      <c r="E10638" s="704" t="s">
        <v>861</v>
      </c>
      <c r="F10638" s="709"/>
      <c r="G10638" s="705">
        <v>8970.713241220119</v>
      </c>
    </row>
    <row r="10639" spans="2:7" ht="11.25" hidden="1" customHeight="1" outlineLevel="2" x14ac:dyDescent="0.25">
      <c r="B10639" s="704" t="s">
        <v>678</v>
      </c>
      <c r="C10639" s="704" t="s">
        <v>912</v>
      </c>
      <c r="D10639" s="704" t="s">
        <v>562</v>
      </c>
      <c r="E10639" s="704" t="s">
        <v>861</v>
      </c>
      <c r="F10639" s="709"/>
      <c r="G10639" s="705">
        <v>2116.5447755703744</v>
      </c>
    </row>
    <row r="10640" spans="2:7" ht="11.25" hidden="1" customHeight="1" outlineLevel="2" x14ac:dyDescent="0.25">
      <c r="B10640" s="704" t="s">
        <v>678</v>
      </c>
      <c r="C10640" s="704" t="s">
        <v>913</v>
      </c>
      <c r="D10640" s="704" t="s">
        <v>562</v>
      </c>
      <c r="E10640" s="704" t="s">
        <v>861</v>
      </c>
      <c r="F10640" s="709"/>
      <c r="G10640" s="705">
        <v>5872.5924607387506</v>
      </c>
    </row>
    <row r="10641" spans="2:7" ht="11.25" hidden="1" customHeight="1" outlineLevel="2" x14ac:dyDescent="0.25">
      <c r="B10641" s="704" t="s">
        <v>678</v>
      </c>
      <c r="C10641" s="704" t="s">
        <v>914</v>
      </c>
      <c r="D10641" s="704" t="s">
        <v>562</v>
      </c>
      <c r="E10641" s="704" t="s">
        <v>861</v>
      </c>
      <c r="F10641" s="709"/>
      <c r="G10641" s="705">
        <v>2981.9112184965397</v>
      </c>
    </row>
    <row r="10642" spans="2:7" ht="11.25" hidden="1" customHeight="1" outlineLevel="2" x14ac:dyDescent="0.25">
      <c r="B10642" s="704" t="s">
        <v>678</v>
      </c>
      <c r="C10642" s="704" t="s">
        <v>915</v>
      </c>
      <c r="D10642" s="704" t="s">
        <v>562</v>
      </c>
      <c r="E10642" s="704" t="s">
        <v>861</v>
      </c>
      <c r="F10642" s="709"/>
      <c r="G10642" s="705">
        <v>286.46107521720245</v>
      </c>
    </row>
    <row r="10643" spans="2:7" ht="11.25" hidden="1" customHeight="1" outlineLevel="2" x14ac:dyDescent="0.25">
      <c r="B10643" s="704" t="s">
        <v>678</v>
      </c>
      <c r="C10643" s="704" t="s">
        <v>916</v>
      </c>
      <c r="D10643" s="704" t="s">
        <v>562</v>
      </c>
      <c r="E10643" s="704" t="s">
        <v>861</v>
      </c>
      <c r="F10643" s="709"/>
      <c r="G10643" s="705">
        <v>254.15581983890581</v>
      </c>
    </row>
    <row r="10644" spans="2:7" ht="11.25" hidden="1" customHeight="1" outlineLevel="2" x14ac:dyDescent="0.25">
      <c r="B10644" s="704" t="s">
        <v>678</v>
      </c>
      <c r="C10644" s="704" t="s">
        <v>719</v>
      </c>
      <c r="D10644" s="704" t="s">
        <v>675</v>
      </c>
      <c r="E10644" s="704" t="s">
        <v>448</v>
      </c>
      <c r="F10644" s="705">
        <v>0.25423180037772825</v>
      </c>
      <c r="G10644" s="705">
        <v>156.75842373389</v>
      </c>
    </row>
    <row r="10645" spans="2:7" ht="11.25" hidden="1" customHeight="1" outlineLevel="2" x14ac:dyDescent="0.25">
      <c r="B10645" s="704" t="s">
        <v>678</v>
      </c>
      <c r="C10645" s="704" t="s">
        <v>720</v>
      </c>
      <c r="D10645" s="704" t="s">
        <v>675</v>
      </c>
      <c r="E10645" s="704" t="s">
        <v>448</v>
      </c>
      <c r="F10645" s="705">
        <v>2.101064081655047E-2</v>
      </c>
      <c r="G10645" s="705">
        <v>10.166973271129594</v>
      </c>
    </row>
    <row r="10646" spans="2:7" ht="11.25" hidden="1" customHeight="1" outlineLevel="2" x14ac:dyDescent="0.25">
      <c r="B10646" s="704" t="s">
        <v>678</v>
      </c>
      <c r="C10646" s="704" t="s">
        <v>721</v>
      </c>
      <c r="D10646" s="704" t="s">
        <v>675</v>
      </c>
      <c r="E10646" s="704" t="s">
        <v>448</v>
      </c>
      <c r="F10646" s="705">
        <v>2.5444486903657672E-2</v>
      </c>
      <c r="G10646" s="705">
        <v>12.154028362756007</v>
      </c>
    </row>
    <row r="10647" spans="2:7" ht="11.25" hidden="1" customHeight="1" outlineLevel="2" x14ac:dyDescent="0.25">
      <c r="B10647" s="704" t="s">
        <v>678</v>
      </c>
      <c r="C10647" s="704" t="s">
        <v>722</v>
      </c>
      <c r="D10647" s="704" t="s">
        <v>675</v>
      </c>
      <c r="E10647" s="704" t="s">
        <v>448</v>
      </c>
      <c r="F10647" s="705">
        <v>2.0303928770964839E-4</v>
      </c>
      <c r="G10647" s="705">
        <v>9.1015814963650923E-2</v>
      </c>
    </row>
    <row r="10648" spans="2:7" ht="11.25" hidden="1" customHeight="1" outlineLevel="2" x14ac:dyDescent="0.25">
      <c r="B10648" s="704" t="s">
        <v>678</v>
      </c>
      <c r="C10648" s="704" t="s">
        <v>723</v>
      </c>
      <c r="D10648" s="704" t="s">
        <v>675</v>
      </c>
      <c r="E10648" s="704" t="s">
        <v>448</v>
      </c>
      <c r="F10648" s="705">
        <v>0.72429711775782701</v>
      </c>
      <c r="G10648" s="705">
        <v>405.08812607583735</v>
      </c>
    </row>
    <row r="10649" spans="2:7" ht="11.25" hidden="1" customHeight="1" outlineLevel="2" x14ac:dyDescent="0.25">
      <c r="B10649" s="704" t="s">
        <v>678</v>
      </c>
      <c r="C10649" s="704" t="s">
        <v>724</v>
      </c>
      <c r="D10649" s="704" t="s">
        <v>675</v>
      </c>
      <c r="E10649" s="704" t="s">
        <v>448</v>
      </c>
      <c r="F10649" s="705">
        <v>5.2869790966788279E-3</v>
      </c>
      <c r="G10649" s="705">
        <v>2.3699778691193072</v>
      </c>
    </row>
    <row r="10650" spans="2:7" ht="11.25" hidden="1" customHeight="1" outlineLevel="2" x14ac:dyDescent="0.25">
      <c r="B10650" s="704" t="s">
        <v>678</v>
      </c>
      <c r="C10650" s="704" t="s">
        <v>750</v>
      </c>
      <c r="D10650" s="704" t="s">
        <v>675</v>
      </c>
      <c r="E10650" s="704" t="s">
        <v>448</v>
      </c>
      <c r="F10650" s="705">
        <v>8.9864191983006117E-2</v>
      </c>
      <c r="G10650" s="705">
        <v>139.35493108884478</v>
      </c>
    </row>
    <row r="10651" spans="2:7" ht="11.25" hidden="1" customHeight="1" outlineLevel="2" x14ac:dyDescent="0.25">
      <c r="B10651" s="704" t="s">
        <v>678</v>
      </c>
      <c r="C10651" s="704" t="s">
        <v>751</v>
      </c>
      <c r="D10651" s="704" t="s">
        <v>675</v>
      </c>
      <c r="E10651" s="704" t="s">
        <v>448</v>
      </c>
      <c r="F10651" s="705">
        <v>7.960002184926176E-4</v>
      </c>
      <c r="G10651" s="705">
        <v>1.0297970511601284</v>
      </c>
    </row>
    <row r="10652" spans="2:7" ht="11.25" hidden="1" customHeight="1" outlineLevel="2" x14ac:dyDescent="0.25">
      <c r="B10652" s="704" t="s">
        <v>678</v>
      </c>
      <c r="C10652" s="704" t="s">
        <v>752</v>
      </c>
      <c r="D10652" s="704" t="s">
        <v>675</v>
      </c>
      <c r="E10652" s="704" t="s">
        <v>448</v>
      </c>
      <c r="F10652" s="705">
        <v>0.21895933529834</v>
      </c>
      <c r="G10652" s="705">
        <v>260.77473919157478</v>
      </c>
    </row>
    <row r="10653" spans="2:7" ht="11.25" hidden="1" customHeight="1" outlineLevel="2" x14ac:dyDescent="0.25">
      <c r="B10653" s="704" t="s">
        <v>678</v>
      </c>
      <c r="C10653" s="704" t="s">
        <v>753</v>
      </c>
      <c r="D10653" s="704" t="s">
        <v>675</v>
      </c>
      <c r="E10653" s="704" t="s">
        <v>448</v>
      </c>
      <c r="F10653" s="705">
        <v>0.1568400856898968</v>
      </c>
      <c r="G10653" s="705">
        <v>246.41602500952814</v>
      </c>
    </row>
    <row r="10654" spans="2:7" ht="11.25" hidden="1" customHeight="1" outlineLevel="2" x14ac:dyDescent="0.25">
      <c r="B10654" s="704" t="s">
        <v>678</v>
      </c>
      <c r="C10654" s="704" t="s">
        <v>754</v>
      </c>
      <c r="D10654" s="704" t="s">
        <v>675</v>
      </c>
      <c r="E10654" s="704" t="s">
        <v>448</v>
      </c>
      <c r="F10654" s="705">
        <v>0.38616977750008896</v>
      </c>
      <c r="G10654" s="705">
        <v>490.45113642773418</v>
      </c>
    </row>
    <row r="10655" spans="2:7" ht="11.25" hidden="1" customHeight="1" outlineLevel="2" x14ac:dyDescent="0.25">
      <c r="B10655" s="704" t="s">
        <v>678</v>
      </c>
      <c r="C10655" s="704" t="s">
        <v>755</v>
      </c>
      <c r="D10655" s="704" t="s">
        <v>675</v>
      </c>
      <c r="E10655" s="704" t="s">
        <v>448</v>
      </c>
      <c r="F10655" s="705">
        <v>0.15104800563103521</v>
      </c>
      <c r="G10655" s="705">
        <v>206.82340535116322</v>
      </c>
    </row>
    <row r="10656" spans="2:7" ht="11.25" hidden="1" customHeight="1" outlineLevel="2" x14ac:dyDescent="0.25">
      <c r="B10656" s="704" t="s">
        <v>678</v>
      </c>
      <c r="C10656" s="704" t="s">
        <v>756</v>
      </c>
      <c r="D10656" s="704" t="s">
        <v>675</v>
      </c>
      <c r="E10656" s="704" t="s">
        <v>448</v>
      </c>
      <c r="F10656" s="705">
        <v>8.1399890491395486E-3</v>
      </c>
      <c r="G10656" s="705">
        <v>10.738129997193372</v>
      </c>
    </row>
    <row r="10657" spans="2:7" ht="11.25" hidden="1" customHeight="1" outlineLevel="2" x14ac:dyDescent="0.25">
      <c r="B10657" s="704" t="s">
        <v>678</v>
      </c>
      <c r="C10657" s="704" t="s">
        <v>757</v>
      </c>
      <c r="D10657" s="704" t="s">
        <v>675</v>
      </c>
      <c r="E10657" s="704" t="s">
        <v>448</v>
      </c>
      <c r="F10657" s="705">
        <v>0.28782100757752993</v>
      </c>
      <c r="G10657" s="705">
        <v>432.97922902867367</v>
      </c>
    </row>
    <row r="10658" spans="2:7" ht="11.25" hidden="1" customHeight="1" outlineLevel="2" x14ac:dyDescent="0.25">
      <c r="B10658" s="704" t="s">
        <v>678</v>
      </c>
      <c r="C10658" s="704" t="s">
        <v>758</v>
      </c>
      <c r="D10658" s="704" t="s">
        <v>675</v>
      </c>
      <c r="E10658" s="704" t="s">
        <v>448</v>
      </c>
      <c r="F10658" s="705">
        <v>0.12957251222305702</v>
      </c>
      <c r="G10658" s="705">
        <v>149.12495414457123</v>
      </c>
    </row>
    <row r="10659" spans="2:7" ht="11.25" hidden="1" customHeight="1" outlineLevel="2" x14ac:dyDescent="0.25">
      <c r="B10659" s="704" t="s">
        <v>678</v>
      </c>
      <c r="C10659" s="704" t="s">
        <v>759</v>
      </c>
      <c r="D10659" s="704" t="s">
        <v>675</v>
      </c>
      <c r="E10659" s="704" t="s">
        <v>448</v>
      </c>
      <c r="F10659" s="705">
        <v>0.64116089945177623</v>
      </c>
      <c r="G10659" s="705">
        <v>901.80992216682216</v>
      </c>
    </row>
    <row r="10660" spans="2:7" ht="11.25" hidden="1" customHeight="1" outlineLevel="2" x14ac:dyDescent="0.25">
      <c r="B10660" s="704" t="s">
        <v>678</v>
      </c>
      <c r="C10660" s="704" t="s">
        <v>760</v>
      </c>
      <c r="D10660" s="704" t="s">
        <v>675</v>
      </c>
      <c r="E10660" s="704" t="s">
        <v>448</v>
      </c>
      <c r="F10660" s="705">
        <v>0.43209866156461235</v>
      </c>
      <c r="G10660" s="705">
        <v>432.01425759697133</v>
      </c>
    </row>
    <row r="10661" spans="2:7" ht="11.25" hidden="1" customHeight="1" outlineLevel="2" x14ac:dyDescent="0.25">
      <c r="B10661" s="704" t="s">
        <v>678</v>
      </c>
      <c r="C10661" s="704" t="s">
        <v>761</v>
      </c>
      <c r="D10661" s="704" t="s">
        <v>675</v>
      </c>
      <c r="E10661" s="704" t="s">
        <v>448</v>
      </c>
      <c r="F10661" s="705">
        <v>2.0529574193766002E-2</v>
      </c>
      <c r="G10661" s="705">
        <v>34.438326263909723</v>
      </c>
    </row>
    <row r="10662" spans="2:7" ht="11.25" hidden="1" customHeight="1" outlineLevel="2" x14ac:dyDescent="0.25">
      <c r="B10662" s="704" t="s">
        <v>678</v>
      </c>
      <c r="C10662" s="704" t="s">
        <v>762</v>
      </c>
      <c r="D10662" s="704" t="s">
        <v>675</v>
      </c>
      <c r="E10662" s="704" t="s">
        <v>448</v>
      </c>
      <c r="F10662" s="705">
        <v>4.1751652859715695E-2</v>
      </c>
      <c r="G10662" s="705">
        <v>58.394976504337286</v>
      </c>
    </row>
    <row r="10663" spans="2:7" ht="11.25" hidden="1" customHeight="1" outlineLevel="2" x14ac:dyDescent="0.25">
      <c r="B10663" s="704" t="s">
        <v>678</v>
      </c>
      <c r="C10663" s="704" t="s">
        <v>763</v>
      </c>
      <c r="D10663" s="704" t="s">
        <v>675</v>
      </c>
      <c r="E10663" s="704" t="s">
        <v>448</v>
      </c>
      <c r="F10663" s="705">
        <v>1.8546819783719328E-2</v>
      </c>
      <c r="G10663" s="705">
        <v>52.327155507770854</v>
      </c>
    </row>
    <row r="10664" spans="2:7" ht="11.25" hidden="1" customHeight="1" outlineLevel="2" x14ac:dyDescent="0.25">
      <c r="B10664" s="704" t="s">
        <v>678</v>
      </c>
      <c r="C10664" s="704" t="s">
        <v>764</v>
      </c>
      <c r="D10664" s="704" t="s">
        <v>675</v>
      </c>
      <c r="E10664" s="704" t="s">
        <v>448</v>
      </c>
      <c r="F10664" s="705">
        <v>2.1607550131488254E-2</v>
      </c>
      <c r="G10664" s="705">
        <v>124.98039403701344</v>
      </c>
    </row>
    <row r="10665" spans="2:7" ht="11.25" hidden="1" customHeight="1" outlineLevel="2" x14ac:dyDescent="0.25">
      <c r="B10665" s="704" t="s">
        <v>678</v>
      </c>
      <c r="C10665" s="704" t="s">
        <v>765</v>
      </c>
      <c r="D10665" s="704" t="s">
        <v>675</v>
      </c>
      <c r="E10665" s="704" t="s">
        <v>448</v>
      </c>
      <c r="F10665" s="705">
        <v>0.20441628618670513</v>
      </c>
      <c r="G10665" s="705">
        <v>296.1710678964086</v>
      </c>
    </row>
    <row r="10666" spans="2:7" ht="11.25" hidden="1" customHeight="1" outlineLevel="2" x14ac:dyDescent="0.25">
      <c r="B10666" s="704" t="s">
        <v>678</v>
      </c>
      <c r="C10666" s="704" t="s">
        <v>766</v>
      </c>
      <c r="D10666" s="704" t="s">
        <v>675</v>
      </c>
      <c r="E10666" s="704" t="s">
        <v>448</v>
      </c>
      <c r="F10666" s="705">
        <v>0.1267880826158829</v>
      </c>
      <c r="G10666" s="705">
        <v>203.26604939188658</v>
      </c>
    </row>
    <row r="10667" spans="2:7" ht="11.25" hidden="1" customHeight="1" outlineLevel="2" x14ac:dyDescent="0.25">
      <c r="B10667" s="704" t="s">
        <v>678</v>
      </c>
      <c r="C10667" s="704" t="s">
        <v>767</v>
      </c>
      <c r="D10667" s="704" t="s">
        <v>675</v>
      </c>
      <c r="E10667" s="704" t="s">
        <v>448</v>
      </c>
      <c r="F10667" s="705">
        <v>6.3844896985083638E-2</v>
      </c>
      <c r="G10667" s="705">
        <v>66.974308623725491</v>
      </c>
    </row>
    <row r="10668" spans="2:7" ht="11.25" hidden="1" customHeight="1" outlineLevel="2" x14ac:dyDescent="0.25">
      <c r="B10668" s="704" t="s">
        <v>678</v>
      </c>
      <c r="C10668" s="704" t="s">
        <v>768</v>
      </c>
      <c r="D10668" s="704" t="s">
        <v>675</v>
      </c>
      <c r="E10668" s="704" t="s">
        <v>448</v>
      </c>
      <c r="F10668" s="705">
        <v>2.9774306789756268E-2</v>
      </c>
      <c r="G10668" s="705">
        <v>47.312777291445258</v>
      </c>
    </row>
    <row r="10669" spans="2:7" ht="11.25" hidden="1" customHeight="1" outlineLevel="2" x14ac:dyDescent="0.25">
      <c r="B10669" s="704" t="s">
        <v>678</v>
      </c>
      <c r="C10669" s="704" t="s">
        <v>825</v>
      </c>
      <c r="D10669" s="704" t="s">
        <v>675</v>
      </c>
      <c r="E10669" s="704" t="s">
        <v>824</v>
      </c>
      <c r="F10669" s="705">
        <v>5.6599289147902312E-3</v>
      </c>
      <c r="G10669" s="705">
        <v>26.798697969955285</v>
      </c>
    </row>
    <row r="10670" spans="2:7" ht="11.25" hidden="1" customHeight="1" outlineLevel="2" x14ac:dyDescent="0.25">
      <c r="B10670" s="704" t="s">
        <v>678</v>
      </c>
      <c r="C10670" s="704" t="s">
        <v>826</v>
      </c>
      <c r="D10670" s="704" t="s">
        <v>675</v>
      </c>
      <c r="E10670" s="704" t="s">
        <v>824</v>
      </c>
      <c r="F10670" s="705">
        <v>4.2074083354541403E-3</v>
      </c>
      <c r="G10670" s="705">
        <v>44.973264451792168</v>
      </c>
    </row>
    <row r="10671" spans="2:7" ht="11.25" hidden="1" customHeight="1" outlineLevel="2" x14ac:dyDescent="0.25">
      <c r="B10671" s="704" t="s">
        <v>678</v>
      </c>
      <c r="C10671" s="704" t="s">
        <v>827</v>
      </c>
      <c r="D10671" s="704" t="s">
        <v>675</v>
      </c>
      <c r="E10671" s="704" t="s">
        <v>824</v>
      </c>
      <c r="F10671" s="705">
        <v>3.1155142952454091E-3</v>
      </c>
      <c r="G10671" s="705">
        <v>7.4399290363535435</v>
      </c>
    </row>
    <row r="10672" spans="2:7" ht="11.25" hidden="1" customHeight="1" outlineLevel="2" x14ac:dyDescent="0.25">
      <c r="B10672" s="704" t="s">
        <v>678</v>
      </c>
      <c r="C10672" s="704" t="s">
        <v>828</v>
      </c>
      <c r="D10672" s="704" t="s">
        <v>675</v>
      </c>
      <c r="E10672" s="704" t="s">
        <v>824</v>
      </c>
      <c r="F10672" s="705">
        <v>8.4953396602479442E-4</v>
      </c>
      <c r="G10672" s="705">
        <v>4.6620241763043149</v>
      </c>
    </row>
    <row r="10673" spans="2:7" ht="11.25" hidden="1" customHeight="1" outlineLevel="2" x14ac:dyDescent="0.25">
      <c r="B10673" s="704" t="s">
        <v>678</v>
      </c>
      <c r="C10673" s="704" t="s">
        <v>829</v>
      </c>
      <c r="D10673" s="704" t="s">
        <v>675</v>
      </c>
      <c r="E10673" s="704" t="s">
        <v>824</v>
      </c>
      <c r="F10673" s="705">
        <v>1.8384498214086192E-2</v>
      </c>
      <c r="G10673" s="705">
        <v>82.50204707244967</v>
      </c>
    </row>
    <row r="10674" spans="2:7" ht="11.25" hidden="1" customHeight="1" outlineLevel="2" x14ac:dyDescent="0.25">
      <c r="B10674" s="704" t="s">
        <v>678</v>
      </c>
      <c r="C10674" s="704" t="s">
        <v>830</v>
      </c>
      <c r="D10674" s="704" t="s">
        <v>675</v>
      </c>
      <c r="E10674" s="704" t="s">
        <v>824</v>
      </c>
      <c r="F10674" s="705">
        <v>1.6678981022697353E-2</v>
      </c>
      <c r="G10674" s="705">
        <v>29.705481581034668</v>
      </c>
    </row>
    <row r="10675" spans="2:7" ht="11.25" hidden="1" customHeight="1" outlineLevel="2" x14ac:dyDescent="0.25">
      <c r="B10675" s="704" t="s">
        <v>678</v>
      </c>
      <c r="C10675" s="704" t="s">
        <v>831</v>
      </c>
      <c r="D10675" s="704" t="s">
        <v>675</v>
      </c>
      <c r="E10675" s="704" t="s">
        <v>824</v>
      </c>
      <c r="F10675" s="705">
        <v>4.6276491021284101E-3</v>
      </c>
      <c r="G10675" s="705">
        <v>76.327631890619003</v>
      </c>
    </row>
    <row r="10676" spans="2:7" ht="11.25" hidden="1" customHeight="1" outlineLevel="2" x14ac:dyDescent="0.25">
      <c r="B10676" s="704" t="s">
        <v>678</v>
      </c>
      <c r="C10676" s="704" t="s">
        <v>832</v>
      </c>
      <c r="D10676" s="704" t="s">
        <v>675</v>
      </c>
      <c r="E10676" s="704" t="s">
        <v>824</v>
      </c>
      <c r="F10676" s="705">
        <v>1.2649519286572125E-2</v>
      </c>
      <c r="G10676" s="705">
        <v>30.40047111913</v>
      </c>
    </row>
    <row r="10677" spans="2:7" ht="11.25" hidden="1" customHeight="1" outlineLevel="2" x14ac:dyDescent="0.25">
      <c r="B10677" s="704" t="s">
        <v>678</v>
      </c>
      <c r="C10677" s="704" t="s">
        <v>833</v>
      </c>
      <c r="D10677" s="704" t="s">
        <v>675</v>
      </c>
      <c r="E10677" s="704" t="s">
        <v>824</v>
      </c>
      <c r="F10677" s="705">
        <v>1.9319274794825964E-3</v>
      </c>
      <c r="G10677" s="705">
        <v>4.8918821258522911</v>
      </c>
    </row>
    <row r="10678" spans="2:7" ht="11.25" hidden="1" customHeight="1" outlineLevel="2" x14ac:dyDescent="0.25">
      <c r="B10678" s="704" t="s">
        <v>678</v>
      </c>
      <c r="C10678" s="704" t="s">
        <v>834</v>
      </c>
      <c r="D10678" s="704" t="s">
        <v>675</v>
      </c>
      <c r="E10678" s="704" t="s">
        <v>824</v>
      </c>
      <c r="F10678" s="705">
        <v>1.3993331017006306E-2</v>
      </c>
      <c r="G10678" s="705">
        <v>52.919499204101001</v>
      </c>
    </row>
    <row r="10679" spans="2:7" ht="11.25" hidden="1" customHeight="1" outlineLevel="2" x14ac:dyDescent="0.25">
      <c r="B10679" s="704" t="s">
        <v>678</v>
      </c>
      <c r="C10679" s="704" t="s">
        <v>835</v>
      </c>
      <c r="D10679" s="704" t="s">
        <v>675</v>
      </c>
      <c r="E10679" s="704" t="s">
        <v>824</v>
      </c>
      <c r="F10679" s="705">
        <v>1.7550667659350542E-2</v>
      </c>
      <c r="G10679" s="705">
        <v>128.86175975732479</v>
      </c>
    </row>
    <row r="10680" spans="2:7" ht="11.25" hidden="1" customHeight="1" outlineLevel="2" x14ac:dyDescent="0.25">
      <c r="B10680" s="704" t="s">
        <v>678</v>
      </c>
      <c r="C10680" s="704" t="s">
        <v>836</v>
      </c>
      <c r="D10680" s="704" t="s">
        <v>675</v>
      </c>
      <c r="E10680" s="704" t="s">
        <v>824</v>
      </c>
      <c r="F10680" s="705">
        <v>1.2246009446005386E-3</v>
      </c>
      <c r="G10680" s="705">
        <v>13.461075001237262</v>
      </c>
    </row>
    <row r="10681" spans="2:7" ht="11.25" hidden="1" customHeight="1" outlineLevel="2" x14ac:dyDescent="0.25">
      <c r="B10681" s="704" t="s">
        <v>678</v>
      </c>
      <c r="C10681" s="704" t="s">
        <v>837</v>
      </c>
      <c r="D10681" s="704" t="s">
        <v>675</v>
      </c>
      <c r="E10681" s="704" t="s">
        <v>824</v>
      </c>
      <c r="F10681" s="705">
        <v>4.0386219545652649E-2</v>
      </c>
      <c r="G10681" s="705">
        <v>111.50667410764954</v>
      </c>
    </row>
    <row r="10682" spans="2:7" ht="11.25" hidden="1" customHeight="1" outlineLevel="2" x14ac:dyDescent="0.25">
      <c r="B10682" s="704" t="s">
        <v>678</v>
      </c>
      <c r="C10682" s="704" t="s">
        <v>838</v>
      </c>
      <c r="D10682" s="704" t="s">
        <v>675</v>
      </c>
      <c r="E10682" s="704" t="s">
        <v>824</v>
      </c>
      <c r="F10682" s="705">
        <v>2.0832367998534444E-2</v>
      </c>
      <c r="G10682" s="705">
        <v>46.112633988313753</v>
      </c>
    </row>
    <row r="10683" spans="2:7" ht="11.25" hidden="1" customHeight="1" outlineLevel="2" x14ac:dyDescent="0.25">
      <c r="B10683" s="704" t="s">
        <v>678</v>
      </c>
      <c r="C10683" s="704" t="s">
        <v>674</v>
      </c>
      <c r="D10683" s="704" t="s">
        <v>675</v>
      </c>
      <c r="E10683" s="704" t="s">
        <v>676</v>
      </c>
      <c r="F10683" s="705">
        <v>5.9076043619418366E-2</v>
      </c>
      <c r="G10683" s="705">
        <v>1.4620046933460145</v>
      </c>
    </row>
    <row r="10684" spans="2:7" ht="11.25" hidden="1" customHeight="1" outlineLevel="2" x14ac:dyDescent="0.25">
      <c r="B10684" s="704" t="s">
        <v>678</v>
      </c>
      <c r="C10684" s="704" t="s">
        <v>862</v>
      </c>
      <c r="D10684" s="704" t="s">
        <v>675</v>
      </c>
      <c r="E10684" s="704" t="s">
        <v>861</v>
      </c>
      <c r="F10684" s="709"/>
      <c r="G10684" s="705">
        <v>4340.8615878848386</v>
      </c>
    </row>
    <row r="10685" spans="2:7" ht="11.25" hidden="1" customHeight="1" outlineLevel="2" x14ac:dyDescent="0.25">
      <c r="B10685" s="704" t="s">
        <v>678</v>
      </c>
      <c r="C10685" s="704" t="s">
        <v>863</v>
      </c>
      <c r="D10685" s="704" t="s">
        <v>675</v>
      </c>
      <c r="E10685" s="704" t="s">
        <v>861</v>
      </c>
      <c r="F10685" s="709"/>
      <c r="G10685" s="705">
        <v>7.075898716159438</v>
      </c>
    </row>
    <row r="10686" spans="2:7" ht="11.25" hidden="1" customHeight="1" outlineLevel="2" x14ac:dyDescent="0.25">
      <c r="B10686" s="704" t="s">
        <v>678</v>
      </c>
      <c r="C10686" s="704" t="s">
        <v>864</v>
      </c>
      <c r="D10686" s="704" t="s">
        <v>675</v>
      </c>
      <c r="E10686" s="704" t="s">
        <v>861</v>
      </c>
      <c r="F10686" s="709"/>
      <c r="G10686" s="705">
        <v>116.57292280712215</v>
      </c>
    </row>
    <row r="10687" spans="2:7" ht="11.25" hidden="1" customHeight="1" outlineLevel="2" x14ac:dyDescent="0.25">
      <c r="B10687" s="704" t="s">
        <v>678</v>
      </c>
      <c r="C10687" s="704" t="s">
        <v>865</v>
      </c>
      <c r="D10687" s="704" t="s">
        <v>675</v>
      </c>
      <c r="E10687" s="704" t="s">
        <v>861</v>
      </c>
      <c r="F10687" s="709"/>
      <c r="G10687" s="705">
        <v>10865.686254759386</v>
      </c>
    </row>
    <row r="10688" spans="2:7" ht="11.25" hidden="1" customHeight="1" outlineLevel="2" x14ac:dyDescent="0.25">
      <c r="B10688" s="704" t="s">
        <v>678</v>
      </c>
      <c r="C10688" s="704" t="s">
        <v>866</v>
      </c>
      <c r="D10688" s="704" t="s">
        <v>675</v>
      </c>
      <c r="E10688" s="704" t="s">
        <v>861</v>
      </c>
      <c r="F10688" s="709"/>
      <c r="G10688" s="705">
        <v>11819.579543334396</v>
      </c>
    </row>
    <row r="10689" spans="2:7" ht="11.25" hidden="1" customHeight="1" outlineLevel="2" x14ac:dyDescent="0.25">
      <c r="B10689" s="704" t="s">
        <v>678</v>
      </c>
      <c r="C10689" s="704" t="s">
        <v>867</v>
      </c>
      <c r="D10689" s="704" t="s">
        <v>675</v>
      </c>
      <c r="E10689" s="704" t="s">
        <v>861</v>
      </c>
      <c r="F10689" s="709"/>
      <c r="G10689" s="705">
        <v>651.18100201690174</v>
      </c>
    </row>
    <row r="10690" spans="2:7" ht="11.25" hidden="1" customHeight="1" outlineLevel="2" x14ac:dyDescent="0.25">
      <c r="B10690" s="704" t="s">
        <v>678</v>
      </c>
      <c r="C10690" s="704" t="s">
        <v>868</v>
      </c>
      <c r="D10690" s="704" t="s">
        <v>675</v>
      </c>
      <c r="E10690" s="704" t="s">
        <v>861</v>
      </c>
      <c r="F10690" s="709"/>
      <c r="G10690" s="705">
        <v>401.92830682243039</v>
      </c>
    </row>
    <row r="10691" spans="2:7" ht="11.25" hidden="1" customHeight="1" outlineLevel="2" x14ac:dyDescent="0.25">
      <c r="B10691" s="704" t="s">
        <v>678</v>
      </c>
      <c r="C10691" s="704" t="s">
        <v>869</v>
      </c>
      <c r="D10691" s="704" t="s">
        <v>675</v>
      </c>
      <c r="E10691" s="704" t="s">
        <v>861</v>
      </c>
      <c r="F10691" s="709"/>
      <c r="G10691" s="705">
        <v>1200.1375095642529</v>
      </c>
    </row>
    <row r="10692" spans="2:7" ht="11.25" hidden="1" customHeight="1" outlineLevel="2" x14ac:dyDescent="0.25">
      <c r="B10692" s="704" t="s">
        <v>678</v>
      </c>
      <c r="C10692" s="704" t="s">
        <v>870</v>
      </c>
      <c r="D10692" s="704" t="s">
        <v>675</v>
      </c>
      <c r="E10692" s="704" t="s">
        <v>861</v>
      </c>
      <c r="F10692" s="709"/>
      <c r="G10692" s="705">
        <v>5154.8242571513438</v>
      </c>
    </row>
    <row r="10693" spans="2:7" ht="11.25" hidden="1" customHeight="1" outlineLevel="2" x14ac:dyDescent="0.25">
      <c r="B10693" s="704" t="s">
        <v>678</v>
      </c>
      <c r="C10693" s="704" t="s">
        <v>871</v>
      </c>
      <c r="D10693" s="704" t="s">
        <v>675</v>
      </c>
      <c r="E10693" s="704" t="s">
        <v>861</v>
      </c>
      <c r="F10693" s="709"/>
      <c r="G10693" s="705">
        <v>4432.5462912108806</v>
      </c>
    </row>
    <row r="10694" spans="2:7" ht="11.25" hidden="1" customHeight="1" outlineLevel="2" x14ac:dyDescent="0.25">
      <c r="B10694" s="704" t="s">
        <v>678</v>
      </c>
      <c r="C10694" s="704" t="s">
        <v>872</v>
      </c>
      <c r="D10694" s="704" t="s">
        <v>675</v>
      </c>
      <c r="E10694" s="704" t="s">
        <v>861</v>
      </c>
      <c r="F10694" s="709"/>
      <c r="G10694" s="705">
        <v>44034.451121293561</v>
      </c>
    </row>
    <row r="10695" spans="2:7" ht="11.25" hidden="1" customHeight="1" outlineLevel="2" x14ac:dyDescent="0.25">
      <c r="B10695" s="704" t="s">
        <v>678</v>
      </c>
      <c r="C10695" s="704" t="s">
        <v>873</v>
      </c>
      <c r="D10695" s="704" t="s">
        <v>675</v>
      </c>
      <c r="E10695" s="704" t="s">
        <v>861</v>
      </c>
      <c r="F10695" s="709"/>
      <c r="G10695" s="705">
        <v>365.26378802437659</v>
      </c>
    </row>
    <row r="10696" spans="2:7" ht="11.25" hidden="1" customHeight="1" outlineLevel="2" x14ac:dyDescent="0.25">
      <c r="B10696" s="704" t="s">
        <v>678</v>
      </c>
      <c r="C10696" s="704" t="s">
        <v>874</v>
      </c>
      <c r="D10696" s="704" t="s">
        <v>675</v>
      </c>
      <c r="E10696" s="704" t="s">
        <v>861</v>
      </c>
      <c r="F10696" s="709"/>
      <c r="G10696" s="705">
        <v>172.53078658474323</v>
      </c>
    </row>
    <row r="10697" spans="2:7" ht="11.25" hidden="1" customHeight="1" outlineLevel="2" x14ac:dyDescent="0.25">
      <c r="B10697" s="704" t="s">
        <v>678</v>
      </c>
      <c r="C10697" s="704" t="s">
        <v>875</v>
      </c>
      <c r="D10697" s="704" t="s">
        <v>675</v>
      </c>
      <c r="E10697" s="704" t="s">
        <v>861</v>
      </c>
      <c r="F10697" s="709"/>
      <c r="G10697" s="705">
        <v>10057.089058205491</v>
      </c>
    </row>
    <row r="10698" spans="2:7" ht="11.25" hidden="1" customHeight="1" outlineLevel="2" x14ac:dyDescent="0.25">
      <c r="B10698" s="704" t="s">
        <v>678</v>
      </c>
      <c r="C10698" s="704" t="s">
        <v>876</v>
      </c>
      <c r="D10698" s="704" t="s">
        <v>675</v>
      </c>
      <c r="E10698" s="704" t="s">
        <v>861</v>
      </c>
      <c r="F10698" s="709"/>
      <c r="G10698" s="705">
        <v>10955.500315579371</v>
      </c>
    </row>
    <row r="10699" spans="2:7" ht="11.25" hidden="1" customHeight="1" outlineLevel="2" x14ac:dyDescent="0.25">
      <c r="B10699" s="704" t="s">
        <v>678</v>
      </c>
      <c r="C10699" s="704" t="s">
        <v>877</v>
      </c>
      <c r="D10699" s="704" t="s">
        <v>675</v>
      </c>
      <c r="E10699" s="704" t="s">
        <v>861</v>
      </c>
      <c r="F10699" s="709"/>
      <c r="G10699" s="705">
        <v>37662.398357990955</v>
      </c>
    </row>
    <row r="10700" spans="2:7" ht="11.25" hidden="1" customHeight="1" outlineLevel="2" x14ac:dyDescent="0.25">
      <c r="B10700" s="704" t="s">
        <v>678</v>
      </c>
      <c r="C10700" s="704" t="s">
        <v>878</v>
      </c>
      <c r="D10700" s="704" t="s">
        <v>675</v>
      </c>
      <c r="E10700" s="704" t="s">
        <v>861</v>
      </c>
      <c r="F10700" s="709"/>
      <c r="G10700" s="705">
        <v>1773.0934023088735</v>
      </c>
    </row>
    <row r="10701" spans="2:7" ht="11.25" hidden="1" customHeight="1" outlineLevel="2" x14ac:dyDescent="0.25">
      <c r="B10701" s="704" t="s">
        <v>678</v>
      </c>
      <c r="C10701" s="704" t="s">
        <v>879</v>
      </c>
      <c r="D10701" s="704" t="s">
        <v>675</v>
      </c>
      <c r="E10701" s="704" t="s">
        <v>861</v>
      </c>
      <c r="F10701" s="709"/>
      <c r="G10701" s="705">
        <v>14094.901524241084</v>
      </c>
    </row>
    <row r="10702" spans="2:7" ht="11.25" hidden="1" customHeight="1" outlineLevel="2" x14ac:dyDescent="0.25">
      <c r="B10702" s="704" t="s">
        <v>678</v>
      </c>
      <c r="C10702" s="704" t="s">
        <v>880</v>
      </c>
      <c r="D10702" s="704" t="s">
        <v>675</v>
      </c>
      <c r="E10702" s="704" t="s">
        <v>861</v>
      </c>
      <c r="F10702" s="709"/>
      <c r="G10702" s="705">
        <v>47929.667453317255</v>
      </c>
    </row>
    <row r="10703" spans="2:7" ht="11.25" hidden="1" customHeight="1" outlineLevel="2" x14ac:dyDescent="0.25">
      <c r="B10703" s="704" t="s">
        <v>678</v>
      </c>
      <c r="C10703" s="704" t="s">
        <v>881</v>
      </c>
      <c r="D10703" s="704" t="s">
        <v>675</v>
      </c>
      <c r="E10703" s="704" t="s">
        <v>861</v>
      </c>
      <c r="F10703" s="709"/>
      <c r="G10703" s="705">
        <v>29066.441121095057</v>
      </c>
    </row>
    <row r="10704" spans="2:7" ht="11.25" hidden="1" customHeight="1" outlineLevel="2" x14ac:dyDescent="0.25">
      <c r="B10704" s="704" t="s">
        <v>678</v>
      </c>
      <c r="C10704" s="704" t="s">
        <v>882</v>
      </c>
      <c r="D10704" s="704" t="s">
        <v>675</v>
      </c>
      <c r="E10704" s="704" t="s">
        <v>861</v>
      </c>
      <c r="F10704" s="709"/>
      <c r="G10704" s="705">
        <v>43865.019118059507</v>
      </c>
    </row>
    <row r="10705" spans="2:7" ht="11.25" hidden="1" customHeight="1" outlineLevel="2" x14ac:dyDescent="0.25">
      <c r="B10705" s="704" t="s">
        <v>678</v>
      </c>
      <c r="C10705" s="704" t="s">
        <v>883</v>
      </c>
      <c r="D10705" s="704" t="s">
        <v>675</v>
      </c>
      <c r="E10705" s="704" t="s">
        <v>861</v>
      </c>
      <c r="F10705" s="709"/>
      <c r="G10705" s="705">
        <v>19930.598339018226</v>
      </c>
    </row>
    <row r="10706" spans="2:7" ht="11.25" hidden="1" customHeight="1" outlineLevel="2" x14ac:dyDescent="0.25">
      <c r="B10706" s="704" t="s">
        <v>678</v>
      </c>
      <c r="C10706" s="704" t="s">
        <v>884</v>
      </c>
      <c r="D10706" s="704" t="s">
        <v>675</v>
      </c>
      <c r="E10706" s="704" t="s">
        <v>861</v>
      </c>
      <c r="F10706" s="709"/>
      <c r="G10706" s="705">
        <v>4718.2053722333612</v>
      </c>
    </row>
    <row r="10707" spans="2:7" ht="11.25" hidden="1" customHeight="1" outlineLevel="2" x14ac:dyDescent="0.25">
      <c r="B10707" s="704" t="s">
        <v>678</v>
      </c>
      <c r="C10707" s="704" t="s">
        <v>885</v>
      </c>
      <c r="D10707" s="704" t="s">
        <v>675</v>
      </c>
      <c r="E10707" s="704" t="s">
        <v>861</v>
      </c>
      <c r="F10707" s="709"/>
      <c r="G10707" s="705">
        <v>61.407701383533713</v>
      </c>
    </row>
    <row r="10708" spans="2:7" ht="11.25" hidden="1" customHeight="1" outlineLevel="2" x14ac:dyDescent="0.25">
      <c r="B10708" s="704" t="s">
        <v>678</v>
      </c>
      <c r="C10708" s="704" t="s">
        <v>886</v>
      </c>
      <c r="D10708" s="704" t="s">
        <v>675</v>
      </c>
      <c r="E10708" s="704" t="s">
        <v>861</v>
      </c>
      <c r="F10708" s="709"/>
      <c r="G10708" s="705">
        <v>4521.1616269132219</v>
      </c>
    </row>
    <row r="10709" spans="2:7" ht="11.25" hidden="1" customHeight="1" outlineLevel="2" x14ac:dyDescent="0.25">
      <c r="B10709" s="704" t="s">
        <v>678</v>
      </c>
      <c r="C10709" s="704" t="s">
        <v>725</v>
      </c>
      <c r="D10709" s="704" t="s">
        <v>563</v>
      </c>
      <c r="E10709" s="704" t="s">
        <v>448</v>
      </c>
      <c r="F10709" s="705">
        <v>2.2926257519966125E-3</v>
      </c>
      <c r="G10709" s="705">
        <v>1.0277793808908262</v>
      </c>
    </row>
    <row r="10710" spans="2:7" ht="11.25" hidden="1" customHeight="1" outlineLevel="2" x14ac:dyDescent="0.25">
      <c r="B10710" s="704" t="s">
        <v>678</v>
      </c>
      <c r="C10710" s="704" t="s">
        <v>726</v>
      </c>
      <c r="D10710" s="704" t="s">
        <v>563</v>
      </c>
      <c r="E10710" s="704" t="s">
        <v>448</v>
      </c>
      <c r="F10710" s="705">
        <v>1.805645031727217E-4</v>
      </c>
      <c r="G10710" s="705">
        <v>8.0946620552983115E-2</v>
      </c>
    </row>
    <row r="10711" spans="2:7" ht="11.25" hidden="1" customHeight="1" outlineLevel="2" x14ac:dyDescent="0.25">
      <c r="B10711" s="704" t="s">
        <v>678</v>
      </c>
      <c r="C10711" s="704" t="s">
        <v>769</v>
      </c>
      <c r="D10711" s="704" t="s">
        <v>563</v>
      </c>
      <c r="E10711" s="704" t="s">
        <v>448</v>
      </c>
      <c r="F10711" s="705">
        <v>0.11752235067220348</v>
      </c>
      <c r="G10711" s="705">
        <v>125.01342704825485</v>
      </c>
    </row>
    <row r="10712" spans="2:7" ht="11.25" hidden="1" customHeight="1" outlineLevel="2" x14ac:dyDescent="0.25">
      <c r="B10712" s="704" t="s">
        <v>678</v>
      </c>
      <c r="C10712" s="704" t="s">
        <v>770</v>
      </c>
      <c r="D10712" s="704" t="s">
        <v>563</v>
      </c>
      <c r="E10712" s="704" t="s">
        <v>448</v>
      </c>
      <c r="F10712" s="705">
        <v>0.10685348586416167</v>
      </c>
      <c r="G10712" s="705">
        <v>370.1985804071499</v>
      </c>
    </row>
    <row r="10713" spans="2:7" ht="11.25" hidden="1" customHeight="1" outlineLevel="2" x14ac:dyDescent="0.25">
      <c r="B10713" s="704" t="s">
        <v>678</v>
      </c>
      <c r="C10713" s="704" t="s">
        <v>771</v>
      </c>
      <c r="D10713" s="704" t="s">
        <v>563</v>
      </c>
      <c r="E10713" s="704" t="s">
        <v>448</v>
      </c>
      <c r="F10713" s="705">
        <v>3.9979932605677303E-2</v>
      </c>
      <c r="G10713" s="705">
        <v>93.494512899630834</v>
      </c>
    </row>
    <row r="10714" spans="2:7" ht="11.25" hidden="1" customHeight="1" outlineLevel="2" x14ac:dyDescent="0.25">
      <c r="B10714" s="704" t="s">
        <v>678</v>
      </c>
      <c r="C10714" s="704" t="s">
        <v>772</v>
      </c>
      <c r="D10714" s="704" t="s">
        <v>563</v>
      </c>
      <c r="E10714" s="704" t="s">
        <v>448</v>
      </c>
      <c r="F10714" s="705">
        <v>0.13413638830087166</v>
      </c>
      <c r="G10714" s="705">
        <v>174.26948456430253</v>
      </c>
    </row>
    <row r="10715" spans="2:7" ht="11.25" hidden="1" customHeight="1" outlineLevel="2" x14ac:dyDescent="0.25">
      <c r="B10715" s="704" t="s">
        <v>678</v>
      </c>
      <c r="C10715" s="704" t="s">
        <v>773</v>
      </c>
      <c r="D10715" s="704" t="s">
        <v>563</v>
      </c>
      <c r="E10715" s="704" t="s">
        <v>448</v>
      </c>
      <c r="F10715" s="705">
        <v>7.507981179712425E-3</v>
      </c>
      <c r="G10715" s="705">
        <v>8.5623303903819217</v>
      </c>
    </row>
    <row r="10716" spans="2:7" ht="11.25" hidden="1" customHeight="1" outlineLevel="2" x14ac:dyDescent="0.25">
      <c r="B10716" s="704" t="s">
        <v>678</v>
      </c>
      <c r="C10716" s="704" t="s">
        <v>774</v>
      </c>
      <c r="D10716" s="704" t="s">
        <v>563</v>
      </c>
      <c r="E10716" s="704" t="s">
        <v>448</v>
      </c>
      <c r="F10716" s="705">
        <v>3.9028893072190563E-3</v>
      </c>
      <c r="G10716" s="705">
        <v>5.257269334617428</v>
      </c>
    </row>
    <row r="10717" spans="2:7" ht="11.25" hidden="1" customHeight="1" outlineLevel="2" x14ac:dyDescent="0.25">
      <c r="B10717" s="704" t="s">
        <v>678</v>
      </c>
      <c r="C10717" s="704" t="s">
        <v>775</v>
      </c>
      <c r="D10717" s="704" t="s">
        <v>563</v>
      </c>
      <c r="E10717" s="704" t="s">
        <v>448</v>
      </c>
      <c r="F10717" s="705">
        <v>2.9502096061902881E-3</v>
      </c>
      <c r="G10717" s="705">
        <v>37.748636254183637</v>
      </c>
    </row>
    <row r="10718" spans="2:7" ht="11.25" hidden="1" customHeight="1" outlineLevel="2" x14ac:dyDescent="0.25">
      <c r="B10718" s="704" t="s">
        <v>678</v>
      </c>
      <c r="C10718" s="704" t="s">
        <v>839</v>
      </c>
      <c r="D10718" s="704" t="s">
        <v>563</v>
      </c>
      <c r="E10718" s="704" t="s">
        <v>824</v>
      </c>
      <c r="F10718" s="705">
        <v>0.13050580945821066</v>
      </c>
      <c r="G10718" s="705">
        <v>316.69431884363593</v>
      </c>
    </row>
    <row r="10719" spans="2:7" ht="11.25" hidden="1" customHeight="1" outlineLevel="2" x14ac:dyDescent="0.25">
      <c r="B10719" s="704" t="s">
        <v>678</v>
      </c>
      <c r="C10719" s="704" t="s">
        <v>840</v>
      </c>
      <c r="D10719" s="704" t="s">
        <v>563</v>
      </c>
      <c r="E10719" s="704" t="s">
        <v>824</v>
      </c>
      <c r="F10719" s="705">
        <v>3.8032456814703237</v>
      </c>
      <c r="G10719" s="705">
        <v>28000.665075367171</v>
      </c>
    </row>
    <row r="10720" spans="2:7" ht="11.25" hidden="1" customHeight="1" outlineLevel="2" x14ac:dyDescent="0.25">
      <c r="B10720" s="704" t="s">
        <v>678</v>
      </c>
      <c r="C10720" s="704" t="s">
        <v>841</v>
      </c>
      <c r="D10720" s="704" t="s">
        <v>563</v>
      </c>
      <c r="E10720" s="704" t="s">
        <v>824</v>
      </c>
      <c r="F10720" s="705">
        <v>1.8498777830948668E-2</v>
      </c>
      <c r="G10720" s="705">
        <v>211.68556849804608</v>
      </c>
    </row>
    <row r="10721" spans="2:7" ht="11.25" hidden="1" customHeight="1" outlineLevel="2" x14ac:dyDescent="0.25">
      <c r="B10721" s="704" t="s">
        <v>678</v>
      </c>
      <c r="C10721" s="704" t="s">
        <v>842</v>
      </c>
      <c r="D10721" s="704" t="s">
        <v>563</v>
      </c>
      <c r="E10721" s="704" t="s">
        <v>824</v>
      </c>
      <c r="F10721" s="705">
        <v>6.7035007594920364E-3</v>
      </c>
      <c r="G10721" s="705">
        <v>65.612711760304393</v>
      </c>
    </row>
    <row r="10722" spans="2:7" ht="11.25" hidden="1" customHeight="1" outlineLevel="2" x14ac:dyDescent="0.25">
      <c r="B10722" s="704" t="s">
        <v>678</v>
      </c>
      <c r="C10722" s="704" t="s">
        <v>843</v>
      </c>
      <c r="D10722" s="704" t="s">
        <v>563</v>
      </c>
      <c r="E10722" s="704" t="s">
        <v>824</v>
      </c>
      <c r="F10722" s="705">
        <v>6.4793189664884929E-3</v>
      </c>
      <c r="G10722" s="705">
        <v>16.929225060670852</v>
      </c>
    </row>
    <row r="10723" spans="2:7" ht="11.25" hidden="1" customHeight="1" outlineLevel="2" x14ac:dyDescent="0.25">
      <c r="B10723" s="704" t="s">
        <v>678</v>
      </c>
      <c r="C10723" s="704" t="s">
        <v>844</v>
      </c>
      <c r="D10723" s="704" t="s">
        <v>563</v>
      </c>
      <c r="E10723" s="704" t="s">
        <v>824</v>
      </c>
      <c r="F10723" s="705">
        <v>6.479582503000493E-3</v>
      </c>
      <c r="G10723" s="705">
        <v>128.7666317040202</v>
      </c>
    </row>
    <row r="10724" spans="2:7" ht="11.25" hidden="1" customHeight="1" outlineLevel="2" x14ac:dyDescent="0.25">
      <c r="B10724" s="704" t="s">
        <v>678</v>
      </c>
      <c r="C10724" s="704" t="s">
        <v>700</v>
      </c>
      <c r="D10724" s="704" t="s">
        <v>563</v>
      </c>
      <c r="E10724" s="704" t="s">
        <v>676</v>
      </c>
      <c r="F10724" s="705">
        <v>19.641874886445571</v>
      </c>
      <c r="G10724" s="705">
        <v>1652.9765598251404</v>
      </c>
    </row>
    <row r="10725" spans="2:7" ht="11.25" hidden="1" customHeight="1" outlineLevel="2" x14ac:dyDescent="0.25">
      <c r="B10725" s="704" t="s">
        <v>678</v>
      </c>
      <c r="C10725" s="704" t="s">
        <v>701</v>
      </c>
      <c r="D10725" s="704" t="s">
        <v>563</v>
      </c>
      <c r="E10725" s="704" t="s">
        <v>676</v>
      </c>
      <c r="F10725" s="705">
        <v>2.1453937397864074E-2</v>
      </c>
      <c r="G10725" s="705">
        <v>1.8786678090232631</v>
      </c>
    </row>
    <row r="10726" spans="2:7" ht="11.25" hidden="1" customHeight="1" outlineLevel="2" x14ac:dyDescent="0.25">
      <c r="B10726" s="704" t="s">
        <v>678</v>
      </c>
      <c r="C10726" s="704" t="s">
        <v>702</v>
      </c>
      <c r="D10726" s="704" t="s">
        <v>563</v>
      </c>
      <c r="E10726" s="704" t="s">
        <v>676</v>
      </c>
      <c r="F10726" s="705">
        <v>1.0010396266193492E-2</v>
      </c>
      <c r="G10726" s="705">
        <v>1.0259622047491872</v>
      </c>
    </row>
    <row r="10727" spans="2:7" ht="11.25" hidden="1" customHeight="1" outlineLevel="2" x14ac:dyDescent="0.25">
      <c r="B10727" s="704" t="s">
        <v>678</v>
      </c>
      <c r="C10727" s="704" t="s">
        <v>703</v>
      </c>
      <c r="D10727" s="704" t="s">
        <v>563</v>
      </c>
      <c r="E10727" s="704" t="s">
        <v>676</v>
      </c>
      <c r="F10727" s="705">
        <v>5.0397591695737681E-2</v>
      </c>
      <c r="G10727" s="705">
        <v>4.9628529483172565</v>
      </c>
    </row>
    <row r="10728" spans="2:7" ht="11.25" hidden="1" customHeight="1" outlineLevel="2" x14ac:dyDescent="0.25">
      <c r="B10728" s="704" t="s">
        <v>678</v>
      </c>
      <c r="C10728" s="704" t="s">
        <v>704</v>
      </c>
      <c r="D10728" s="704" t="s">
        <v>563</v>
      </c>
      <c r="E10728" s="704" t="s">
        <v>676</v>
      </c>
      <c r="F10728" s="705">
        <v>3.4089813644482242E-2</v>
      </c>
      <c r="G10728" s="705">
        <v>7.6660520537387367</v>
      </c>
    </row>
    <row r="10729" spans="2:7" ht="11.25" hidden="1" customHeight="1" outlineLevel="2" x14ac:dyDescent="0.25">
      <c r="B10729" s="704" t="s">
        <v>678</v>
      </c>
      <c r="C10729" s="704" t="s">
        <v>887</v>
      </c>
      <c r="D10729" s="704" t="s">
        <v>563</v>
      </c>
      <c r="E10729" s="704" t="s">
        <v>861</v>
      </c>
      <c r="F10729" s="709"/>
      <c r="G10729" s="705">
        <v>515.24905438901851</v>
      </c>
    </row>
    <row r="10730" spans="2:7" ht="11.25" hidden="1" customHeight="1" outlineLevel="2" x14ac:dyDescent="0.25">
      <c r="B10730" s="704" t="s">
        <v>678</v>
      </c>
      <c r="C10730" s="704" t="s">
        <v>888</v>
      </c>
      <c r="D10730" s="704" t="s">
        <v>563</v>
      </c>
      <c r="E10730" s="704" t="s">
        <v>861</v>
      </c>
      <c r="F10730" s="709"/>
      <c r="G10730" s="705">
        <v>7476.561428363455</v>
      </c>
    </row>
    <row r="10731" spans="2:7" ht="11.25" hidden="1" customHeight="1" outlineLevel="2" x14ac:dyDescent="0.25">
      <c r="B10731" s="704" t="s">
        <v>678</v>
      </c>
      <c r="C10731" s="704" t="s">
        <v>889</v>
      </c>
      <c r="D10731" s="704" t="s">
        <v>563</v>
      </c>
      <c r="E10731" s="704" t="s">
        <v>861</v>
      </c>
      <c r="F10731" s="709"/>
      <c r="G10731" s="705">
        <v>3263.2725568514738</v>
      </c>
    </row>
    <row r="10732" spans="2:7" ht="11.25" hidden="1" customHeight="1" outlineLevel="2" x14ac:dyDescent="0.25">
      <c r="B10732" s="704" t="s">
        <v>678</v>
      </c>
      <c r="C10732" s="704" t="s">
        <v>890</v>
      </c>
      <c r="D10732" s="704" t="s">
        <v>563</v>
      </c>
      <c r="E10732" s="704" t="s">
        <v>861</v>
      </c>
      <c r="F10732" s="709"/>
      <c r="G10732" s="705">
        <v>3312.1855242036368</v>
      </c>
    </row>
    <row r="10733" spans="2:7" ht="11.25" hidden="1" customHeight="1" outlineLevel="2" x14ac:dyDescent="0.25">
      <c r="B10733" s="704" t="s">
        <v>678</v>
      </c>
      <c r="C10733" s="704" t="s">
        <v>891</v>
      </c>
      <c r="D10733" s="704" t="s">
        <v>563</v>
      </c>
      <c r="E10733" s="704" t="s">
        <v>861</v>
      </c>
      <c r="F10733" s="709"/>
      <c r="G10733" s="705">
        <v>127.33219968834945</v>
      </c>
    </row>
    <row r="10734" spans="2:7" ht="11.25" hidden="1" customHeight="1" outlineLevel="2" x14ac:dyDescent="0.25">
      <c r="B10734" s="704" t="s">
        <v>678</v>
      </c>
      <c r="C10734" s="704" t="s">
        <v>892</v>
      </c>
      <c r="D10734" s="704" t="s">
        <v>563</v>
      </c>
      <c r="E10734" s="704" t="s">
        <v>861</v>
      </c>
      <c r="F10734" s="709"/>
      <c r="G10734" s="705">
        <v>14435.690907101165</v>
      </c>
    </row>
    <row r="10735" spans="2:7" ht="11.25" hidden="1" customHeight="1" outlineLevel="2" x14ac:dyDescent="0.25">
      <c r="B10735" s="704" t="s">
        <v>678</v>
      </c>
      <c r="C10735" s="704" t="s">
        <v>893</v>
      </c>
      <c r="D10735" s="704" t="s">
        <v>563</v>
      </c>
      <c r="E10735" s="704" t="s">
        <v>861</v>
      </c>
      <c r="F10735" s="709"/>
      <c r="G10735" s="705">
        <v>4707.0697407743173</v>
      </c>
    </row>
    <row r="10736" spans="2:7" ht="11.25" hidden="1" customHeight="1" outlineLevel="2" x14ac:dyDescent="0.25">
      <c r="B10736" s="704" t="s">
        <v>678</v>
      </c>
      <c r="C10736" s="704" t="s">
        <v>727</v>
      </c>
      <c r="D10736" s="704" t="s">
        <v>728</v>
      </c>
      <c r="E10736" s="704" t="s">
        <v>448</v>
      </c>
      <c r="F10736" s="705">
        <v>5.8668646980978123E-2</v>
      </c>
      <c r="G10736" s="705">
        <v>32.130000750932687</v>
      </c>
    </row>
    <row r="10737" spans="2:7" ht="11.25" hidden="1" customHeight="1" outlineLevel="2" x14ac:dyDescent="0.25">
      <c r="B10737" s="704" t="s">
        <v>678</v>
      </c>
      <c r="C10737" s="704" t="s">
        <v>729</v>
      </c>
      <c r="D10737" s="704" t="s">
        <v>728</v>
      </c>
      <c r="E10737" s="704" t="s">
        <v>448</v>
      </c>
      <c r="F10737" s="705">
        <v>0.34944850716245723</v>
      </c>
      <c r="G10737" s="705">
        <v>188.58753859034374</v>
      </c>
    </row>
    <row r="10738" spans="2:7" ht="11.25" hidden="1" customHeight="1" outlineLevel="2" x14ac:dyDescent="0.25">
      <c r="B10738" s="704" t="s">
        <v>678</v>
      </c>
      <c r="C10738" s="704" t="s">
        <v>730</v>
      </c>
      <c r="D10738" s="704" t="s">
        <v>728</v>
      </c>
      <c r="E10738" s="704" t="s">
        <v>448</v>
      </c>
      <c r="F10738" s="705">
        <v>0.84176923743124532</v>
      </c>
      <c r="G10738" s="705">
        <v>438.9223020432799</v>
      </c>
    </row>
    <row r="10739" spans="2:7" ht="11.25" hidden="1" customHeight="1" outlineLevel="2" x14ac:dyDescent="0.25">
      <c r="B10739" s="704" t="s">
        <v>678</v>
      </c>
      <c r="C10739" s="704" t="s">
        <v>731</v>
      </c>
      <c r="D10739" s="704" t="s">
        <v>728</v>
      </c>
      <c r="E10739" s="704" t="s">
        <v>448</v>
      </c>
      <c r="F10739" s="705">
        <v>3.8276304941663843</v>
      </c>
      <c r="G10739" s="705">
        <v>2098.7766237009005</v>
      </c>
    </row>
    <row r="10740" spans="2:7" ht="11.25" hidden="1" customHeight="1" outlineLevel="2" x14ac:dyDescent="0.25">
      <c r="B10740" s="704" t="s">
        <v>678</v>
      </c>
      <c r="C10740" s="704" t="s">
        <v>732</v>
      </c>
      <c r="D10740" s="704" t="s">
        <v>728</v>
      </c>
      <c r="E10740" s="704" t="s">
        <v>448</v>
      </c>
      <c r="F10740" s="705">
        <v>1.0379425401120674</v>
      </c>
      <c r="G10740" s="705">
        <v>611.65941814167695</v>
      </c>
    </row>
    <row r="10741" spans="2:7" ht="11.25" hidden="1" customHeight="1" outlineLevel="2" x14ac:dyDescent="0.25">
      <c r="B10741" s="704" t="s">
        <v>678</v>
      </c>
      <c r="C10741" s="704" t="s">
        <v>733</v>
      </c>
      <c r="D10741" s="704" t="s">
        <v>728</v>
      </c>
      <c r="E10741" s="704" t="s">
        <v>448</v>
      </c>
      <c r="F10741" s="705">
        <v>3.6145035107630936</v>
      </c>
      <c r="G10741" s="705">
        <v>1830.09783824186</v>
      </c>
    </row>
    <row r="10742" spans="2:7" ht="11.25" hidden="1" customHeight="1" outlineLevel="2" x14ac:dyDescent="0.25">
      <c r="B10742" s="704" t="s">
        <v>678</v>
      </c>
      <c r="C10742" s="704" t="s">
        <v>734</v>
      </c>
      <c r="D10742" s="704" t="s">
        <v>728</v>
      </c>
      <c r="E10742" s="704" t="s">
        <v>448</v>
      </c>
      <c r="F10742" s="705">
        <v>0.73160744738203065</v>
      </c>
      <c r="G10742" s="705">
        <v>393.66259090017599</v>
      </c>
    </row>
    <row r="10743" spans="2:7" ht="11.25" hidden="1" customHeight="1" outlineLevel="2" x14ac:dyDescent="0.25">
      <c r="B10743" s="704" t="s">
        <v>678</v>
      </c>
      <c r="C10743" s="704" t="s">
        <v>735</v>
      </c>
      <c r="D10743" s="704" t="s">
        <v>728</v>
      </c>
      <c r="E10743" s="704" t="s">
        <v>448</v>
      </c>
      <c r="F10743" s="705">
        <v>3.1901987332675223</v>
      </c>
      <c r="G10743" s="705">
        <v>1708.8762696834744</v>
      </c>
    </row>
    <row r="10744" spans="2:7" ht="11.25" hidden="1" customHeight="1" outlineLevel="2" x14ac:dyDescent="0.25">
      <c r="B10744" s="704" t="s">
        <v>678</v>
      </c>
      <c r="C10744" s="704" t="s">
        <v>736</v>
      </c>
      <c r="D10744" s="704" t="s">
        <v>728</v>
      </c>
      <c r="E10744" s="704" t="s">
        <v>448</v>
      </c>
      <c r="F10744" s="705">
        <v>1.2728762363362254</v>
      </c>
      <c r="G10744" s="705">
        <v>187.36077369212845</v>
      </c>
    </row>
    <row r="10745" spans="2:7" ht="11.25" hidden="1" customHeight="1" outlineLevel="2" x14ac:dyDescent="0.25">
      <c r="B10745" s="704" t="s">
        <v>678</v>
      </c>
      <c r="C10745" s="704" t="s">
        <v>737</v>
      </c>
      <c r="D10745" s="704" t="s">
        <v>728</v>
      </c>
      <c r="E10745" s="704" t="s">
        <v>448</v>
      </c>
      <c r="F10745" s="705">
        <v>3.7097983509280494</v>
      </c>
      <c r="G10745" s="705">
        <v>546.06868812869993</v>
      </c>
    </row>
    <row r="10746" spans="2:7" ht="11.25" hidden="1" customHeight="1" outlineLevel="2" x14ac:dyDescent="0.25">
      <c r="B10746" s="704" t="s">
        <v>678</v>
      </c>
      <c r="C10746" s="704" t="s">
        <v>738</v>
      </c>
      <c r="D10746" s="704" t="s">
        <v>728</v>
      </c>
      <c r="E10746" s="704" t="s">
        <v>448</v>
      </c>
      <c r="F10746" s="705">
        <v>1.562886253024141E-3</v>
      </c>
      <c r="G10746" s="705">
        <v>0.78110193225954994</v>
      </c>
    </row>
    <row r="10747" spans="2:7" ht="11.25" hidden="1" customHeight="1" outlineLevel="2" x14ac:dyDescent="0.25">
      <c r="B10747" s="704" t="s">
        <v>678</v>
      </c>
      <c r="C10747" s="704" t="s">
        <v>776</v>
      </c>
      <c r="D10747" s="704" t="s">
        <v>728</v>
      </c>
      <c r="E10747" s="704" t="s">
        <v>448</v>
      </c>
      <c r="F10747" s="705">
        <v>8.8576080613081398</v>
      </c>
      <c r="G10747" s="705">
        <v>5483.465092252236</v>
      </c>
    </row>
    <row r="10748" spans="2:7" ht="11.25" hidden="1" customHeight="1" outlineLevel="2" x14ac:dyDescent="0.25">
      <c r="B10748" s="704" t="s">
        <v>678</v>
      </c>
      <c r="C10748" s="704" t="s">
        <v>777</v>
      </c>
      <c r="D10748" s="704" t="s">
        <v>728</v>
      </c>
      <c r="E10748" s="704" t="s">
        <v>448</v>
      </c>
      <c r="F10748" s="705">
        <v>4.4857682309318774</v>
      </c>
      <c r="G10748" s="705">
        <v>5334.707499995131</v>
      </c>
    </row>
    <row r="10749" spans="2:7" ht="11.25" hidden="1" customHeight="1" outlineLevel="2" x14ac:dyDescent="0.25">
      <c r="B10749" s="704" t="s">
        <v>678</v>
      </c>
      <c r="C10749" s="704" t="s">
        <v>778</v>
      </c>
      <c r="D10749" s="704" t="s">
        <v>728</v>
      </c>
      <c r="E10749" s="704" t="s">
        <v>448</v>
      </c>
      <c r="F10749" s="705">
        <v>0.74877999096572545</v>
      </c>
      <c r="G10749" s="705">
        <v>459.79596029053789</v>
      </c>
    </row>
    <row r="10750" spans="2:7" ht="11.25" hidden="1" customHeight="1" outlineLevel="2" x14ac:dyDescent="0.25">
      <c r="B10750" s="704" t="s">
        <v>678</v>
      </c>
      <c r="C10750" s="704" t="s">
        <v>779</v>
      </c>
      <c r="D10750" s="704" t="s">
        <v>728</v>
      </c>
      <c r="E10750" s="704" t="s">
        <v>448</v>
      </c>
      <c r="F10750" s="705">
        <v>3.6360090759118697</v>
      </c>
      <c r="G10750" s="705">
        <v>2715.4145049435756</v>
      </c>
    </row>
    <row r="10751" spans="2:7" ht="11.25" hidden="1" customHeight="1" outlineLevel="2" x14ac:dyDescent="0.25">
      <c r="B10751" s="704" t="s">
        <v>678</v>
      </c>
      <c r="C10751" s="704" t="s">
        <v>780</v>
      </c>
      <c r="D10751" s="704" t="s">
        <v>728</v>
      </c>
      <c r="E10751" s="704" t="s">
        <v>448</v>
      </c>
      <c r="F10751" s="705">
        <v>4.0584866856016373E-2</v>
      </c>
      <c r="G10751" s="705">
        <v>30.526368127477141</v>
      </c>
    </row>
    <row r="10752" spans="2:7" ht="11.25" hidden="1" customHeight="1" outlineLevel="2" x14ac:dyDescent="0.25">
      <c r="B10752" s="704" t="s">
        <v>678</v>
      </c>
      <c r="C10752" s="704" t="s">
        <v>781</v>
      </c>
      <c r="D10752" s="704" t="s">
        <v>728</v>
      </c>
      <c r="E10752" s="704" t="s">
        <v>448</v>
      </c>
      <c r="F10752" s="705">
        <v>9.9683879049597676E-2</v>
      </c>
      <c r="G10752" s="705">
        <v>123.5778169920234</v>
      </c>
    </row>
    <row r="10753" spans="2:7" ht="11.25" hidden="1" customHeight="1" outlineLevel="2" x14ac:dyDescent="0.25">
      <c r="B10753" s="704" t="s">
        <v>678</v>
      </c>
      <c r="C10753" s="704" t="s">
        <v>782</v>
      </c>
      <c r="D10753" s="704" t="s">
        <v>728</v>
      </c>
      <c r="E10753" s="704" t="s">
        <v>448</v>
      </c>
      <c r="F10753" s="705">
        <v>7.7243541170195829E-2</v>
      </c>
      <c r="G10753" s="705">
        <v>58.238887082100881</v>
      </c>
    </row>
    <row r="10754" spans="2:7" ht="11.25" hidden="1" customHeight="1" outlineLevel="2" x14ac:dyDescent="0.25">
      <c r="B10754" s="704" t="s">
        <v>678</v>
      </c>
      <c r="C10754" s="704" t="s">
        <v>783</v>
      </c>
      <c r="D10754" s="704" t="s">
        <v>728</v>
      </c>
      <c r="E10754" s="704" t="s">
        <v>448</v>
      </c>
      <c r="F10754" s="705">
        <v>3.2724966193503988</v>
      </c>
      <c r="G10754" s="705">
        <v>5098.2207070683289</v>
      </c>
    </row>
    <row r="10755" spans="2:7" ht="11.25" hidden="1" customHeight="1" outlineLevel="2" x14ac:dyDescent="0.25">
      <c r="B10755" s="704" t="s">
        <v>678</v>
      </c>
      <c r="C10755" s="704" t="s">
        <v>784</v>
      </c>
      <c r="D10755" s="704" t="s">
        <v>728</v>
      </c>
      <c r="E10755" s="704" t="s">
        <v>448</v>
      </c>
      <c r="F10755" s="705">
        <v>1.1104102870692962</v>
      </c>
      <c r="G10755" s="705">
        <v>605.33389073765272</v>
      </c>
    </row>
    <row r="10756" spans="2:7" ht="11.25" hidden="1" customHeight="1" outlineLevel="2" x14ac:dyDescent="0.25">
      <c r="B10756" s="704" t="s">
        <v>678</v>
      </c>
      <c r="C10756" s="704" t="s">
        <v>785</v>
      </c>
      <c r="D10756" s="704" t="s">
        <v>728</v>
      </c>
      <c r="E10756" s="704" t="s">
        <v>448</v>
      </c>
      <c r="F10756" s="705">
        <v>3.2367750719120587</v>
      </c>
      <c r="G10756" s="705">
        <v>1764.26212877904</v>
      </c>
    </row>
    <row r="10757" spans="2:7" ht="11.25" hidden="1" customHeight="1" outlineLevel="2" x14ac:dyDescent="0.25">
      <c r="B10757" s="704" t="s">
        <v>678</v>
      </c>
      <c r="C10757" s="704" t="s">
        <v>786</v>
      </c>
      <c r="D10757" s="704" t="s">
        <v>728</v>
      </c>
      <c r="E10757" s="704" t="s">
        <v>448</v>
      </c>
      <c r="F10757" s="705">
        <v>0.87127052083559386</v>
      </c>
      <c r="G10757" s="705">
        <v>1100.2367006424929</v>
      </c>
    </row>
    <row r="10758" spans="2:7" ht="11.25" hidden="1" customHeight="1" outlineLevel="2" x14ac:dyDescent="0.25">
      <c r="B10758" s="704" t="s">
        <v>678</v>
      </c>
      <c r="C10758" s="704" t="s">
        <v>787</v>
      </c>
      <c r="D10758" s="704" t="s">
        <v>728</v>
      </c>
      <c r="E10758" s="704" t="s">
        <v>448</v>
      </c>
      <c r="F10758" s="705">
        <v>0.41797817614791316</v>
      </c>
      <c r="G10758" s="705">
        <v>589.01222461937959</v>
      </c>
    </row>
    <row r="10759" spans="2:7" ht="11.25" hidden="1" customHeight="1" outlineLevel="2" x14ac:dyDescent="0.25">
      <c r="B10759" s="704" t="s">
        <v>678</v>
      </c>
      <c r="C10759" s="704" t="s">
        <v>788</v>
      </c>
      <c r="D10759" s="704" t="s">
        <v>728</v>
      </c>
      <c r="E10759" s="704" t="s">
        <v>448</v>
      </c>
      <c r="F10759" s="705">
        <v>0.58912510252117078</v>
      </c>
      <c r="G10759" s="705">
        <v>670.41695459837513</v>
      </c>
    </row>
    <row r="10760" spans="2:7" ht="11.25" hidden="1" customHeight="1" outlineLevel="2" x14ac:dyDescent="0.25">
      <c r="B10760" s="704" t="s">
        <v>678</v>
      </c>
      <c r="C10760" s="704" t="s">
        <v>789</v>
      </c>
      <c r="D10760" s="704" t="s">
        <v>728</v>
      </c>
      <c r="E10760" s="704" t="s">
        <v>448</v>
      </c>
      <c r="F10760" s="705">
        <v>0.45401902928756116</v>
      </c>
      <c r="G10760" s="705">
        <v>312.19012467063055</v>
      </c>
    </row>
    <row r="10761" spans="2:7" ht="11.25" hidden="1" customHeight="1" outlineLevel="2" x14ac:dyDescent="0.25">
      <c r="B10761" s="704" t="s">
        <v>678</v>
      </c>
      <c r="C10761" s="704" t="s">
        <v>790</v>
      </c>
      <c r="D10761" s="704" t="s">
        <v>728</v>
      </c>
      <c r="E10761" s="704" t="s">
        <v>448</v>
      </c>
      <c r="F10761" s="705">
        <v>11.650608660010258</v>
      </c>
      <c r="G10761" s="705">
        <v>14747.916079618695</v>
      </c>
    </row>
    <row r="10762" spans="2:7" ht="11.25" hidden="1" customHeight="1" outlineLevel="2" x14ac:dyDescent="0.25">
      <c r="B10762" s="704" t="s">
        <v>678</v>
      </c>
      <c r="C10762" s="704" t="s">
        <v>791</v>
      </c>
      <c r="D10762" s="704" t="s">
        <v>728</v>
      </c>
      <c r="E10762" s="704" t="s">
        <v>448</v>
      </c>
      <c r="F10762" s="705">
        <v>5.6793234798267376</v>
      </c>
      <c r="G10762" s="705">
        <v>8004.9319206476112</v>
      </c>
    </row>
    <row r="10763" spans="2:7" ht="11.25" hidden="1" customHeight="1" outlineLevel="2" x14ac:dyDescent="0.25">
      <c r="B10763" s="704" t="s">
        <v>678</v>
      </c>
      <c r="C10763" s="704" t="s">
        <v>792</v>
      </c>
      <c r="D10763" s="704" t="s">
        <v>728</v>
      </c>
      <c r="E10763" s="704" t="s">
        <v>448</v>
      </c>
      <c r="F10763" s="705">
        <v>0.63937430061916989</v>
      </c>
      <c r="G10763" s="705">
        <v>1340.1929573946832</v>
      </c>
    </row>
    <row r="10764" spans="2:7" ht="11.25" hidden="1" customHeight="1" outlineLevel="2" x14ac:dyDescent="0.25">
      <c r="B10764" s="704" t="s">
        <v>678</v>
      </c>
      <c r="C10764" s="704" t="s">
        <v>793</v>
      </c>
      <c r="D10764" s="704" t="s">
        <v>728</v>
      </c>
      <c r="E10764" s="704" t="s">
        <v>448</v>
      </c>
      <c r="F10764" s="705">
        <v>17.786171173856982</v>
      </c>
      <c r="G10764" s="705">
        <v>25824.417351631822</v>
      </c>
    </row>
    <row r="10765" spans="2:7" ht="11.25" hidden="1" customHeight="1" outlineLevel="2" x14ac:dyDescent="0.25">
      <c r="B10765" s="704" t="s">
        <v>678</v>
      </c>
      <c r="C10765" s="704" t="s">
        <v>794</v>
      </c>
      <c r="D10765" s="704" t="s">
        <v>728</v>
      </c>
      <c r="E10765" s="704" t="s">
        <v>448</v>
      </c>
      <c r="F10765" s="705">
        <v>0.67003945368074913</v>
      </c>
      <c r="G10765" s="705">
        <v>522.38982669108407</v>
      </c>
    </row>
    <row r="10766" spans="2:7" ht="11.25" hidden="1" customHeight="1" outlineLevel="2" x14ac:dyDescent="0.25">
      <c r="B10766" s="704" t="s">
        <v>678</v>
      </c>
      <c r="C10766" s="704" t="s">
        <v>795</v>
      </c>
      <c r="D10766" s="704" t="s">
        <v>728</v>
      </c>
      <c r="E10766" s="704" t="s">
        <v>448</v>
      </c>
      <c r="F10766" s="705">
        <v>1.0128787465639524</v>
      </c>
      <c r="G10766" s="705">
        <v>791.25005252487585</v>
      </c>
    </row>
    <row r="10767" spans="2:7" ht="11.25" hidden="1" customHeight="1" outlineLevel="2" x14ac:dyDescent="0.25">
      <c r="B10767" s="704" t="s">
        <v>678</v>
      </c>
      <c r="C10767" s="704" t="s">
        <v>845</v>
      </c>
      <c r="D10767" s="704" t="s">
        <v>728</v>
      </c>
      <c r="E10767" s="704" t="s">
        <v>824</v>
      </c>
      <c r="F10767" s="705">
        <v>4.9839041146873563E-2</v>
      </c>
      <c r="G10767" s="705">
        <v>444.58523967530004</v>
      </c>
    </row>
    <row r="10768" spans="2:7" ht="11.25" hidden="1" customHeight="1" outlineLevel="2" x14ac:dyDescent="0.25">
      <c r="B10768" s="704" t="s">
        <v>678</v>
      </c>
      <c r="C10768" s="704" t="s">
        <v>894</v>
      </c>
      <c r="D10768" s="704" t="s">
        <v>728</v>
      </c>
      <c r="E10768" s="704" t="s">
        <v>861</v>
      </c>
      <c r="F10768" s="709"/>
      <c r="G10768" s="705">
        <v>0.6910940108453576</v>
      </c>
    </row>
    <row r="10769" spans="2:7" ht="11.25" hidden="1" customHeight="1" outlineLevel="2" x14ac:dyDescent="0.25">
      <c r="B10769" s="704" t="s">
        <v>678</v>
      </c>
      <c r="C10769" s="704" t="s">
        <v>895</v>
      </c>
      <c r="D10769" s="704" t="s">
        <v>728</v>
      </c>
      <c r="E10769" s="704" t="s">
        <v>861</v>
      </c>
      <c r="F10769" s="709"/>
      <c r="G10769" s="705">
        <v>184.68934547638278</v>
      </c>
    </row>
    <row r="10770" spans="2:7" ht="11.25" hidden="1" customHeight="1" outlineLevel="2" x14ac:dyDescent="0.25">
      <c r="B10770" s="704" t="s">
        <v>678</v>
      </c>
      <c r="C10770" s="704" t="s">
        <v>896</v>
      </c>
      <c r="D10770" s="704" t="s">
        <v>728</v>
      </c>
      <c r="E10770" s="704" t="s">
        <v>861</v>
      </c>
      <c r="F10770" s="709"/>
      <c r="G10770" s="705">
        <v>4832.6898281569183</v>
      </c>
    </row>
    <row r="10771" spans="2:7" ht="11.25" hidden="1" customHeight="1" outlineLevel="2" x14ac:dyDescent="0.25">
      <c r="B10771" s="704" t="s">
        <v>678</v>
      </c>
      <c r="C10771" s="704" t="s">
        <v>897</v>
      </c>
      <c r="D10771" s="704" t="s">
        <v>728</v>
      </c>
      <c r="E10771" s="704" t="s">
        <v>861</v>
      </c>
      <c r="F10771" s="709"/>
      <c r="G10771" s="705">
        <v>997.30405529258462</v>
      </c>
    </row>
    <row r="10772" spans="2:7" ht="11.25" hidden="1" customHeight="1" outlineLevel="2" x14ac:dyDescent="0.25">
      <c r="B10772" s="704" t="s">
        <v>678</v>
      </c>
      <c r="C10772" s="704" t="s">
        <v>898</v>
      </c>
      <c r="D10772" s="704" t="s">
        <v>728</v>
      </c>
      <c r="E10772" s="704" t="s">
        <v>861</v>
      </c>
      <c r="F10772" s="709"/>
      <c r="G10772" s="705">
        <v>6579.5789531181044</v>
      </c>
    </row>
    <row r="10773" spans="2:7" ht="11.25" hidden="1" customHeight="1" outlineLevel="2" x14ac:dyDescent="0.25">
      <c r="B10773" s="704" t="s">
        <v>678</v>
      </c>
      <c r="C10773" s="704" t="s">
        <v>899</v>
      </c>
      <c r="D10773" s="704" t="s">
        <v>728</v>
      </c>
      <c r="E10773" s="704" t="s">
        <v>861</v>
      </c>
      <c r="F10773" s="709"/>
      <c r="G10773" s="705">
        <v>775.78913900107375</v>
      </c>
    </row>
    <row r="10774" spans="2:7" ht="11.25" hidden="1" customHeight="1" outlineLevel="2" x14ac:dyDescent="0.25">
      <c r="B10774" s="704" t="s">
        <v>678</v>
      </c>
      <c r="C10774" s="704" t="s">
        <v>900</v>
      </c>
      <c r="D10774" s="704" t="s">
        <v>728</v>
      </c>
      <c r="E10774" s="704" t="s">
        <v>861</v>
      </c>
      <c r="F10774" s="709"/>
      <c r="G10774" s="705">
        <v>18.47977974369487</v>
      </c>
    </row>
    <row r="10775" spans="2:7" ht="11.25" hidden="1" customHeight="1" outlineLevel="2" x14ac:dyDescent="0.25">
      <c r="B10775" s="704" t="s">
        <v>678</v>
      </c>
      <c r="C10775" s="704" t="s">
        <v>744</v>
      </c>
      <c r="D10775" s="704" t="s">
        <v>745</v>
      </c>
      <c r="E10775" s="704" t="s">
        <v>448</v>
      </c>
      <c r="F10775" s="705">
        <v>1.8938713406446588E-2</v>
      </c>
      <c r="G10775" s="705">
        <v>10.952231094988903</v>
      </c>
    </row>
    <row r="10776" spans="2:7" ht="11.25" hidden="1" customHeight="1" outlineLevel="2" x14ac:dyDescent="0.25">
      <c r="B10776" s="704" t="s">
        <v>678</v>
      </c>
      <c r="C10776" s="704" t="s">
        <v>812</v>
      </c>
      <c r="D10776" s="704" t="s">
        <v>745</v>
      </c>
      <c r="E10776" s="704" t="s">
        <v>448</v>
      </c>
      <c r="F10776" s="705">
        <v>2.2274529922454607E-2</v>
      </c>
      <c r="G10776" s="705">
        <v>24.660648562510556</v>
      </c>
    </row>
    <row r="10777" spans="2:7" ht="11.25" hidden="1" customHeight="1" outlineLevel="2" x14ac:dyDescent="0.25">
      <c r="B10777" s="704" t="s">
        <v>678</v>
      </c>
      <c r="C10777" s="704" t="s">
        <v>813</v>
      </c>
      <c r="D10777" s="704" t="s">
        <v>745</v>
      </c>
      <c r="E10777" s="704" t="s">
        <v>448</v>
      </c>
      <c r="F10777" s="705">
        <v>2.2848997185984319E-4</v>
      </c>
      <c r="G10777" s="705">
        <v>0.2897068269145161</v>
      </c>
    </row>
    <row r="10778" spans="2:7" ht="11.25" hidden="1" customHeight="1" outlineLevel="2" x14ac:dyDescent="0.25">
      <c r="B10778" s="704" t="s">
        <v>678</v>
      </c>
      <c r="C10778" s="704" t="s">
        <v>917</v>
      </c>
      <c r="D10778" s="704" t="s">
        <v>745</v>
      </c>
      <c r="E10778" s="704" t="s">
        <v>861</v>
      </c>
      <c r="F10778" s="709"/>
      <c r="G10778" s="705">
        <v>328.18196273844922</v>
      </c>
    </row>
    <row r="10779" spans="2:7" ht="11.25" hidden="1" customHeight="1" outlineLevel="2" x14ac:dyDescent="0.25">
      <c r="B10779" s="704" t="s">
        <v>678</v>
      </c>
      <c r="C10779" s="704" t="s">
        <v>816</v>
      </c>
      <c r="D10779" s="704" t="s">
        <v>712</v>
      </c>
      <c r="E10779" s="704" t="s">
        <v>448</v>
      </c>
      <c r="F10779" s="705">
        <v>1.6685691472936203E-2</v>
      </c>
      <c r="G10779" s="705">
        <v>20.088329130503634</v>
      </c>
    </row>
    <row r="10780" spans="2:7" ht="11.25" hidden="1" customHeight="1" outlineLevel="2" x14ac:dyDescent="0.25">
      <c r="B10780" s="704" t="s">
        <v>678</v>
      </c>
      <c r="C10780" s="704" t="s">
        <v>711</v>
      </c>
      <c r="D10780" s="704" t="s">
        <v>712</v>
      </c>
      <c r="E10780" s="704" t="s">
        <v>676</v>
      </c>
      <c r="F10780" s="705">
        <v>5.968856006320887E-2</v>
      </c>
      <c r="G10780" s="705">
        <v>13.648946798389323</v>
      </c>
    </row>
    <row r="10781" spans="2:7" ht="11.25" hidden="1" customHeight="1" outlineLevel="2" x14ac:dyDescent="0.25">
      <c r="B10781" s="704" t="s">
        <v>678</v>
      </c>
      <c r="C10781" s="704" t="s">
        <v>921</v>
      </c>
      <c r="D10781" s="704" t="s">
        <v>712</v>
      </c>
      <c r="E10781" s="704" t="s">
        <v>861</v>
      </c>
      <c r="F10781" s="709"/>
      <c r="G10781" s="705">
        <v>72.367194478489935</v>
      </c>
    </row>
    <row r="10782" spans="2:7" ht="11.25" hidden="1" customHeight="1" outlineLevel="2" x14ac:dyDescent="0.25">
      <c r="B10782" s="704" t="s">
        <v>678</v>
      </c>
      <c r="C10782" s="704" t="s">
        <v>817</v>
      </c>
      <c r="D10782" s="704" t="s">
        <v>818</v>
      </c>
      <c r="E10782" s="704" t="s">
        <v>448</v>
      </c>
      <c r="F10782" s="705">
        <v>7.1076087153032175</v>
      </c>
      <c r="G10782" s="705">
        <v>5839.4975347680975</v>
      </c>
    </row>
    <row r="10783" spans="2:7" ht="11.25" hidden="1" customHeight="1" outlineLevel="2" x14ac:dyDescent="0.25">
      <c r="B10783" s="704" t="s">
        <v>678</v>
      </c>
      <c r="C10783" s="704" t="s">
        <v>819</v>
      </c>
      <c r="D10783" s="704" t="s">
        <v>818</v>
      </c>
      <c r="E10783" s="704" t="s">
        <v>448</v>
      </c>
      <c r="F10783" s="705">
        <v>3.0949859989511554</v>
      </c>
      <c r="G10783" s="705">
        <v>2464.2524142530174</v>
      </c>
    </row>
    <row r="10784" spans="2:7" ht="11.25" hidden="1" customHeight="1" outlineLevel="2" x14ac:dyDescent="0.25">
      <c r="B10784" s="704" t="s">
        <v>678</v>
      </c>
      <c r="C10784" s="704" t="s">
        <v>820</v>
      </c>
      <c r="D10784" s="704" t="s">
        <v>818</v>
      </c>
      <c r="E10784" s="704" t="s">
        <v>448</v>
      </c>
      <c r="F10784" s="705">
        <v>2.2571553120952896</v>
      </c>
      <c r="G10784" s="705">
        <v>3508.0833305223769</v>
      </c>
    </row>
    <row r="10785" spans="2:7" ht="11.25" hidden="1" customHeight="1" outlineLevel="2" x14ac:dyDescent="0.25">
      <c r="B10785" s="704" t="s">
        <v>678</v>
      </c>
      <c r="C10785" s="704" t="s">
        <v>857</v>
      </c>
      <c r="D10785" s="704" t="s">
        <v>818</v>
      </c>
      <c r="E10785" s="704" t="s">
        <v>664</v>
      </c>
      <c r="F10785" s="709"/>
      <c r="G10785" s="705">
        <v>3123.4728403055401</v>
      </c>
    </row>
    <row r="10786" spans="2:7" ht="11.25" hidden="1" customHeight="1" outlineLevel="2" x14ac:dyDescent="0.25">
      <c r="B10786" s="704" t="s">
        <v>678</v>
      </c>
      <c r="C10786" s="704" t="s">
        <v>858</v>
      </c>
      <c r="D10786" s="704" t="s">
        <v>818</v>
      </c>
      <c r="E10786" s="704" t="s">
        <v>664</v>
      </c>
      <c r="F10786" s="709"/>
      <c r="G10786" s="705">
        <v>13.675519738258888</v>
      </c>
    </row>
    <row r="10787" spans="2:7" ht="11.25" hidden="1" customHeight="1" outlineLevel="2" x14ac:dyDescent="0.25">
      <c r="B10787" s="704" t="s">
        <v>678</v>
      </c>
      <c r="C10787" s="704" t="s">
        <v>922</v>
      </c>
      <c r="D10787" s="704" t="s">
        <v>822</v>
      </c>
      <c r="E10787" s="704" t="s">
        <v>861</v>
      </c>
      <c r="F10787" s="709"/>
      <c r="G10787" s="705">
        <v>301.15392868910487</v>
      </c>
    </row>
    <row r="10788" spans="2:7" ht="11.25" hidden="1" customHeight="1" outlineLevel="2" x14ac:dyDescent="0.25">
      <c r="B10788" s="704" t="s">
        <v>678</v>
      </c>
      <c r="C10788" s="704" t="s">
        <v>821</v>
      </c>
      <c r="D10788" s="704" t="s">
        <v>822</v>
      </c>
      <c r="E10788" s="704" t="s">
        <v>448</v>
      </c>
      <c r="F10788" s="705">
        <v>9.5496988495790414E-3</v>
      </c>
      <c r="G10788" s="705">
        <v>12.898062595711068</v>
      </c>
    </row>
    <row r="10789" spans="2:7" ht="11.25" hidden="1" customHeight="1" outlineLevel="2" x14ac:dyDescent="0.25">
      <c r="B10789" s="704" t="s">
        <v>678</v>
      </c>
      <c r="C10789" s="704" t="s">
        <v>855</v>
      </c>
      <c r="D10789" s="704" t="s">
        <v>822</v>
      </c>
      <c r="E10789" s="704" t="s">
        <v>824</v>
      </c>
      <c r="F10789" s="705">
        <v>1.5163850278431337E-4</v>
      </c>
      <c r="G10789" s="705">
        <v>0.43893398205908468</v>
      </c>
    </row>
    <row r="10790" spans="2:7" ht="11.25" hidden="1" customHeight="1" outlineLevel="2" x14ac:dyDescent="0.25">
      <c r="B10790" s="704" t="s">
        <v>678</v>
      </c>
      <c r="C10790" s="704" t="s">
        <v>714</v>
      </c>
      <c r="D10790" s="704" t="s">
        <v>715</v>
      </c>
      <c r="E10790" s="704" t="s">
        <v>448</v>
      </c>
      <c r="F10790" s="705">
        <v>1.4115162662922598</v>
      </c>
      <c r="G10790" s="705">
        <v>357.83638726176002</v>
      </c>
    </row>
    <row r="10791" spans="2:7" ht="11.25" hidden="1" customHeight="1" outlineLevel="2" x14ac:dyDescent="0.25">
      <c r="B10791" s="704" t="s">
        <v>678</v>
      </c>
      <c r="C10791" s="704" t="s">
        <v>716</v>
      </c>
      <c r="D10791" s="704" t="s">
        <v>715</v>
      </c>
      <c r="E10791" s="704" t="s">
        <v>448</v>
      </c>
      <c r="F10791" s="705">
        <v>1.220677049326443E-33</v>
      </c>
      <c r="G10791" s="705">
        <v>1.4883506685854614E-30</v>
      </c>
    </row>
    <row r="10792" spans="2:7" ht="11.25" hidden="1" customHeight="1" outlineLevel="2" x14ac:dyDescent="0.25">
      <c r="B10792" s="704" t="s">
        <v>678</v>
      </c>
      <c r="C10792" s="704" t="s">
        <v>717</v>
      </c>
      <c r="D10792" s="704" t="s">
        <v>715</v>
      </c>
      <c r="E10792" s="704" t="s">
        <v>448</v>
      </c>
      <c r="F10792" s="705">
        <v>1.5119219198278302</v>
      </c>
      <c r="G10792" s="705">
        <v>413.18481786908904</v>
      </c>
    </row>
    <row r="10793" spans="2:7" ht="11.25" hidden="1" customHeight="1" outlineLevel="2" x14ac:dyDescent="0.25">
      <c r="B10793" s="704" t="s">
        <v>678</v>
      </c>
      <c r="C10793" s="704" t="s">
        <v>718</v>
      </c>
      <c r="D10793" s="704" t="s">
        <v>715</v>
      </c>
      <c r="E10793" s="704" t="s">
        <v>448</v>
      </c>
      <c r="F10793" s="705">
        <v>9.6816320427786207E-2</v>
      </c>
      <c r="G10793" s="705">
        <v>106.22956157076491</v>
      </c>
    </row>
    <row r="10794" spans="2:7" ht="11.25" hidden="1" customHeight="1" outlineLevel="2" x14ac:dyDescent="0.25">
      <c r="B10794" s="704" t="s">
        <v>678</v>
      </c>
      <c r="C10794" s="704" t="s">
        <v>746</v>
      </c>
      <c r="D10794" s="704" t="s">
        <v>715</v>
      </c>
      <c r="E10794" s="704" t="s">
        <v>448</v>
      </c>
      <c r="F10794" s="705">
        <v>0.24932029311468987</v>
      </c>
      <c r="G10794" s="705">
        <v>172.91043026300696</v>
      </c>
    </row>
    <row r="10795" spans="2:7" ht="11.25" hidden="1" customHeight="1" outlineLevel="2" x14ac:dyDescent="0.25">
      <c r="B10795" s="704" t="s">
        <v>678</v>
      </c>
      <c r="C10795" s="704" t="s">
        <v>747</v>
      </c>
      <c r="D10795" s="704" t="s">
        <v>715</v>
      </c>
      <c r="E10795" s="704" t="s">
        <v>448</v>
      </c>
      <c r="F10795" s="705">
        <v>2.1586542945295277</v>
      </c>
      <c r="G10795" s="705">
        <v>1843.0009775508097</v>
      </c>
    </row>
    <row r="10796" spans="2:7" ht="11.25" hidden="1" customHeight="1" outlineLevel="2" x14ac:dyDescent="0.25">
      <c r="B10796" s="704" t="s">
        <v>678</v>
      </c>
      <c r="C10796" s="704" t="s">
        <v>748</v>
      </c>
      <c r="D10796" s="704" t="s">
        <v>715</v>
      </c>
      <c r="E10796" s="704" t="s">
        <v>448</v>
      </c>
      <c r="F10796" s="705">
        <v>1.2662779654294303</v>
      </c>
      <c r="G10796" s="705">
        <v>1640.2881725503898</v>
      </c>
    </row>
    <row r="10797" spans="2:7" ht="11.25" hidden="1" customHeight="1" outlineLevel="2" x14ac:dyDescent="0.25">
      <c r="B10797" s="704" t="s">
        <v>678</v>
      </c>
      <c r="C10797" s="704" t="s">
        <v>749</v>
      </c>
      <c r="D10797" s="704" t="s">
        <v>715</v>
      </c>
      <c r="E10797" s="704" t="s">
        <v>448</v>
      </c>
      <c r="F10797" s="705">
        <v>0.13178971866720832</v>
      </c>
      <c r="G10797" s="705">
        <v>103.65559872668655</v>
      </c>
    </row>
    <row r="10798" spans="2:7" ht="11.25" hidden="1" customHeight="1" outlineLevel="2" x14ac:dyDescent="0.25">
      <c r="B10798" s="704" t="s">
        <v>678</v>
      </c>
      <c r="C10798" s="704" t="s">
        <v>823</v>
      </c>
      <c r="D10798" s="704" t="s">
        <v>715</v>
      </c>
      <c r="E10798" s="704" t="s">
        <v>824</v>
      </c>
      <c r="F10798" s="705">
        <v>4.2912131950305875E-3</v>
      </c>
      <c r="G10798" s="705">
        <v>7.1692385698538557</v>
      </c>
    </row>
    <row r="10799" spans="2:7" ht="11.25" hidden="1" customHeight="1" outlineLevel="2" x14ac:dyDescent="0.25">
      <c r="B10799" s="704" t="s">
        <v>678</v>
      </c>
      <c r="C10799" s="704" t="s">
        <v>860</v>
      </c>
      <c r="D10799" s="704" t="s">
        <v>715</v>
      </c>
      <c r="E10799" s="704" t="s">
        <v>861</v>
      </c>
      <c r="F10799" s="709"/>
      <c r="G10799" s="705">
        <v>142.09373670000505</v>
      </c>
    </row>
    <row r="10800" spans="2:7" ht="11.25" hidden="1" customHeight="1" outlineLevel="2" x14ac:dyDescent="0.25">
      <c r="B10800" s="704" t="s">
        <v>678</v>
      </c>
      <c r="C10800" s="704" t="s">
        <v>919</v>
      </c>
      <c r="D10800" s="704" t="s">
        <v>920</v>
      </c>
      <c r="E10800" s="704" t="s">
        <v>861</v>
      </c>
      <c r="F10800" s="709"/>
      <c r="G10800" s="705">
        <v>1.1859124293233922E-30</v>
      </c>
    </row>
    <row r="10801" spans="2:7" ht="11.25" hidden="1" customHeight="1" outlineLevel="1" x14ac:dyDescent="0.25">
      <c r="B10801" s="707" t="s">
        <v>944</v>
      </c>
      <c r="C10801" s="704"/>
      <c r="D10801" s="704"/>
      <c r="E10801" s="704"/>
      <c r="F10801" s="709">
        <f t="shared" ref="F10801:G10801" si="29">SUBTOTAL(9,F10590:F10800)</f>
        <v>170.26398657561748</v>
      </c>
      <c r="G10801" s="705">
        <f t="shared" si="29"/>
        <v>552890.11021790665</v>
      </c>
    </row>
    <row r="10802" spans="2:7" ht="11.25" hidden="1" customHeight="1" outlineLevel="2" x14ac:dyDescent="0.25">
      <c r="B10802" s="704" t="s">
        <v>679</v>
      </c>
      <c r="C10802" s="704" t="s">
        <v>739</v>
      </c>
      <c r="D10802" s="704" t="s">
        <v>44</v>
      </c>
      <c r="E10802" s="704" t="s">
        <v>448</v>
      </c>
      <c r="F10802" s="705">
        <v>4.1970611334212274E-4</v>
      </c>
      <c r="G10802" s="705">
        <v>0.25596369913852324</v>
      </c>
    </row>
    <row r="10803" spans="2:7" ht="11.25" hidden="1" customHeight="1" outlineLevel="2" x14ac:dyDescent="0.25">
      <c r="B10803" s="704" t="s">
        <v>679</v>
      </c>
      <c r="C10803" s="704" t="s">
        <v>796</v>
      </c>
      <c r="D10803" s="704" t="s">
        <v>44</v>
      </c>
      <c r="E10803" s="704" t="s">
        <v>448</v>
      </c>
      <c r="F10803" s="705">
        <v>4.4061387803540417E-4</v>
      </c>
      <c r="G10803" s="705">
        <v>0.62093132087088487</v>
      </c>
    </row>
    <row r="10804" spans="2:7" ht="11.25" hidden="1" customHeight="1" outlineLevel="2" x14ac:dyDescent="0.25">
      <c r="B10804" s="704" t="s">
        <v>679</v>
      </c>
      <c r="C10804" s="704" t="s">
        <v>797</v>
      </c>
      <c r="D10804" s="704" t="s">
        <v>44</v>
      </c>
      <c r="E10804" s="704" t="s">
        <v>448</v>
      </c>
      <c r="F10804" s="705">
        <v>7.0404290585165887E-4</v>
      </c>
      <c r="G10804" s="705">
        <v>2.4160095702774931</v>
      </c>
    </row>
    <row r="10805" spans="2:7" ht="11.25" hidden="1" customHeight="1" outlineLevel="2" x14ac:dyDescent="0.25">
      <c r="B10805" s="704" t="s">
        <v>679</v>
      </c>
      <c r="C10805" s="704" t="s">
        <v>798</v>
      </c>
      <c r="D10805" s="704" t="s">
        <v>44</v>
      </c>
      <c r="E10805" s="704" t="s">
        <v>448</v>
      </c>
      <c r="F10805" s="705">
        <v>1.1573073168326589E-5</v>
      </c>
      <c r="G10805" s="705">
        <v>1.5217406963080615E-2</v>
      </c>
    </row>
    <row r="10806" spans="2:7" ht="11.25" hidden="1" customHeight="1" outlineLevel="2" x14ac:dyDescent="0.25">
      <c r="B10806" s="704" t="s">
        <v>679</v>
      </c>
      <c r="C10806" s="704" t="s">
        <v>799</v>
      </c>
      <c r="D10806" s="704" t="s">
        <v>44</v>
      </c>
      <c r="E10806" s="704" t="s">
        <v>448</v>
      </c>
      <c r="F10806" s="705">
        <v>1.2502471976435069E-3</v>
      </c>
      <c r="G10806" s="705">
        <v>1.642693811146843</v>
      </c>
    </row>
    <row r="10807" spans="2:7" ht="11.25" hidden="1" customHeight="1" outlineLevel="2" x14ac:dyDescent="0.25">
      <c r="B10807" s="704" t="s">
        <v>679</v>
      </c>
      <c r="C10807" s="704" t="s">
        <v>800</v>
      </c>
      <c r="D10807" s="704" t="s">
        <v>44</v>
      </c>
      <c r="E10807" s="704" t="s">
        <v>448</v>
      </c>
      <c r="F10807" s="705">
        <v>4.1148292787524188E-4</v>
      </c>
      <c r="G10807" s="705">
        <v>0.51456270495308432</v>
      </c>
    </row>
    <row r="10808" spans="2:7" ht="11.25" hidden="1" customHeight="1" outlineLevel="2" x14ac:dyDescent="0.25">
      <c r="B10808" s="704" t="s">
        <v>679</v>
      </c>
      <c r="C10808" s="704" t="s">
        <v>801</v>
      </c>
      <c r="D10808" s="704" t="s">
        <v>44</v>
      </c>
      <c r="E10808" s="704" t="s">
        <v>448</v>
      </c>
      <c r="F10808" s="705">
        <v>5.3687451205203561E-3</v>
      </c>
      <c r="G10808" s="705">
        <v>5.5897922709828611</v>
      </c>
    </row>
    <row r="10809" spans="2:7" ht="11.25" hidden="1" customHeight="1" outlineLevel="2" x14ac:dyDescent="0.25">
      <c r="B10809" s="704" t="s">
        <v>679</v>
      </c>
      <c r="C10809" s="704" t="s">
        <v>802</v>
      </c>
      <c r="D10809" s="704" t="s">
        <v>44</v>
      </c>
      <c r="E10809" s="704" t="s">
        <v>448</v>
      </c>
      <c r="F10809" s="705">
        <v>1.7653214269495492E-2</v>
      </c>
      <c r="G10809" s="705">
        <v>11.981732881397019</v>
      </c>
    </row>
    <row r="10810" spans="2:7" ht="11.25" hidden="1" customHeight="1" outlineLevel="2" x14ac:dyDescent="0.25">
      <c r="B10810" s="704" t="s">
        <v>679</v>
      </c>
      <c r="C10810" s="704" t="s">
        <v>803</v>
      </c>
      <c r="D10810" s="704" t="s">
        <v>44</v>
      </c>
      <c r="E10810" s="704" t="s">
        <v>448</v>
      </c>
      <c r="F10810" s="705">
        <v>1.9840091501422052E-3</v>
      </c>
      <c r="G10810" s="705">
        <v>2.6067809643422444</v>
      </c>
    </row>
    <row r="10811" spans="2:7" ht="11.25" hidden="1" customHeight="1" outlineLevel="2" x14ac:dyDescent="0.25">
      <c r="B10811" s="704" t="s">
        <v>679</v>
      </c>
      <c r="C10811" s="704" t="s">
        <v>804</v>
      </c>
      <c r="D10811" s="704" t="s">
        <v>44</v>
      </c>
      <c r="E10811" s="704" t="s">
        <v>448</v>
      </c>
      <c r="F10811" s="705">
        <v>2.9535746899304691E-3</v>
      </c>
      <c r="G10811" s="705">
        <v>3.7746094324456823</v>
      </c>
    </row>
    <row r="10812" spans="2:7" ht="11.25" hidden="1" customHeight="1" outlineLevel="2" x14ac:dyDescent="0.25">
      <c r="B10812" s="704" t="s">
        <v>679</v>
      </c>
      <c r="C10812" s="704" t="s">
        <v>805</v>
      </c>
      <c r="D10812" s="704" t="s">
        <v>44</v>
      </c>
      <c r="E10812" s="704" t="s">
        <v>448</v>
      </c>
      <c r="F10812" s="705">
        <v>5.9234838741472533E-4</v>
      </c>
      <c r="G10812" s="705">
        <v>4.1873434930372451</v>
      </c>
    </row>
    <row r="10813" spans="2:7" ht="11.25" hidden="1" customHeight="1" outlineLevel="2" x14ac:dyDescent="0.25">
      <c r="B10813" s="704" t="s">
        <v>679</v>
      </c>
      <c r="C10813" s="704" t="s">
        <v>846</v>
      </c>
      <c r="D10813" s="704" t="s">
        <v>44</v>
      </c>
      <c r="E10813" s="704" t="s">
        <v>824</v>
      </c>
      <c r="F10813" s="705">
        <v>1.4423199867423419E-5</v>
      </c>
      <c r="G10813" s="705">
        <v>2.2917797965404999E-2</v>
      </c>
    </row>
    <row r="10814" spans="2:7" ht="11.25" hidden="1" customHeight="1" outlineLevel="2" x14ac:dyDescent="0.25">
      <c r="B10814" s="704" t="s">
        <v>679</v>
      </c>
      <c r="C10814" s="704" t="s">
        <v>847</v>
      </c>
      <c r="D10814" s="704" t="s">
        <v>44</v>
      </c>
      <c r="E10814" s="704" t="s">
        <v>824</v>
      </c>
      <c r="F10814" s="705">
        <v>2.9596149071792842E-6</v>
      </c>
      <c r="G10814" s="705">
        <v>3.119087996620195E-2</v>
      </c>
    </row>
    <row r="10815" spans="2:7" ht="11.25" hidden="1" customHeight="1" outlineLevel="2" x14ac:dyDescent="0.25">
      <c r="B10815" s="704" t="s">
        <v>679</v>
      </c>
      <c r="C10815" s="704" t="s">
        <v>705</v>
      </c>
      <c r="D10815" s="704" t="s">
        <v>44</v>
      </c>
      <c r="E10815" s="704" t="s">
        <v>676</v>
      </c>
      <c r="F10815" s="705">
        <v>5.7737119690176022E-4</v>
      </c>
      <c r="G10815" s="705">
        <v>6.053981427425986E-3</v>
      </c>
    </row>
    <row r="10816" spans="2:7" ht="11.25" hidden="1" customHeight="1" outlineLevel="2" x14ac:dyDescent="0.25">
      <c r="B10816" s="704" t="s">
        <v>679</v>
      </c>
      <c r="C10816" s="704" t="s">
        <v>706</v>
      </c>
      <c r="D10816" s="704" t="s">
        <v>44</v>
      </c>
      <c r="E10816" s="704" t="s">
        <v>676</v>
      </c>
      <c r="F10816" s="705">
        <v>1.8326147044912667E-4</v>
      </c>
      <c r="G10816" s="705">
        <v>1.9209996296307914E-3</v>
      </c>
    </row>
    <row r="10817" spans="2:7" ht="11.25" hidden="1" customHeight="1" outlineLevel="2" x14ac:dyDescent="0.25">
      <c r="B10817" s="704" t="s">
        <v>679</v>
      </c>
      <c r="C10817" s="704" t="s">
        <v>901</v>
      </c>
      <c r="D10817" s="704" t="s">
        <v>44</v>
      </c>
      <c r="E10817" s="704" t="s">
        <v>861</v>
      </c>
      <c r="F10817" s="709"/>
      <c r="G10817" s="705">
        <v>4.4769528637189838E-2</v>
      </c>
    </row>
    <row r="10818" spans="2:7" ht="11.25" hidden="1" customHeight="1" outlineLevel="2" x14ac:dyDescent="0.25">
      <c r="B10818" s="704" t="s">
        <v>679</v>
      </c>
      <c r="C10818" s="704" t="s">
        <v>902</v>
      </c>
      <c r="D10818" s="704" t="s">
        <v>44</v>
      </c>
      <c r="E10818" s="704" t="s">
        <v>861</v>
      </c>
      <c r="F10818" s="709"/>
      <c r="G10818" s="705">
        <v>1935.49386126543</v>
      </c>
    </row>
    <row r="10819" spans="2:7" ht="11.25" hidden="1" customHeight="1" outlineLevel="2" x14ac:dyDescent="0.25">
      <c r="B10819" s="704" t="s">
        <v>679</v>
      </c>
      <c r="C10819" s="704" t="s">
        <v>903</v>
      </c>
      <c r="D10819" s="704" t="s">
        <v>44</v>
      </c>
      <c r="E10819" s="704" t="s">
        <v>861</v>
      </c>
      <c r="F10819" s="709"/>
      <c r="G10819" s="705">
        <v>173.67289391436199</v>
      </c>
    </row>
    <row r="10820" spans="2:7" ht="11.25" hidden="1" customHeight="1" outlineLevel="2" x14ac:dyDescent="0.25">
      <c r="B10820" s="704" t="s">
        <v>679</v>
      </c>
      <c r="C10820" s="704" t="s">
        <v>904</v>
      </c>
      <c r="D10820" s="704" t="s">
        <v>44</v>
      </c>
      <c r="E10820" s="704" t="s">
        <v>861</v>
      </c>
      <c r="F10820" s="709"/>
      <c r="G10820" s="705">
        <v>0.96538388597748936</v>
      </c>
    </row>
    <row r="10821" spans="2:7" ht="11.25" hidden="1" customHeight="1" outlineLevel="2" x14ac:dyDescent="0.25">
      <c r="B10821" s="704" t="s">
        <v>679</v>
      </c>
      <c r="C10821" s="704" t="s">
        <v>905</v>
      </c>
      <c r="D10821" s="704" t="s">
        <v>44</v>
      </c>
      <c r="E10821" s="704" t="s">
        <v>861</v>
      </c>
      <c r="F10821" s="709"/>
      <c r="G10821" s="705">
        <v>0.19814355887326254</v>
      </c>
    </row>
    <row r="10822" spans="2:7" ht="11.25" hidden="1" customHeight="1" outlineLevel="2" x14ac:dyDescent="0.25">
      <c r="B10822" s="704" t="s">
        <v>679</v>
      </c>
      <c r="C10822" s="704" t="s">
        <v>906</v>
      </c>
      <c r="D10822" s="704" t="s">
        <v>44</v>
      </c>
      <c r="E10822" s="704" t="s">
        <v>861</v>
      </c>
      <c r="F10822" s="709"/>
      <c r="G10822" s="705">
        <v>14.742731197750869</v>
      </c>
    </row>
    <row r="10823" spans="2:7" ht="11.25" hidden="1" customHeight="1" outlineLevel="2" x14ac:dyDescent="0.25">
      <c r="B10823" s="704" t="s">
        <v>679</v>
      </c>
      <c r="C10823" s="704" t="s">
        <v>907</v>
      </c>
      <c r="D10823" s="704" t="s">
        <v>44</v>
      </c>
      <c r="E10823" s="704" t="s">
        <v>861</v>
      </c>
      <c r="F10823" s="709"/>
      <c r="G10823" s="705">
        <v>3.6925133051812199E-2</v>
      </c>
    </row>
    <row r="10824" spans="2:7" ht="11.25" hidden="1" customHeight="1" outlineLevel="2" x14ac:dyDescent="0.25">
      <c r="B10824" s="704" t="s">
        <v>679</v>
      </c>
      <c r="C10824" s="704" t="s">
        <v>908</v>
      </c>
      <c r="D10824" s="704" t="s">
        <v>44</v>
      </c>
      <c r="E10824" s="704" t="s">
        <v>861</v>
      </c>
      <c r="F10824" s="709"/>
      <c r="G10824" s="705">
        <v>13.626323306626809</v>
      </c>
    </row>
    <row r="10825" spans="2:7" ht="11.25" hidden="1" customHeight="1" outlineLevel="2" x14ac:dyDescent="0.25">
      <c r="B10825" s="704" t="s">
        <v>679</v>
      </c>
      <c r="C10825" s="704" t="s">
        <v>909</v>
      </c>
      <c r="D10825" s="704" t="s">
        <v>44</v>
      </c>
      <c r="E10825" s="704" t="s">
        <v>861</v>
      </c>
      <c r="F10825" s="709"/>
      <c r="G10825" s="705">
        <v>37.850336346076574</v>
      </c>
    </row>
    <row r="10826" spans="2:7" ht="11.25" hidden="1" customHeight="1" outlineLevel="2" x14ac:dyDescent="0.25">
      <c r="B10826" s="704" t="s">
        <v>679</v>
      </c>
      <c r="C10826" s="704" t="s">
        <v>910</v>
      </c>
      <c r="D10826" s="704" t="s">
        <v>44</v>
      </c>
      <c r="E10826" s="704" t="s">
        <v>861</v>
      </c>
      <c r="F10826" s="709"/>
      <c r="G10826" s="705">
        <v>27.82736031497026</v>
      </c>
    </row>
    <row r="10827" spans="2:7" ht="11.25" hidden="1" customHeight="1" outlineLevel="2" x14ac:dyDescent="0.25">
      <c r="B10827" s="704" t="s">
        <v>679</v>
      </c>
      <c r="C10827" s="704" t="s">
        <v>814</v>
      </c>
      <c r="D10827" s="704" t="s">
        <v>815</v>
      </c>
      <c r="E10827" s="704" t="s">
        <v>448</v>
      </c>
      <c r="F10827" s="705">
        <v>2.6757713009941471E-34</v>
      </c>
      <c r="G10827" s="705">
        <v>6.539019983539831E-31</v>
      </c>
    </row>
    <row r="10828" spans="2:7" ht="11.25" hidden="1" customHeight="1" outlineLevel="2" x14ac:dyDescent="0.25">
      <c r="B10828" s="704" t="s">
        <v>679</v>
      </c>
      <c r="C10828" s="704" t="s">
        <v>854</v>
      </c>
      <c r="D10828" s="704" t="s">
        <v>815</v>
      </c>
      <c r="E10828" s="704" t="s">
        <v>824</v>
      </c>
      <c r="F10828" s="705">
        <v>1.6645027218787266E-36</v>
      </c>
      <c r="G10828" s="705">
        <v>2.4044512537756401E-32</v>
      </c>
    </row>
    <row r="10829" spans="2:7" ht="11.25" hidden="1" customHeight="1" outlineLevel="2" x14ac:dyDescent="0.25">
      <c r="B10829" s="704" t="s">
        <v>679</v>
      </c>
      <c r="C10829" s="704" t="s">
        <v>918</v>
      </c>
      <c r="D10829" s="704" t="s">
        <v>815</v>
      </c>
      <c r="E10829" s="704" t="s">
        <v>861</v>
      </c>
      <c r="F10829" s="709"/>
      <c r="G10829" s="705">
        <v>1.3196731293639925E-29</v>
      </c>
    </row>
    <row r="10830" spans="2:7" ht="11.25" hidden="1" customHeight="1" outlineLevel="2" x14ac:dyDescent="0.25">
      <c r="B10830" s="704" t="s">
        <v>679</v>
      </c>
      <c r="C10830" s="704" t="s">
        <v>740</v>
      </c>
      <c r="D10830" s="704" t="s">
        <v>562</v>
      </c>
      <c r="E10830" s="704" t="s">
        <v>448</v>
      </c>
      <c r="F10830" s="705">
        <v>4.1950432967174465E-3</v>
      </c>
      <c r="G10830" s="705">
        <v>2.0789261118876348</v>
      </c>
    </row>
    <row r="10831" spans="2:7" ht="11.25" hidden="1" customHeight="1" outlineLevel="2" x14ac:dyDescent="0.25">
      <c r="B10831" s="704" t="s">
        <v>679</v>
      </c>
      <c r="C10831" s="704" t="s">
        <v>741</v>
      </c>
      <c r="D10831" s="704" t="s">
        <v>562</v>
      </c>
      <c r="E10831" s="704" t="s">
        <v>448</v>
      </c>
      <c r="F10831" s="705">
        <v>2.6806126766458025E-2</v>
      </c>
      <c r="G10831" s="705">
        <v>13.869927540116496</v>
      </c>
    </row>
    <row r="10832" spans="2:7" ht="11.25" hidden="1" customHeight="1" outlineLevel="2" x14ac:dyDescent="0.25">
      <c r="B10832" s="704" t="s">
        <v>679</v>
      </c>
      <c r="C10832" s="704" t="s">
        <v>742</v>
      </c>
      <c r="D10832" s="704" t="s">
        <v>562</v>
      </c>
      <c r="E10832" s="704" t="s">
        <v>448</v>
      </c>
      <c r="F10832" s="705">
        <v>1.193226579127512E-5</v>
      </c>
      <c r="G10832" s="705">
        <v>5.3492103383926005E-3</v>
      </c>
    </row>
    <row r="10833" spans="2:7" ht="11.25" hidden="1" customHeight="1" outlineLevel="2" x14ac:dyDescent="0.25">
      <c r="B10833" s="704" t="s">
        <v>679</v>
      </c>
      <c r="C10833" s="704" t="s">
        <v>743</v>
      </c>
      <c r="D10833" s="704" t="s">
        <v>562</v>
      </c>
      <c r="E10833" s="704" t="s">
        <v>448</v>
      </c>
      <c r="F10833" s="705">
        <v>1.877519169457515E-4</v>
      </c>
      <c r="G10833" s="705">
        <v>8.4168909063771877E-2</v>
      </c>
    </row>
    <row r="10834" spans="2:7" ht="11.25" hidden="1" customHeight="1" outlineLevel="2" x14ac:dyDescent="0.25">
      <c r="B10834" s="704" t="s">
        <v>679</v>
      </c>
      <c r="C10834" s="704" t="s">
        <v>806</v>
      </c>
      <c r="D10834" s="704" t="s">
        <v>562</v>
      </c>
      <c r="E10834" s="704" t="s">
        <v>448</v>
      </c>
      <c r="F10834" s="705">
        <v>0.35416536636019125</v>
      </c>
      <c r="G10834" s="705">
        <v>427.93657245233669</v>
      </c>
    </row>
    <row r="10835" spans="2:7" ht="11.25" hidden="1" customHeight="1" outlineLevel="2" x14ac:dyDescent="0.25">
      <c r="B10835" s="704" t="s">
        <v>679</v>
      </c>
      <c r="C10835" s="704" t="s">
        <v>807</v>
      </c>
      <c r="D10835" s="704" t="s">
        <v>562</v>
      </c>
      <c r="E10835" s="704" t="s">
        <v>448</v>
      </c>
      <c r="F10835" s="705">
        <v>7.6237286928608039E-2</v>
      </c>
      <c r="G10835" s="705">
        <v>107.08697777272873</v>
      </c>
    </row>
    <row r="10836" spans="2:7" ht="11.25" hidden="1" customHeight="1" outlineLevel="2" x14ac:dyDescent="0.25">
      <c r="B10836" s="704" t="s">
        <v>679</v>
      </c>
      <c r="C10836" s="704" t="s">
        <v>808</v>
      </c>
      <c r="D10836" s="704" t="s">
        <v>562</v>
      </c>
      <c r="E10836" s="704" t="s">
        <v>448</v>
      </c>
      <c r="F10836" s="705">
        <v>3.5191875018602263E-2</v>
      </c>
      <c r="G10836" s="705">
        <v>56.787343104586185</v>
      </c>
    </row>
    <row r="10837" spans="2:7" ht="11.25" hidden="1" customHeight="1" outlineLevel="2" x14ac:dyDescent="0.25">
      <c r="B10837" s="704" t="s">
        <v>679</v>
      </c>
      <c r="C10837" s="704" t="s">
        <v>809</v>
      </c>
      <c r="D10837" s="704" t="s">
        <v>562</v>
      </c>
      <c r="E10837" s="704" t="s">
        <v>448</v>
      </c>
      <c r="F10837" s="705">
        <v>8.1088857052143304E-2</v>
      </c>
      <c r="G10837" s="705">
        <v>121.84503430042093</v>
      </c>
    </row>
    <row r="10838" spans="2:7" ht="11.25" hidden="1" customHeight="1" outlineLevel="2" x14ac:dyDescent="0.25">
      <c r="B10838" s="704" t="s">
        <v>679</v>
      </c>
      <c r="C10838" s="704" t="s">
        <v>810</v>
      </c>
      <c r="D10838" s="704" t="s">
        <v>562</v>
      </c>
      <c r="E10838" s="704" t="s">
        <v>448</v>
      </c>
      <c r="F10838" s="705">
        <v>0.15314380399161515</v>
      </c>
      <c r="G10838" s="705">
        <v>191.95625433998825</v>
      </c>
    </row>
    <row r="10839" spans="2:7" ht="11.25" hidden="1" customHeight="1" outlineLevel="2" x14ac:dyDescent="0.25">
      <c r="B10839" s="704" t="s">
        <v>679</v>
      </c>
      <c r="C10839" s="704" t="s">
        <v>811</v>
      </c>
      <c r="D10839" s="704" t="s">
        <v>562</v>
      </c>
      <c r="E10839" s="704" t="s">
        <v>448</v>
      </c>
      <c r="F10839" s="705">
        <v>6.5196598144264773E-3</v>
      </c>
      <c r="G10839" s="705">
        <v>9.0285559139728306</v>
      </c>
    </row>
    <row r="10840" spans="2:7" ht="11.25" hidden="1" customHeight="1" outlineLevel="2" x14ac:dyDescent="0.25">
      <c r="B10840" s="704" t="s">
        <v>679</v>
      </c>
      <c r="C10840" s="704" t="s">
        <v>848</v>
      </c>
      <c r="D10840" s="704" t="s">
        <v>562</v>
      </c>
      <c r="E10840" s="704" t="s">
        <v>824</v>
      </c>
      <c r="F10840" s="705">
        <v>2.0711105499173436E-2</v>
      </c>
      <c r="G10840" s="705">
        <v>56.939053722583722</v>
      </c>
    </row>
    <row r="10841" spans="2:7" ht="11.25" hidden="1" customHeight="1" outlineLevel="2" x14ac:dyDescent="0.25">
      <c r="B10841" s="704" t="s">
        <v>679</v>
      </c>
      <c r="C10841" s="704" t="s">
        <v>849</v>
      </c>
      <c r="D10841" s="704" t="s">
        <v>562</v>
      </c>
      <c r="E10841" s="704" t="s">
        <v>824</v>
      </c>
      <c r="F10841" s="705">
        <v>3.0070277089293339E-3</v>
      </c>
      <c r="G10841" s="705">
        <v>12.682313951704058</v>
      </c>
    </row>
    <row r="10842" spans="2:7" ht="11.25" hidden="1" customHeight="1" outlineLevel="2" x14ac:dyDescent="0.25">
      <c r="B10842" s="704" t="s">
        <v>679</v>
      </c>
      <c r="C10842" s="704" t="s">
        <v>850</v>
      </c>
      <c r="D10842" s="704" t="s">
        <v>562</v>
      </c>
      <c r="E10842" s="704" t="s">
        <v>824</v>
      </c>
      <c r="F10842" s="705">
        <v>2.2246598962176361E-3</v>
      </c>
      <c r="G10842" s="705">
        <v>14.865940653694253</v>
      </c>
    </row>
    <row r="10843" spans="2:7" ht="11.25" hidden="1" customHeight="1" outlineLevel="2" x14ac:dyDescent="0.25">
      <c r="B10843" s="704" t="s">
        <v>679</v>
      </c>
      <c r="C10843" s="704" t="s">
        <v>851</v>
      </c>
      <c r="D10843" s="704" t="s">
        <v>562</v>
      </c>
      <c r="E10843" s="704" t="s">
        <v>824</v>
      </c>
      <c r="F10843" s="705">
        <v>3.8967695134035389E-3</v>
      </c>
      <c r="G10843" s="705">
        <v>18.467233775082786</v>
      </c>
    </row>
    <row r="10844" spans="2:7" ht="11.25" hidden="1" customHeight="1" outlineLevel="2" x14ac:dyDescent="0.25">
      <c r="B10844" s="704" t="s">
        <v>679</v>
      </c>
      <c r="C10844" s="704" t="s">
        <v>852</v>
      </c>
      <c r="D10844" s="704" t="s">
        <v>562</v>
      </c>
      <c r="E10844" s="704" t="s">
        <v>824</v>
      </c>
      <c r="F10844" s="705">
        <v>9.7300164900953034E-5</v>
      </c>
      <c r="G10844" s="705">
        <v>0.24963536801554007</v>
      </c>
    </row>
    <row r="10845" spans="2:7" ht="11.25" hidden="1" customHeight="1" outlineLevel="2" x14ac:dyDescent="0.25">
      <c r="B10845" s="704" t="s">
        <v>679</v>
      </c>
      <c r="C10845" s="704" t="s">
        <v>853</v>
      </c>
      <c r="D10845" s="704" t="s">
        <v>562</v>
      </c>
      <c r="E10845" s="704" t="s">
        <v>824</v>
      </c>
      <c r="F10845" s="705">
        <v>2.8387459149993452E-5</v>
      </c>
      <c r="G10845" s="705">
        <v>0.23187822629461491</v>
      </c>
    </row>
    <row r="10846" spans="2:7" ht="11.25" hidden="1" customHeight="1" outlineLevel="2" x14ac:dyDescent="0.25">
      <c r="B10846" s="704" t="s">
        <v>679</v>
      </c>
      <c r="C10846" s="704" t="s">
        <v>707</v>
      </c>
      <c r="D10846" s="704" t="s">
        <v>562</v>
      </c>
      <c r="E10846" s="704" t="s">
        <v>676</v>
      </c>
      <c r="F10846" s="705">
        <v>0.45759936476541224</v>
      </c>
      <c r="G10846" s="705">
        <v>12.707056676741562</v>
      </c>
    </row>
    <row r="10847" spans="2:7" ht="11.25" hidden="1" customHeight="1" outlineLevel="2" x14ac:dyDescent="0.25">
      <c r="B10847" s="704" t="s">
        <v>679</v>
      </c>
      <c r="C10847" s="704" t="s">
        <v>708</v>
      </c>
      <c r="D10847" s="704" t="s">
        <v>562</v>
      </c>
      <c r="E10847" s="704" t="s">
        <v>676</v>
      </c>
      <c r="F10847" s="705">
        <v>1.7543707988243121E-2</v>
      </c>
      <c r="G10847" s="705">
        <v>0.63774025382771027</v>
      </c>
    </row>
    <row r="10848" spans="2:7" ht="11.25" hidden="1" customHeight="1" outlineLevel="2" x14ac:dyDescent="0.25">
      <c r="B10848" s="704" t="s">
        <v>679</v>
      </c>
      <c r="C10848" s="704" t="s">
        <v>709</v>
      </c>
      <c r="D10848" s="704" t="s">
        <v>562</v>
      </c>
      <c r="E10848" s="704" t="s">
        <v>676</v>
      </c>
      <c r="F10848" s="705">
        <v>1.2595095281793192E-2</v>
      </c>
      <c r="G10848" s="705">
        <v>0.88337908455013547</v>
      </c>
    </row>
    <row r="10849" spans="2:7" ht="11.25" hidden="1" customHeight="1" outlineLevel="2" x14ac:dyDescent="0.25">
      <c r="B10849" s="704" t="s">
        <v>679</v>
      </c>
      <c r="C10849" s="704" t="s">
        <v>710</v>
      </c>
      <c r="D10849" s="704" t="s">
        <v>562</v>
      </c>
      <c r="E10849" s="704" t="s">
        <v>676</v>
      </c>
      <c r="F10849" s="705">
        <v>0.14755787278165058</v>
      </c>
      <c r="G10849" s="705">
        <v>30.878775200898904</v>
      </c>
    </row>
    <row r="10850" spans="2:7" ht="11.25" hidden="1" customHeight="1" outlineLevel="2" x14ac:dyDescent="0.25">
      <c r="B10850" s="704" t="s">
        <v>679</v>
      </c>
      <c r="C10850" s="704" t="s">
        <v>911</v>
      </c>
      <c r="D10850" s="704" t="s">
        <v>562</v>
      </c>
      <c r="E10850" s="704" t="s">
        <v>861</v>
      </c>
      <c r="F10850" s="709"/>
      <c r="G10850" s="705">
        <v>329.28218213815569</v>
      </c>
    </row>
    <row r="10851" spans="2:7" ht="11.25" hidden="1" customHeight="1" outlineLevel="2" x14ac:dyDescent="0.25">
      <c r="B10851" s="704" t="s">
        <v>679</v>
      </c>
      <c r="C10851" s="704" t="s">
        <v>912</v>
      </c>
      <c r="D10851" s="704" t="s">
        <v>562</v>
      </c>
      <c r="E10851" s="704" t="s">
        <v>861</v>
      </c>
      <c r="F10851" s="709"/>
      <c r="G10851" s="705">
        <v>77.690621510703807</v>
      </c>
    </row>
    <row r="10852" spans="2:7" ht="11.25" hidden="1" customHeight="1" outlineLevel="2" x14ac:dyDescent="0.25">
      <c r="B10852" s="704" t="s">
        <v>679</v>
      </c>
      <c r="C10852" s="704" t="s">
        <v>913</v>
      </c>
      <c r="D10852" s="704" t="s">
        <v>562</v>
      </c>
      <c r="E10852" s="704" t="s">
        <v>861</v>
      </c>
      <c r="F10852" s="709"/>
      <c r="G10852" s="705">
        <v>215.56146089660345</v>
      </c>
    </row>
    <row r="10853" spans="2:7" ht="11.25" hidden="1" customHeight="1" outlineLevel="2" x14ac:dyDescent="0.25">
      <c r="B10853" s="704" t="s">
        <v>679</v>
      </c>
      <c r="C10853" s="704" t="s">
        <v>914</v>
      </c>
      <c r="D10853" s="704" t="s">
        <v>562</v>
      </c>
      <c r="E10853" s="704" t="s">
        <v>861</v>
      </c>
      <c r="F10853" s="709"/>
      <c r="G10853" s="705">
        <v>109.45511104844792</v>
      </c>
    </row>
    <row r="10854" spans="2:7" ht="11.25" hidden="1" customHeight="1" outlineLevel="2" x14ac:dyDescent="0.25">
      <c r="B10854" s="704" t="s">
        <v>679</v>
      </c>
      <c r="C10854" s="704" t="s">
        <v>915</v>
      </c>
      <c r="D10854" s="704" t="s">
        <v>562</v>
      </c>
      <c r="E10854" s="704" t="s">
        <v>861</v>
      </c>
      <c r="F10854" s="709"/>
      <c r="G10854" s="705">
        <v>10.514939883582437</v>
      </c>
    </row>
    <row r="10855" spans="2:7" ht="11.25" hidden="1" customHeight="1" outlineLevel="2" x14ac:dyDescent="0.25">
      <c r="B10855" s="704" t="s">
        <v>679</v>
      </c>
      <c r="C10855" s="704" t="s">
        <v>916</v>
      </c>
      <c r="D10855" s="704" t="s">
        <v>562</v>
      </c>
      <c r="E10855" s="704" t="s">
        <v>861</v>
      </c>
      <c r="F10855" s="709"/>
      <c r="G10855" s="705">
        <v>9.329135801951951</v>
      </c>
    </row>
    <row r="10856" spans="2:7" ht="11.25" hidden="1" customHeight="1" outlineLevel="2" x14ac:dyDescent="0.25">
      <c r="B10856" s="704" t="s">
        <v>679</v>
      </c>
      <c r="C10856" s="704" t="s">
        <v>719</v>
      </c>
      <c r="D10856" s="704" t="s">
        <v>675</v>
      </c>
      <c r="E10856" s="704" t="s">
        <v>448</v>
      </c>
      <c r="F10856" s="705">
        <v>2.0631445284043697E-2</v>
      </c>
      <c r="G10856" s="705">
        <v>12.721273690325667</v>
      </c>
    </row>
    <row r="10857" spans="2:7" ht="11.25" hidden="1" customHeight="1" outlineLevel="2" x14ac:dyDescent="0.25">
      <c r="B10857" s="704" t="s">
        <v>679</v>
      </c>
      <c r="C10857" s="704" t="s">
        <v>720</v>
      </c>
      <c r="D10857" s="704" t="s">
        <v>675</v>
      </c>
      <c r="E10857" s="704" t="s">
        <v>448</v>
      </c>
      <c r="F10857" s="705">
        <v>1.7050567190388078E-3</v>
      </c>
      <c r="G10857" s="705">
        <v>0.82507144090894846</v>
      </c>
    </row>
    <row r="10858" spans="2:7" ht="11.25" hidden="1" customHeight="1" outlineLevel="2" x14ac:dyDescent="0.25">
      <c r="B10858" s="704" t="s">
        <v>679</v>
      </c>
      <c r="C10858" s="704" t="s">
        <v>721</v>
      </c>
      <c r="D10858" s="704" t="s">
        <v>675</v>
      </c>
      <c r="E10858" s="704" t="s">
        <v>448</v>
      </c>
      <c r="F10858" s="705">
        <v>2.0648751630465232E-3</v>
      </c>
      <c r="G10858" s="705">
        <v>0.98632557143672683</v>
      </c>
    </row>
    <row r="10859" spans="2:7" ht="11.25" hidden="1" customHeight="1" outlineLevel="2" x14ac:dyDescent="0.25">
      <c r="B10859" s="704" t="s">
        <v>679</v>
      </c>
      <c r="C10859" s="704" t="s">
        <v>722</v>
      </c>
      <c r="D10859" s="704" t="s">
        <v>675</v>
      </c>
      <c r="E10859" s="704" t="s">
        <v>448</v>
      </c>
      <c r="F10859" s="705">
        <v>1.6477079170293763E-5</v>
      </c>
      <c r="G10859" s="705">
        <v>7.386129578566482E-3</v>
      </c>
    </row>
    <row r="10860" spans="2:7" ht="11.25" hidden="1" customHeight="1" outlineLevel="2" x14ac:dyDescent="0.25">
      <c r="B10860" s="704" t="s">
        <v>679</v>
      </c>
      <c r="C10860" s="704" t="s">
        <v>723</v>
      </c>
      <c r="D10860" s="704" t="s">
        <v>675</v>
      </c>
      <c r="E10860" s="704" t="s">
        <v>448</v>
      </c>
      <c r="F10860" s="705">
        <v>5.8778191649508336E-2</v>
      </c>
      <c r="G10860" s="705">
        <v>32.873764281443755</v>
      </c>
    </row>
    <row r="10861" spans="2:7" ht="11.25" hidden="1" customHeight="1" outlineLevel="2" x14ac:dyDescent="0.25">
      <c r="B10861" s="704" t="s">
        <v>679</v>
      </c>
      <c r="C10861" s="704" t="s">
        <v>724</v>
      </c>
      <c r="D10861" s="704" t="s">
        <v>675</v>
      </c>
      <c r="E10861" s="704" t="s">
        <v>448</v>
      </c>
      <c r="F10861" s="705">
        <v>4.290497002058444E-4</v>
      </c>
      <c r="G10861" s="705">
        <v>0.19232866243240013</v>
      </c>
    </row>
    <row r="10862" spans="2:7" ht="11.25" hidden="1" customHeight="1" outlineLevel="2" x14ac:dyDescent="0.25">
      <c r="B10862" s="704" t="s">
        <v>679</v>
      </c>
      <c r="C10862" s="704" t="s">
        <v>750</v>
      </c>
      <c r="D10862" s="704" t="s">
        <v>675</v>
      </c>
      <c r="E10862" s="704" t="s">
        <v>448</v>
      </c>
      <c r="F10862" s="705">
        <v>7.2607902035612135E-3</v>
      </c>
      <c r="G10862" s="705">
        <v>11.308954469233353</v>
      </c>
    </row>
    <row r="10863" spans="2:7" ht="11.25" hidden="1" customHeight="1" outlineLevel="2" x14ac:dyDescent="0.25">
      <c r="B10863" s="704" t="s">
        <v>679</v>
      </c>
      <c r="C10863" s="704" t="s">
        <v>751</v>
      </c>
      <c r="D10863" s="704" t="s">
        <v>675</v>
      </c>
      <c r="E10863" s="704" t="s">
        <v>448</v>
      </c>
      <c r="F10863" s="705">
        <v>6.4310345753293928E-5</v>
      </c>
      <c r="G10863" s="705">
        <v>8.3570269732225033E-2</v>
      </c>
    </row>
    <row r="10864" spans="2:7" ht="11.25" hidden="1" customHeight="1" outlineLevel="2" x14ac:dyDescent="0.25">
      <c r="B10864" s="704" t="s">
        <v>679</v>
      </c>
      <c r="C10864" s="704" t="s">
        <v>752</v>
      </c>
      <c r="D10864" s="704" t="s">
        <v>675</v>
      </c>
      <c r="E10864" s="704" t="s">
        <v>448</v>
      </c>
      <c r="F10864" s="705">
        <v>1.7690127908418042E-2</v>
      </c>
      <c r="G10864" s="705">
        <v>21.162422698473296</v>
      </c>
    </row>
    <row r="10865" spans="2:7" ht="11.25" hidden="1" customHeight="1" outlineLevel="2" x14ac:dyDescent="0.25">
      <c r="B10865" s="704" t="s">
        <v>679</v>
      </c>
      <c r="C10865" s="704" t="s">
        <v>753</v>
      </c>
      <c r="D10865" s="704" t="s">
        <v>675</v>
      </c>
      <c r="E10865" s="704" t="s">
        <v>448</v>
      </c>
      <c r="F10865" s="705">
        <v>1.2671597375598165E-2</v>
      </c>
      <c r="G10865" s="705">
        <v>19.997186779984336</v>
      </c>
    </row>
    <row r="10866" spans="2:7" ht="11.25" hidden="1" customHeight="1" outlineLevel="2" x14ac:dyDescent="0.25">
      <c r="B10866" s="704" t="s">
        <v>679</v>
      </c>
      <c r="C10866" s="704" t="s">
        <v>754</v>
      </c>
      <c r="D10866" s="704" t="s">
        <v>675</v>
      </c>
      <c r="E10866" s="704" t="s">
        <v>448</v>
      </c>
      <c r="F10866" s="705">
        <v>3.1199739041247045E-2</v>
      </c>
      <c r="G10866" s="705">
        <v>39.801163941755007</v>
      </c>
    </row>
    <row r="10867" spans="2:7" ht="11.25" hidden="1" customHeight="1" outlineLevel="2" x14ac:dyDescent="0.25">
      <c r="B10867" s="704" t="s">
        <v>679</v>
      </c>
      <c r="C10867" s="704" t="s">
        <v>755</v>
      </c>
      <c r="D10867" s="704" t="s">
        <v>675</v>
      </c>
      <c r="E10867" s="704" t="s">
        <v>448</v>
      </c>
      <c r="F10867" s="705">
        <v>1.220351387995665E-2</v>
      </c>
      <c r="G10867" s="705">
        <v>16.784155947371271</v>
      </c>
    </row>
    <row r="10868" spans="2:7" ht="11.25" hidden="1" customHeight="1" outlineLevel="2" x14ac:dyDescent="0.25">
      <c r="B10868" s="704" t="s">
        <v>679</v>
      </c>
      <c r="C10868" s="704" t="s">
        <v>756</v>
      </c>
      <c r="D10868" s="704" t="s">
        <v>675</v>
      </c>
      <c r="E10868" s="704" t="s">
        <v>448</v>
      </c>
      <c r="F10868" s="705">
        <v>6.5764440550342281E-4</v>
      </c>
      <c r="G10868" s="705">
        <v>0.87142237299246383</v>
      </c>
    </row>
    <row r="10869" spans="2:7" ht="11.25" hidden="1" customHeight="1" outlineLevel="2" x14ac:dyDescent="0.25">
      <c r="B10869" s="704" t="s">
        <v>679</v>
      </c>
      <c r="C10869" s="704" t="s">
        <v>757</v>
      </c>
      <c r="D10869" s="704" t="s">
        <v>675</v>
      </c>
      <c r="E10869" s="704" t="s">
        <v>448</v>
      </c>
      <c r="F10869" s="705">
        <v>2.325521162964073E-2</v>
      </c>
      <c r="G10869" s="705">
        <v>35.137177917999239</v>
      </c>
    </row>
    <row r="10870" spans="2:7" ht="11.25" hidden="1" customHeight="1" outlineLevel="2" x14ac:dyDescent="0.25">
      <c r="B10870" s="704" t="s">
        <v>679</v>
      </c>
      <c r="C10870" s="704" t="s">
        <v>758</v>
      </c>
      <c r="D10870" s="704" t="s">
        <v>675</v>
      </c>
      <c r="E10870" s="704" t="s">
        <v>448</v>
      </c>
      <c r="F10870" s="705">
        <v>1.0470579285291147E-2</v>
      </c>
      <c r="G10870" s="705">
        <v>12.101806082441291</v>
      </c>
    </row>
    <row r="10871" spans="2:7" ht="11.25" hidden="1" customHeight="1" outlineLevel="2" x14ac:dyDescent="0.25">
      <c r="B10871" s="704" t="s">
        <v>679</v>
      </c>
      <c r="C10871" s="704" t="s">
        <v>759</v>
      </c>
      <c r="D10871" s="704" t="s">
        <v>675</v>
      </c>
      <c r="E10871" s="704" t="s">
        <v>448</v>
      </c>
      <c r="F10871" s="705">
        <v>5.180062972746434E-2</v>
      </c>
      <c r="G10871" s="705">
        <v>73.183844580809122</v>
      </c>
    </row>
    <row r="10872" spans="2:7" ht="11.25" hidden="1" customHeight="1" outlineLevel="2" x14ac:dyDescent="0.25">
      <c r="B10872" s="704" t="s">
        <v>679</v>
      </c>
      <c r="C10872" s="704" t="s">
        <v>760</v>
      </c>
      <c r="D10872" s="704" t="s">
        <v>675</v>
      </c>
      <c r="E10872" s="704" t="s">
        <v>448</v>
      </c>
      <c r="F10872" s="705">
        <v>3.4910440145241244E-2</v>
      </c>
      <c r="G10872" s="705">
        <v>35.058891667753549</v>
      </c>
    </row>
    <row r="10873" spans="2:7" ht="11.25" hidden="1" customHeight="1" outlineLevel="2" x14ac:dyDescent="0.25">
      <c r="B10873" s="704" t="s">
        <v>679</v>
      </c>
      <c r="C10873" s="704" t="s">
        <v>761</v>
      </c>
      <c r="D10873" s="704" t="s">
        <v>675</v>
      </c>
      <c r="E10873" s="704" t="s">
        <v>448</v>
      </c>
      <c r="F10873" s="705">
        <v>1.6601234578053569E-3</v>
      </c>
      <c r="G10873" s="705">
        <v>2.7947439666220744</v>
      </c>
    </row>
    <row r="10874" spans="2:7" ht="11.25" hidden="1" customHeight="1" outlineLevel="2" x14ac:dyDescent="0.25">
      <c r="B10874" s="704" t="s">
        <v>679</v>
      </c>
      <c r="C10874" s="704" t="s">
        <v>762</v>
      </c>
      <c r="D10874" s="704" t="s">
        <v>675</v>
      </c>
      <c r="E10874" s="704" t="s">
        <v>448</v>
      </c>
      <c r="F10874" s="705">
        <v>3.3734167622716969E-3</v>
      </c>
      <c r="G10874" s="705">
        <v>4.7388761966074799</v>
      </c>
    </row>
    <row r="10875" spans="2:7" ht="11.25" hidden="1" customHeight="1" outlineLevel="2" x14ac:dyDescent="0.25">
      <c r="B10875" s="704" t="s">
        <v>679</v>
      </c>
      <c r="C10875" s="704" t="s">
        <v>763</v>
      </c>
      <c r="D10875" s="704" t="s">
        <v>675</v>
      </c>
      <c r="E10875" s="704" t="s">
        <v>448</v>
      </c>
      <c r="F10875" s="705">
        <v>1.4997508572044053E-3</v>
      </c>
      <c r="G10875" s="705">
        <v>4.246461301507126</v>
      </c>
    </row>
    <row r="10876" spans="2:7" ht="11.25" hidden="1" customHeight="1" outlineLevel="2" x14ac:dyDescent="0.25">
      <c r="B10876" s="704" t="s">
        <v>679</v>
      </c>
      <c r="C10876" s="704" t="s">
        <v>764</v>
      </c>
      <c r="D10876" s="704" t="s">
        <v>675</v>
      </c>
      <c r="E10876" s="704" t="s">
        <v>448</v>
      </c>
      <c r="F10876" s="705">
        <v>1.7467315506609802E-3</v>
      </c>
      <c r="G10876" s="705">
        <v>10.142426793158759</v>
      </c>
    </row>
    <row r="10877" spans="2:7" ht="11.25" hidden="1" customHeight="1" outlineLevel="2" x14ac:dyDescent="0.25">
      <c r="B10877" s="704" t="s">
        <v>679</v>
      </c>
      <c r="C10877" s="704" t="s">
        <v>765</v>
      </c>
      <c r="D10877" s="704" t="s">
        <v>675</v>
      </c>
      <c r="E10877" s="704" t="s">
        <v>448</v>
      </c>
      <c r="F10877" s="705">
        <v>1.6515243158937588E-2</v>
      </c>
      <c r="G10877" s="705">
        <v>24.034911341426284</v>
      </c>
    </row>
    <row r="10878" spans="2:7" ht="11.25" hidden="1" customHeight="1" outlineLevel="2" x14ac:dyDescent="0.25">
      <c r="B10878" s="704" t="s">
        <v>679</v>
      </c>
      <c r="C10878" s="704" t="s">
        <v>766</v>
      </c>
      <c r="D10878" s="704" t="s">
        <v>675</v>
      </c>
      <c r="E10878" s="704" t="s">
        <v>448</v>
      </c>
      <c r="F10878" s="705">
        <v>1.0248089026993375E-2</v>
      </c>
      <c r="G10878" s="705">
        <v>16.495470047639301</v>
      </c>
    </row>
    <row r="10879" spans="2:7" ht="11.25" hidden="1" customHeight="1" outlineLevel="2" x14ac:dyDescent="0.25">
      <c r="B10879" s="704" t="s">
        <v>679</v>
      </c>
      <c r="C10879" s="704" t="s">
        <v>767</v>
      </c>
      <c r="D10879" s="704" t="s">
        <v>675</v>
      </c>
      <c r="E10879" s="704" t="s">
        <v>448</v>
      </c>
      <c r="F10879" s="705">
        <v>5.1585676965125518E-3</v>
      </c>
      <c r="G10879" s="705">
        <v>5.4351088608429787</v>
      </c>
    </row>
    <row r="10880" spans="2:7" ht="11.25" hidden="1" customHeight="1" outlineLevel="2" x14ac:dyDescent="0.25">
      <c r="B10880" s="704" t="s">
        <v>679</v>
      </c>
      <c r="C10880" s="704" t="s">
        <v>768</v>
      </c>
      <c r="D10880" s="704" t="s">
        <v>675</v>
      </c>
      <c r="E10880" s="704" t="s">
        <v>448</v>
      </c>
      <c r="F10880" s="705">
        <v>2.4081884053820716E-3</v>
      </c>
      <c r="G10880" s="705">
        <v>3.8395334144719246</v>
      </c>
    </row>
    <row r="10881" spans="2:7" ht="11.25" hidden="1" customHeight="1" outlineLevel="2" x14ac:dyDescent="0.25">
      <c r="B10881" s="704" t="s">
        <v>679</v>
      </c>
      <c r="C10881" s="704" t="s">
        <v>825</v>
      </c>
      <c r="D10881" s="704" t="s">
        <v>675</v>
      </c>
      <c r="E10881" s="704" t="s">
        <v>824</v>
      </c>
      <c r="F10881" s="705">
        <v>4.5931528132420023E-4</v>
      </c>
      <c r="G10881" s="705">
        <v>2.1747716882966084</v>
      </c>
    </row>
    <row r="10882" spans="2:7" ht="11.25" hidden="1" customHeight="1" outlineLevel="2" x14ac:dyDescent="0.25">
      <c r="B10882" s="704" t="s">
        <v>679</v>
      </c>
      <c r="C10882" s="704" t="s">
        <v>826</v>
      </c>
      <c r="D10882" s="704" t="s">
        <v>675</v>
      </c>
      <c r="E10882" s="704" t="s">
        <v>824</v>
      </c>
      <c r="F10882" s="705">
        <v>3.4144008246168357E-4</v>
      </c>
      <c r="G10882" s="705">
        <v>3.6496764829857766</v>
      </c>
    </row>
    <row r="10883" spans="2:7" ht="11.25" hidden="1" customHeight="1" outlineLevel="2" x14ac:dyDescent="0.25">
      <c r="B10883" s="704" t="s">
        <v>679</v>
      </c>
      <c r="C10883" s="704" t="s">
        <v>827</v>
      </c>
      <c r="D10883" s="704" t="s">
        <v>675</v>
      </c>
      <c r="E10883" s="704" t="s">
        <v>824</v>
      </c>
      <c r="F10883" s="705">
        <v>2.5283074213370605E-4</v>
      </c>
      <c r="G10883" s="705">
        <v>0.60376596217702327</v>
      </c>
    </row>
    <row r="10884" spans="2:7" ht="11.25" hidden="1" customHeight="1" outlineLevel="2" x14ac:dyDescent="0.25">
      <c r="B10884" s="704" t="s">
        <v>679</v>
      </c>
      <c r="C10884" s="704" t="s">
        <v>828</v>
      </c>
      <c r="D10884" s="704" t="s">
        <v>675</v>
      </c>
      <c r="E10884" s="704" t="s">
        <v>824</v>
      </c>
      <c r="F10884" s="705">
        <v>6.8941511736013105E-5</v>
      </c>
      <c r="G10884" s="705">
        <v>0.37833327722272347</v>
      </c>
    </row>
    <row r="10885" spans="2:7" ht="11.25" hidden="1" customHeight="1" outlineLevel="2" x14ac:dyDescent="0.25">
      <c r="B10885" s="704" t="s">
        <v>679</v>
      </c>
      <c r="C10885" s="704" t="s">
        <v>829</v>
      </c>
      <c r="D10885" s="704" t="s">
        <v>675</v>
      </c>
      <c r="E10885" s="704" t="s">
        <v>824</v>
      </c>
      <c r="F10885" s="705">
        <v>1.4919414481158783E-3</v>
      </c>
      <c r="G10885" s="705">
        <v>6.6952182587353493</v>
      </c>
    </row>
    <row r="10886" spans="2:7" ht="11.25" hidden="1" customHeight="1" outlineLevel="2" x14ac:dyDescent="0.25">
      <c r="B10886" s="704" t="s">
        <v>679</v>
      </c>
      <c r="C10886" s="704" t="s">
        <v>830</v>
      </c>
      <c r="D10886" s="704" t="s">
        <v>675</v>
      </c>
      <c r="E10886" s="704" t="s">
        <v>824</v>
      </c>
      <c r="F10886" s="705">
        <v>1.3535349013253069E-3</v>
      </c>
      <c r="G10886" s="705">
        <v>2.4106643013359346</v>
      </c>
    </row>
    <row r="10887" spans="2:7" ht="11.25" hidden="1" customHeight="1" outlineLevel="2" x14ac:dyDescent="0.25">
      <c r="B10887" s="704" t="s">
        <v>679</v>
      </c>
      <c r="C10887" s="704" t="s">
        <v>831</v>
      </c>
      <c r="D10887" s="704" t="s">
        <v>675</v>
      </c>
      <c r="E10887" s="704" t="s">
        <v>824</v>
      </c>
      <c r="F10887" s="705">
        <v>3.7554367300154039E-4</v>
      </c>
      <c r="G10887" s="705">
        <v>6.1941515531103324</v>
      </c>
    </row>
    <row r="10888" spans="2:7" ht="11.25" hidden="1" customHeight="1" outlineLevel="2" x14ac:dyDescent="0.25">
      <c r="B10888" s="704" t="s">
        <v>679</v>
      </c>
      <c r="C10888" s="704" t="s">
        <v>832</v>
      </c>
      <c r="D10888" s="704" t="s">
        <v>675</v>
      </c>
      <c r="E10888" s="704" t="s">
        <v>824</v>
      </c>
      <c r="F10888" s="705">
        <v>1.0265356866156529E-3</v>
      </c>
      <c r="G10888" s="705">
        <v>2.4670635894609112</v>
      </c>
    </row>
    <row r="10889" spans="2:7" ht="11.25" hidden="1" customHeight="1" outlineLevel="2" x14ac:dyDescent="0.25">
      <c r="B10889" s="704" t="s">
        <v>679</v>
      </c>
      <c r="C10889" s="704" t="s">
        <v>833</v>
      </c>
      <c r="D10889" s="704" t="s">
        <v>675</v>
      </c>
      <c r="E10889" s="704" t="s">
        <v>824</v>
      </c>
      <c r="F10889" s="705">
        <v>1.567800138920246E-4</v>
      </c>
      <c r="G10889" s="705">
        <v>0.39698658345554466</v>
      </c>
    </row>
    <row r="10890" spans="2:7" ht="11.25" hidden="1" customHeight="1" outlineLevel="2" x14ac:dyDescent="0.25">
      <c r="B10890" s="704" t="s">
        <v>679</v>
      </c>
      <c r="C10890" s="704" t="s">
        <v>834</v>
      </c>
      <c r="D10890" s="704" t="s">
        <v>675</v>
      </c>
      <c r="E10890" s="704" t="s">
        <v>824</v>
      </c>
      <c r="F10890" s="705">
        <v>1.1355888048201503E-3</v>
      </c>
      <c r="G10890" s="705">
        <v>4.2945296749417174</v>
      </c>
    </row>
    <row r="10891" spans="2:7" ht="11.25" hidden="1" customHeight="1" outlineLevel="2" x14ac:dyDescent="0.25">
      <c r="B10891" s="704" t="s">
        <v>679</v>
      </c>
      <c r="C10891" s="704" t="s">
        <v>835</v>
      </c>
      <c r="D10891" s="704" t="s">
        <v>675</v>
      </c>
      <c r="E10891" s="704" t="s">
        <v>824</v>
      </c>
      <c r="F10891" s="705">
        <v>1.42427452557231E-3</v>
      </c>
      <c r="G10891" s="705">
        <v>10.457401306292217</v>
      </c>
    </row>
    <row r="10892" spans="2:7" ht="11.25" hidden="1" customHeight="1" outlineLevel="2" x14ac:dyDescent="0.25">
      <c r="B10892" s="704" t="s">
        <v>679</v>
      </c>
      <c r="C10892" s="704" t="s">
        <v>836</v>
      </c>
      <c r="D10892" s="704" t="s">
        <v>675</v>
      </c>
      <c r="E10892" s="704" t="s">
        <v>824</v>
      </c>
      <c r="F10892" s="705">
        <v>9.9378969178009504E-5</v>
      </c>
      <c r="G10892" s="705">
        <v>1.0923949375813187</v>
      </c>
    </row>
    <row r="10893" spans="2:7" ht="11.25" hidden="1" customHeight="1" outlineLevel="2" x14ac:dyDescent="0.25">
      <c r="B10893" s="704" t="s">
        <v>679</v>
      </c>
      <c r="C10893" s="704" t="s">
        <v>837</v>
      </c>
      <c r="D10893" s="704" t="s">
        <v>675</v>
      </c>
      <c r="E10893" s="704" t="s">
        <v>824</v>
      </c>
      <c r="F10893" s="705">
        <v>3.2774270429408738E-3</v>
      </c>
      <c r="G10893" s="705">
        <v>9.0490032501563018</v>
      </c>
    </row>
    <row r="10894" spans="2:7" ht="11.25" hidden="1" customHeight="1" outlineLevel="2" x14ac:dyDescent="0.25">
      <c r="B10894" s="704" t="s">
        <v>679</v>
      </c>
      <c r="C10894" s="704" t="s">
        <v>838</v>
      </c>
      <c r="D10894" s="704" t="s">
        <v>675</v>
      </c>
      <c r="E10894" s="704" t="s">
        <v>824</v>
      </c>
      <c r="F10894" s="705">
        <v>1.690591369785885E-3</v>
      </c>
      <c r="G10894" s="705">
        <v>3.7421391875076311</v>
      </c>
    </row>
    <row r="10895" spans="2:7" ht="11.25" hidden="1" customHeight="1" outlineLevel="2" x14ac:dyDescent="0.25">
      <c r="B10895" s="704" t="s">
        <v>679</v>
      </c>
      <c r="C10895" s="704" t="s">
        <v>674</v>
      </c>
      <c r="D10895" s="704" t="s">
        <v>675</v>
      </c>
      <c r="E10895" s="704" t="s">
        <v>676</v>
      </c>
      <c r="F10895" s="705">
        <v>4.7941488509969368E-3</v>
      </c>
      <c r="G10895" s="705">
        <v>0.11864478474667108</v>
      </c>
    </row>
    <row r="10896" spans="2:7" ht="11.25" hidden="1" customHeight="1" outlineLevel="2" x14ac:dyDescent="0.25">
      <c r="B10896" s="704" t="s">
        <v>679</v>
      </c>
      <c r="C10896" s="704" t="s">
        <v>862</v>
      </c>
      <c r="D10896" s="704" t="s">
        <v>675</v>
      </c>
      <c r="E10896" s="704" t="s">
        <v>861</v>
      </c>
      <c r="F10896" s="709"/>
      <c r="G10896" s="705">
        <v>352.2702525046123</v>
      </c>
    </row>
    <row r="10897" spans="2:7" ht="11.25" hidden="1" customHeight="1" outlineLevel="2" x14ac:dyDescent="0.25">
      <c r="B10897" s="704" t="s">
        <v>679</v>
      </c>
      <c r="C10897" s="704" t="s">
        <v>863</v>
      </c>
      <c r="D10897" s="704" t="s">
        <v>675</v>
      </c>
      <c r="E10897" s="704" t="s">
        <v>861</v>
      </c>
      <c r="F10897" s="709"/>
      <c r="G10897" s="705">
        <v>0.57422432591537742</v>
      </c>
    </row>
    <row r="10898" spans="2:7" ht="11.25" hidden="1" customHeight="1" outlineLevel="2" x14ac:dyDescent="0.25">
      <c r="B10898" s="704" t="s">
        <v>679</v>
      </c>
      <c r="C10898" s="704" t="s">
        <v>864</v>
      </c>
      <c r="D10898" s="704" t="s">
        <v>675</v>
      </c>
      <c r="E10898" s="704" t="s">
        <v>861</v>
      </c>
      <c r="F10898" s="709"/>
      <c r="G10898" s="705">
        <v>9.4601418637078716</v>
      </c>
    </row>
    <row r="10899" spans="2:7" ht="11.25" hidden="1" customHeight="1" outlineLevel="2" x14ac:dyDescent="0.25">
      <c r="B10899" s="704" t="s">
        <v>679</v>
      </c>
      <c r="C10899" s="704" t="s">
        <v>865</v>
      </c>
      <c r="D10899" s="704" t="s">
        <v>675</v>
      </c>
      <c r="E10899" s="704" t="s">
        <v>861</v>
      </c>
      <c r="F10899" s="709"/>
      <c r="G10899" s="705">
        <v>881.77355995995629</v>
      </c>
    </row>
    <row r="10900" spans="2:7" ht="11.25" hidden="1" customHeight="1" outlineLevel="2" x14ac:dyDescent="0.25">
      <c r="B10900" s="704" t="s">
        <v>679</v>
      </c>
      <c r="C10900" s="704" t="s">
        <v>866</v>
      </c>
      <c r="D10900" s="704" t="s">
        <v>675</v>
      </c>
      <c r="E10900" s="704" t="s">
        <v>861</v>
      </c>
      <c r="F10900" s="709"/>
      <c r="G10900" s="705">
        <v>959.18422030798592</v>
      </c>
    </row>
    <row r="10901" spans="2:7" ht="11.25" hidden="1" customHeight="1" outlineLevel="2" x14ac:dyDescent="0.25">
      <c r="B10901" s="704" t="s">
        <v>679</v>
      </c>
      <c r="C10901" s="704" t="s">
        <v>867</v>
      </c>
      <c r="D10901" s="704" t="s">
        <v>675</v>
      </c>
      <c r="E10901" s="704" t="s">
        <v>861</v>
      </c>
      <c r="F10901" s="709"/>
      <c r="G10901" s="705">
        <v>52.844742956522367</v>
      </c>
    </row>
    <row r="10902" spans="2:7" ht="11.25" hidden="1" customHeight="1" outlineLevel="2" x14ac:dyDescent="0.25">
      <c r="B10902" s="704" t="s">
        <v>679</v>
      </c>
      <c r="C10902" s="704" t="s">
        <v>868</v>
      </c>
      <c r="D10902" s="704" t="s">
        <v>675</v>
      </c>
      <c r="E10902" s="704" t="s">
        <v>861</v>
      </c>
      <c r="F10902" s="709"/>
      <c r="G10902" s="705">
        <v>32.617341235493107</v>
      </c>
    </row>
    <row r="10903" spans="2:7" ht="11.25" hidden="1" customHeight="1" outlineLevel="2" x14ac:dyDescent="0.25">
      <c r="B10903" s="704" t="s">
        <v>679</v>
      </c>
      <c r="C10903" s="704" t="s">
        <v>869</v>
      </c>
      <c r="D10903" s="704" t="s">
        <v>675</v>
      </c>
      <c r="E10903" s="704" t="s">
        <v>861</v>
      </c>
      <c r="F10903" s="709"/>
      <c r="G10903" s="705">
        <v>97.393726055923537</v>
      </c>
    </row>
    <row r="10904" spans="2:7" ht="11.25" hidden="1" customHeight="1" outlineLevel="2" x14ac:dyDescent="0.25">
      <c r="B10904" s="704" t="s">
        <v>679</v>
      </c>
      <c r="C10904" s="704" t="s">
        <v>870</v>
      </c>
      <c r="D10904" s="704" t="s">
        <v>675</v>
      </c>
      <c r="E10904" s="704" t="s">
        <v>861</v>
      </c>
      <c r="F10904" s="709"/>
      <c r="G10904" s="705">
        <v>418.32504797581595</v>
      </c>
    </row>
    <row r="10905" spans="2:7" ht="11.25" hidden="1" customHeight="1" outlineLevel="2" x14ac:dyDescent="0.25">
      <c r="B10905" s="704" t="s">
        <v>679</v>
      </c>
      <c r="C10905" s="704" t="s">
        <v>871</v>
      </c>
      <c r="D10905" s="704" t="s">
        <v>675</v>
      </c>
      <c r="E10905" s="704" t="s">
        <v>861</v>
      </c>
      <c r="F10905" s="709"/>
      <c r="G10905" s="705">
        <v>359.71059900055684</v>
      </c>
    </row>
    <row r="10906" spans="2:7" ht="11.25" hidden="1" customHeight="1" outlineLevel="2" x14ac:dyDescent="0.25">
      <c r="B10906" s="704" t="s">
        <v>679</v>
      </c>
      <c r="C10906" s="704" t="s">
        <v>872</v>
      </c>
      <c r="D10906" s="704" t="s">
        <v>675</v>
      </c>
      <c r="E10906" s="704" t="s">
        <v>861</v>
      </c>
      <c r="F10906" s="709"/>
      <c r="G10906" s="705">
        <v>3573.490855089271</v>
      </c>
    </row>
    <row r="10907" spans="2:7" ht="11.25" hidden="1" customHeight="1" outlineLevel="2" x14ac:dyDescent="0.25">
      <c r="B10907" s="704" t="s">
        <v>679</v>
      </c>
      <c r="C10907" s="704" t="s">
        <v>873</v>
      </c>
      <c r="D10907" s="704" t="s">
        <v>675</v>
      </c>
      <c r="E10907" s="704" t="s">
        <v>861</v>
      </c>
      <c r="F10907" s="709"/>
      <c r="G10907" s="705">
        <v>29.64194152035277</v>
      </c>
    </row>
    <row r="10908" spans="2:7" ht="11.25" hidden="1" customHeight="1" outlineLevel="2" x14ac:dyDescent="0.25">
      <c r="B10908" s="704" t="s">
        <v>679</v>
      </c>
      <c r="C10908" s="704" t="s">
        <v>874</v>
      </c>
      <c r="D10908" s="704" t="s">
        <v>675</v>
      </c>
      <c r="E10908" s="704" t="s">
        <v>861</v>
      </c>
      <c r="F10908" s="709"/>
      <c r="G10908" s="705">
        <v>14.001241109190893</v>
      </c>
    </row>
    <row r="10909" spans="2:7" ht="11.25" hidden="1" customHeight="1" outlineLevel="2" x14ac:dyDescent="0.25">
      <c r="B10909" s="704" t="s">
        <v>679</v>
      </c>
      <c r="C10909" s="704" t="s">
        <v>875</v>
      </c>
      <c r="D10909" s="704" t="s">
        <v>675</v>
      </c>
      <c r="E10909" s="704" t="s">
        <v>861</v>
      </c>
      <c r="F10909" s="709"/>
      <c r="G10909" s="705">
        <v>816.15438289449071</v>
      </c>
    </row>
    <row r="10910" spans="2:7" ht="11.25" hidden="1" customHeight="1" outlineLevel="2" x14ac:dyDescent="0.25">
      <c r="B10910" s="704" t="s">
        <v>679</v>
      </c>
      <c r="C10910" s="704" t="s">
        <v>876</v>
      </c>
      <c r="D10910" s="704" t="s">
        <v>675</v>
      </c>
      <c r="E10910" s="704" t="s">
        <v>861</v>
      </c>
      <c r="F10910" s="709"/>
      <c r="G10910" s="705">
        <v>889.06218380009773</v>
      </c>
    </row>
    <row r="10911" spans="2:7" ht="11.25" hidden="1" customHeight="1" outlineLevel="2" x14ac:dyDescent="0.25">
      <c r="B10911" s="704" t="s">
        <v>679</v>
      </c>
      <c r="C10911" s="704" t="s">
        <v>877</v>
      </c>
      <c r="D10911" s="704" t="s">
        <v>675</v>
      </c>
      <c r="E10911" s="704" t="s">
        <v>861</v>
      </c>
      <c r="F10911" s="709"/>
      <c r="G10911" s="705">
        <v>3056.3836084867844</v>
      </c>
    </row>
    <row r="10912" spans="2:7" ht="11.25" hidden="1" customHeight="1" outlineLevel="2" x14ac:dyDescent="0.25">
      <c r="B10912" s="704" t="s">
        <v>679</v>
      </c>
      <c r="C10912" s="704" t="s">
        <v>878</v>
      </c>
      <c r="D10912" s="704" t="s">
        <v>675</v>
      </c>
      <c r="E10912" s="704" t="s">
        <v>861</v>
      </c>
      <c r="F10912" s="709"/>
      <c r="G10912" s="705">
        <v>143.89030766048199</v>
      </c>
    </row>
    <row r="10913" spans="2:7" ht="11.25" hidden="1" customHeight="1" outlineLevel="2" x14ac:dyDescent="0.25">
      <c r="B10913" s="704" t="s">
        <v>679</v>
      </c>
      <c r="C10913" s="704" t="s">
        <v>879</v>
      </c>
      <c r="D10913" s="704" t="s">
        <v>675</v>
      </c>
      <c r="E10913" s="704" t="s">
        <v>861</v>
      </c>
      <c r="F10913" s="709"/>
      <c r="G10913" s="705">
        <v>1143.8315391451524</v>
      </c>
    </row>
    <row r="10914" spans="2:7" ht="11.25" hidden="1" customHeight="1" outlineLevel="2" x14ac:dyDescent="0.25">
      <c r="B10914" s="704" t="s">
        <v>679</v>
      </c>
      <c r="C10914" s="704" t="s">
        <v>880</v>
      </c>
      <c r="D10914" s="704" t="s">
        <v>675</v>
      </c>
      <c r="E10914" s="704" t="s">
        <v>861</v>
      </c>
      <c r="F10914" s="709"/>
      <c r="G10914" s="705">
        <v>3889.5956548413069</v>
      </c>
    </row>
    <row r="10915" spans="2:7" ht="11.25" hidden="1" customHeight="1" outlineLevel="2" x14ac:dyDescent="0.25">
      <c r="B10915" s="704" t="s">
        <v>679</v>
      </c>
      <c r="C10915" s="704" t="s">
        <v>881</v>
      </c>
      <c r="D10915" s="704" t="s">
        <v>675</v>
      </c>
      <c r="E10915" s="704" t="s">
        <v>861</v>
      </c>
      <c r="F10915" s="709"/>
      <c r="G10915" s="705">
        <v>2358.8035884569704</v>
      </c>
    </row>
    <row r="10916" spans="2:7" ht="11.25" hidden="1" customHeight="1" outlineLevel="2" x14ac:dyDescent="0.25">
      <c r="B10916" s="704" t="s">
        <v>679</v>
      </c>
      <c r="C10916" s="704" t="s">
        <v>882</v>
      </c>
      <c r="D10916" s="704" t="s">
        <v>675</v>
      </c>
      <c r="E10916" s="704" t="s">
        <v>861</v>
      </c>
      <c r="F10916" s="709"/>
      <c r="G10916" s="705">
        <v>3559.73995578004</v>
      </c>
    </row>
    <row r="10917" spans="2:7" ht="11.25" hidden="1" customHeight="1" outlineLevel="2" x14ac:dyDescent="0.25">
      <c r="B10917" s="704" t="s">
        <v>679</v>
      </c>
      <c r="C10917" s="704" t="s">
        <v>883</v>
      </c>
      <c r="D10917" s="704" t="s">
        <v>675</v>
      </c>
      <c r="E10917" s="704" t="s">
        <v>861</v>
      </c>
      <c r="F10917" s="709"/>
      <c r="G10917" s="705">
        <v>1617.4110291108636</v>
      </c>
    </row>
    <row r="10918" spans="2:7" ht="11.25" hidden="1" customHeight="1" outlineLevel="2" x14ac:dyDescent="0.25">
      <c r="B10918" s="704" t="s">
        <v>679</v>
      </c>
      <c r="C10918" s="704" t="s">
        <v>884</v>
      </c>
      <c r="D10918" s="704" t="s">
        <v>675</v>
      </c>
      <c r="E10918" s="704" t="s">
        <v>861</v>
      </c>
      <c r="F10918" s="709"/>
      <c r="G10918" s="705">
        <v>382.89247716017303</v>
      </c>
    </row>
    <row r="10919" spans="2:7" ht="11.25" hidden="1" customHeight="1" outlineLevel="2" x14ac:dyDescent="0.25">
      <c r="B10919" s="704" t="s">
        <v>679</v>
      </c>
      <c r="C10919" s="704" t="s">
        <v>885</v>
      </c>
      <c r="D10919" s="704" t="s">
        <v>675</v>
      </c>
      <c r="E10919" s="704" t="s">
        <v>861</v>
      </c>
      <c r="F10919" s="709"/>
      <c r="G10919" s="705">
        <v>4.983365919467543</v>
      </c>
    </row>
    <row r="10920" spans="2:7" ht="11.25" hidden="1" customHeight="1" outlineLevel="2" x14ac:dyDescent="0.25">
      <c r="B10920" s="704" t="s">
        <v>679</v>
      </c>
      <c r="C10920" s="704" t="s">
        <v>886</v>
      </c>
      <c r="D10920" s="704" t="s">
        <v>675</v>
      </c>
      <c r="E10920" s="704" t="s">
        <v>861</v>
      </c>
      <c r="F10920" s="709"/>
      <c r="G10920" s="705">
        <v>366.90201154555837</v>
      </c>
    </row>
    <row r="10921" spans="2:7" ht="11.25" hidden="1" customHeight="1" outlineLevel="2" x14ac:dyDescent="0.25">
      <c r="B10921" s="704" t="s">
        <v>679</v>
      </c>
      <c r="C10921" s="704" t="s">
        <v>725</v>
      </c>
      <c r="D10921" s="704" t="s">
        <v>563</v>
      </c>
      <c r="E10921" s="704" t="s">
        <v>448</v>
      </c>
      <c r="F10921" s="705">
        <v>6.1346850047686556E-5</v>
      </c>
      <c r="G10921" s="705">
        <v>2.7501673323810746E-2</v>
      </c>
    </row>
    <row r="10922" spans="2:7" ht="11.25" hidden="1" customHeight="1" outlineLevel="2" x14ac:dyDescent="0.25">
      <c r="B10922" s="704" t="s">
        <v>679</v>
      </c>
      <c r="C10922" s="704" t="s">
        <v>726</v>
      </c>
      <c r="D10922" s="704" t="s">
        <v>563</v>
      </c>
      <c r="E10922" s="704" t="s">
        <v>448</v>
      </c>
      <c r="F10922" s="705">
        <v>4.8316047927810178E-6</v>
      </c>
      <c r="G10922" s="705">
        <v>2.1660002942862949E-3</v>
      </c>
    </row>
    <row r="10923" spans="2:7" ht="11.25" hidden="1" customHeight="1" outlineLevel="2" x14ac:dyDescent="0.25">
      <c r="B10923" s="704" t="s">
        <v>679</v>
      </c>
      <c r="C10923" s="704" t="s">
        <v>769</v>
      </c>
      <c r="D10923" s="704" t="s">
        <v>563</v>
      </c>
      <c r="E10923" s="704" t="s">
        <v>448</v>
      </c>
      <c r="F10923" s="705">
        <v>3.1322339779011848E-3</v>
      </c>
      <c r="G10923" s="705">
        <v>3.3451536773093613</v>
      </c>
    </row>
    <row r="10924" spans="2:7" ht="11.25" hidden="1" customHeight="1" outlineLevel="2" x14ac:dyDescent="0.25">
      <c r="B10924" s="704" t="s">
        <v>679</v>
      </c>
      <c r="C10924" s="704" t="s">
        <v>770</v>
      </c>
      <c r="D10924" s="704" t="s">
        <v>563</v>
      </c>
      <c r="E10924" s="704" t="s">
        <v>448</v>
      </c>
      <c r="F10924" s="705">
        <v>2.8475511534117211E-3</v>
      </c>
      <c r="G10924" s="705">
        <v>9.9059041064606372</v>
      </c>
    </row>
    <row r="10925" spans="2:7" ht="11.25" hidden="1" customHeight="1" outlineLevel="2" x14ac:dyDescent="0.25">
      <c r="B10925" s="704" t="s">
        <v>679</v>
      </c>
      <c r="C10925" s="704" t="s">
        <v>771</v>
      </c>
      <c r="D10925" s="704" t="s">
        <v>563</v>
      </c>
      <c r="E10925" s="704" t="s">
        <v>448</v>
      </c>
      <c r="F10925" s="705">
        <v>1.0646676839135107E-3</v>
      </c>
      <c r="G10925" s="705">
        <v>2.5017603942248643</v>
      </c>
    </row>
    <row r="10926" spans="2:7" ht="11.25" hidden="1" customHeight="1" outlineLevel="2" x14ac:dyDescent="0.25">
      <c r="B10926" s="704" t="s">
        <v>679</v>
      </c>
      <c r="C10926" s="704" t="s">
        <v>772</v>
      </c>
      <c r="D10926" s="704" t="s">
        <v>563</v>
      </c>
      <c r="E10926" s="704" t="s">
        <v>448</v>
      </c>
      <c r="F10926" s="705">
        <v>3.5715952859300009E-3</v>
      </c>
      <c r="G10926" s="705">
        <v>4.6631647896257711</v>
      </c>
    </row>
    <row r="10927" spans="2:7" ht="11.25" hidden="1" customHeight="1" outlineLevel="2" x14ac:dyDescent="0.25">
      <c r="B10927" s="704" t="s">
        <v>679</v>
      </c>
      <c r="C10927" s="704" t="s">
        <v>773</v>
      </c>
      <c r="D10927" s="704" t="s">
        <v>563</v>
      </c>
      <c r="E10927" s="704" t="s">
        <v>448</v>
      </c>
      <c r="F10927" s="705">
        <v>2.0008182721096291E-4</v>
      </c>
      <c r="G10927" s="705">
        <v>0.22911381464592398</v>
      </c>
    </row>
    <row r="10928" spans="2:7" ht="11.25" hidden="1" customHeight="1" outlineLevel="2" x14ac:dyDescent="0.25">
      <c r="B10928" s="704" t="s">
        <v>679</v>
      </c>
      <c r="C10928" s="704" t="s">
        <v>774</v>
      </c>
      <c r="D10928" s="704" t="s">
        <v>563</v>
      </c>
      <c r="E10928" s="704" t="s">
        <v>448</v>
      </c>
      <c r="F10928" s="705">
        <v>4.0879212997327184E-4</v>
      </c>
      <c r="G10928" s="705">
        <v>0.55337786939888889</v>
      </c>
    </row>
    <row r="10929" spans="2:7" ht="11.25" hidden="1" customHeight="1" outlineLevel="2" x14ac:dyDescent="0.25">
      <c r="B10929" s="704" t="s">
        <v>679</v>
      </c>
      <c r="C10929" s="704" t="s">
        <v>775</v>
      </c>
      <c r="D10929" s="704" t="s">
        <v>563</v>
      </c>
      <c r="E10929" s="704" t="s">
        <v>448</v>
      </c>
      <c r="F10929" s="705">
        <v>7.8552446349812731E-5</v>
      </c>
      <c r="G10929" s="705">
        <v>1.0100913996089811</v>
      </c>
    </row>
    <row r="10930" spans="2:7" ht="11.25" hidden="1" customHeight="1" outlineLevel="2" x14ac:dyDescent="0.25">
      <c r="B10930" s="704" t="s">
        <v>679</v>
      </c>
      <c r="C10930" s="704" t="s">
        <v>839</v>
      </c>
      <c r="D10930" s="704" t="s">
        <v>563</v>
      </c>
      <c r="E10930" s="704" t="s">
        <v>824</v>
      </c>
      <c r="F10930" s="705">
        <v>3.4921202048535734E-3</v>
      </c>
      <c r="G10930" s="705">
        <v>8.4742151460665447</v>
      </c>
    </row>
    <row r="10931" spans="2:7" ht="11.25" hidden="1" customHeight="1" outlineLevel="2" x14ac:dyDescent="0.25">
      <c r="B10931" s="704" t="s">
        <v>679</v>
      </c>
      <c r="C10931" s="704" t="s">
        <v>840</v>
      </c>
      <c r="D10931" s="704" t="s">
        <v>563</v>
      </c>
      <c r="E10931" s="704" t="s">
        <v>824</v>
      </c>
      <c r="F10931" s="705">
        <v>0.10176856754011748</v>
      </c>
      <c r="G10931" s="705">
        <v>749.25106335855753</v>
      </c>
    </row>
    <row r="10932" spans="2:7" ht="11.25" hidden="1" customHeight="1" outlineLevel="2" x14ac:dyDescent="0.25">
      <c r="B10932" s="704" t="s">
        <v>679</v>
      </c>
      <c r="C10932" s="704" t="s">
        <v>841</v>
      </c>
      <c r="D10932" s="704" t="s">
        <v>563</v>
      </c>
      <c r="E10932" s="704" t="s">
        <v>824</v>
      </c>
      <c r="F10932" s="705">
        <v>4.9499665603211767E-4</v>
      </c>
      <c r="G10932" s="705">
        <v>5.6643547122757489</v>
      </c>
    </row>
    <row r="10933" spans="2:7" ht="11.25" hidden="1" customHeight="1" outlineLevel="2" x14ac:dyDescent="0.25">
      <c r="B10933" s="704" t="s">
        <v>679</v>
      </c>
      <c r="C10933" s="704" t="s">
        <v>842</v>
      </c>
      <c r="D10933" s="704" t="s">
        <v>563</v>
      </c>
      <c r="E10933" s="704" t="s">
        <v>824</v>
      </c>
      <c r="F10933" s="705">
        <v>1.7937462793672393E-4</v>
      </c>
      <c r="G10933" s="705">
        <v>1.7556900306118084</v>
      </c>
    </row>
    <row r="10934" spans="2:7" ht="11.25" hidden="1" customHeight="1" outlineLevel="2" x14ac:dyDescent="0.25">
      <c r="B10934" s="704" t="s">
        <v>679</v>
      </c>
      <c r="C10934" s="704" t="s">
        <v>843</v>
      </c>
      <c r="D10934" s="704" t="s">
        <v>563</v>
      </c>
      <c r="E10934" s="704" t="s">
        <v>824</v>
      </c>
      <c r="F10934" s="705">
        <v>1.7337585258684089E-4</v>
      </c>
      <c r="G10934" s="705">
        <v>0.45299808414371145</v>
      </c>
    </row>
    <row r="10935" spans="2:7" ht="11.25" hidden="1" customHeight="1" outlineLevel="2" x14ac:dyDescent="0.25">
      <c r="B10935" s="704" t="s">
        <v>679</v>
      </c>
      <c r="C10935" s="704" t="s">
        <v>844</v>
      </c>
      <c r="D10935" s="704" t="s">
        <v>563</v>
      </c>
      <c r="E10935" s="704" t="s">
        <v>824</v>
      </c>
      <c r="F10935" s="705">
        <v>1.73383005560219E-4</v>
      </c>
      <c r="G10935" s="705">
        <v>3.445584400442137</v>
      </c>
    </row>
    <row r="10936" spans="2:7" ht="11.25" hidden="1" customHeight="1" outlineLevel="2" x14ac:dyDescent="0.25">
      <c r="B10936" s="704" t="s">
        <v>679</v>
      </c>
      <c r="C10936" s="704" t="s">
        <v>700</v>
      </c>
      <c r="D10936" s="704" t="s">
        <v>563</v>
      </c>
      <c r="E10936" s="704" t="s">
        <v>676</v>
      </c>
      <c r="F10936" s="705">
        <v>0.525583808714988</v>
      </c>
      <c r="G10936" s="705">
        <v>44.230936721427845</v>
      </c>
    </row>
    <row r="10937" spans="2:7" ht="11.25" hidden="1" customHeight="1" outlineLevel="2" x14ac:dyDescent="0.25">
      <c r="B10937" s="704" t="s">
        <v>679</v>
      </c>
      <c r="C10937" s="704" t="s">
        <v>701</v>
      </c>
      <c r="D10937" s="704" t="s">
        <v>563</v>
      </c>
      <c r="E10937" s="704" t="s">
        <v>676</v>
      </c>
      <c r="F10937" s="705">
        <v>5.7407213601065523E-4</v>
      </c>
      <c r="G10937" s="705">
        <v>5.0269935933692576E-2</v>
      </c>
    </row>
    <row r="10938" spans="2:7" ht="11.25" hidden="1" customHeight="1" outlineLevel="2" x14ac:dyDescent="0.25">
      <c r="B10938" s="704" t="s">
        <v>679</v>
      </c>
      <c r="C10938" s="704" t="s">
        <v>702</v>
      </c>
      <c r="D10938" s="704" t="s">
        <v>563</v>
      </c>
      <c r="E10938" s="704" t="s">
        <v>676</v>
      </c>
      <c r="F10938" s="705">
        <v>2.6786183078260454E-4</v>
      </c>
      <c r="G10938" s="705">
        <v>2.7453049176611254E-2</v>
      </c>
    </row>
    <row r="10939" spans="2:7" ht="11.25" hidden="1" customHeight="1" outlineLevel="2" x14ac:dyDescent="0.25">
      <c r="B10939" s="704" t="s">
        <v>679</v>
      </c>
      <c r="C10939" s="704" t="s">
        <v>703</v>
      </c>
      <c r="D10939" s="704" t="s">
        <v>563</v>
      </c>
      <c r="E10939" s="704" t="s">
        <v>676</v>
      </c>
      <c r="F10939" s="705">
        <v>5.3048338438391636E-3</v>
      </c>
      <c r="G10939" s="705">
        <v>0.52238820230307681</v>
      </c>
    </row>
    <row r="10940" spans="2:7" ht="11.25" hidden="1" customHeight="1" outlineLevel="2" x14ac:dyDescent="0.25">
      <c r="B10940" s="704" t="s">
        <v>679</v>
      </c>
      <c r="C10940" s="704" t="s">
        <v>704</v>
      </c>
      <c r="D10940" s="704" t="s">
        <v>563</v>
      </c>
      <c r="E10940" s="704" t="s">
        <v>676</v>
      </c>
      <c r="F10940" s="705">
        <v>9.1218728997981302E-4</v>
      </c>
      <c r="G10940" s="705">
        <v>0.20513106103028927</v>
      </c>
    </row>
    <row r="10941" spans="2:7" ht="11.25" hidden="1" customHeight="1" outlineLevel="2" x14ac:dyDescent="0.25">
      <c r="B10941" s="704" t="s">
        <v>679</v>
      </c>
      <c r="C10941" s="704" t="s">
        <v>887</v>
      </c>
      <c r="D10941" s="704" t="s">
        <v>563</v>
      </c>
      <c r="E10941" s="704" t="s">
        <v>861</v>
      </c>
      <c r="F10941" s="709"/>
      <c r="G10941" s="705">
        <v>13.787216732280912</v>
      </c>
    </row>
    <row r="10942" spans="2:7" ht="11.25" hidden="1" customHeight="1" outlineLevel="2" x14ac:dyDescent="0.25">
      <c r="B10942" s="704" t="s">
        <v>679</v>
      </c>
      <c r="C10942" s="704" t="s">
        <v>888</v>
      </c>
      <c r="D10942" s="704" t="s">
        <v>563</v>
      </c>
      <c r="E10942" s="704" t="s">
        <v>861</v>
      </c>
      <c r="F10942" s="709"/>
      <c r="G10942" s="705">
        <v>200.06041773682296</v>
      </c>
    </row>
    <row r="10943" spans="2:7" ht="11.25" hidden="1" customHeight="1" outlineLevel="2" x14ac:dyDescent="0.25">
      <c r="B10943" s="704" t="s">
        <v>679</v>
      </c>
      <c r="C10943" s="704" t="s">
        <v>889</v>
      </c>
      <c r="D10943" s="704" t="s">
        <v>563</v>
      </c>
      <c r="E10943" s="704" t="s">
        <v>861</v>
      </c>
      <c r="F10943" s="709"/>
      <c r="G10943" s="705">
        <v>87.319766867505265</v>
      </c>
    </row>
    <row r="10944" spans="2:7" ht="11.25" hidden="1" customHeight="1" outlineLevel="2" x14ac:dyDescent="0.25">
      <c r="B10944" s="704" t="s">
        <v>679</v>
      </c>
      <c r="C10944" s="704" t="s">
        <v>890</v>
      </c>
      <c r="D10944" s="704" t="s">
        <v>563</v>
      </c>
      <c r="E10944" s="704" t="s">
        <v>861</v>
      </c>
      <c r="F10944" s="709"/>
      <c r="G10944" s="705">
        <v>88.628604995621345</v>
      </c>
    </row>
    <row r="10945" spans="2:7" ht="11.25" hidden="1" customHeight="1" outlineLevel="2" x14ac:dyDescent="0.25">
      <c r="B10945" s="704" t="s">
        <v>679</v>
      </c>
      <c r="C10945" s="704" t="s">
        <v>891</v>
      </c>
      <c r="D10945" s="704" t="s">
        <v>563</v>
      </c>
      <c r="E10945" s="704" t="s">
        <v>861</v>
      </c>
      <c r="F10945" s="709"/>
      <c r="G10945" s="705">
        <v>3.4071999139075526</v>
      </c>
    </row>
    <row r="10946" spans="2:7" ht="11.25" hidden="1" customHeight="1" outlineLevel="2" x14ac:dyDescent="0.25">
      <c r="B10946" s="704" t="s">
        <v>679</v>
      </c>
      <c r="C10946" s="704" t="s">
        <v>892</v>
      </c>
      <c r="D10946" s="704" t="s">
        <v>563</v>
      </c>
      <c r="E10946" s="704" t="s">
        <v>861</v>
      </c>
      <c r="F10946" s="709"/>
      <c r="G10946" s="705">
        <v>1519.4956602554444</v>
      </c>
    </row>
    <row r="10947" spans="2:7" ht="11.25" hidden="1" customHeight="1" outlineLevel="2" x14ac:dyDescent="0.25">
      <c r="B10947" s="704" t="s">
        <v>679</v>
      </c>
      <c r="C10947" s="704" t="s">
        <v>893</v>
      </c>
      <c r="D10947" s="704" t="s">
        <v>563</v>
      </c>
      <c r="E10947" s="704" t="s">
        <v>861</v>
      </c>
      <c r="F10947" s="709"/>
      <c r="G10947" s="705">
        <v>125.95339813709955</v>
      </c>
    </row>
    <row r="10948" spans="2:7" ht="11.25" hidden="1" customHeight="1" outlineLevel="2" x14ac:dyDescent="0.25">
      <c r="B10948" s="704" t="s">
        <v>679</v>
      </c>
      <c r="C10948" s="704" t="s">
        <v>727</v>
      </c>
      <c r="D10948" s="704" t="s">
        <v>728</v>
      </c>
      <c r="E10948" s="704" t="s">
        <v>448</v>
      </c>
      <c r="F10948" s="705">
        <v>5.4150640348428463E-3</v>
      </c>
      <c r="G10948" s="705">
        <v>2.9655682503632166</v>
      </c>
    </row>
    <row r="10949" spans="2:7" ht="11.25" hidden="1" customHeight="1" outlineLevel="2" x14ac:dyDescent="0.25">
      <c r="B10949" s="704" t="s">
        <v>679</v>
      </c>
      <c r="C10949" s="704" t="s">
        <v>729</v>
      </c>
      <c r="D10949" s="704" t="s">
        <v>728</v>
      </c>
      <c r="E10949" s="704" t="s">
        <v>448</v>
      </c>
      <c r="F10949" s="705">
        <v>2.0869841206686841E-2</v>
      </c>
      <c r="G10949" s="705">
        <v>11.262867523767431</v>
      </c>
    </row>
    <row r="10950" spans="2:7" ht="11.25" hidden="1" customHeight="1" outlineLevel="2" x14ac:dyDescent="0.25">
      <c r="B10950" s="704" t="s">
        <v>679</v>
      </c>
      <c r="C10950" s="704" t="s">
        <v>730</v>
      </c>
      <c r="D10950" s="704" t="s">
        <v>728</v>
      </c>
      <c r="E10950" s="704" t="s">
        <v>448</v>
      </c>
      <c r="F10950" s="705">
        <v>7.7694422066920982E-2</v>
      </c>
      <c r="G10950" s="705">
        <v>40.512062783689387</v>
      </c>
    </row>
    <row r="10951" spans="2:7" ht="11.25" hidden="1" customHeight="1" outlineLevel="2" x14ac:dyDescent="0.25">
      <c r="B10951" s="704" t="s">
        <v>679</v>
      </c>
      <c r="C10951" s="704" t="s">
        <v>731</v>
      </c>
      <c r="D10951" s="704" t="s">
        <v>728</v>
      </c>
      <c r="E10951" s="704" t="s">
        <v>448</v>
      </c>
      <c r="F10951" s="705">
        <v>0.22859461796973785</v>
      </c>
      <c r="G10951" s="705">
        <v>125.34361848842487</v>
      </c>
    </row>
    <row r="10952" spans="2:7" ht="11.25" hidden="1" customHeight="1" outlineLevel="2" x14ac:dyDescent="0.25">
      <c r="B10952" s="704" t="s">
        <v>679</v>
      </c>
      <c r="C10952" s="704" t="s">
        <v>732</v>
      </c>
      <c r="D10952" s="704" t="s">
        <v>728</v>
      </c>
      <c r="E10952" s="704" t="s">
        <v>448</v>
      </c>
      <c r="F10952" s="705">
        <v>9.5801137191246222E-2</v>
      </c>
      <c r="G10952" s="705">
        <v>56.455595058927429</v>
      </c>
    </row>
    <row r="10953" spans="2:7" ht="11.25" hidden="1" customHeight="1" outlineLevel="2" x14ac:dyDescent="0.25">
      <c r="B10953" s="704" t="s">
        <v>679</v>
      </c>
      <c r="C10953" s="704" t="s">
        <v>733</v>
      </c>
      <c r="D10953" s="704" t="s">
        <v>728</v>
      </c>
      <c r="E10953" s="704" t="s">
        <v>448</v>
      </c>
      <c r="F10953" s="705">
        <v>0.21586615002739545</v>
      </c>
      <c r="G10953" s="705">
        <v>109.29753235882926</v>
      </c>
    </row>
    <row r="10954" spans="2:7" ht="11.25" hidden="1" customHeight="1" outlineLevel="2" x14ac:dyDescent="0.25">
      <c r="B10954" s="704" t="s">
        <v>679</v>
      </c>
      <c r="C10954" s="704" t="s">
        <v>734</v>
      </c>
      <c r="D10954" s="704" t="s">
        <v>728</v>
      </c>
      <c r="E10954" s="704" t="s">
        <v>448</v>
      </c>
      <c r="F10954" s="705">
        <v>6.7526689351383867E-2</v>
      </c>
      <c r="G10954" s="705">
        <v>36.334687950946616</v>
      </c>
    </row>
    <row r="10955" spans="2:7" ht="11.25" hidden="1" customHeight="1" outlineLevel="2" x14ac:dyDescent="0.25">
      <c r="B10955" s="704" t="s">
        <v>679</v>
      </c>
      <c r="C10955" s="704" t="s">
        <v>735</v>
      </c>
      <c r="D10955" s="704" t="s">
        <v>728</v>
      </c>
      <c r="E10955" s="704" t="s">
        <v>448</v>
      </c>
      <c r="F10955" s="705">
        <v>0.19052566008056318</v>
      </c>
      <c r="G10955" s="705">
        <v>102.05782172114117</v>
      </c>
    </row>
    <row r="10956" spans="2:7" ht="11.25" hidden="1" customHeight="1" outlineLevel="2" x14ac:dyDescent="0.25">
      <c r="B10956" s="704" t="s">
        <v>679</v>
      </c>
      <c r="C10956" s="704" t="s">
        <v>736</v>
      </c>
      <c r="D10956" s="704" t="s">
        <v>728</v>
      </c>
      <c r="E10956" s="704" t="s">
        <v>448</v>
      </c>
      <c r="F10956" s="705">
        <v>0.11748529684641761</v>
      </c>
      <c r="G10956" s="705">
        <v>17.293218167474112</v>
      </c>
    </row>
    <row r="10957" spans="2:7" ht="11.25" hidden="1" customHeight="1" outlineLevel="2" x14ac:dyDescent="0.25">
      <c r="B10957" s="704" t="s">
        <v>679</v>
      </c>
      <c r="C10957" s="704" t="s">
        <v>737</v>
      </c>
      <c r="D10957" s="704" t="s">
        <v>728</v>
      </c>
      <c r="E10957" s="704" t="s">
        <v>448</v>
      </c>
      <c r="F10957" s="705">
        <v>0.22155748870418376</v>
      </c>
      <c r="G10957" s="705">
        <v>32.612420951918025</v>
      </c>
    </row>
    <row r="10958" spans="2:7" ht="11.25" hidden="1" customHeight="1" outlineLevel="2" x14ac:dyDescent="0.25">
      <c r="B10958" s="704" t="s">
        <v>679</v>
      </c>
      <c r="C10958" s="704" t="s">
        <v>738</v>
      </c>
      <c r="D10958" s="704" t="s">
        <v>728</v>
      </c>
      <c r="E10958" s="704" t="s">
        <v>448</v>
      </c>
      <c r="F10958" s="705">
        <v>9.3339029635263816E-5</v>
      </c>
      <c r="G10958" s="705">
        <v>4.6649166843565064E-2</v>
      </c>
    </row>
    <row r="10959" spans="2:7" ht="11.25" hidden="1" customHeight="1" outlineLevel="2" x14ac:dyDescent="0.25">
      <c r="B10959" s="704" t="s">
        <v>679</v>
      </c>
      <c r="C10959" s="704" t="s">
        <v>776</v>
      </c>
      <c r="D10959" s="704" t="s">
        <v>728</v>
      </c>
      <c r="E10959" s="704" t="s">
        <v>448</v>
      </c>
      <c r="F10959" s="705">
        <v>0.81508317572152045</v>
      </c>
      <c r="G10959" s="705">
        <v>506.11876351899286</v>
      </c>
    </row>
    <row r="10960" spans="2:7" ht="11.25" hidden="1" customHeight="1" outlineLevel="2" x14ac:dyDescent="0.25">
      <c r="B10960" s="704" t="s">
        <v>679</v>
      </c>
      <c r="C10960" s="704" t="s">
        <v>777</v>
      </c>
      <c r="D10960" s="704" t="s">
        <v>728</v>
      </c>
      <c r="E10960" s="704" t="s">
        <v>448</v>
      </c>
      <c r="F10960" s="705">
        <v>0.26708465373600138</v>
      </c>
      <c r="G10960" s="705">
        <v>318.6006315521177</v>
      </c>
    </row>
    <row r="10961" spans="2:7" ht="11.25" hidden="1" customHeight="1" outlineLevel="2" x14ac:dyDescent="0.25">
      <c r="B10961" s="704" t="s">
        <v>679</v>
      </c>
      <c r="C10961" s="704" t="s">
        <v>778</v>
      </c>
      <c r="D10961" s="704" t="s">
        <v>728</v>
      </c>
      <c r="E10961" s="704" t="s">
        <v>448</v>
      </c>
      <c r="F10961" s="705">
        <v>6.8903252115819671E-2</v>
      </c>
      <c r="G10961" s="705">
        <v>42.43873405099454</v>
      </c>
    </row>
    <row r="10962" spans="2:7" ht="11.25" hidden="1" customHeight="1" outlineLevel="2" x14ac:dyDescent="0.25">
      <c r="B10962" s="704" t="s">
        <v>679</v>
      </c>
      <c r="C10962" s="704" t="s">
        <v>779</v>
      </c>
      <c r="D10962" s="704" t="s">
        <v>728</v>
      </c>
      <c r="E10962" s="704" t="s">
        <v>448</v>
      </c>
      <c r="F10962" s="705">
        <v>0.2164895827002663</v>
      </c>
      <c r="G10962" s="705">
        <v>162.17059251034311</v>
      </c>
    </row>
    <row r="10963" spans="2:7" ht="11.25" hidden="1" customHeight="1" outlineLevel="2" x14ac:dyDescent="0.25">
      <c r="B10963" s="704" t="s">
        <v>679</v>
      </c>
      <c r="C10963" s="704" t="s">
        <v>780</v>
      </c>
      <c r="D10963" s="704" t="s">
        <v>728</v>
      </c>
      <c r="E10963" s="704" t="s">
        <v>448</v>
      </c>
      <c r="F10963" s="705">
        <v>3.7346476703223729E-3</v>
      </c>
      <c r="G10963" s="705">
        <v>2.8175559082497403</v>
      </c>
    </row>
    <row r="10964" spans="2:7" ht="11.25" hidden="1" customHeight="1" outlineLevel="2" x14ac:dyDescent="0.25">
      <c r="B10964" s="704" t="s">
        <v>679</v>
      </c>
      <c r="C10964" s="704" t="s">
        <v>781</v>
      </c>
      <c r="D10964" s="704" t="s">
        <v>728</v>
      </c>
      <c r="E10964" s="704" t="s">
        <v>448</v>
      </c>
      <c r="F10964" s="705">
        <v>5.9352252969964107E-3</v>
      </c>
      <c r="G10964" s="705">
        <v>7.3803416010510112</v>
      </c>
    </row>
    <row r="10965" spans="2:7" ht="11.25" hidden="1" customHeight="1" outlineLevel="2" x14ac:dyDescent="0.25">
      <c r="B10965" s="704" t="s">
        <v>679</v>
      </c>
      <c r="C10965" s="704" t="s">
        <v>782</v>
      </c>
      <c r="D10965" s="704" t="s">
        <v>728</v>
      </c>
      <c r="E10965" s="704" t="s">
        <v>448</v>
      </c>
      <c r="F10965" s="705">
        <v>7.1080053173934524E-3</v>
      </c>
      <c r="G10965" s="705">
        <v>5.375392913384176</v>
      </c>
    </row>
    <row r="10966" spans="2:7" ht="11.25" hidden="1" customHeight="1" outlineLevel="2" x14ac:dyDescent="0.25">
      <c r="B10966" s="704" t="s">
        <v>679</v>
      </c>
      <c r="C10966" s="704" t="s">
        <v>783</v>
      </c>
      <c r="D10966" s="704" t="s">
        <v>728</v>
      </c>
      <c r="E10966" s="704" t="s">
        <v>448</v>
      </c>
      <c r="F10966" s="705">
        <v>0.19485688924370431</v>
      </c>
      <c r="G10966" s="705">
        <v>304.47701044737863</v>
      </c>
    </row>
    <row r="10967" spans="2:7" ht="11.25" hidden="1" customHeight="1" outlineLevel="2" x14ac:dyDescent="0.25">
      <c r="B10967" s="704" t="s">
        <v>679</v>
      </c>
      <c r="C10967" s="704" t="s">
        <v>784</v>
      </c>
      <c r="D10967" s="704" t="s">
        <v>728</v>
      </c>
      <c r="E10967" s="704" t="s">
        <v>448</v>
      </c>
      <c r="F10967" s="705">
        <v>0.10167822909418223</v>
      </c>
      <c r="G10967" s="705">
        <v>55.87171953239497</v>
      </c>
    </row>
    <row r="10968" spans="2:7" ht="11.25" hidden="1" customHeight="1" outlineLevel="2" x14ac:dyDescent="0.25">
      <c r="B10968" s="704" t="s">
        <v>679</v>
      </c>
      <c r="C10968" s="704" t="s">
        <v>785</v>
      </c>
      <c r="D10968" s="704" t="s">
        <v>728</v>
      </c>
      <c r="E10968" s="704" t="s">
        <v>448</v>
      </c>
      <c r="F10968" s="705">
        <v>0.19177843132987421</v>
      </c>
      <c r="G10968" s="705">
        <v>105.36567143090613</v>
      </c>
    </row>
    <row r="10969" spans="2:7" ht="11.25" hidden="1" customHeight="1" outlineLevel="2" x14ac:dyDescent="0.25">
      <c r="B10969" s="704" t="s">
        <v>679</v>
      </c>
      <c r="C10969" s="704" t="s">
        <v>786</v>
      </c>
      <c r="D10969" s="704" t="s">
        <v>728</v>
      </c>
      <c r="E10969" s="704" t="s">
        <v>448</v>
      </c>
      <c r="F10969" s="705">
        <v>8.0174934272124687E-2</v>
      </c>
      <c r="G10969" s="705">
        <v>101.55079946089609</v>
      </c>
    </row>
    <row r="10970" spans="2:7" ht="11.25" hidden="1" customHeight="1" outlineLevel="2" x14ac:dyDescent="0.25">
      <c r="B10970" s="704" t="s">
        <v>679</v>
      </c>
      <c r="C10970" s="704" t="s">
        <v>787</v>
      </c>
      <c r="D10970" s="704" t="s">
        <v>728</v>
      </c>
      <c r="E10970" s="704" t="s">
        <v>448</v>
      </c>
      <c r="F10970" s="705">
        <v>2.4886597389646922E-2</v>
      </c>
      <c r="G10970" s="705">
        <v>35.177119872465511</v>
      </c>
    </row>
    <row r="10971" spans="2:7" ht="11.25" hidden="1" customHeight="1" outlineLevel="2" x14ac:dyDescent="0.25">
      <c r="B10971" s="704" t="s">
        <v>679</v>
      </c>
      <c r="C10971" s="704" t="s">
        <v>788</v>
      </c>
      <c r="D10971" s="704" t="s">
        <v>728</v>
      </c>
      <c r="E10971" s="704" t="s">
        <v>448</v>
      </c>
      <c r="F10971" s="705">
        <v>3.5077236063405133E-2</v>
      </c>
      <c r="G10971" s="705">
        <v>40.038808475626283</v>
      </c>
    </row>
    <row r="10972" spans="2:7" ht="11.25" hidden="1" customHeight="1" outlineLevel="2" x14ac:dyDescent="0.25">
      <c r="B10972" s="704" t="s">
        <v>679</v>
      </c>
      <c r="C10972" s="704" t="s">
        <v>789</v>
      </c>
      <c r="D10972" s="704" t="s">
        <v>728</v>
      </c>
      <c r="E10972" s="704" t="s">
        <v>448</v>
      </c>
      <c r="F10972" s="705">
        <v>2.7032506416204905E-2</v>
      </c>
      <c r="G10972" s="705">
        <v>18.644694718609138</v>
      </c>
    </row>
    <row r="10973" spans="2:7" ht="11.25" hidden="1" customHeight="1" outlineLevel="2" x14ac:dyDescent="0.25">
      <c r="B10973" s="704" t="s">
        <v>679</v>
      </c>
      <c r="C10973" s="704" t="s">
        <v>790</v>
      </c>
      <c r="D10973" s="704" t="s">
        <v>728</v>
      </c>
      <c r="E10973" s="704" t="s">
        <v>448</v>
      </c>
      <c r="F10973" s="705">
        <v>1.0720969585110609</v>
      </c>
      <c r="G10973" s="705">
        <v>1361.2175513152122</v>
      </c>
    </row>
    <row r="10974" spans="2:7" ht="11.25" hidden="1" customHeight="1" outlineLevel="2" x14ac:dyDescent="0.25">
      <c r="B10974" s="704" t="s">
        <v>679</v>
      </c>
      <c r="C10974" s="704" t="s">
        <v>791</v>
      </c>
      <c r="D10974" s="704" t="s">
        <v>728</v>
      </c>
      <c r="E10974" s="704" t="s">
        <v>448</v>
      </c>
      <c r="F10974" s="705">
        <v>0.3381494511895532</v>
      </c>
      <c r="G10974" s="705">
        <v>478.0724568013826</v>
      </c>
    </row>
    <row r="10975" spans="2:7" ht="11.25" hidden="1" customHeight="1" outlineLevel="2" x14ac:dyDescent="0.25">
      <c r="B10975" s="704" t="s">
        <v>679</v>
      </c>
      <c r="C10975" s="704" t="s">
        <v>792</v>
      </c>
      <c r="D10975" s="704" t="s">
        <v>728</v>
      </c>
      <c r="E10975" s="704" t="s">
        <v>448</v>
      </c>
      <c r="F10975" s="705">
        <v>3.80702306582461E-2</v>
      </c>
      <c r="G10975" s="705">
        <v>80.039269146183671</v>
      </c>
    </row>
    <row r="10976" spans="2:7" ht="11.25" hidden="1" customHeight="1" outlineLevel="2" x14ac:dyDescent="0.25">
      <c r="B10976" s="704" t="s">
        <v>679</v>
      </c>
      <c r="C10976" s="704" t="s">
        <v>793</v>
      </c>
      <c r="D10976" s="704" t="s">
        <v>728</v>
      </c>
      <c r="E10976" s="704" t="s">
        <v>448</v>
      </c>
      <c r="F10976" s="705">
        <v>1.0589968067637747</v>
      </c>
      <c r="G10976" s="705">
        <v>1542.2927073022538</v>
      </c>
    </row>
    <row r="10977" spans="2:7" ht="11.25" hidden="1" customHeight="1" outlineLevel="2" x14ac:dyDescent="0.25">
      <c r="B10977" s="704" t="s">
        <v>679</v>
      </c>
      <c r="C10977" s="704" t="s">
        <v>794</v>
      </c>
      <c r="D10977" s="704" t="s">
        <v>728</v>
      </c>
      <c r="E10977" s="704" t="s">
        <v>448</v>
      </c>
      <c r="F10977" s="705">
        <v>6.1657740164469857E-2</v>
      </c>
      <c r="G10977" s="705">
        <v>48.216078114368003</v>
      </c>
    </row>
    <row r="10978" spans="2:7" ht="11.25" hidden="1" customHeight="1" outlineLevel="2" x14ac:dyDescent="0.25">
      <c r="B10978" s="704" t="s">
        <v>679</v>
      </c>
      <c r="C10978" s="704" t="s">
        <v>795</v>
      </c>
      <c r="D10978" s="704" t="s">
        <v>728</v>
      </c>
      <c r="E10978" s="704" t="s">
        <v>448</v>
      </c>
      <c r="F10978" s="705">
        <v>6.0307625773725143E-2</v>
      </c>
      <c r="G10978" s="705">
        <v>47.255200490427917</v>
      </c>
    </row>
    <row r="10979" spans="2:7" ht="11.25" hidden="1" customHeight="1" outlineLevel="2" x14ac:dyDescent="0.25">
      <c r="B10979" s="704" t="s">
        <v>679</v>
      </c>
      <c r="C10979" s="704" t="s">
        <v>845</v>
      </c>
      <c r="D10979" s="704" t="s">
        <v>728</v>
      </c>
      <c r="E10979" s="704" t="s">
        <v>824</v>
      </c>
      <c r="F10979" s="705">
        <v>2.9764980927591265E-3</v>
      </c>
      <c r="G10979" s="705">
        <v>26.551612620636263</v>
      </c>
    </row>
    <row r="10980" spans="2:7" ht="11.25" hidden="1" customHeight="1" outlineLevel="2" x14ac:dyDescent="0.25">
      <c r="B10980" s="704" t="s">
        <v>679</v>
      </c>
      <c r="C10980" s="704" t="s">
        <v>894</v>
      </c>
      <c r="D10980" s="704" t="s">
        <v>728</v>
      </c>
      <c r="E10980" s="704" t="s">
        <v>861</v>
      </c>
      <c r="F10980" s="709"/>
      <c r="G10980" s="705">
        <v>4.1273656989865237E-2</v>
      </c>
    </row>
    <row r="10981" spans="2:7" ht="11.25" hidden="1" customHeight="1" outlineLevel="2" x14ac:dyDescent="0.25">
      <c r="B10981" s="704" t="s">
        <v>679</v>
      </c>
      <c r="C10981" s="704" t="s">
        <v>895</v>
      </c>
      <c r="D10981" s="704" t="s">
        <v>728</v>
      </c>
      <c r="E10981" s="704" t="s">
        <v>861</v>
      </c>
      <c r="F10981" s="709"/>
      <c r="G10981" s="705">
        <v>11.030056844473028</v>
      </c>
    </row>
    <row r="10982" spans="2:7" ht="11.25" hidden="1" customHeight="1" outlineLevel="2" x14ac:dyDescent="0.25">
      <c r="B10982" s="704" t="s">
        <v>679</v>
      </c>
      <c r="C10982" s="704" t="s">
        <v>896</v>
      </c>
      <c r="D10982" s="704" t="s">
        <v>728</v>
      </c>
      <c r="E10982" s="704" t="s">
        <v>861</v>
      </c>
      <c r="F10982" s="709"/>
      <c r="G10982" s="705">
        <v>288.61897974000595</v>
      </c>
    </row>
    <row r="10983" spans="2:7" ht="11.25" hidden="1" customHeight="1" outlineLevel="2" x14ac:dyDescent="0.25">
      <c r="B10983" s="704" t="s">
        <v>679</v>
      </c>
      <c r="C10983" s="704" t="s">
        <v>897</v>
      </c>
      <c r="D10983" s="704" t="s">
        <v>728</v>
      </c>
      <c r="E10983" s="704" t="s">
        <v>861</v>
      </c>
      <c r="F10983" s="709"/>
      <c r="G10983" s="705">
        <v>59.561188151646171</v>
      </c>
    </row>
    <row r="10984" spans="2:7" ht="11.25" hidden="1" customHeight="1" outlineLevel="2" x14ac:dyDescent="0.25">
      <c r="B10984" s="704" t="s">
        <v>679</v>
      </c>
      <c r="C10984" s="704" t="s">
        <v>898</v>
      </c>
      <c r="D10984" s="704" t="s">
        <v>728</v>
      </c>
      <c r="E10984" s="704" t="s">
        <v>861</v>
      </c>
      <c r="F10984" s="709"/>
      <c r="G10984" s="705">
        <v>392.94709168039361</v>
      </c>
    </row>
    <row r="10985" spans="2:7" ht="11.25" hidden="1" customHeight="1" outlineLevel="2" x14ac:dyDescent="0.25">
      <c r="B10985" s="704" t="s">
        <v>679</v>
      </c>
      <c r="C10985" s="704" t="s">
        <v>899</v>
      </c>
      <c r="D10985" s="704" t="s">
        <v>728</v>
      </c>
      <c r="E10985" s="704" t="s">
        <v>861</v>
      </c>
      <c r="F10985" s="709"/>
      <c r="G10985" s="705">
        <v>46.331843866946443</v>
      </c>
    </row>
    <row r="10986" spans="2:7" ht="11.25" hidden="1" customHeight="1" outlineLevel="2" x14ac:dyDescent="0.25">
      <c r="B10986" s="704" t="s">
        <v>679</v>
      </c>
      <c r="C10986" s="704" t="s">
        <v>900</v>
      </c>
      <c r="D10986" s="704" t="s">
        <v>728</v>
      </c>
      <c r="E10986" s="704" t="s">
        <v>861</v>
      </c>
      <c r="F10986" s="709"/>
      <c r="G10986" s="705">
        <v>1.1036533018772345</v>
      </c>
    </row>
    <row r="10987" spans="2:7" ht="11.25" hidden="1" customHeight="1" outlineLevel="2" x14ac:dyDescent="0.25">
      <c r="B10987" s="704" t="s">
        <v>679</v>
      </c>
      <c r="C10987" s="704" t="s">
        <v>744</v>
      </c>
      <c r="D10987" s="704" t="s">
        <v>745</v>
      </c>
      <c r="E10987" s="704" t="s">
        <v>448</v>
      </c>
      <c r="F10987" s="705">
        <v>2.2159690556707228E-2</v>
      </c>
      <c r="G10987" s="705">
        <v>12.814909802959473</v>
      </c>
    </row>
    <row r="10988" spans="2:7" ht="11.25" hidden="1" customHeight="1" outlineLevel="2" x14ac:dyDescent="0.25">
      <c r="B10988" s="704" t="s">
        <v>679</v>
      </c>
      <c r="C10988" s="704" t="s">
        <v>812</v>
      </c>
      <c r="D10988" s="704" t="s">
        <v>745</v>
      </c>
      <c r="E10988" s="704" t="s">
        <v>448</v>
      </c>
      <c r="F10988" s="705">
        <v>2.5934898142718384E-2</v>
      </c>
      <c r="G10988" s="705">
        <v>28.85477464646366</v>
      </c>
    </row>
    <row r="10989" spans="2:7" ht="11.25" hidden="1" customHeight="1" outlineLevel="2" x14ac:dyDescent="0.25">
      <c r="B10989" s="704" t="s">
        <v>679</v>
      </c>
      <c r="C10989" s="704" t="s">
        <v>813</v>
      </c>
      <c r="D10989" s="704" t="s">
        <v>745</v>
      </c>
      <c r="E10989" s="704" t="s">
        <v>448</v>
      </c>
      <c r="F10989" s="705">
        <v>2.6602808760549244E-4</v>
      </c>
      <c r="G10989" s="705">
        <v>0.33897815073037474</v>
      </c>
    </row>
    <row r="10990" spans="2:7" ht="11.25" hidden="1" customHeight="1" outlineLevel="2" x14ac:dyDescent="0.25">
      <c r="B10990" s="704" t="s">
        <v>679</v>
      </c>
      <c r="C10990" s="704" t="s">
        <v>917</v>
      </c>
      <c r="D10990" s="704" t="s">
        <v>745</v>
      </c>
      <c r="E10990" s="704" t="s">
        <v>861</v>
      </c>
      <c r="F10990" s="709"/>
      <c r="G10990" s="705">
        <v>383.9966136891872</v>
      </c>
    </row>
    <row r="10991" spans="2:7" ht="11.25" hidden="1" customHeight="1" outlineLevel="2" x14ac:dyDescent="0.25">
      <c r="B10991" s="704" t="s">
        <v>679</v>
      </c>
      <c r="C10991" s="704" t="s">
        <v>816</v>
      </c>
      <c r="D10991" s="704" t="s">
        <v>712</v>
      </c>
      <c r="E10991" s="704" t="s">
        <v>448</v>
      </c>
      <c r="F10991" s="705">
        <v>4.3350506462682783E-36</v>
      </c>
      <c r="G10991" s="705">
        <v>5.5241704489547512E-33</v>
      </c>
    </row>
    <row r="10992" spans="2:7" ht="11.25" hidden="1" customHeight="1" outlineLevel="2" x14ac:dyDescent="0.25">
      <c r="B10992" s="704" t="s">
        <v>679</v>
      </c>
      <c r="C10992" s="704" t="s">
        <v>711</v>
      </c>
      <c r="D10992" s="704" t="s">
        <v>712</v>
      </c>
      <c r="E10992" s="704" t="s">
        <v>676</v>
      </c>
      <c r="F10992" s="705">
        <v>3.136151520901011E-33</v>
      </c>
      <c r="G10992" s="705">
        <v>7.3601632656396319E-31</v>
      </c>
    </row>
    <row r="10993" spans="2:7" ht="11.25" hidden="1" customHeight="1" outlineLevel="2" x14ac:dyDescent="0.25">
      <c r="B10993" s="704" t="s">
        <v>679</v>
      </c>
      <c r="C10993" s="704" t="s">
        <v>921</v>
      </c>
      <c r="D10993" s="704" t="s">
        <v>712</v>
      </c>
      <c r="E10993" s="704" t="s">
        <v>861</v>
      </c>
      <c r="F10993" s="709"/>
      <c r="G10993" s="705">
        <v>7.9720101268876722E-32</v>
      </c>
    </row>
    <row r="10994" spans="2:7" ht="11.25" hidden="1" customHeight="1" outlineLevel="2" x14ac:dyDescent="0.25">
      <c r="B10994" s="704" t="s">
        <v>679</v>
      </c>
      <c r="C10994" s="704" t="s">
        <v>817</v>
      </c>
      <c r="D10994" s="704" t="s">
        <v>818</v>
      </c>
      <c r="E10994" s="704" t="s">
        <v>448</v>
      </c>
      <c r="F10994" s="705">
        <v>6.2283171292572517</v>
      </c>
      <c r="G10994" s="705">
        <v>5117.0857672819175</v>
      </c>
    </row>
    <row r="10995" spans="2:7" ht="11.25" hidden="1" customHeight="1" outlineLevel="2" x14ac:dyDescent="0.25">
      <c r="B10995" s="704" t="s">
        <v>679</v>
      </c>
      <c r="C10995" s="704" t="s">
        <v>819</v>
      </c>
      <c r="D10995" s="704" t="s">
        <v>818</v>
      </c>
      <c r="E10995" s="704" t="s">
        <v>448</v>
      </c>
      <c r="F10995" s="705">
        <v>2.7121005455023885</v>
      </c>
      <c r="G10995" s="705">
        <v>2159.3961232926822</v>
      </c>
    </row>
    <row r="10996" spans="2:7" ht="11.25" hidden="1" customHeight="1" outlineLevel="2" x14ac:dyDescent="0.25">
      <c r="B10996" s="704" t="s">
        <v>679</v>
      </c>
      <c r="C10996" s="704" t="s">
        <v>820</v>
      </c>
      <c r="D10996" s="704" t="s">
        <v>818</v>
      </c>
      <c r="E10996" s="704" t="s">
        <v>448</v>
      </c>
      <c r="F10996" s="705">
        <v>2.7544996421134371</v>
      </c>
      <c r="G10996" s="705">
        <v>4285.5479385561366</v>
      </c>
    </row>
    <row r="10997" spans="2:7" ht="11.25" hidden="1" customHeight="1" outlineLevel="2" x14ac:dyDescent="0.25">
      <c r="B10997" s="704" t="s">
        <v>679</v>
      </c>
      <c r="C10997" s="704" t="s">
        <v>857</v>
      </c>
      <c r="D10997" s="704" t="s">
        <v>818</v>
      </c>
      <c r="E10997" s="704" t="s">
        <v>664</v>
      </c>
      <c r="F10997" s="709"/>
      <c r="G10997" s="705">
        <v>3815.703905995189</v>
      </c>
    </row>
    <row r="10998" spans="2:7" ht="11.25" hidden="1" customHeight="1" outlineLevel="2" x14ac:dyDescent="0.25">
      <c r="B10998" s="704" t="s">
        <v>679</v>
      </c>
      <c r="C10998" s="704" t="s">
        <v>858</v>
      </c>
      <c r="D10998" s="704" t="s">
        <v>818</v>
      </c>
      <c r="E10998" s="704" t="s">
        <v>664</v>
      </c>
      <c r="F10998" s="709"/>
      <c r="G10998" s="705">
        <v>11.983703832650402</v>
      </c>
    </row>
    <row r="10999" spans="2:7" ht="11.25" hidden="1" customHeight="1" outlineLevel="2" x14ac:dyDescent="0.25">
      <c r="B10999" s="704" t="s">
        <v>679</v>
      </c>
      <c r="C10999" s="704" t="s">
        <v>922</v>
      </c>
      <c r="D10999" s="704" t="s">
        <v>822</v>
      </c>
      <c r="E10999" s="704" t="s">
        <v>861</v>
      </c>
      <c r="F10999" s="709"/>
      <c r="G10999" s="705">
        <v>6.3939927866126531E-30</v>
      </c>
    </row>
    <row r="11000" spans="2:7" ht="11.25" hidden="1" customHeight="1" outlineLevel="2" x14ac:dyDescent="0.25">
      <c r="B11000" s="704" t="s">
        <v>679</v>
      </c>
      <c r="C11000" s="704" t="s">
        <v>821</v>
      </c>
      <c r="D11000" s="704" t="s">
        <v>822</v>
      </c>
      <c r="E11000" s="704" t="s">
        <v>448</v>
      </c>
      <c r="F11000" s="705">
        <v>1.004667680530274E-34</v>
      </c>
      <c r="G11000" s="705">
        <v>1.3798314681467387E-31</v>
      </c>
    </row>
    <row r="11001" spans="2:7" ht="11.25" hidden="1" customHeight="1" outlineLevel="2" x14ac:dyDescent="0.25">
      <c r="B11001" s="704" t="s">
        <v>679</v>
      </c>
      <c r="C11001" s="704" t="s">
        <v>855</v>
      </c>
      <c r="D11001" s="704" t="s">
        <v>822</v>
      </c>
      <c r="E11001" s="704" t="s">
        <v>824</v>
      </c>
      <c r="F11001" s="705">
        <v>1.3212207888560816E-40</v>
      </c>
      <c r="G11001" s="705">
        <v>3.8274928299855921E-37</v>
      </c>
    </row>
    <row r="11002" spans="2:7" ht="11.25" hidden="1" customHeight="1" outlineLevel="2" x14ac:dyDescent="0.25">
      <c r="B11002" s="704" t="s">
        <v>679</v>
      </c>
      <c r="C11002" s="704" t="s">
        <v>716</v>
      </c>
      <c r="D11002" s="704" t="s">
        <v>715</v>
      </c>
      <c r="E11002" s="704" t="s">
        <v>448</v>
      </c>
      <c r="F11002" s="705">
        <v>3.4382141394124677E-35</v>
      </c>
      <c r="G11002" s="705">
        <v>4.1921589853032535E-32</v>
      </c>
    </row>
    <row r="11003" spans="2:7" ht="11.25" hidden="1" customHeight="1" outlineLevel="2" x14ac:dyDescent="0.25">
      <c r="B11003" s="704" t="s">
        <v>679</v>
      </c>
      <c r="C11003" s="704" t="s">
        <v>717</v>
      </c>
      <c r="D11003" s="704" t="s">
        <v>715</v>
      </c>
      <c r="E11003" s="704" t="s">
        <v>448</v>
      </c>
      <c r="F11003" s="705">
        <v>2.5727498841494662E-34</v>
      </c>
      <c r="G11003" s="705">
        <v>7.0309237561352104E-32</v>
      </c>
    </row>
    <row r="11004" spans="2:7" ht="11.25" hidden="1" customHeight="1" outlineLevel="2" x14ac:dyDescent="0.25">
      <c r="B11004" s="704" t="s">
        <v>679</v>
      </c>
      <c r="C11004" s="704" t="s">
        <v>718</v>
      </c>
      <c r="D11004" s="704" t="s">
        <v>715</v>
      </c>
      <c r="E11004" s="704" t="s">
        <v>448</v>
      </c>
      <c r="F11004" s="705">
        <v>1.0335191748071537E-33</v>
      </c>
      <c r="G11004" s="705">
        <v>1.1418625961266794E-30</v>
      </c>
    </row>
    <row r="11005" spans="2:7" ht="11.25" hidden="1" customHeight="1" outlineLevel="2" x14ac:dyDescent="0.25">
      <c r="B11005" s="704" t="s">
        <v>679</v>
      </c>
      <c r="C11005" s="704" t="s">
        <v>746</v>
      </c>
      <c r="D11005" s="704" t="s">
        <v>715</v>
      </c>
      <c r="E11005" s="704" t="s">
        <v>448</v>
      </c>
      <c r="F11005" s="705">
        <v>1.7105528958338112E-34</v>
      </c>
      <c r="G11005" s="705">
        <v>1.1897629630715844E-31</v>
      </c>
    </row>
    <row r="11006" spans="2:7" ht="11.25" hidden="1" customHeight="1" outlineLevel="2" x14ac:dyDescent="0.25">
      <c r="B11006" s="704" t="s">
        <v>679</v>
      </c>
      <c r="C11006" s="704" t="s">
        <v>747</v>
      </c>
      <c r="D11006" s="704" t="s">
        <v>715</v>
      </c>
      <c r="E11006" s="704" t="s">
        <v>448</v>
      </c>
      <c r="F11006" s="705">
        <v>5.7536827340914279E-36</v>
      </c>
      <c r="G11006" s="705">
        <v>4.9265022343375754E-33</v>
      </c>
    </row>
    <row r="11007" spans="2:7" ht="11.25" hidden="1" customHeight="1" outlineLevel="2" x14ac:dyDescent="0.25">
      <c r="B11007" s="704" t="s">
        <v>679</v>
      </c>
      <c r="C11007" s="704" t="s">
        <v>748</v>
      </c>
      <c r="D11007" s="704" t="s">
        <v>715</v>
      </c>
      <c r="E11007" s="704" t="s">
        <v>448</v>
      </c>
      <c r="F11007" s="705">
        <v>0.13289620265377039</v>
      </c>
      <c r="G11007" s="705">
        <v>172.66211907688304</v>
      </c>
    </row>
    <row r="11008" spans="2:7" ht="11.25" hidden="1" customHeight="1" outlineLevel="2" x14ac:dyDescent="0.25">
      <c r="B11008" s="704" t="s">
        <v>679</v>
      </c>
      <c r="C11008" s="704" t="s">
        <v>749</v>
      </c>
      <c r="D11008" s="704" t="s">
        <v>715</v>
      </c>
      <c r="E11008" s="704" t="s">
        <v>448</v>
      </c>
      <c r="F11008" s="705">
        <v>5.13782769293274E-33</v>
      </c>
      <c r="G11008" s="705">
        <v>3.8866786495174292E-30</v>
      </c>
    </row>
    <row r="11009" spans="2:7" ht="11.25" hidden="1" customHeight="1" outlineLevel="2" x14ac:dyDescent="0.25">
      <c r="B11009" s="704" t="s">
        <v>679</v>
      </c>
      <c r="C11009" s="704" t="s">
        <v>823</v>
      </c>
      <c r="D11009" s="704" t="s">
        <v>715</v>
      </c>
      <c r="E11009" s="704" t="s">
        <v>824</v>
      </c>
      <c r="F11009" s="705">
        <v>1.9010908880696712E-35</v>
      </c>
      <c r="G11009" s="705">
        <v>3.1761120668295189E-32</v>
      </c>
    </row>
    <row r="11010" spans="2:7" ht="11.25" hidden="1" customHeight="1" outlineLevel="2" x14ac:dyDescent="0.25">
      <c r="B11010" s="704" t="s">
        <v>679</v>
      </c>
      <c r="C11010" s="704" t="s">
        <v>860</v>
      </c>
      <c r="D11010" s="704" t="s">
        <v>715</v>
      </c>
      <c r="E11010" s="704" t="s">
        <v>861</v>
      </c>
      <c r="F11010" s="709"/>
      <c r="G11010" s="705">
        <v>3.9412429149442822E-29</v>
      </c>
    </row>
    <row r="11011" spans="2:7" ht="11.25" hidden="1" customHeight="1" outlineLevel="2" x14ac:dyDescent="0.25">
      <c r="B11011" s="704" t="s">
        <v>679</v>
      </c>
      <c r="C11011" s="704" t="s">
        <v>919</v>
      </c>
      <c r="D11011" s="704" t="s">
        <v>920</v>
      </c>
      <c r="E11011" s="704" t="s">
        <v>861</v>
      </c>
      <c r="F11011" s="709"/>
      <c r="G11011" s="705">
        <v>2.0277223627944984E-29</v>
      </c>
    </row>
    <row r="11012" spans="2:7" ht="11.25" hidden="1" customHeight="1" outlineLevel="1" x14ac:dyDescent="0.25">
      <c r="B11012" s="707" t="s">
        <v>945</v>
      </c>
      <c r="C11012" s="704"/>
      <c r="D11012" s="704"/>
      <c r="E11012" s="704"/>
      <c r="F11012" s="709">
        <f t="shared" ref="F11012:G11012" si="30">SUBTOTAL(9,F10802:F11011)</f>
        <v>20.221721386034435</v>
      </c>
      <c r="G11012" s="705">
        <f t="shared" si="30"/>
        <v>55005.513298325081</v>
      </c>
    </row>
    <row r="11013" spans="2:7" ht="11.25" hidden="1" customHeight="1" outlineLevel="2" x14ac:dyDescent="0.25">
      <c r="B11013" s="704" t="s">
        <v>680</v>
      </c>
      <c r="C11013" s="704" t="s">
        <v>739</v>
      </c>
      <c r="D11013" s="704" t="s">
        <v>44</v>
      </c>
      <c r="E11013" s="704" t="s">
        <v>448</v>
      </c>
      <c r="F11013" s="705">
        <v>2.7316361427384486E-3</v>
      </c>
      <c r="G11013" s="705">
        <v>1.6661259253040788</v>
      </c>
    </row>
    <row r="11014" spans="2:7" ht="11.25" hidden="1" customHeight="1" outlineLevel="2" x14ac:dyDescent="0.25">
      <c r="B11014" s="704" t="s">
        <v>680</v>
      </c>
      <c r="C11014" s="704" t="s">
        <v>796</v>
      </c>
      <c r="D11014" s="704" t="s">
        <v>44</v>
      </c>
      <c r="E11014" s="704" t="s">
        <v>448</v>
      </c>
      <c r="F11014" s="705">
        <v>2.8612811836397738E-3</v>
      </c>
      <c r="G11014" s="705">
        <v>4.0417838497035676</v>
      </c>
    </row>
    <row r="11015" spans="2:7" ht="11.25" hidden="1" customHeight="1" outlineLevel="2" x14ac:dyDescent="0.25">
      <c r="B11015" s="704" t="s">
        <v>680</v>
      </c>
      <c r="C11015" s="704" t="s">
        <v>797</v>
      </c>
      <c r="D11015" s="704" t="s">
        <v>44</v>
      </c>
      <c r="E11015" s="704" t="s">
        <v>448</v>
      </c>
      <c r="F11015" s="705">
        <v>4.5727184562497645E-3</v>
      </c>
      <c r="G11015" s="705">
        <v>15.726351441532586</v>
      </c>
    </row>
    <row r="11016" spans="2:7" ht="11.25" hidden="1" customHeight="1" outlineLevel="2" x14ac:dyDescent="0.25">
      <c r="B11016" s="704" t="s">
        <v>680</v>
      </c>
      <c r="C11016" s="704" t="s">
        <v>798</v>
      </c>
      <c r="D11016" s="704" t="s">
        <v>44</v>
      </c>
      <c r="E11016" s="704" t="s">
        <v>448</v>
      </c>
      <c r="F11016" s="705">
        <v>7.5201010928826732E-5</v>
      </c>
      <c r="G11016" s="705">
        <v>9.9053599707410525E-2</v>
      </c>
    </row>
    <row r="11017" spans="2:7" ht="11.25" hidden="1" customHeight="1" outlineLevel="2" x14ac:dyDescent="0.25">
      <c r="B11017" s="704" t="s">
        <v>680</v>
      </c>
      <c r="C11017" s="704" t="s">
        <v>799</v>
      </c>
      <c r="D11017" s="704" t="s">
        <v>44</v>
      </c>
      <c r="E11017" s="704" t="s">
        <v>448</v>
      </c>
      <c r="F11017" s="705">
        <v>8.1240110935279029E-3</v>
      </c>
      <c r="G11017" s="705">
        <v>10.692673619835196</v>
      </c>
    </row>
    <row r="11018" spans="2:7" ht="11.25" hidden="1" customHeight="1" outlineLevel="2" x14ac:dyDescent="0.25">
      <c r="B11018" s="704" t="s">
        <v>680</v>
      </c>
      <c r="C11018" s="704" t="s">
        <v>800</v>
      </c>
      <c r="D11018" s="704" t="s">
        <v>44</v>
      </c>
      <c r="E11018" s="704" t="s">
        <v>448</v>
      </c>
      <c r="F11018" s="705">
        <v>2.6721082589601401E-3</v>
      </c>
      <c r="G11018" s="705">
        <v>3.3494065019859502</v>
      </c>
    </row>
    <row r="11019" spans="2:7" ht="11.25" hidden="1" customHeight="1" outlineLevel="2" x14ac:dyDescent="0.25">
      <c r="B11019" s="704" t="s">
        <v>680</v>
      </c>
      <c r="C11019" s="704" t="s">
        <v>801</v>
      </c>
      <c r="D11019" s="704" t="s">
        <v>44</v>
      </c>
      <c r="E11019" s="704" t="s">
        <v>448</v>
      </c>
      <c r="F11019" s="705">
        <v>3.4869559580518981E-2</v>
      </c>
      <c r="G11019" s="705">
        <v>36.385234552153698</v>
      </c>
    </row>
    <row r="11020" spans="2:7" ht="11.25" hidden="1" customHeight="1" outlineLevel="2" x14ac:dyDescent="0.25">
      <c r="B11020" s="704" t="s">
        <v>680</v>
      </c>
      <c r="C11020" s="704" t="s">
        <v>802</v>
      </c>
      <c r="D11020" s="704" t="s">
        <v>44</v>
      </c>
      <c r="E11020" s="704" t="s">
        <v>448</v>
      </c>
      <c r="F11020" s="705">
        <v>0.11468091640277145</v>
      </c>
      <c r="G11020" s="705">
        <v>77.991774755330084</v>
      </c>
    </row>
    <row r="11021" spans="2:7" ht="11.25" hidden="1" customHeight="1" outlineLevel="2" x14ac:dyDescent="0.25">
      <c r="B11021" s="704" t="s">
        <v>680</v>
      </c>
      <c r="C11021" s="704" t="s">
        <v>803</v>
      </c>
      <c r="D11021" s="704" t="s">
        <v>44</v>
      </c>
      <c r="E11021" s="704" t="s">
        <v>448</v>
      </c>
      <c r="F11021" s="705">
        <v>1.2891951052548228E-2</v>
      </c>
      <c r="G11021" s="705">
        <v>16.968123570809578</v>
      </c>
    </row>
    <row r="11022" spans="2:7" ht="11.25" hidden="1" customHeight="1" outlineLevel="2" x14ac:dyDescent="0.25">
      <c r="B11022" s="704" t="s">
        <v>680</v>
      </c>
      <c r="C11022" s="704" t="s">
        <v>804</v>
      </c>
      <c r="D11022" s="704" t="s">
        <v>44</v>
      </c>
      <c r="E11022" s="704" t="s">
        <v>448</v>
      </c>
      <c r="F11022" s="705">
        <v>1.9188828980499208E-2</v>
      </c>
      <c r="G11022" s="705">
        <v>24.569786478312889</v>
      </c>
    </row>
    <row r="11023" spans="2:7" ht="11.25" hidden="1" customHeight="1" outlineLevel="2" x14ac:dyDescent="0.25">
      <c r="B11023" s="704" t="s">
        <v>680</v>
      </c>
      <c r="C11023" s="704" t="s">
        <v>805</v>
      </c>
      <c r="D11023" s="704" t="s">
        <v>44</v>
      </c>
      <c r="E11023" s="704" t="s">
        <v>448</v>
      </c>
      <c r="F11023" s="705">
        <v>3.8471621167354688E-3</v>
      </c>
      <c r="G11023" s="705">
        <v>27.25636303716583</v>
      </c>
    </row>
    <row r="11024" spans="2:7" ht="11.25" hidden="1" customHeight="1" outlineLevel="2" x14ac:dyDescent="0.25">
      <c r="B11024" s="704" t="s">
        <v>680</v>
      </c>
      <c r="C11024" s="704" t="s">
        <v>846</v>
      </c>
      <c r="D11024" s="704" t="s">
        <v>44</v>
      </c>
      <c r="E11024" s="704" t="s">
        <v>824</v>
      </c>
      <c r="F11024" s="705">
        <v>9.3883907498955901E-5</v>
      </c>
      <c r="G11024" s="705">
        <v>0.14917718069827599</v>
      </c>
    </row>
    <row r="11025" spans="2:7" ht="11.25" hidden="1" customHeight="1" outlineLevel="2" x14ac:dyDescent="0.25">
      <c r="B11025" s="704" t="s">
        <v>680</v>
      </c>
      <c r="C11025" s="704" t="s">
        <v>847</v>
      </c>
      <c r="D11025" s="704" t="s">
        <v>44</v>
      </c>
      <c r="E11025" s="704" t="s">
        <v>824</v>
      </c>
      <c r="F11025" s="705">
        <v>1.9264806027455372E-5</v>
      </c>
      <c r="G11025" s="705">
        <v>0.20302842350956091</v>
      </c>
    </row>
    <row r="11026" spans="2:7" ht="11.25" hidden="1" customHeight="1" outlineLevel="2" x14ac:dyDescent="0.25">
      <c r="B11026" s="704" t="s">
        <v>680</v>
      </c>
      <c r="C11026" s="704" t="s">
        <v>705</v>
      </c>
      <c r="D11026" s="704" t="s">
        <v>44</v>
      </c>
      <c r="E11026" s="704" t="s">
        <v>676</v>
      </c>
      <c r="F11026" s="705">
        <v>3.7582376872225902E-3</v>
      </c>
      <c r="G11026" s="705">
        <v>3.9406791329006916E-2</v>
      </c>
    </row>
    <row r="11027" spans="2:7" ht="11.25" hidden="1" customHeight="1" outlineLevel="2" x14ac:dyDescent="0.25">
      <c r="B11027" s="704" t="s">
        <v>680</v>
      </c>
      <c r="C11027" s="704" t="s">
        <v>706</v>
      </c>
      <c r="D11027" s="704" t="s">
        <v>44</v>
      </c>
      <c r="E11027" s="704" t="s">
        <v>676</v>
      </c>
      <c r="F11027" s="705">
        <v>1.1928905128021508E-3</v>
      </c>
      <c r="G11027" s="705">
        <v>1.2504225608388613E-2</v>
      </c>
    </row>
    <row r="11028" spans="2:7" ht="11.25" hidden="1" customHeight="1" outlineLevel="2" x14ac:dyDescent="0.25">
      <c r="B11028" s="704" t="s">
        <v>680</v>
      </c>
      <c r="C11028" s="704" t="s">
        <v>901</v>
      </c>
      <c r="D11028" s="704" t="s">
        <v>44</v>
      </c>
      <c r="E11028" s="704" t="s">
        <v>861</v>
      </c>
      <c r="F11028" s="709"/>
      <c r="G11028" s="705">
        <v>0.29141500293023287</v>
      </c>
    </row>
    <row r="11029" spans="2:7" ht="11.25" hidden="1" customHeight="1" outlineLevel="2" x14ac:dyDescent="0.25">
      <c r="B11029" s="704" t="s">
        <v>680</v>
      </c>
      <c r="C11029" s="704" t="s">
        <v>902</v>
      </c>
      <c r="D11029" s="704" t="s">
        <v>44</v>
      </c>
      <c r="E11029" s="704" t="s">
        <v>861</v>
      </c>
      <c r="F11029" s="709"/>
      <c r="G11029" s="705">
        <v>12598.570747964222</v>
      </c>
    </row>
    <row r="11030" spans="2:7" ht="11.25" hidden="1" customHeight="1" outlineLevel="2" x14ac:dyDescent="0.25">
      <c r="B11030" s="704" t="s">
        <v>680</v>
      </c>
      <c r="C11030" s="704" t="s">
        <v>903</v>
      </c>
      <c r="D11030" s="704" t="s">
        <v>44</v>
      </c>
      <c r="E11030" s="704" t="s">
        <v>861</v>
      </c>
      <c r="F11030" s="709"/>
      <c r="G11030" s="705">
        <v>1130.4763311048457</v>
      </c>
    </row>
    <row r="11031" spans="2:7" ht="11.25" hidden="1" customHeight="1" outlineLevel="2" x14ac:dyDescent="0.25">
      <c r="B11031" s="704" t="s">
        <v>680</v>
      </c>
      <c r="C11031" s="704" t="s">
        <v>904</v>
      </c>
      <c r="D11031" s="704" t="s">
        <v>44</v>
      </c>
      <c r="E11031" s="704" t="s">
        <v>861</v>
      </c>
      <c r="F11031" s="709"/>
      <c r="G11031" s="705">
        <v>6.2839037136132836</v>
      </c>
    </row>
    <row r="11032" spans="2:7" ht="11.25" hidden="1" customHeight="1" outlineLevel="2" x14ac:dyDescent="0.25">
      <c r="B11032" s="704" t="s">
        <v>680</v>
      </c>
      <c r="C11032" s="704" t="s">
        <v>905</v>
      </c>
      <c r="D11032" s="704" t="s">
        <v>44</v>
      </c>
      <c r="E11032" s="704" t="s">
        <v>861</v>
      </c>
      <c r="F11032" s="709"/>
      <c r="G11032" s="705">
        <v>1.2897627418767206</v>
      </c>
    </row>
    <row r="11033" spans="2:7" ht="11.25" hidden="1" customHeight="1" outlineLevel="2" x14ac:dyDescent="0.25">
      <c r="B11033" s="704" t="s">
        <v>680</v>
      </c>
      <c r="C11033" s="704" t="s">
        <v>906</v>
      </c>
      <c r="D11033" s="704" t="s">
        <v>44</v>
      </c>
      <c r="E11033" s="704" t="s">
        <v>861</v>
      </c>
      <c r="F11033" s="709"/>
      <c r="G11033" s="705">
        <v>95.963802761381245</v>
      </c>
    </row>
    <row r="11034" spans="2:7" ht="11.25" hidden="1" customHeight="1" outlineLevel="2" x14ac:dyDescent="0.25">
      <c r="B11034" s="704" t="s">
        <v>680</v>
      </c>
      <c r="C11034" s="704" t="s">
        <v>907</v>
      </c>
      <c r="D11034" s="704" t="s">
        <v>44</v>
      </c>
      <c r="E11034" s="704" t="s">
        <v>861</v>
      </c>
      <c r="F11034" s="709"/>
      <c r="G11034" s="705">
        <v>0.24035403438550634</v>
      </c>
    </row>
    <row r="11035" spans="2:7" ht="11.25" hidden="1" customHeight="1" outlineLevel="2" x14ac:dyDescent="0.25">
      <c r="B11035" s="704" t="s">
        <v>680</v>
      </c>
      <c r="C11035" s="704" t="s">
        <v>908</v>
      </c>
      <c r="D11035" s="704" t="s">
        <v>44</v>
      </c>
      <c r="E11035" s="704" t="s">
        <v>861</v>
      </c>
      <c r="F11035" s="709"/>
      <c r="G11035" s="705">
        <v>88.69680194152825</v>
      </c>
    </row>
    <row r="11036" spans="2:7" ht="11.25" hidden="1" customHeight="1" outlineLevel="2" x14ac:dyDescent="0.25">
      <c r="B11036" s="704" t="s">
        <v>680</v>
      </c>
      <c r="C11036" s="704" t="s">
        <v>909</v>
      </c>
      <c r="D11036" s="704" t="s">
        <v>44</v>
      </c>
      <c r="E11036" s="704" t="s">
        <v>861</v>
      </c>
      <c r="F11036" s="709"/>
      <c r="G11036" s="705">
        <v>246.37647444100796</v>
      </c>
    </row>
    <row r="11037" spans="2:7" ht="11.25" hidden="1" customHeight="1" outlineLevel="2" x14ac:dyDescent="0.25">
      <c r="B11037" s="704" t="s">
        <v>680</v>
      </c>
      <c r="C11037" s="704" t="s">
        <v>910</v>
      </c>
      <c r="D11037" s="704" t="s">
        <v>44</v>
      </c>
      <c r="E11037" s="704" t="s">
        <v>861</v>
      </c>
      <c r="F11037" s="709"/>
      <c r="G11037" s="705">
        <v>181.13464832459377</v>
      </c>
    </row>
    <row r="11038" spans="2:7" ht="11.25" hidden="1" customHeight="1" outlineLevel="2" x14ac:dyDescent="0.25">
      <c r="B11038" s="704" t="s">
        <v>680</v>
      </c>
      <c r="C11038" s="704" t="s">
        <v>814</v>
      </c>
      <c r="D11038" s="704" t="s">
        <v>815</v>
      </c>
      <c r="E11038" s="704" t="s">
        <v>448</v>
      </c>
      <c r="F11038" s="705">
        <v>1.2726620208700038E-33</v>
      </c>
      <c r="G11038" s="705">
        <v>2.548002157498148E-30</v>
      </c>
    </row>
    <row r="11039" spans="2:7" ht="11.25" hidden="1" customHeight="1" outlineLevel="2" x14ac:dyDescent="0.25">
      <c r="B11039" s="704" t="s">
        <v>680</v>
      </c>
      <c r="C11039" s="704" t="s">
        <v>854</v>
      </c>
      <c r="D11039" s="704" t="s">
        <v>815</v>
      </c>
      <c r="E11039" s="704" t="s">
        <v>824</v>
      </c>
      <c r="F11039" s="705">
        <v>1.6645027218787266E-36</v>
      </c>
      <c r="G11039" s="705">
        <v>2.4044512537756401E-32</v>
      </c>
    </row>
    <row r="11040" spans="2:7" ht="11.25" hidden="1" customHeight="1" outlineLevel="2" x14ac:dyDescent="0.25">
      <c r="B11040" s="704" t="s">
        <v>680</v>
      </c>
      <c r="C11040" s="704" t="s">
        <v>918</v>
      </c>
      <c r="D11040" s="704" t="s">
        <v>815</v>
      </c>
      <c r="E11040" s="704" t="s">
        <v>861</v>
      </c>
      <c r="F11040" s="709"/>
      <c r="G11040" s="705">
        <v>1.2941865666466332E-29</v>
      </c>
    </row>
    <row r="11041" spans="2:7" ht="11.25" hidden="1" customHeight="1" outlineLevel="2" x14ac:dyDescent="0.25">
      <c r="B11041" s="704" t="s">
        <v>680</v>
      </c>
      <c r="C11041" s="704" t="s">
        <v>740</v>
      </c>
      <c r="D11041" s="704" t="s">
        <v>562</v>
      </c>
      <c r="E11041" s="704" t="s">
        <v>448</v>
      </c>
      <c r="F11041" s="705">
        <v>2.9481158625725302E-3</v>
      </c>
      <c r="G11041" s="705">
        <v>1.4608676392239264</v>
      </c>
    </row>
    <row r="11042" spans="2:7" ht="11.25" hidden="1" customHeight="1" outlineLevel="2" x14ac:dyDescent="0.25">
      <c r="B11042" s="704" t="s">
        <v>680</v>
      </c>
      <c r="C11042" s="704" t="s">
        <v>741</v>
      </c>
      <c r="D11042" s="704" t="s">
        <v>562</v>
      </c>
      <c r="E11042" s="704" t="s">
        <v>448</v>
      </c>
      <c r="F11042" s="705">
        <v>1.8838312089448316E-2</v>
      </c>
      <c r="G11042" s="705">
        <v>9.7464418882401169</v>
      </c>
    </row>
    <row r="11043" spans="2:7" ht="11.25" hidden="1" customHeight="1" outlineLevel="2" x14ac:dyDescent="0.25">
      <c r="B11043" s="704" t="s">
        <v>680</v>
      </c>
      <c r="C11043" s="704" t="s">
        <v>742</v>
      </c>
      <c r="D11043" s="704" t="s">
        <v>562</v>
      </c>
      <c r="E11043" s="704" t="s">
        <v>448</v>
      </c>
      <c r="F11043" s="705">
        <v>8.3855421990795591E-6</v>
      </c>
      <c r="G11043" s="705">
        <v>3.7589049637673428E-3</v>
      </c>
    </row>
    <row r="11044" spans="2:7" ht="11.25" hidden="1" customHeight="1" outlineLevel="2" x14ac:dyDescent="0.25">
      <c r="B11044" s="704" t="s">
        <v>680</v>
      </c>
      <c r="C11044" s="704" t="s">
        <v>743</v>
      </c>
      <c r="D11044" s="704" t="s">
        <v>562</v>
      </c>
      <c r="E11044" s="704" t="s">
        <v>448</v>
      </c>
      <c r="F11044" s="705">
        <v>1.3194488672716551E-4</v>
      </c>
      <c r="G11044" s="705">
        <v>5.9145587268922648E-2</v>
      </c>
    </row>
    <row r="11045" spans="2:7" ht="11.25" hidden="1" customHeight="1" outlineLevel="2" x14ac:dyDescent="0.25">
      <c r="B11045" s="704" t="s">
        <v>680</v>
      </c>
      <c r="C11045" s="704" t="s">
        <v>806</v>
      </c>
      <c r="D11045" s="704" t="s">
        <v>562</v>
      </c>
      <c r="E11045" s="704" t="s">
        <v>448</v>
      </c>
      <c r="F11045" s="705">
        <v>0.24860644678291369</v>
      </c>
      <c r="G11045" s="705">
        <v>300.71207051577574</v>
      </c>
    </row>
    <row r="11046" spans="2:7" ht="11.25" hidden="1" customHeight="1" outlineLevel="2" x14ac:dyDescent="0.25">
      <c r="B11046" s="704" t="s">
        <v>680</v>
      </c>
      <c r="C11046" s="704" t="s">
        <v>807</v>
      </c>
      <c r="D11046" s="704" t="s">
        <v>562</v>
      </c>
      <c r="E11046" s="704" t="s">
        <v>448</v>
      </c>
      <c r="F11046" s="705">
        <v>5.3515464293503526E-2</v>
      </c>
      <c r="G11046" s="705">
        <v>75.250280374770213</v>
      </c>
    </row>
    <row r="11047" spans="2:7" ht="11.25" hidden="1" customHeight="1" outlineLevel="2" x14ac:dyDescent="0.25">
      <c r="B11047" s="704" t="s">
        <v>680</v>
      </c>
      <c r="C11047" s="704" t="s">
        <v>808</v>
      </c>
      <c r="D11047" s="704" t="s">
        <v>562</v>
      </c>
      <c r="E11047" s="704" t="s">
        <v>448</v>
      </c>
      <c r="F11047" s="705">
        <v>2.4703389359723295E-2</v>
      </c>
      <c r="G11047" s="705">
        <v>39.904626975997559</v>
      </c>
    </row>
    <row r="11048" spans="2:7" ht="11.25" hidden="1" customHeight="1" outlineLevel="2" x14ac:dyDescent="0.25">
      <c r="B11048" s="704" t="s">
        <v>680</v>
      </c>
      <c r="C11048" s="704" t="s">
        <v>809</v>
      </c>
      <c r="D11048" s="704" t="s">
        <v>562</v>
      </c>
      <c r="E11048" s="704" t="s">
        <v>448</v>
      </c>
      <c r="F11048" s="705">
        <v>5.6920914715594961E-2</v>
      </c>
      <c r="G11048" s="705">
        <v>85.620825559936463</v>
      </c>
    </row>
    <row r="11049" spans="2:7" ht="11.25" hidden="1" customHeight="1" outlineLevel="2" x14ac:dyDescent="0.25">
      <c r="B11049" s="704" t="s">
        <v>680</v>
      </c>
      <c r="C11049" s="704" t="s">
        <v>810</v>
      </c>
      <c r="D11049" s="704" t="s">
        <v>562</v>
      </c>
      <c r="E11049" s="704" t="s">
        <v>448</v>
      </c>
      <c r="F11049" s="705">
        <v>0.1074992685860421</v>
      </c>
      <c r="G11049" s="705">
        <v>134.88819874619705</v>
      </c>
    </row>
    <row r="11050" spans="2:7" ht="11.25" hidden="1" customHeight="1" outlineLevel="2" x14ac:dyDescent="0.25">
      <c r="B11050" s="704" t="s">
        <v>680</v>
      </c>
      <c r="C11050" s="704" t="s">
        <v>811</v>
      </c>
      <c r="D11050" s="704" t="s">
        <v>562</v>
      </c>
      <c r="E11050" s="704" t="s">
        <v>448</v>
      </c>
      <c r="F11050" s="705">
        <v>4.5764779604096882E-3</v>
      </c>
      <c r="G11050" s="705">
        <v>6.3443900229961221</v>
      </c>
    </row>
    <row r="11051" spans="2:7" ht="11.25" hidden="1" customHeight="1" outlineLevel="2" x14ac:dyDescent="0.25">
      <c r="B11051" s="704" t="s">
        <v>680</v>
      </c>
      <c r="C11051" s="704" t="s">
        <v>848</v>
      </c>
      <c r="D11051" s="704" t="s">
        <v>562</v>
      </c>
      <c r="E11051" s="704" t="s">
        <v>824</v>
      </c>
      <c r="F11051" s="705">
        <v>1.4553745318781888E-2</v>
      </c>
      <c r="G11051" s="705">
        <v>40.011209914967608</v>
      </c>
    </row>
    <row r="11052" spans="2:7" ht="11.25" hidden="1" customHeight="1" outlineLevel="2" x14ac:dyDescent="0.25">
      <c r="B11052" s="704" t="s">
        <v>680</v>
      </c>
      <c r="C11052" s="704" t="s">
        <v>849</v>
      </c>
      <c r="D11052" s="704" t="s">
        <v>562</v>
      </c>
      <c r="E11052" s="704" t="s">
        <v>824</v>
      </c>
      <c r="F11052" s="705">
        <v>2.1130471702491172E-3</v>
      </c>
      <c r="G11052" s="705">
        <v>8.9118919024822016</v>
      </c>
    </row>
    <row r="11053" spans="2:7" ht="11.25" hidden="1" customHeight="1" outlineLevel="2" x14ac:dyDescent="0.25">
      <c r="B11053" s="704" t="s">
        <v>680</v>
      </c>
      <c r="C11053" s="704" t="s">
        <v>850</v>
      </c>
      <c r="D11053" s="704" t="s">
        <v>562</v>
      </c>
      <c r="E11053" s="704" t="s">
        <v>824</v>
      </c>
      <c r="F11053" s="705">
        <v>1.5632741809808526E-3</v>
      </c>
      <c r="G11053" s="705">
        <v>10.446335719315398</v>
      </c>
    </row>
    <row r="11054" spans="2:7" ht="11.25" hidden="1" customHeight="1" outlineLevel="2" x14ac:dyDescent="0.25">
      <c r="B11054" s="704" t="s">
        <v>680</v>
      </c>
      <c r="C11054" s="704" t="s">
        <v>851</v>
      </c>
      <c r="D11054" s="704" t="s">
        <v>562</v>
      </c>
      <c r="E11054" s="704" t="s">
        <v>824</v>
      </c>
      <c r="F11054" s="705">
        <v>2.7382725438853317E-3</v>
      </c>
      <c r="G11054" s="705">
        <v>12.976966865629823</v>
      </c>
    </row>
    <row r="11055" spans="2:7" ht="11.25" hidden="1" customHeight="1" outlineLevel="2" x14ac:dyDescent="0.25">
      <c r="B11055" s="704" t="s">
        <v>680</v>
      </c>
      <c r="C11055" s="704" t="s">
        <v>852</v>
      </c>
      <c r="D11055" s="704" t="s">
        <v>562</v>
      </c>
      <c r="E11055" s="704" t="s">
        <v>824</v>
      </c>
      <c r="F11055" s="705">
        <v>6.8373170706200536E-5</v>
      </c>
      <c r="G11055" s="705">
        <v>0.17541944146135918</v>
      </c>
    </row>
    <row r="11056" spans="2:7" ht="11.25" hidden="1" customHeight="1" outlineLevel="2" x14ac:dyDescent="0.25">
      <c r="B11056" s="704" t="s">
        <v>680</v>
      </c>
      <c r="C11056" s="704" t="s">
        <v>853</v>
      </c>
      <c r="D11056" s="704" t="s">
        <v>562</v>
      </c>
      <c r="E11056" s="704" t="s">
        <v>824</v>
      </c>
      <c r="F11056" s="705">
        <v>1.9947915176651401E-5</v>
      </c>
      <c r="G11056" s="705">
        <v>0.16294150789387843</v>
      </c>
    </row>
    <row r="11057" spans="2:7" ht="11.25" hidden="1" customHeight="1" outlineLevel="2" x14ac:dyDescent="0.25">
      <c r="B11057" s="704" t="s">
        <v>680</v>
      </c>
      <c r="C11057" s="704" t="s">
        <v>707</v>
      </c>
      <c r="D11057" s="704" t="s">
        <v>562</v>
      </c>
      <c r="E11057" s="704" t="s">
        <v>676</v>
      </c>
      <c r="F11057" s="705">
        <v>0.32155618159207844</v>
      </c>
      <c r="G11057" s="705">
        <v>8.9292837239369938</v>
      </c>
    </row>
    <row r="11058" spans="2:7" ht="11.25" hidden="1" customHeight="1" outlineLevel="2" x14ac:dyDescent="0.25">
      <c r="B11058" s="704" t="s">
        <v>680</v>
      </c>
      <c r="C11058" s="704" t="s">
        <v>708</v>
      </c>
      <c r="D11058" s="704" t="s">
        <v>562</v>
      </c>
      <c r="E11058" s="704" t="s">
        <v>676</v>
      </c>
      <c r="F11058" s="705">
        <v>1.2328011684503582E-2</v>
      </c>
      <c r="G11058" s="705">
        <v>0.44814172465763152</v>
      </c>
    </row>
    <row r="11059" spans="2:7" ht="11.25" hidden="1" customHeight="1" outlineLevel="2" x14ac:dyDescent="0.25">
      <c r="B11059" s="704" t="s">
        <v>680</v>
      </c>
      <c r="C11059" s="704" t="s">
        <v>709</v>
      </c>
      <c r="D11059" s="704" t="s">
        <v>562</v>
      </c>
      <c r="E11059" s="704" t="s">
        <v>676</v>
      </c>
      <c r="F11059" s="705">
        <v>8.8506123491543607E-3</v>
      </c>
      <c r="G11059" s="705">
        <v>0.62075257486488022</v>
      </c>
    </row>
    <row r="11060" spans="2:7" ht="11.25" hidden="1" customHeight="1" outlineLevel="2" x14ac:dyDescent="0.25">
      <c r="B11060" s="704" t="s">
        <v>680</v>
      </c>
      <c r="C11060" s="704" t="s">
        <v>710</v>
      </c>
      <c r="D11060" s="704" t="s">
        <v>562</v>
      </c>
      <c r="E11060" s="704" t="s">
        <v>676</v>
      </c>
      <c r="F11060" s="705">
        <v>0.1036892906838866</v>
      </c>
      <c r="G11060" s="705">
        <v>21.698588080993254</v>
      </c>
    </row>
    <row r="11061" spans="2:7" ht="11.25" hidden="1" customHeight="1" outlineLevel="2" x14ac:dyDescent="0.25">
      <c r="B11061" s="704" t="s">
        <v>680</v>
      </c>
      <c r="C11061" s="704" t="s">
        <v>911</v>
      </c>
      <c r="D11061" s="704" t="s">
        <v>562</v>
      </c>
      <c r="E11061" s="704" t="s">
        <v>861</v>
      </c>
      <c r="F11061" s="709"/>
      <c r="G11061" s="705">
        <v>231.38747408109805</v>
      </c>
    </row>
    <row r="11062" spans="2:7" ht="11.25" hidden="1" customHeight="1" outlineLevel="2" x14ac:dyDescent="0.25">
      <c r="B11062" s="704" t="s">
        <v>680</v>
      </c>
      <c r="C11062" s="704" t="s">
        <v>912</v>
      </c>
      <c r="D11062" s="704" t="s">
        <v>562</v>
      </c>
      <c r="E11062" s="704" t="s">
        <v>861</v>
      </c>
      <c r="F11062" s="709"/>
      <c r="G11062" s="705">
        <v>54.593418688270759</v>
      </c>
    </row>
    <row r="11063" spans="2:7" ht="11.25" hidden="1" customHeight="1" outlineLevel="2" x14ac:dyDescent="0.25">
      <c r="B11063" s="704" t="s">
        <v>680</v>
      </c>
      <c r="C11063" s="704" t="s">
        <v>913</v>
      </c>
      <c r="D11063" s="704" t="s">
        <v>562</v>
      </c>
      <c r="E11063" s="704" t="s">
        <v>861</v>
      </c>
      <c r="F11063" s="709"/>
      <c r="G11063" s="705">
        <v>151.47563042406236</v>
      </c>
    </row>
    <row r="11064" spans="2:7" ht="11.25" hidden="1" customHeight="1" outlineLevel="2" x14ac:dyDescent="0.25">
      <c r="B11064" s="704" t="s">
        <v>680</v>
      </c>
      <c r="C11064" s="704" t="s">
        <v>914</v>
      </c>
      <c r="D11064" s="704" t="s">
        <v>562</v>
      </c>
      <c r="E11064" s="704" t="s">
        <v>861</v>
      </c>
      <c r="F11064" s="709"/>
      <c r="G11064" s="705">
        <v>76.914414292915538</v>
      </c>
    </row>
    <row r="11065" spans="2:7" ht="11.25" hidden="1" customHeight="1" outlineLevel="2" x14ac:dyDescent="0.25">
      <c r="B11065" s="704" t="s">
        <v>680</v>
      </c>
      <c r="C11065" s="704" t="s">
        <v>915</v>
      </c>
      <c r="D11065" s="704" t="s">
        <v>562</v>
      </c>
      <c r="E11065" s="704" t="s">
        <v>861</v>
      </c>
      <c r="F11065" s="709"/>
      <c r="G11065" s="705">
        <v>7.3888769617925014</v>
      </c>
    </row>
    <row r="11066" spans="2:7" ht="11.25" hidden="1" customHeight="1" outlineLevel="2" x14ac:dyDescent="0.25">
      <c r="B11066" s="704" t="s">
        <v>680</v>
      </c>
      <c r="C11066" s="704" t="s">
        <v>916</v>
      </c>
      <c r="D11066" s="704" t="s">
        <v>562</v>
      </c>
      <c r="E11066" s="704" t="s">
        <v>861</v>
      </c>
      <c r="F11066" s="709"/>
      <c r="G11066" s="705">
        <v>6.5556071528947273</v>
      </c>
    </row>
    <row r="11067" spans="2:7" ht="11.25" hidden="1" customHeight="1" outlineLevel="2" x14ac:dyDescent="0.25">
      <c r="B11067" s="704" t="s">
        <v>680</v>
      </c>
      <c r="C11067" s="704" t="s">
        <v>719</v>
      </c>
      <c r="D11067" s="704" t="s">
        <v>675</v>
      </c>
      <c r="E11067" s="704" t="s">
        <v>448</v>
      </c>
      <c r="F11067" s="705">
        <v>3.8241466601556108E-3</v>
      </c>
      <c r="G11067" s="705">
        <v>2.35785193736552</v>
      </c>
    </row>
    <row r="11068" spans="2:7" ht="11.25" hidden="1" customHeight="1" outlineLevel="2" x14ac:dyDescent="0.25">
      <c r="B11068" s="704" t="s">
        <v>680</v>
      </c>
      <c r="C11068" s="704" t="s">
        <v>720</v>
      </c>
      <c r="D11068" s="704" t="s">
        <v>675</v>
      </c>
      <c r="E11068" s="704" t="s">
        <v>448</v>
      </c>
      <c r="F11068" s="705">
        <v>3.1604112825400006E-4</v>
      </c>
      <c r="G11068" s="705">
        <v>0.15292472094797713</v>
      </c>
    </row>
    <row r="11069" spans="2:7" ht="11.25" hidden="1" customHeight="1" outlineLevel="2" x14ac:dyDescent="0.25">
      <c r="B11069" s="704" t="s">
        <v>680</v>
      </c>
      <c r="C11069" s="704" t="s">
        <v>721</v>
      </c>
      <c r="D11069" s="704" t="s">
        <v>675</v>
      </c>
      <c r="E11069" s="704" t="s">
        <v>448</v>
      </c>
      <c r="F11069" s="705">
        <v>3.8273525970081477E-4</v>
      </c>
      <c r="G11069" s="705">
        <v>0.18281261623010847</v>
      </c>
    </row>
    <row r="11070" spans="2:7" ht="11.25" hidden="1" customHeight="1" outlineLevel="2" x14ac:dyDescent="0.25">
      <c r="B11070" s="704" t="s">
        <v>680</v>
      </c>
      <c r="C11070" s="704" t="s">
        <v>722</v>
      </c>
      <c r="D11070" s="704" t="s">
        <v>675</v>
      </c>
      <c r="E11070" s="704" t="s">
        <v>448</v>
      </c>
      <c r="F11070" s="705">
        <v>3.0541113355160695E-6</v>
      </c>
      <c r="G11070" s="705">
        <v>1.3689968930802891E-3</v>
      </c>
    </row>
    <row r="11071" spans="2:7" ht="11.25" hidden="1" customHeight="1" outlineLevel="2" x14ac:dyDescent="0.25">
      <c r="B11071" s="704" t="s">
        <v>680</v>
      </c>
      <c r="C11071" s="704" t="s">
        <v>723</v>
      </c>
      <c r="D11071" s="704" t="s">
        <v>675</v>
      </c>
      <c r="E11071" s="704" t="s">
        <v>448</v>
      </c>
      <c r="F11071" s="705">
        <v>1.0894842185035626E-2</v>
      </c>
      <c r="G11071" s="705">
        <v>6.0930579480231835</v>
      </c>
    </row>
    <row r="11072" spans="2:7" ht="11.25" hidden="1" customHeight="1" outlineLevel="2" x14ac:dyDescent="0.25">
      <c r="B11072" s="704" t="s">
        <v>680</v>
      </c>
      <c r="C11072" s="704" t="s">
        <v>724</v>
      </c>
      <c r="D11072" s="704" t="s">
        <v>675</v>
      </c>
      <c r="E11072" s="704" t="s">
        <v>448</v>
      </c>
      <c r="F11072" s="705">
        <v>7.9526566101178789E-5</v>
      </c>
      <c r="G11072" s="705">
        <v>3.5647572769999331E-2</v>
      </c>
    </row>
    <row r="11073" spans="2:7" ht="11.25" hidden="1" customHeight="1" outlineLevel="2" x14ac:dyDescent="0.25">
      <c r="B11073" s="704" t="s">
        <v>680</v>
      </c>
      <c r="C11073" s="704" t="s">
        <v>750</v>
      </c>
      <c r="D11073" s="704" t="s">
        <v>675</v>
      </c>
      <c r="E11073" s="704" t="s">
        <v>448</v>
      </c>
      <c r="F11073" s="705">
        <v>1.3440277688796247E-3</v>
      </c>
      <c r="G11073" s="705">
        <v>2.0960826218478226</v>
      </c>
    </row>
    <row r="11074" spans="2:7" ht="11.25" hidden="1" customHeight="1" outlineLevel="2" x14ac:dyDescent="0.25">
      <c r="B11074" s="704" t="s">
        <v>680</v>
      </c>
      <c r="C11074" s="704" t="s">
        <v>751</v>
      </c>
      <c r="D11074" s="704" t="s">
        <v>675</v>
      </c>
      <c r="E11074" s="704" t="s">
        <v>448</v>
      </c>
      <c r="F11074" s="705">
        <v>1.190409356162469E-5</v>
      </c>
      <c r="G11074" s="705">
        <v>1.5489501510296764E-2</v>
      </c>
    </row>
    <row r="11075" spans="2:7" ht="11.25" hidden="1" customHeight="1" outlineLevel="2" x14ac:dyDescent="0.25">
      <c r="B11075" s="704" t="s">
        <v>680</v>
      </c>
      <c r="C11075" s="704" t="s">
        <v>752</v>
      </c>
      <c r="D11075" s="704" t="s">
        <v>675</v>
      </c>
      <c r="E11075" s="704" t="s">
        <v>448</v>
      </c>
      <c r="F11075" s="705">
        <v>3.274511557678847E-3</v>
      </c>
      <c r="G11075" s="705">
        <v>3.9223927002788339</v>
      </c>
    </row>
    <row r="11076" spans="2:7" ht="11.25" hidden="1" customHeight="1" outlineLevel="2" x14ac:dyDescent="0.25">
      <c r="B11076" s="704" t="s">
        <v>680</v>
      </c>
      <c r="C11076" s="704" t="s">
        <v>753</v>
      </c>
      <c r="D11076" s="704" t="s">
        <v>675</v>
      </c>
      <c r="E11076" s="704" t="s">
        <v>448</v>
      </c>
      <c r="F11076" s="705">
        <v>2.3455723603111249E-3</v>
      </c>
      <c r="G11076" s="705">
        <v>3.7064206793268251</v>
      </c>
    </row>
    <row r="11077" spans="2:7" ht="11.25" hidden="1" customHeight="1" outlineLevel="2" x14ac:dyDescent="0.25">
      <c r="B11077" s="704" t="s">
        <v>680</v>
      </c>
      <c r="C11077" s="704" t="s">
        <v>754</v>
      </c>
      <c r="D11077" s="704" t="s">
        <v>675</v>
      </c>
      <c r="E11077" s="704" t="s">
        <v>448</v>
      </c>
      <c r="F11077" s="705">
        <v>5.7752161000933708E-3</v>
      </c>
      <c r="G11077" s="705">
        <v>7.377032384965589</v>
      </c>
    </row>
    <row r="11078" spans="2:7" ht="11.25" hidden="1" customHeight="1" outlineLevel="2" x14ac:dyDescent="0.25">
      <c r="B11078" s="704" t="s">
        <v>680</v>
      </c>
      <c r="C11078" s="704" t="s">
        <v>755</v>
      </c>
      <c r="D11078" s="704" t="s">
        <v>675</v>
      </c>
      <c r="E11078" s="704" t="s">
        <v>448</v>
      </c>
      <c r="F11078" s="705">
        <v>2.2589232724588241E-3</v>
      </c>
      <c r="G11078" s="705">
        <v>3.110895198063834</v>
      </c>
    </row>
    <row r="11079" spans="2:7" ht="11.25" hidden="1" customHeight="1" outlineLevel="2" x14ac:dyDescent="0.25">
      <c r="B11079" s="704" t="s">
        <v>680</v>
      </c>
      <c r="C11079" s="704" t="s">
        <v>756</v>
      </c>
      <c r="D11079" s="704" t="s">
        <v>675</v>
      </c>
      <c r="E11079" s="704" t="s">
        <v>448</v>
      </c>
      <c r="F11079" s="705">
        <v>1.2173258292096384E-4</v>
      </c>
      <c r="G11079" s="705">
        <v>0.1615155729366928</v>
      </c>
    </row>
    <row r="11080" spans="2:7" ht="11.25" hidden="1" customHeight="1" outlineLevel="2" x14ac:dyDescent="0.25">
      <c r="B11080" s="704" t="s">
        <v>680</v>
      </c>
      <c r="C11080" s="704" t="s">
        <v>757</v>
      </c>
      <c r="D11080" s="704" t="s">
        <v>675</v>
      </c>
      <c r="E11080" s="704" t="s">
        <v>448</v>
      </c>
      <c r="F11080" s="705">
        <v>4.3047189603625437E-3</v>
      </c>
      <c r="G11080" s="705">
        <v>6.5125743718652265</v>
      </c>
    </row>
    <row r="11081" spans="2:7" ht="11.25" hidden="1" customHeight="1" outlineLevel="2" x14ac:dyDescent="0.25">
      <c r="B11081" s="704" t="s">
        <v>680</v>
      </c>
      <c r="C11081" s="704" t="s">
        <v>758</v>
      </c>
      <c r="D11081" s="704" t="s">
        <v>675</v>
      </c>
      <c r="E11081" s="704" t="s">
        <v>448</v>
      </c>
      <c r="F11081" s="705">
        <v>1.9382641194140438E-3</v>
      </c>
      <c r="G11081" s="705">
        <v>2.2430355576999776</v>
      </c>
    </row>
    <row r="11082" spans="2:7" ht="11.25" hidden="1" customHeight="1" outlineLevel="2" x14ac:dyDescent="0.25">
      <c r="B11082" s="704" t="s">
        <v>680</v>
      </c>
      <c r="C11082" s="704" t="s">
        <v>759</v>
      </c>
      <c r="D11082" s="704" t="s">
        <v>675</v>
      </c>
      <c r="E11082" s="704" t="s">
        <v>448</v>
      </c>
      <c r="F11082" s="705">
        <v>9.5885012212110019E-3</v>
      </c>
      <c r="G11082" s="705">
        <v>13.56440484841888</v>
      </c>
    </row>
    <row r="11083" spans="2:7" ht="11.25" hidden="1" customHeight="1" outlineLevel="2" x14ac:dyDescent="0.25">
      <c r="B11083" s="704" t="s">
        <v>680</v>
      </c>
      <c r="C11083" s="704" t="s">
        <v>760</v>
      </c>
      <c r="D11083" s="704" t="s">
        <v>675</v>
      </c>
      <c r="E11083" s="704" t="s">
        <v>448</v>
      </c>
      <c r="F11083" s="705">
        <v>6.4620810116543543E-3</v>
      </c>
      <c r="G11083" s="705">
        <v>6.4980637039862694</v>
      </c>
    </row>
    <row r="11084" spans="2:7" ht="11.25" hidden="1" customHeight="1" outlineLevel="2" x14ac:dyDescent="0.25">
      <c r="B11084" s="704" t="s">
        <v>680</v>
      </c>
      <c r="C11084" s="704" t="s">
        <v>761</v>
      </c>
      <c r="D11084" s="704" t="s">
        <v>675</v>
      </c>
      <c r="E11084" s="704" t="s">
        <v>448</v>
      </c>
      <c r="F11084" s="705">
        <v>3.0737755000439295E-4</v>
      </c>
      <c r="G11084" s="705">
        <v>0.51799775422733041</v>
      </c>
    </row>
    <row r="11085" spans="2:7" ht="11.25" hidden="1" customHeight="1" outlineLevel="2" x14ac:dyDescent="0.25">
      <c r="B11085" s="704" t="s">
        <v>680</v>
      </c>
      <c r="C11085" s="704" t="s">
        <v>762</v>
      </c>
      <c r="D11085" s="704" t="s">
        <v>675</v>
      </c>
      <c r="E11085" s="704" t="s">
        <v>448</v>
      </c>
      <c r="F11085" s="705">
        <v>6.2444517856340446E-4</v>
      </c>
      <c r="G11085" s="705">
        <v>0.8783373305359492</v>
      </c>
    </row>
    <row r="11086" spans="2:7" ht="11.25" hidden="1" customHeight="1" outlineLevel="2" x14ac:dyDescent="0.25">
      <c r="B11086" s="704" t="s">
        <v>680</v>
      </c>
      <c r="C11086" s="704" t="s">
        <v>763</v>
      </c>
      <c r="D11086" s="704" t="s">
        <v>675</v>
      </c>
      <c r="E11086" s="704" t="s">
        <v>448</v>
      </c>
      <c r="F11086" s="705">
        <v>2.7768206507384227E-4</v>
      </c>
      <c r="G11086" s="705">
        <v>0.78706957409165701</v>
      </c>
    </row>
    <row r="11087" spans="2:7" ht="11.25" hidden="1" customHeight="1" outlineLevel="2" x14ac:dyDescent="0.25">
      <c r="B11087" s="704" t="s">
        <v>680</v>
      </c>
      <c r="C11087" s="704" t="s">
        <v>764</v>
      </c>
      <c r="D11087" s="704" t="s">
        <v>675</v>
      </c>
      <c r="E11087" s="704" t="s">
        <v>448</v>
      </c>
      <c r="F11087" s="705">
        <v>3.2338265709310366E-4</v>
      </c>
      <c r="G11087" s="705">
        <v>1.8798694675910603</v>
      </c>
    </row>
    <row r="11088" spans="2:7" ht="11.25" hidden="1" customHeight="1" outlineLevel="2" x14ac:dyDescent="0.25">
      <c r="B11088" s="704" t="s">
        <v>680</v>
      </c>
      <c r="C11088" s="704" t="s">
        <v>765</v>
      </c>
      <c r="D11088" s="704" t="s">
        <v>675</v>
      </c>
      <c r="E11088" s="704" t="s">
        <v>448</v>
      </c>
      <c r="F11088" s="705">
        <v>3.057035976378727E-3</v>
      </c>
      <c r="G11088" s="705">
        <v>4.4548029196942709</v>
      </c>
    </row>
    <row r="11089" spans="2:7" ht="11.25" hidden="1" customHeight="1" outlineLevel="2" x14ac:dyDescent="0.25">
      <c r="B11089" s="704" t="s">
        <v>680</v>
      </c>
      <c r="C11089" s="704" t="s">
        <v>766</v>
      </c>
      <c r="D11089" s="704" t="s">
        <v>675</v>
      </c>
      <c r="E11089" s="704" t="s">
        <v>448</v>
      </c>
      <c r="F11089" s="705">
        <v>1.8972159504522228E-3</v>
      </c>
      <c r="G11089" s="705">
        <v>3.057387402097441</v>
      </c>
    </row>
    <row r="11090" spans="2:7" ht="11.25" hidden="1" customHeight="1" outlineLevel="2" x14ac:dyDescent="0.25">
      <c r="B11090" s="704" t="s">
        <v>680</v>
      </c>
      <c r="C11090" s="704" t="s">
        <v>767</v>
      </c>
      <c r="D11090" s="704" t="s">
        <v>675</v>
      </c>
      <c r="E11090" s="704" t="s">
        <v>448</v>
      </c>
      <c r="F11090" s="705">
        <v>9.5489417115571294E-4</v>
      </c>
      <c r="G11090" s="705">
        <v>1.0073816231320221</v>
      </c>
    </row>
    <row r="11091" spans="2:7" ht="11.25" hidden="1" customHeight="1" outlineLevel="2" x14ac:dyDescent="0.25">
      <c r="B11091" s="704" t="s">
        <v>680</v>
      </c>
      <c r="C11091" s="704" t="s">
        <v>768</v>
      </c>
      <c r="D11091" s="704" t="s">
        <v>675</v>
      </c>
      <c r="E11091" s="704" t="s">
        <v>448</v>
      </c>
      <c r="F11091" s="705">
        <v>4.4591123197610955E-4</v>
      </c>
      <c r="G11091" s="705">
        <v>0.71164633055443249</v>
      </c>
    </row>
    <row r="11092" spans="2:7" ht="11.25" hidden="1" customHeight="1" outlineLevel="2" x14ac:dyDescent="0.25">
      <c r="B11092" s="704" t="s">
        <v>680</v>
      </c>
      <c r="C11092" s="704" t="s">
        <v>825</v>
      </c>
      <c r="D11092" s="704" t="s">
        <v>675</v>
      </c>
      <c r="E11092" s="704" t="s">
        <v>824</v>
      </c>
      <c r="F11092" s="705">
        <v>8.5132778316998874E-5</v>
      </c>
      <c r="G11092" s="705">
        <v>0.40308772513238816</v>
      </c>
    </row>
    <row r="11093" spans="2:7" ht="11.25" hidden="1" customHeight="1" outlineLevel="2" x14ac:dyDescent="0.25">
      <c r="B11093" s="704" t="s">
        <v>680</v>
      </c>
      <c r="C11093" s="704" t="s">
        <v>826</v>
      </c>
      <c r="D11093" s="704" t="s">
        <v>675</v>
      </c>
      <c r="E11093" s="704" t="s">
        <v>824</v>
      </c>
      <c r="F11093" s="705">
        <v>6.3284953510433627E-5</v>
      </c>
      <c r="G11093" s="705">
        <v>0.67645709697436929</v>
      </c>
    </row>
    <row r="11094" spans="2:7" ht="11.25" hidden="1" customHeight="1" outlineLevel="2" x14ac:dyDescent="0.25">
      <c r="B11094" s="704" t="s">
        <v>680</v>
      </c>
      <c r="C11094" s="704" t="s">
        <v>827</v>
      </c>
      <c r="D11094" s="704" t="s">
        <v>675</v>
      </c>
      <c r="E11094" s="704" t="s">
        <v>824</v>
      </c>
      <c r="F11094" s="705">
        <v>4.6861432037902379E-5</v>
      </c>
      <c r="G11094" s="705">
        <v>0.11190623076785181</v>
      </c>
    </row>
    <row r="11095" spans="2:7" ht="11.25" hidden="1" customHeight="1" outlineLevel="2" x14ac:dyDescent="0.25">
      <c r="B11095" s="704" t="s">
        <v>680</v>
      </c>
      <c r="C11095" s="704" t="s">
        <v>828</v>
      </c>
      <c r="D11095" s="704" t="s">
        <v>675</v>
      </c>
      <c r="E11095" s="704" t="s">
        <v>824</v>
      </c>
      <c r="F11095" s="705">
        <v>1.2778108607428869E-5</v>
      </c>
      <c r="G11095" s="705">
        <v>7.0122983860609486E-2</v>
      </c>
    </row>
    <row r="11096" spans="2:7" ht="11.25" hidden="1" customHeight="1" outlineLevel="2" x14ac:dyDescent="0.25">
      <c r="B11096" s="704" t="s">
        <v>680</v>
      </c>
      <c r="C11096" s="704" t="s">
        <v>829</v>
      </c>
      <c r="D11096" s="704" t="s">
        <v>675</v>
      </c>
      <c r="E11096" s="704" t="s">
        <v>824</v>
      </c>
      <c r="F11096" s="705">
        <v>2.7652699220664738E-4</v>
      </c>
      <c r="G11096" s="705">
        <v>1.2409395160481702</v>
      </c>
    </row>
    <row r="11097" spans="2:7" ht="11.25" hidden="1" customHeight="1" outlineLevel="2" x14ac:dyDescent="0.25">
      <c r="B11097" s="704" t="s">
        <v>680</v>
      </c>
      <c r="C11097" s="704" t="s">
        <v>830</v>
      </c>
      <c r="D11097" s="704" t="s">
        <v>675</v>
      </c>
      <c r="E11097" s="704" t="s">
        <v>824</v>
      </c>
      <c r="F11097" s="705">
        <v>2.5087372210056059E-4</v>
      </c>
      <c r="G11097" s="705">
        <v>0.44680961155282217</v>
      </c>
    </row>
    <row r="11098" spans="2:7" ht="11.25" hidden="1" customHeight="1" outlineLevel="2" x14ac:dyDescent="0.25">
      <c r="B11098" s="704" t="s">
        <v>680</v>
      </c>
      <c r="C11098" s="704" t="s">
        <v>831</v>
      </c>
      <c r="D11098" s="704" t="s">
        <v>675</v>
      </c>
      <c r="E11098" s="704" t="s">
        <v>824</v>
      </c>
      <c r="F11098" s="705">
        <v>6.9605945154472843E-5</v>
      </c>
      <c r="G11098" s="705">
        <v>1.1480677869131977</v>
      </c>
    </row>
    <row r="11099" spans="2:7" ht="11.25" hidden="1" customHeight="1" outlineLevel="2" x14ac:dyDescent="0.25">
      <c r="B11099" s="704" t="s">
        <v>680</v>
      </c>
      <c r="C11099" s="704" t="s">
        <v>832</v>
      </c>
      <c r="D11099" s="704" t="s">
        <v>675</v>
      </c>
      <c r="E11099" s="704" t="s">
        <v>824</v>
      </c>
      <c r="F11099" s="705">
        <v>1.9026528187644505E-4</v>
      </c>
      <c r="G11099" s="705">
        <v>0.45726306868716315</v>
      </c>
    </row>
    <row r="11100" spans="2:7" ht="11.25" hidden="1" customHeight="1" outlineLevel="2" x14ac:dyDescent="0.25">
      <c r="B11100" s="704" t="s">
        <v>680</v>
      </c>
      <c r="C11100" s="704" t="s">
        <v>833</v>
      </c>
      <c r="D11100" s="704" t="s">
        <v>675</v>
      </c>
      <c r="E11100" s="704" t="s">
        <v>824</v>
      </c>
      <c r="F11100" s="705">
        <v>2.9058739266679836E-5</v>
      </c>
      <c r="G11100" s="705">
        <v>7.3580342063450876E-2</v>
      </c>
    </row>
    <row r="11101" spans="2:7" ht="11.25" hidden="1" customHeight="1" outlineLevel="2" x14ac:dyDescent="0.25">
      <c r="B11101" s="704" t="s">
        <v>680</v>
      </c>
      <c r="C11101" s="704" t="s">
        <v>834</v>
      </c>
      <c r="D11101" s="704" t="s">
        <v>675</v>
      </c>
      <c r="E11101" s="704" t="s">
        <v>824</v>
      </c>
      <c r="F11101" s="705">
        <v>2.1047807196368826E-4</v>
      </c>
      <c r="G11101" s="705">
        <v>0.79597937712849631</v>
      </c>
    </row>
    <row r="11102" spans="2:7" ht="11.25" hidden="1" customHeight="1" outlineLevel="2" x14ac:dyDescent="0.25">
      <c r="B11102" s="704" t="s">
        <v>680</v>
      </c>
      <c r="C11102" s="704" t="s">
        <v>835</v>
      </c>
      <c r="D11102" s="704" t="s">
        <v>675</v>
      </c>
      <c r="E11102" s="704" t="s">
        <v>824</v>
      </c>
      <c r="F11102" s="705">
        <v>2.6398519366642957E-4</v>
      </c>
      <c r="G11102" s="705">
        <v>1.9382490063988145</v>
      </c>
    </row>
    <row r="11103" spans="2:7" ht="11.25" hidden="1" customHeight="1" outlineLevel="2" x14ac:dyDescent="0.25">
      <c r="B11103" s="704" t="s">
        <v>680</v>
      </c>
      <c r="C11103" s="704" t="s">
        <v>836</v>
      </c>
      <c r="D11103" s="704" t="s">
        <v>675</v>
      </c>
      <c r="E11103" s="704" t="s">
        <v>824</v>
      </c>
      <c r="F11103" s="705">
        <v>1.8419613563257453E-5</v>
      </c>
      <c r="G11103" s="705">
        <v>0.20247225907005181</v>
      </c>
    </row>
    <row r="11104" spans="2:7" ht="11.25" hidden="1" customHeight="1" outlineLevel="2" x14ac:dyDescent="0.25">
      <c r="B11104" s="704" t="s">
        <v>680</v>
      </c>
      <c r="C11104" s="704" t="s">
        <v>837</v>
      </c>
      <c r="D11104" s="704" t="s">
        <v>675</v>
      </c>
      <c r="E11104" s="704" t="s">
        <v>824</v>
      </c>
      <c r="F11104" s="705">
        <v>6.0746175875626258E-4</v>
      </c>
      <c r="G11104" s="705">
        <v>1.6772065555300562</v>
      </c>
    </row>
    <row r="11105" spans="2:7" ht="11.25" hidden="1" customHeight="1" outlineLevel="2" x14ac:dyDescent="0.25">
      <c r="B11105" s="704" t="s">
        <v>680</v>
      </c>
      <c r="C11105" s="704" t="s">
        <v>838</v>
      </c>
      <c r="D11105" s="704" t="s">
        <v>675</v>
      </c>
      <c r="E11105" s="704" t="s">
        <v>824</v>
      </c>
      <c r="F11105" s="705">
        <v>3.1334633674544619E-4</v>
      </c>
      <c r="G11105" s="705">
        <v>0.69359496764939677</v>
      </c>
    </row>
    <row r="11106" spans="2:7" ht="11.25" hidden="1" customHeight="1" outlineLevel="2" x14ac:dyDescent="0.25">
      <c r="B11106" s="704" t="s">
        <v>680</v>
      </c>
      <c r="C11106" s="704" t="s">
        <v>674</v>
      </c>
      <c r="D11106" s="704" t="s">
        <v>675</v>
      </c>
      <c r="E11106" s="704" t="s">
        <v>676</v>
      </c>
      <c r="F11106" s="705">
        <v>8.8858136616269104E-4</v>
      </c>
      <c r="G11106" s="705">
        <v>2.1990466408568322E-2</v>
      </c>
    </row>
    <row r="11107" spans="2:7" ht="11.25" hidden="1" customHeight="1" outlineLevel="2" x14ac:dyDescent="0.25">
      <c r="B11107" s="704" t="s">
        <v>680</v>
      </c>
      <c r="C11107" s="704" t="s">
        <v>862</v>
      </c>
      <c r="D11107" s="704" t="s">
        <v>675</v>
      </c>
      <c r="E11107" s="704" t="s">
        <v>861</v>
      </c>
      <c r="F11107" s="709"/>
      <c r="G11107" s="705">
        <v>65.292257428933468</v>
      </c>
    </row>
    <row r="11108" spans="2:7" ht="11.25" hidden="1" customHeight="1" outlineLevel="2" x14ac:dyDescent="0.25">
      <c r="B11108" s="704" t="s">
        <v>680</v>
      </c>
      <c r="C11108" s="704" t="s">
        <v>863</v>
      </c>
      <c r="D11108" s="704" t="s">
        <v>675</v>
      </c>
      <c r="E11108" s="704" t="s">
        <v>861</v>
      </c>
      <c r="F11108" s="709"/>
      <c r="G11108" s="705">
        <v>0.10643078236226711</v>
      </c>
    </row>
    <row r="11109" spans="2:7" ht="11.25" hidden="1" customHeight="1" outlineLevel="2" x14ac:dyDescent="0.25">
      <c r="B11109" s="704" t="s">
        <v>680</v>
      </c>
      <c r="C11109" s="704" t="s">
        <v>864</v>
      </c>
      <c r="D11109" s="704" t="s">
        <v>675</v>
      </c>
      <c r="E11109" s="704" t="s">
        <v>861</v>
      </c>
      <c r="F11109" s="709"/>
      <c r="G11109" s="705">
        <v>1.7534099732987725</v>
      </c>
    </row>
    <row r="11110" spans="2:7" ht="11.25" hidden="1" customHeight="1" outlineLevel="2" x14ac:dyDescent="0.25">
      <c r="B11110" s="704" t="s">
        <v>680</v>
      </c>
      <c r="C11110" s="704" t="s">
        <v>865</v>
      </c>
      <c r="D11110" s="704" t="s">
        <v>675</v>
      </c>
      <c r="E11110" s="704" t="s">
        <v>861</v>
      </c>
      <c r="F11110" s="709"/>
      <c r="G11110" s="705">
        <v>163.43420550267908</v>
      </c>
    </row>
    <row r="11111" spans="2:7" ht="11.25" hidden="1" customHeight="1" outlineLevel="2" x14ac:dyDescent="0.25">
      <c r="B11111" s="704" t="s">
        <v>680</v>
      </c>
      <c r="C11111" s="704" t="s">
        <v>866</v>
      </c>
      <c r="D11111" s="704" t="s">
        <v>675</v>
      </c>
      <c r="E11111" s="704" t="s">
        <v>861</v>
      </c>
      <c r="F11111" s="709"/>
      <c r="G11111" s="705">
        <v>177.78200492789742</v>
      </c>
    </row>
    <row r="11112" spans="2:7" ht="11.25" hidden="1" customHeight="1" outlineLevel="2" x14ac:dyDescent="0.25">
      <c r="B11112" s="704" t="s">
        <v>680</v>
      </c>
      <c r="C11112" s="704" t="s">
        <v>867</v>
      </c>
      <c r="D11112" s="704" t="s">
        <v>675</v>
      </c>
      <c r="E11112" s="704" t="s">
        <v>861</v>
      </c>
      <c r="F11112" s="709"/>
      <c r="G11112" s="705">
        <v>9.7946175974308716</v>
      </c>
    </row>
    <row r="11113" spans="2:7" ht="11.25" hidden="1" customHeight="1" outlineLevel="2" x14ac:dyDescent="0.25">
      <c r="B11113" s="704" t="s">
        <v>680</v>
      </c>
      <c r="C11113" s="704" t="s">
        <v>868</v>
      </c>
      <c r="D11113" s="704" t="s">
        <v>675</v>
      </c>
      <c r="E11113" s="704" t="s">
        <v>861</v>
      </c>
      <c r="F11113" s="709"/>
      <c r="G11113" s="705">
        <v>6.0455305156030983</v>
      </c>
    </row>
    <row r="11114" spans="2:7" ht="11.25" hidden="1" customHeight="1" outlineLevel="2" x14ac:dyDescent="0.25">
      <c r="B11114" s="704" t="s">
        <v>680</v>
      </c>
      <c r="C11114" s="704" t="s">
        <v>869</v>
      </c>
      <c r="D11114" s="704" t="s">
        <v>675</v>
      </c>
      <c r="E11114" s="704" t="s">
        <v>861</v>
      </c>
      <c r="F11114" s="709"/>
      <c r="G11114" s="705">
        <v>18.051650541280768</v>
      </c>
    </row>
    <row r="11115" spans="2:7" ht="11.25" hidden="1" customHeight="1" outlineLevel="2" x14ac:dyDescent="0.25">
      <c r="B11115" s="704" t="s">
        <v>680</v>
      </c>
      <c r="C11115" s="704" t="s">
        <v>870</v>
      </c>
      <c r="D11115" s="704" t="s">
        <v>675</v>
      </c>
      <c r="E11115" s="704" t="s">
        <v>861</v>
      </c>
      <c r="F11115" s="709"/>
      <c r="G11115" s="705">
        <v>77.535347406392361</v>
      </c>
    </row>
    <row r="11116" spans="2:7" ht="11.25" hidden="1" customHeight="1" outlineLevel="2" x14ac:dyDescent="0.25">
      <c r="B11116" s="704" t="s">
        <v>680</v>
      </c>
      <c r="C11116" s="704" t="s">
        <v>871</v>
      </c>
      <c r="D11116" s="704" t="s">
        <v>675</v>
      </c>
      <c r="E11116" s="704" t="s">
        <v>861</v>
      </c>
      <c r="F11116" s="709"/>
      <c r="G11116" s="705">
        <v>66.671316165798729</v>
      </c>
    </row>
    <row r="11117" spans="2:7" ht="11.25" hidden="1" customHeight="1" outlineLevel="2" x14ac:dyDescent="0.25">
      <c r="B11117" s="704" t="s">
        <v>680</v>
      </c>
      <c r="C11117" s="704" t="s">
        <v>872</v>
      </c>
      <c r="D11117" s="704" t="s">
        <v>675</v>
      </c>
      <c r="E11117" s="704" t="s">
        <v>861</v>
      </c>
      <c r="F11117" s="709"/>
      <c r="G11117" s="705">
        <v>662.33640365525071</v>
      </c>
    </row>
    <row r="11118" spans="2:7" ht="11.25" hidden="1" customHeight="1" outlineLevel="2" x14ac:dyDescent="0.25">
      <c r="B11118" s="704" t="s">
        <v>680</v>
      </c>
      <c r="C11118" s="704" t="s">
        <v>873</v>
      </c>
      <c r="D11118" s="704" t="s">
        <v>675</v>
      </c>
      <c r="E11118" s="704" t="s">
        <v>861</v>
      </c>
      <c r="F11118" s="709"/>
      <c r="G11118" s="705">
        <v>5.4940487819034933</v>
      </c>
    </row>
    <row r="11119" spans="2:7" ht="11.25" hidden="1" customHeight="1" outlineLevel="2" x14ac:dyDescent="0.25">
      <c r="B11119" s="704" t="s">
        <v>680</v>
      </c>
      <c r="C11119" s="704" t="s">
        <v>874</v>
      </c>
      <c r="D11119" s="704" t="s">
        <v>675</v>
      </c>
      <c r="E11119" s="704" t="s">
        <v>861</v>
      </c>
      <c r="F11119" s="709"/>
      <c r="G11119" s="705">
        <v>2.5950896296772714</v>
      </c>
    </row>
    <row r="11120" spans="2:7" ht="11.25" hidden="1" customHeight="1" outlineLevel="2" x14ac:dyDescent="0.25">
      <c r="B11120" s="704" t="s">
        <v>680</v>
      </c>
      <c r="C11120" s="704" t="s">
        <v>875</v>
      </c>
      <c r="D11120" s="704" t="s">
        <v>675</v>
      </c>
      <c r="E11120" s="704" t="s">
        <v>861</v>
      </c>
      <c r="F11120" s="709"/>
      <c r="G11120" s="705">
        <v>151.27185425751756</v>
      </c>
    </row>
    <row r="11121" spans="2:7" ht="11.25" hidden="1" customHeight="1" outlineLevel="2" x14ac:dyDescent="0.25">
      <c r="B11121" s="704" t="s">
        <v>680</v>
      </c>
      <c r="C11121" s="704" t="s">
        <v>876</v>
      </c>
      <c r="D11121" s="704" t="s">
        <v>675</v>
      </c>
      <c r="E11121" s="704" t="s">
        <v>861</v>
      </c>
      <c r="F11121" s="709"/>
      <c r="G11121" s="705">
        <v>164.78519045818129</v>
      </c>
    </row>
    <row r="11122" spans="2:7" ht="11.25" hidden="1" customHeight="1" outlineLevel="2" x14ac:dyDescent="0.25">
      <c r="B11122" s="704" t="s">
        <v>680</v>
      </c>
      <c r="C11122" s="704" t="s">
        <v>877</v>
      </c>
      <c r="D11122" s="704" t="s">
        <v>675</v>
      </c>
      <c r="E11122" s="704" t="s">
        <v>861</v>
      </c>
      <c r="F11122" s="709"/>
      <c r="G11122" s="705">
        <v>566.49196719457814</v>
      </c>
    </row>
    <row r="11123" spans="2:7" ht="11.25" hidden="1" customHeight="1" outlineLevel="2" x14ac:dyDescent="0.25">
      <c r="B11123" s="704" t="s">
        <v>680</v>
      </c>
      <c r="C11123" s="704" t="s">
        <v>878</v>
      </c>
      <c r="D11123" s="704" t="s">
        <v>675</v>
      </c>
      <c r="E11123" s="704" t="s">
        <v>861</v>
      </c>
      <c r="F11123" s="709"/>
      <c r="G11123" s="705">
        <v>26.669654257308178</v>
      </c>
    </row>
    <row r="11124" spans="2:7" ht="11.25" hidden="1" customHeight="1" outlineLevel="2" x14ac:dyDescent="0.25">
      <c r="B11124" s="704" t="s">
        <v>680</v>
      </c>
      <c r="C11124" s="704" t="s">
        <v>879</v>
      </c>
      <c r="D11124" s="704" t="s">
        <v>675</v>
      </c>
      <c r="E11124" s="704" t="s">
        <v>861</v>
      </c>
      <c r="F11124" s="709"/>
      <c r="G11124" s="705">
        <v>212.00587067321595</v>
      </c>
    </row>
    <row r="11125" spans="2:7" ht="11.25" hidden="1" customHeight="1" outlineLevel="2" x14ac:dyDescent="0.25">
      <c r="B11125" s="704" t="s">
        <v>680</v>
      </c>
      <c r="C11125" s="704" t="s">
        <v>880</v>
      </c>
      <c r="D11125" s="704" t="s">
        <v>675</v>
      </c>
      <c r="E11125" s="704" t="s">
        <v>861</v>
      </c>
      <c r="F11125" s="709"/>
      <c r="G11125" s="705">
        <v>720.92520786402838</v>
      </c>
    </row>
    <row r="11126" spans="2:7" ht="11.25" hidden="1" customHeight="1" outlineLevel="2" x14ac:dyDescent="0.25">
      <c r="B11126" s="704" t="s">
        <v>680</v>
      </c>
      <c r="C11126" s="704" t="s">
        <v>881</v>
      </c>
      <c r="D11126" s="704" t="s">
        <v>675</v>
      </c>
      <c r="E11126" s="704" t="s">
        <v>861</v>
      </c>
      <c r="F11126" s="709"/>
      <c r="G11126" s="705">
        <v>437.19747004309511</v>
      </c>
    </row>
    <row r="11127" spans="2:7" ht="11.25" hidden="1" customHeight="1" outlineLevel="2" x14ac:dyDescent="0.25">
      <c r="B11127" s="704" t="s">
        <v>680</v>
      </c>
      <c r="C11127" s="704" t="s">
        <v>882</v>
      </c>
      <c r="D11127" s="704" t="s">
        <v>675</v>
      </c>
      <c r="E11127" s="704" t="s">
        <v>861</v>
      </c>
      <c r="F11127" s="709"/>
      <c r="G11127" s="705">
        <v>659.7876261139437</v>
      </c>
    </row>
    <row r="11128" spans="2:7" ht="11.25" hidden="1" customHeight="1" outlineLevel="2" x14ac:dyDescent="0.25">
      <c r="B11128" s="704" t="s">
        <v>680</v>
      </c>
      <c r="C11128" s="704" t="s">
        <v>883</v>
      </c>
      <c r="D11128" s="704" t="s">
        <v>675</v>
      </c>
      <c r="E11128" s="704" t="s">
        <v>861</v>
      </c>
      <c r="F11128" s="709"/>
      <c r="G11128" s="705">
        <v>299.78245493140946</v>
      </c>
    </row>
    <row r="11129" spans="2:7" ht="11.25" hidden="1" customHeight="1" outlineLevel="2" x14ac:dyDescent="0.25">
      <c r="B11129" s="704" t="s">
        <v>680</v>
      </c>
      <c r="C11129" s="704" t="s">
        <v>884</v>
      </c>
      <c r="D11129" s="704" t="s">
        <v>675</v>
      </c>
      <c r="E11129" s="704" t="s">
        <v>861</v>
      </c>
      <c r="F11129" s="709"/>
      <c r="G11129" s="705">
        <v>70.968012240125688</v>
      </c>
    </row>
    <row r="11130" spans="2:7" ht="11.25" hidden="1" customHeight="1" outlineLevel="2" x14ac:dyDescent="0.25">
      <c r="B11130" s="704" t="s">
        <v>680</v>
      </c>
      <c r="C11130" s="704" t="s">
        <v>885</v>
      </c>
      <c r="D11130" s="704" t="s">
        <v>675</v>
      </c>
      <c r="E11130" s="704" t="s">
        <v>861</v>
      </c>
      <c r="F11130" s="709"/>
      <c r="G11130" s="705">
        <v>0.92365242543592152</v>
      </c>
    </row>
    <row r="11131" spans="2:7" ht="11.25" hidden="1" customHeight="1" outlineLevel="2" x14ac:dyDescent="0.25">
      <c r="B11131" s="704" t="s">
        <v>680</v>
      </c>
      <c r="C11131" s="704" t="s">
        <v>886</v>
      </c>
      <c r="D11131" s="704" t="s">
        <v>675</v>
      </c>
      <c r="E11131" s="704" t="s">
        <v>861</v>
      </c>
      <c r="F11131" s="709"/>
      <c r="G11131" s="705">
        <v>68.004224955563615</v>
      </c>
    </row>
    <row r="11132" spans="2:7" ht="11.25" hidden="1" customHeight="1" outlineLevel="2" x14ac:dyDescent="0.25">
      <c r="B11132" s="704" t="s">
        <v>680</v>
      </c>
      <c r="C11132" s="704" t="s">
        <v>725</v>
      </c>
      <c r="D11132" s="704" t="s">
        <v>563</v>
      </c>
      <c r="E11132" s="704" t="s">
        <v>448</v>
      </c>
      <c r="F11132" s="705">
        <v>1.4865024286129597E-4</v>
      </c>
      <c r="G11132" s="705">
        <v>6.6634131361934579E-2</v>
      </c>
    </row>
    <row r="11133" spans="2:7" ht="11.25" hidden="1" customHeight="1" outlineLevel="2" x14ac:dyDescent="0.25">
      <c r="B11133" s="704" t="s">
        <v>680</v>
      </c>
      <c r="C11133" s="704" t="s">
        <v>726</v>
      </c>
      <c r="D11133" s="704" t="s">
        <v>563</v>
      </c>
      <c r="E11133" s="704" t="s">
        <v>448</v>
      </c>
      <c r="F11133" s="705">
        <v>1.1707517905293312E-5</v>
      </c>
      <c r="G11133" s="705">
        <v>5.2480201418053747E-3</v>
      </c>
    </row>
    <row r="11134" spans="2:7" ht="11.25" hidden="1" customHeight="1" outlineLevel="2" x14ac:dyDescent="0.25">
      <c r="B11134" s="704" t="s">
        <v>680</v>
      </c>
      <c r="C11134" s="704" t="s">
        <v>769</v>
      </c>
      <c r="D11134" s="704" t="s">
        <v>563</v>
      </c>
      <c r="E11134" s="704" t="s">
        <v>448</v>
      </c>
      <c r="F11134" s="705">
        <v>7.5825981585375575E-3</v>
      </c>
      <c r="G11134" s="705">
        <v>8.1050029384108129</v>
      </c>
    </row>
    <row r="11135" spans="2:7" ht="11.25" hidden="1" customHeight="1" outlineLevel="2" x14ac:dyDescent="0.25">
      <c r="B11135" s="704" t="s">
        <v>680</v>
      </c>
      <c r="C11135" s="704" t="s">
        <v>770</v>
      </c>
      <c r="D11135" s="704" t="s">
        <v>563</v>
      </c>
      <c r="E11135" s="704" t="s">
        <v>448</v>
      </c>
      <c r="F11135" s="705">
        <v>6.8932562975588703E-3</v>
      </c>
      <c r="G11135" s="705">
        <v>24.001085114896568</v>
      </c>
    </row>
    <row r="11136" spans="2:7" ht="11.25" hidden="1" customHeight="1" outlineLevel="2" x14ac:dyDescent="0.25">
      <c r="B11136" s="704" t="s">
        <v>680</v>
      </c>
      <c r="C11136" s="704" t="s">
        <v>771</v>
      </c>
      <c r="D11136" s="704" t="s">
        <v>563</v>
      </c>
      <c r="E11136" s="704" t="s">
        <v>448</v>
      </c>
      <c r="F11136" s="705">
        <v>2.5769101488670389E-3</v>
      </c>
      <c r="G11136" s="705">
        <v>6.0615308953465243</v>
      </c>
    </row>
    <row r="11137" spans="2:7" ht="11.25" hidden="1" customHeight="1" outlineLevel="2" x14ac:dyDescent="0.25">
      <c r="B11137" s="704" t="s">
        <v>680</v>
      </c>
      <c r="C11137" s="704" t="s">
        <v>772</v>
      </c>
      <c r="D11137" s="704" t="s">
        <v>563</v>
      </c>
      <c r="E11137" s="704" t="s">
        <v>448</v>
      </c>
      <c r="F11137" s="705">
        <v>8.6444136190096978E-3</v>
      </c>
      <c r="G11137" s="705">
        <v>11.298421603621421</v>
      </c>
    </row>
    <row r="11138" spans="2:7" ht="11.25" hidden="1" customHeight="1" outlineLevel="2" x14ac:dyDescent="0.25">
      <c r="B11138" s="704" t="s">
        <v>680</v>
      </c>
      <c r="C11138" s="704" t="s">
        <v>773</v>
      </c>
      <c r="D11138" s="704" t="s">
        <v>563</v>
      </c>
      <c r="E11138" s="704" t="s">
        <v>448</v>
      </c>
      <c r="F11138" s="705">
        <v>4.8435151325748805E-4</v>
      </c>
      <c r="G11138" s="705">
        <v>0.55512165052902385</v>
      </c>
    </row>
    <row r="11139" spans="2:7" ht="11.25" hidden="1" customHeight="1" outlineLevel="2" x14ac:dyDescent="0.25">
      <c r="B11139" s="704" t="s">
        <v>680</v>
      </c>
      <c r="C11139" s="704" t="s">
        <v>774</v>
      </c>
      <c r="D11139" s="704" t="s">
        <v>563</v>
      </c>
      <c r="E11139" s="704" t="s">
        <v>448</v>
      </c>
      <c r="F11139" s="705">
        <v>1.5317288986022376E-4</v>
      </c>
      <c r="G11139" s="705">
        <v>0.20756876617431697</v>
      </c>
    </row>
    <row r="11140" spans="2:7" ht="11.25" hidden="1" customHeight="1" outlineLevel="2" x14ac:dyDescent="0.25">
      <c r="B11140" s="704" t="s">
        <v>680</v>
      </c>
      <c r="C11140" s="704" t="s">
        <v>775</v>
      </c>
      <c r="D11140" s="704" t="s">
        <v>563</v>
      </c>
      <c r="E11140" s="704" t="s">
        <v>448</v>
      </c>
      <c r="F11140" s="705">
        <v>1.9012136498010551E-4</v>
      </c>
      <c r="G11140" s="705">
        <v>2.4473570607901189</v>
      </c>
    </row>
    <row r="11141" spans="2:7" ht="11.25" hidden="1" customHeight="1" outlineLevel="2" x14ac:dyDescent="0.25">
      <c r="B11141" s="704" t="s">
        <v>680</v>
      </c>
      <c r="C11141" s="704" t="s">
        <v>839</v>
      </c>
      <c r="D11141" s="704" t="s">
        <v>563</v>
      </c>
      <c r="E11141" s="704" t="s">
        <v>824</v>
      </c>
      <c r="F11141" s="705">
        <v>8.4610778910747357E-3</v>
      </c>
      <c r="G11141" s="705">
        <v>20.532238056335729</v>
      </c>
    </row>
    <row r="11142" spans="2:7" ht="11.25" hidden="1" customHeight="1" outlineLevel="2" x14ac:dyDescent="0.25">
      <c r="B11142" s="704" t="s">
        <v>680</v>
      </c>
      <c r="C11142" s="704" t="s">
        <v>840</v>
      </c>
      <c r="D11142" s="704" t="s">
        <v>563</v>
      </c>
      <c r="E11142" s="704" t="s">
        <v>824</v>
      </c>
      <c r="F11142" s="705">
        <v>0.24657585295971471</v>
      </c>
      <c r="G11142" s="705">
        <v>1815.3658548215199</v>
      </c>
    </row>
    <row r="11143" spans="2:7" ht="11.25" hidden="1" customHeight="1" outlineLevel="2" x14ac:dyDescent="0.25">
      <c r="B11143" s="704" t="s">
        <v>680</v>
      </c>
      <c r="C11143" s="704" t="s">
        <v>841</v>
      </c>
      <c r="D11143" s="704" t="s">
        <v>563</v>
      </c>
      <c r="E11143" s="704" t="s">
        <v>824</v>
      </c>
      <c r="F11143" s="705">
        <v>1.1993313133291236E-3</v>
      </c>
      <c r="G11143" s="705">
        <v>13.724196100194657</v>
      </c>
    </row>
    <row r="11144" spans="2:7" ht="11.25" hidden="1" customHeight="1" outlineLevel="2" x14ac:dyDescent="0.25">
      <c r="B11144" s="704" t="s">
        <v>680</v>
      </c>
      <c r="C11144" s="704" t="s">
        <v>842</v>
      </c>
      <c r="D11144" s="704" t="s">
        <v>563</v>
      </c>
      <c r="E11144" s="704" t="s">
        <v>824</v>
      </c>
      <c r="F11144" s="705">
        <v>4.3460826028303564E-4</v>
      </c>
      <c r="G11144" s="705">
        <v>4.2538685178079199</v>
      </c>
    </row>
    <row r="11145" spans="2:7" ht="11.25" hidden="1" customHeight="1" outlineLevel="2" x14ac:dyDescent="0.25">
      <c r="B11145" s="704" t="s">
        <v>680</v>
      </c>
      <c r="C11145" s="704" t="s">
        <v>843</v>
      </c>
      <c r="D11145" s="704" t="s">
        <v>563</v>
      </c>
      <c r="E11145" s="704" t="s">
        <v>824</v>
      </c>
      <c r="F11145" s="705">
        <v>4.2007322837978663E-4</v>
      </c>
      <c r="G11145" s="705">
        <v>1.0975721291122125</v>
      </c>
    </row>
    <row r="11146" spans="2:7" ht="11.25" hidden="1" customHeight="1" outlineLevel="2" x14ac:dyDescent="0.25">
      <c r="B11146" s="704" t="s">
        <v>680</v>
      </c>
      <c r="C11146" s="704" t="s">
        <v>844</v>
      </c>
      <c r="D11146" s="704" t="s">
        <v>563</v>
      </c>
      <c r="E11146" s="704" t="s">
        <v>824</v>
      </c>
      <c r="F11146" s="705">
        <v>4.2009106658982831E-4</v>
      </c>
      <c r="G11146" s="705">
        <v>8.3483364993602152</v>
      </c>
    </row>
    <row r="11147" spans="2:7" ht="11.25" hidden="1" customHeight="1" outlineLevel="2" x14ac:dyDescent="0.25">
      <c r="B11147" s="704" t="s">
        <v>680</v>
      </c>
      <c r="C11147" s="704" t="s">
        <v>700</v>
      </c>
      <c r="D11147" s="704" t="s">
        <v>563</v>
      </c>
      <c r="E11147" s="704" t="s">
        <v>676</v>
      </c>
      <c r="F11147" s="705">
        <v>1.2734412747806414</v>
      </c>
      <c r="G11147" s="705">
        <v>107.16731443866195</v>
      </c>
    </row>
    <row r="11148" spans="2:7" ht="11.25" hidden="1" customHeight="1" outlineLevel="2" x14ac:dyDescent="0.25">
      <c r="B11148" s="704" t="s">
        <v>680</v>
      </c>
      <c r="C11148" s="704" t="s">
        <v>701</v>
      </c>
      <c r="D11148" s="704" t="s">
        <v>563</v>
      </c>
      <c r="E11148" s="704" t="s">
        <v>676</v>
      </c>
      <c r="F11148" s="705">
        <v>1.3909233292681907E-3</v>
      </c>
      <c r="G11148" s="705">
        <v>0.12179963547139701</v>
      </c>
    </row>
    <row r="11149" spans="2:7" ht="11.25" hidden="1" customHeight="1" outlineLevel="2" x14ac:dyDescent="0.25">
      <c r="B11149" s="704" t="s">
        <v>680</v>
      </c>
      <c r="C11149" s="704" t="s">
        <v>702</v>
      </c>
      <c r="D11149" s="704" t="s">
        <v>563</v>
      </c>
      <c r="E11149" s="704" t="s">
        <v>676</v>
      </c>
      <c r="F11149" s="705">
        <v>6.4900407666723811E-4</v>
      </c>
      <c r="G11149" s="705">
        <v>6.6516154090592819E-2</v>
      </c>
    </row>
    <row r="11150" spans="2:7" ht="11.25" hidden="1" customHeight="1" outlineLevel="2" x14ac:dyDescent="0.25">
      <c r="B11150" s="704" t="s">
        <v>680</v>
      </c>
      <c r="C11150" s="704" t="s">
        <v>703</v>
      </c>
      <c r="D11150" s="704" t="s">
        <v>563</v>
      </c>
      <c r="E11150" s="704" t="s">
        <v>676</v>
      </c>
      <c r="F11150" s="705">
        <v>1.9898136166521564E-3</v>
      </c>
      <c r="G11150" s="705">
        <v>0.1959448653117149</v>
      </c>
    </row>
    <row r="11151" spans="2:7" ht="11.25" hidden="1" customHeight="1" outlineLevel="2" x14ac:dyDescent="0.25">
      <c r="B11151" s="704" t="s">
        <v>680</v>
      </c>
      <c r="C11151" s="704" t="s">
        <v>704</v>
      </c>
      <c r="D11151" s="704" t="s">
        <v>563</v>
      </c>
      <c r="E11151" s="704" t="s">
        <v>676</v>
      </c>
      <c r="F11151" s="705">
        <v>2.2101454607684349E-3</v>
      </c>
      <c r="G11151" s="705">
        <v>0.49701358835291365</v>
      </c>
    </row>
    <row r="11152" spans="2:7" ht="11.25" hidden="1" customHeight="1" outlineLevel="2" x14ac:dyDescent="0.25">
      <c r="B11152" s="704" t="s">
        <v>680</v>
      </c>
      <c r="C11152" s="704" t="s">
        <v>887</v>
      </c>
      <c r="D11152" s="704" t="s">
        <v>563</v>
      </c>
      <c r="E11152" s="704" t="s">
        <v>861</v>
      </c>
      <c r="F11152" s="709"/>
      <c r="G11152" s="705">
        <v>33.40514614602516</v>
      </c>
    </row>
    <row r="11153" spans="2:7" ht="11.25" hidden="1" customHeight="1" outlineLevel="2" x14ac:dyDescent="0.25">
      <c r="B11153" s="704" t="s">
        <v>680</v>
      </c>
      <c r="C11153" s="704" t="s">
        <v>888</v>
      </c>
      <c r="D11153" s="704" t="s">
        <v>563</v>
      </c>
      <c r="E11153" s="704" t="s">
        <v>861</v>
      </c>
      <c r="F11153" s="709"/>
      <c r="G11153" s="705">
        <v>484.7279720429778</v>
      </c>
    </row>
    <row r="11154" spans="2:7" ht="11.25" hidden="1" customHeight="1" outlineLevel="2" x14ac:dyDescent="0.25">
      <c r="B11154" s="704" t="s">
        <v>680</v>
      </c>
      <c r="C11154" s="704" t="s">
        <v>889</v>
      </c>
      <c r="D11154" s="704" t="s">
        <v>563</v>
      </c>
      <c r="E11154" s="704" t="s">
        <v>861</v>
      </c>
      <c r="F11154" s="709"/>
      <c r="G11154" s="705">
        <v>211.56768794948914</v>
      </c>
    </row>
    <row r="11155" spans="2:7" ht="11.25" hidden="1" customHeight="1" outlineLevel="2" x14ac:dyDescent="0.25">
      <c r="B11155" s="704" t="s">
        <v>680</v>
      </c>
      <c r="C11155" s="704" t="s">
        <v>890</v>
      </c>
      <c r="D11155" s="704" t="s">
        <v>563</v>
      </c>
      <c r="E11155" s="704" t="s">
        <v>861</v>
      </c>
      <c r="F11155" s="709"/>
      <c r="G11155" s="705">
        <v>214.73893747446098</v>
      </c>
    </row>
    <row r="11156" spans="2:7" ht="11.25" hidden="1" customHeight="1" outlineLevel="2" x14ac:dyDescent="0.25">
      <c r="B11156" s="704" t="s">
        <v>680</v>
      </c>
      <c r="C11156" s="704" t="s">
        <v>891</v>
      </c>
      <c r="D11156" s="704" t="s">
        <v>563</v>
      </c>
      <c r="E11156" s="704" t="s">
        <v>861</v>
      </c>
      <c r="F11156" s="709"/>
      <c r="G11156" s="705">
        <v>8.2553299560391729</v>
      </c>
    </row>
    <row r="11157" spans="2:7" ht="11.25" hidden="1" customHeight="1" outlineLevel="2" x14ac:dyDescent="0.25">
      <c r="B11157" s="704" t="s">
        <v>680</v>
      </c>
      <c r="C11157" s="704" t="s">
        <v>892</v>
      </c>
      <c r="D11157" s="704" t="s">
        <v>563</v>
      </c>
      <c r="E11157" s="704" t="s">
        <v>861</v>
      </c>
      <c r="F11157" s="709"/>
      <c r="G11157" s="705">
        <v>569.95442395293242</v>
      </c>
    </row>
    <row r="11158" spans="2:7" ht="11.25" hidden="1" customHeight="1" outlineLevel="2" x14ac:dyDescent="0.25">
      <c r="B11158" s="704" t="s">
        <v>680</v>
      </c>
      <c r="C11158" s="704" t="s">
        <v>893</v>
      </c>
      <c r="D11158" s="704" t="s">
        <v>563</v>
      </c>
      <c r="E11158" s="704" t="s">
        <v>861</v>
      </c>
      <c r="F11158" s="709"/>
      <c r="G11158" s="705">
        <v>305.17360721034731</v>
      </c>
    </row>
    <row r="11159" spans="2:7" ht="11.25" hidden="1" customHeight="1" outlineLevel="2" x14ac:dyDescent="0.25">
      <c r="B11159" s="704" t="s">
        <v>680</v>
      </c>
      <c r="C11159" s="704" t="s">
        <v>727</v>
      </c>
      <c r="D11159" s="704" t="s">
        <v>728</v>
      </c>
      <c r="E11159" s="704" t="s">
        <v>448</v>
      </c>
      <c r="F11159" s="705">
        <v>2.2567290366958905E-3</v>
      </c>
      <c r="G11159" s="705">
        <v>1.2360479283794858</v>
      </c>
    </row>
    <row r="11160" spans="2:7" ht="11.25" hidden="1" customHeight="1" outlineLevel="2" x14ac:dyDescent="0.25">
      <c r="B11160" s="704" t="s">
        <v>680</v>
      </c>
      <c r="C11160" s="704" t="s">
        <v>729</v>
      </c>
      <c r="D11160" s="704" t="s">
        <v>728</v>
      </c>
      <c r="E11160" s="704" t="s">
        <v>448</v>
      </c>
      <c r="F11160" s="705">
        <v>6.5513757629603953E-3</v>
      </c>
      <c r="G11160" s="705">
        <v>3.5360153260021652</v>
      </c>
    </row>
    <row r="11161" spans="2:7" ht="11.25" hidden="1" customHeight="1" outlineLevel="2" x14ac:dyDescent="0.25">
      <c r="B11161" s="704" t="s">
        <v>680</v>
      </c>
      <c r="C11161" s="704" t="s">
        <v>730</v>
      </c>
      <c r="D11161" s="704" t="s">
        <v>728</v>
      </c>
      <c r="E11161" s="704" t="s">
        <v>448</v>
      </c>
      <c r="F11161" s="705">
        <v>3.2385867959789198E-2</v>
      </c>
      <c r="G11161" s="705">
        <v>16.885429518341432</v>
      </c>
    </row>
    <row r="11162" spans="2:7" ht="11.25" hidden="1" customHeight="1" outlineLevel="2" x14ac:dyDescent="0.25">
      <c r="B11162" s="704" t="s">
        <v>680</v>
      </c>
      <c r="C11162" s="704" t="s">
        <v>731</v>
      </c>
      <c r="D11162" s="704" t="s">
        <v>728</v>
      </c>
      <c r="E11162" s="704" t="s">
        <v>448</v>
      </c>
      <c r="F11162" s="705">
        <v>7.1774075762806186E-2</v>
      </c>
      <c r="G11162" s="705">
        <v>39.352057452812801</v>
      </c>
    </row>
    <row r="11163" spans="2:7" ht="11.25" hidden="1" customHeight="1" outlineLevel="2" x14ac:dyDescent="0.25">
      <c r="B11163" s="704" t="s">
        <v>680</v>
      </c>
      <c r="C11163" s="704" t="s">
        <v>732</v>
      </c>
      <c r="D11163" s="704" t="s">
        <v>728</v>
      </c>
      <c r="E11163" s="704" t="s">
        <v>448</v>
      </c>
      <c r="F11163" s="705">
        <v>3.9925159733289195E-2</v>
      </c>
      <c r="G11163" s="705">
        <v>23.530666017882723</v>
      </c>
    </row>
    <row r="11164" spans="2:7" ht="11.25" hidden="1" customHeight="1" outlineLevel="2" x14ac:dyDescent="0.25">
      <c r="B11164" s="704" t="s">
        <v>680</v>
      </c>
      <c r="C11164" s="704" t="s">
        <v>733</v>
      </c>
      <c r="D11164" s="704" t="s">
        <v>728</v>
      </c>
      <c r="E11164" s="704" t="s">
        <v>448</v>
      </c>
      <c r="F11164" s="705">
        <v>6.7763832229460905E-2</v>
      </c>
      <c r="G11164" s="705">
        <v>34.314335067492415</v>
      </c>
    </row>
    <row r="11165" spans="2:7" ht="11.25" hidden="1" customHeight="1" outlineLevel="2" x14ac:dyDescent="0.25">
      <c r="B11165" s="704" t="s">
        <v>680</v>
      </c>
      <c r="C11165" s="704" t="s">
        <v>734</v>
      </c>
      <c r="D11165" s="704" t="s">
        <v>728</v>
      </c>
      <c r="E11165" s="704" t="s">
        <v>448</v>
      </c>
      <c r="F11165" s="705">
        <v>2.8141755968393453E-2</v>
      </c>
      <c r="G11165" s="705">
        <v>15.144293798613969</v>
      </c>
    </row>
    <row r="11166" spans="2:7" ht="11.25" hidden="1" customHeight="1" outlineLevel="2" x14ac:dyDescent="0.25">
      <c r="B11166" s="704" t="s">
        <v>680</v>
      </c>
      <c r="C11166" s="704" t="s">
        <v>735</v>
      </c>
      <c r="D11166" s="704" t="s">
        <v>728</v>
      </c>
      <c r="E11166" s="704" t="s">
        <v>448</v>
      </c>
      <c r="F11166" s="705">
        <v>5.9809038606353858E-2</v>
      </c>
      <c r="G11166" s="705">
        <v>32.041402570077771</v>
      </c>
    </row>
    <row r="11167" spans="2:7" ht="11.25" hidden="1" customHeight="1" outlineLevel="2" x14ac:dyDescent="0.25">
      <c r="B11167" s="704" t="s">
        <v>680</v>
      </c>
      <c r="C11167" s="704" t="s">
        <v>736</v>
      </c>
      <c r="D11167" s="704" t="s">
        <v>728</v>
      </c>
      <c r="E11167" s="704" t="s">
        <v>448</v>
      </c>
      <c r="F11167" s="705">
        <v>1.7546773625768003E-31</v>
      </c>
      <c r="G11167" s="705">
        <v>2.5805309712978553E-29</v>
      </c>
    </row>
    <row r="11168" spans="2:7" ht="11.25" hidden="1" customHeight="1" outlineLevel="2" x14ac:dyDescent="0.25">
      <c r="B11168" s="704" t="s">
        <v>680</v>
      </c>
      <c r="C11168" s="704" t="s">
        <v>737</v>
      </c>
      <c r="D11168" s="704" t="s">
        <v>728</v>
      </c>
      <c r="E11168" s="704" t="s">
        <v>448</v>
      </c>
      <c r="F11168" s="705">
        <v>1.2564761528336011E-35</v>
      </c>
      <c r="G11168" s="705">
        <v>1.8479142756648053E-33</v>
      </c>
    </row>
    <row r="11169" spans="2:7" ht="11.25" hidden="1" customHeight="1" outlineLevel="2" x14ac:dyDescent="0.25">
      <c r="B11169" s="704" t="s">
        <v>680</v>
      </c>
      <c r="C11169" s="704" t="s">
        <v>738</v>
      </c>
      <c r="D11169" s="704" t="s">
        <v>728</v>
      </c>
      <c r="E11169" s="704" t="s">
        <v>448</v>
      </c>
      <c r="F11169" s="705">
        <v>2.9300608406094043E-5</v>
      </c>
      <c r="G11169" s="705">
        <v>1.4645641714769534E-2</v>
      </c>
    </row>
    <row r="11170" spans="2:7" ht="11.25" hidden="1" customHeight="1" outlineLevel="2" x14ac:dyDescent="0.25">
      <c r="B11170" s="704" t="s">
        <v>680</v>
      </c>
      <c r="C11170" s="704" t="s">
        <v>776</v>
      </c>
      <c r="D11170" s="704" t="s">
        <v>728</v>
      </c>
      <c r="E11170" s="704" t="s">
        <v>448</v>
      </c>
      <c r="F11170" s="705">
        <v>0.33892226817567273</v>
      </c>
      <c r="G11170" s="705">
        <v>210.95006910375324</v>
      </c>
    </row>
    <row r="11171" spans="2:7" ht="11.25" hidden="1" customHeight="1" outlineLevel="2" x14ac:dyDescent="0.25">
      <c r="B11171" s="704" t="s">
        <v>680</v>
      </c>
      <c r="C11171" s="704" t="s">
        <v>777</v>
      </c>
      <c r="D11171" s="704" t="s">
        <v>728</v>
      </c>
      <c r="E11171" s="704" t="s">
        <v>448</v>
      </c>
      <c r="F11171" s="705">
        <v>8.3654045117393994E-2</v>
      </c>
      <c r="G11171" s="705">
        <v>100.02583994553802</v>
      </c>
    </row>
    <row r="11172" spans="2:7" ht="11.25" hidden="1" customHeight="1" outlineLevel="2" x14ac:dyDescent="0.25">
      <c r="B11172" s="704" t="s">
        <v>680</v>
      </c>
      <c r="C11172" s="704" t="s">
        <v>778</v>
      </c>
      <c r="D11172" s="704" t="s">
        <v>728</v>
      </c>
      <c r="E11172" s="704" t="s">
        <v>448</v>
      </c>
      <c r="F11172" s="705">
        <v>2.86508839148506E-2</v>
      </c>
      <c r="G11172" s="705">
        <v>17.688451336527876</v>
      </c>
    </row>
    <row r="11173" spans="2:7" ht="11.25" hidden="1" customHeight="1" outlineLevel="2" x14ac:dyDescent="0.25">
      <c r="B11173" s="704" t="s">
        <v>680</v>
      </c>
      <c r="C11173" s="704" t="s">
        <v>779</v>
      </c>
      <c r="D11173" s="704" t="s">
        <v>728</v>
      </c>
      <c r="E11173" s="704" t="s">
        <v>448</v>
      </c>
      <c r="F11173" s="705">
        <v>6.7807067962274287E-2</v>
      </c>
      <c r="G11173" s="705">
        <v>50.914029350585515</v>
      </c>
    </row>
    <row r="11174" spans="2:7" ht="11.25" hidden="1" customHeight="1" outlineLevel="2" x14ac:dyDescent="0.25">
      <c r="B11174" s="704" t="s">
        <v>680</v>
      </c>
      <c r="C11174" s="704" t="s">
        <v>780</v>
      </c>
      <c r="D11174" s="704" t="s">
        <v>728</v>
      </c>
      <c r="E11174" s="704" t="s">
        <v>448</v>
      </c>
      <c r="F11174" s="705">
        <v>1.5529157576370622E-3</v>
      </c>
      <c r="G11174" s="705">
        <v>1.1743563579336862</v>
      </c>
    </row>
    <row r="11175" spans="2:7" ht="11.25" hidden="1" customHeight="1" outlineLevel="2" x14ac:dyDescent="0.25">
      <c r="B11175" s="704" t="s">
        <v>680</v>
      </c>
      <c r="C11175" s="704" t="s">
        <v>781</v>
      </c>
      <c r="D11175" s="704" t="s">
        <v>728</v>
      </c>
      <c r="E11175" s="704" t="s">
        <v>448</v>
      </c>
      <c r="F11175" s="705">
        <v>1.8589823021649562E-3</v>
      </c>
      <c r="G11175" s="705">
        <v>2.3170840918514504</v>
      </c>
    </row>
    <row r="11176" spans="2:7" ht="11.25" hidden="1" customHeight="1" outlineLevel="2" x14ac:dyDescent="0.25">
      <c r="B11176" s="704" t="s">
        <v>680</v>
      </c>
      <c r="C11176" s="704" t="s">
        <v>782</v>
      </c>
      <c r="D11176" s="704" t="s">
        <v>728</v>
      </c>
      <c r="E11176" s="704" t="s">
        <v>448</v>
      </c>
      <c r="F11176" s="705">
        <v>2.9556018252010043E-3</v>
      </c>
      <c r="G11176" s="705">
        <v>2.2404617575464676</v>
      </c>
    </row>
    <row r="11177" spans="2:7" ht="11.25" hidden="1" customHeight="1" outlineLevel="2" x14ac:dyDescent="0.25">
      <c r="B11177" s="704" t="s">
        <v>680</v>
      </c>
      <c r="C11177" s="704" t="s">
        <v>783</v>
      </c>
      <c r="D11177" s="704" t="s">
        <v>728</v>
      </c>
      <c r="E11177" s="704" t="s">
        <v>448</v>
      </c>
      <c r="F11177" s="705">
        <v>6.1034081280975115E-2</v>
      </c>
      <c r="G11177" s="705">
        <v>95.591674657777318</v>
      </c>
    </row>
    <row r="11178" spans="2:7" ht="11.25" hidden="1" customHeight="1" outlineLevel="2" x14ac:dyDescent="0.25">
      <c r="B11178" s="704" t="s">
        <v>680</v>
      </c>
      <c r="C11178" s="704" t="s">
        <v>784</v>
      </c>
      <c r="D11178" s="704" t="s">
        <v>728</v>
      </c>
      <c r="E11178" s="704" t="s">
        <v>448</v>
      </c>
      <c r="F11178" s="705">
        <v>3.3393031620181911E-36</v>
      </c>
      <c r="G11178" s="705">
        <v>1.8280546195799491E-33</v>
      </c>
    </row>
    <row r="11179" spans="2:7" ht="11.25" hidden="1" customHeight="1" outlineLevel="2" x14ac:dyDescent="0.25">
      <c r="B11179" s="704" t="s">
        <v>680</v>
      </c>
      <c r="C11179" s="704" t="s">
        <v>785</v>
      </c>
      <c r="D11179" s="704" t="s">
        <v>728</v>
      </c>
      <c r="E11179" s="704" t="s">
        <v>448</v>
      </c>
      <c r="F11179" s="705">
        <v>1.9387143840960953E-34</v>
      </c>
      <c r="G11179" s="705">
        <v>1.0613883623866215E-31</v>
      </c>
    </row>
    <row r="11180" spans="2:7" ht="11.25" hidden="1" customHeight="1" outlineLevel="2" x14ac:dyDescent="0.25">
      <c r="B11180" s="704" t="s">
        <v>680</v>
      </c>
      <c r="C11180" s="704" t="s">
        <v>786</v>
      </c>
      <c r="D11180" s="704" t="s">
        <v>728</v>
      </c>
      <c r="E11180" s="704" t="s">
        <v>448</v>
      </c>
      <c r="F11180" s="705">
        <v>3.3337824951605012E-2</v>
      </c>
      <c r="G11180" s="705">
        <v>42.326356548748251</v>
      </c>
    </row>
    <row r="11181" spans="2:7" ht="11.25" hidden="1" customHeight="1" outlineLevel="2" x14ac:dyDescent="0.25">
      <c r="B11181" s="704" t="s">
        <v>680</v>
      </c>
      <c r="C11181" s="704" t="s">
        <v>787</v>
      </c>
      <c r="D11181" s="704" t="s">
        <v>728</v>
      </c>
      <c r="E11181" s="704" t="s">
        <v>448</v>
      </c>
      <c r="F11181" s="705">
        <v>7.7947746836251729E-3</v>
      </c>
      <c r="G11181" s="705">
        <v>11.043976939005109</v>
      </c>
    </row>
    <row r="11182" spans="2:7" ht="11.25" hidden="1" customHeight="1" outlineLevel="2" x14ac:dyDescent="0.25">
      <c r="B11182" s="704" t="s">
        <v>680</v>
      </c>
      <c r="C11182" s="704" t="s">
        <v>788</v>
      </c>
      <c r="D11182" s="704" t="s">
        <v>728</v>
      </c>
      <c r="E11182" s="704" t="s">
        <v>448</v>
      </c>
      <c r="F11182" s="705">
        <v>1.0986711397004382E-2</v>
      </c>
      <c r="G11182" s="705">
        <v>12.570324915851014</v>
      </c>
    </row>
    <row r="11183" spans="2:7" ht="11.25" hidden="1" customHeight="1" outlineLevel="2" x14ac:dyDescent="0.25">
      <c r="B11183" s="704" t="s">
        <v>680</v>
      </c>
      <c r="C11183" s="704" t="s">
        <v>789</v>
      </c>
      <c r="D11183" s="704" t="s">
        <v>728</v>
      </c>
      <c r="E11183" s="704" t="s">
        <v>448</v>
      </c>
      <c r="F11183" s="705">
        <v>8.4668921873851249E-3</v>
      </c>
      <c r="G11183" s="705">
        <v>5.8535659276671765</v>
      </c>
    </row>
    <row r="11184" spans="2:7" ht="11.25" hidden="1" customHeight="1" outlineLevel="2" x14ac:dyDescent="0.25">
      <c r="B11184" s="704" t="s">
        <v>680</v>
      </c>
      <c r="C11184" s="704" t="s">
        <v>790</v>
      </c>
      <c r="D11184" s="704" t="s">
        <v>728</v>
      </c>
      <c r="E11184" s="704" t="s">
        <v>448</v>
      </c>
      <c r="F11184" s="705">
        <v>0.44579207947581401</v>
      </c>
      <c r="G11184" s="705">
        <v>567.35531194804105</v>
      </c>
    </row>
    <row r="11185" spans="2:7" ht="11.25" hidden="1" customHeight="1" outlineLevel="2" x14ac:dyDescent="0.25">
      <c r="B11185" s="704" t="s">
        <v>680</v>
      </c>
      <c r="C11185" s="704" t="s">
        <v>791</v>
      </c>
      <c r="D11185" s="704" t="s">
        <v>728</v>
      </c>
      <c r="E11185" s="704" t="s">
        <v>448</v>
      </c>
      <c r="F11185" s="705">
        <v>0.10591237308504443</v>
      </c>
      <c r="G11185" s="705">
        <v>150.09252137617935</v>
      </c>
    </row>
    <row r="11186" spans="2:7" ht="11.25" hidden="1" customHeight="1" outlineLevel="2" x14ac:dyDescent="0.25">
      <c r="B11186" s="704" t="s">
        <v>680</v>
      </c>
      <c r="C11186" s="704" t="s">
        <v>792</v>
      </c>
      <c r="D11186" s="704" t="s">
        <v>728</v>
      </c>
      <c r="E11186" s="704" t="s">
        <v>448</v>
      </c>
      <c r="F11186" s="705">
        <v>1.192442424000179E-2</v>
      </c>
      <c r="G11186" s="705">
        <v>25.128615121888387</v>
      </c>
    </row>
    <row r="11187" spans="2:7" ht="11.25" hidden="1" customHeight="1" outlineLevel="2" x14ac:dyDescent="0.25">
      <c r="B11187" s="704" t="s">
        <v>680</v>
      </c>
      <c r="C11187" s="704" t="s">
        <v>793</v>
      </c>
      <c r="D11187" s="704" t="s">
        <v>728</v>
      </c>
      <c r="E11187" s="704" t="s">
        <v>448</v>
      </c>
      <c r="F11187" s="705">
        <v>0.331690181808383</v>
      </c>
      <c r="G11187" s="705">
        <v>484.20787475579505</v>
      </c>
    </row>
    <row r="11188" spans="2:7" ht="11.25" hidden="1" customHeight="1" outlineLevel="2" x14ac:dyDescent="0.25">
      <c r="B11188" s="704" t="s">
        <v>680</v>
      </c>
      <c r="C11188" s="704" t="s">
        <v>794</v>
      </c>
      <c r="D11188" s="704" t="s">
        <v>728</v>
      </c>
      <c r="E11188" s="704" t="s">
        <v>448</v>
      </c>
      <c r="F11188" s="705">
        <v>2.5638186013993522E-2</v>
      </c>
      <c r="G11188" s="705">
        <v>20.096449541203462</v>
      </c>
    </row>
    <row r="11189" spans="2:7" ht="11.25" hidden="1" customHeight="1" outlineLevel="2" x14ac:dyDescent="0.25">
      <c r="B11189" s="704" t="s">
        <v>680</v>
      </c>
      <c r="C11189" s="704" t="s">
        <v>795</v>
      </c>
      <c r="D11189" s="704" t="s">
        <v>728</v>
      </c>
      <c r="E11189" s="704" t="s">
        <v>448</v>
      </c>
      <c r="F11189" s="705">
        <v>1.8889142262268396E-2</v>
      </c>
      <c r="G11189" s="705">
        <v>14.835935436598495</v>
      </c>
    </row>
    <row r="11190" spans="2:7" ht="11.25" hidden="1" customHeight="1" outlineLevel="2" x14ac:dyDescent="0.25">
      <c r="B11190" s="704" t="s">
        <v>680</v>
      </c>
      <c r="C11190" s="704" t="s">
        <v>845</v>
      </c>
      <c r="D11190" s="704" t="s">
        <v>728</v>
      </c>
      <c r="E11190" s="704" t="s">
        <v>824</v>
      </c>
      <c r="F11190" s="705">
        <v>9.3448200465380722E-4</v>
      </c>
      <c r="G11190" s="705">
        <v>8.3359664074292024</v>
      </c>
    </row>
    <row r="11191" spans="2:7" ht="11.25" hidden="1" customHeight="1" outlineLevel="2" x14ac:dyDescent="0.25">
      <c r="B11191" s="704" t="s">
        <v>680</v>
      </c>
      <c r="C11191" s="704" t="s">
        <v>894</v>
      </c>
      <c r="D11191" s="704" t="s">
        <v>728</v>
      </c>
      <c r="E11191" s="704" t="s">
        <v>861</v>
      </c>
      <c r="F11191" s="709"/>
      <c r="G11191" s="705">
        <v>1.2958012484047661E-2</v>
      </c>
    </row>
    <row r="11192" spans="2:7" ht="11.25" hidden="1" customHeight="1" outlineLevel="2" x14ac:dyDescent="0.25">
      <c r="B11192" s="704" t="s">
        <v>680</v>
      </c>
      <c r="C11192" s="704" t="s">
        <v>895</v>
      </c>
      <c r="D11192" s="704" t="s">
        <v>728</v>
      </c>
      <c r="E11192" s="704" t="s">
        <v>861</v>
      </c>
      <c r="F11192" s="709"/>
      <c r="G11192" s="705">
        <v>2.6021645822646068E-29</v>
      </c>
    </row>
    <row r="11193" spans="2:7" ht="11.25" hidden="1" customHeight="1" outlineLevel="2" x14ac:dyDescent="0.25">
      <c r="B11193" s="704" t="s">
        <v>680</v>
      </c>
      <c r="C11193" s="704" t="s">
        <v>896</v>
      </c>
      <c r="D11193" s="704" t="s">
        <v>728</v>
      </c>
      <c r="E11193" s="704" t="s">
        <v>861</v>
      </c>
      <c r="F11193" s="709"/>
      <c r="G11193" s="705">
        <v>90.612929842838838</v>
      </c>
    </row>
    <row r="11194" spans="2:7" ht="11.25" hidden="1" customHeight="1" outlineLevel="2" x14ac:dyDescent="0.25">
      <c r="B11194" s="704" t="s">
        <v>680</v>
      </c>
      <c r="C11194" s="704" t="s">
        <v>897</v>
      </c>
      <c r="D11194" s="704" t="s">
        <v>728</v>
      </c>
      <c r="E11194" s="704" t="s">
        <v>861</v>
      </c>
      <c r="F11194" s="709"/>
      <c r="G11194" s="705">
        <v>18.699446512503656</v>
      </c>
    </row>
    <row r="11195" spans="2:7" ht="11.25" hidden="1" customHeight="1" outlineLevel="2" x14ac:dyDescent="0.25">
      <c r="B11195" s="704" t="s">
        <v>680</v>
      </c>
      <c r="C11195" s="704" t="s">
        <v>898</v>
      </c>
      <c r="D11195" s="704" t="s">
        <v>728</v>
      </c>
      <c r="E11195" s="704" t="s">
        <v>861</v>
      </c>
      <c r="F11195" s="709"/>
      <c r="G11195" s="705">
        <v>123.36713488400383</v>
      </c>
    </row>
    <row r="11196" spans="2:7" ht="11.25" hidden="1" customHeight="1" outlineLevel="2" x14ac:dyDescent="0.25">
      <c r="B11196" s="704" t="s">
        <v>680</v>
      </c>
      <c r="C11196" s="704" t="s">
        <v>899</v>
      </c>
      <c r="D11196" s="704" t="s">
        <v>728</v>
      </c>
      <c r="E11196" s="704" t="s">
        <v>861</v>
      </c>
      <c r="F11196" s="709"/>
      <c r="G11196" s="705">
        <v>14.546045469014084</v>
      </c>
    </row>
    <row r="11197" spans="2:7" ht="11.25" hidden="1" customHeight="1" outlineLevel="2" x14ac:dyDescent="0.25">
      <c r="B11197" s="704" t="s">
        <v>680</v>
      </c>
      <c r="C11197" s="704" t="s">
        <v>900</v>
      </c>
      <c r="D11197" s="704" t="s">
        <v>728</v>
      </c>
      <c r="E11197" s="704" t="s">
        <v>861</v>
      </c>
      <c r="F11197" s="709"/>
      <c r="G11197" s="705">
        <v>0.34649578994111901</v>
      </c>
    </row>
    <row r="11198" spans="2:7" ht="11.25" hidden="1" customHeight="1" outlineLevel="2" x14ac:dyDescent="0.25">
      <c r="B11198" s="704" t="s">
        <v>680</v>
      </c>
      <c r="C11198" s="704" t="s">
        <v>744</v>
      </c>
      <c r="D11198" s="704" t="s">
        <v>745</v>
      </c>
      <c r="E11198" s="704" t="s">
        <v>448</v>
      </c>
      <c r="F11198" s="705">
        <v>1.5289058309134313E-2</v>
      </c>
      <c r="G11198" s="705">
        <v>8.8408898611113855</v>
      </c>
    </row>
    <row r="11199" spans="2:7" ht="11.25" hidden="1" customHeight="1" outlineLevel="2" x14ac:dyDescent="0.25">
      <c r="B11199" s="704" t="s">
        <v>680</v>
      </c>
      <c r="C11199" s="704" t="s">
        <v>812</v>
      </c>
      <c r="D11199" s="704" t="s">
        <v>745</v>
      </c>
      <c r="E11199" s="704" t="s">
        <v>448</v>
      </c>
      <c r="F11199" s="705">
        <v>1.7873230677792975E-2</v>
      </c>
      <c r="G11199" s="705">
        <v>19.906658788828786</v>
      </c>
    </row>
    <row r="11200" spans="2:7" ht="11.25" hidden="1" customHeight="1" outlineLevel="2" x14ac:dyDescent="0.25">
      <c r="B11200" s="704" t="s">
        <v>680</v>
      </c>
      <c r="C11200" s="704" t="s">
        <v>813</v>
      </c>
      <c r="D11200" s="704" t="s">
        <v>745</v>
      </c>
      <c r="E11200" s="704" t="s">
        <v>448</v>
      </c>
      <c r="F11200" s="705">
        <v>1.8333373851871893E-4</v>
      </c>
      <c r="G11200" s="705">
        <v>0.23385788500093374</v>
      </c>
    </row>
    <row r="11201" spans="2:7" ht="11.25" hidden="1" customHeight="1" outlineLevel="2" x14ac:dyDescent="0.25">
      <c r="B11201" s="704" t="s">
        <v>680</v>
      </c>
      <c r="C11201" s="704" t="s">
        <v>917</v>
      </c>
      <c r="D11201" s="704" t="s">
        <v>745</v>
      </c>
      <c r="E11201" s="704" t="s">
        <v>861</v>
      </c>
      <c r="F11201" s="709"/>
      <c r="G11201" s="705">
        <v>264.91603424066614</v>
      </c>
    </row>
    <row r="11202" spans="2:7" ht="11.25" hidden="1" customHeight="1" outlineLevel="2" x14ac:dyDescent="0.25">
      <c r="B11202" s="704" t="s">
        <v>680</v>
      </c>
      <c r="C11202" s="704" t="s">
        <v>816</v>
      </c>
      <c r="D11202" s="704" t="s">
        <v>712</v>
      </c>
      <c r="E11202" s="704" t="s">
        <v>448</v>
      </c>
      <c r="F11202" s="705">
        <v>8.5898610198684103E-35</v>
      </c>
      <c r="G11202" s="705">
        <v>1.0190821470877713E-31</v>
      </c>
    </row>
    <row r="11203" spans="2:7" ht="11.25" hidden="1" customHeight="1" outlineLevel="2" x14ac:dyDescent="0.25">
      <c r="B11203" s="704" t="s">
        <v>680</v>
      </c>
      <c r="C11203" s="704" t="s">
        <v>711</v>
      </c>
      <c r="D11203" s="704" t="s">
        <v>712</v>
      </c>
      <c r="E11203" s="704" t="s">
        <v>676</v>
      </c>
      <c r="F11203" s="705">
        <v>3.136151520901011E-33</v>
      </c>
      <c r="G11203" s="705">
        <v>7.3601632656396319E-31</v>
      </c>
    </row>
    <row r="11204" spans="2:7" ht="11.25" hidden="1" customHeight="1" outlineLevel="2" x14ac:dyDescent="0.25">
      <c r="B11204" s="704" t="s">
        <v>680</v>
      </c>
      <c r="C11204" s="704" t="s">
        <v>921</v>
      </c>
      <c r="D11204" s="704" t="s">
        <v>712</v>
      </c>
      <c r="E11204" s="704" t="s">
        <v>861</v>
      </c>
      <c r="F11204" s="709"/>
      <c r="G11204" s="705">
        <v>7.9720101268876722E-32</v>
      </c>
    </row>
    <row r="11205" spans="2:7" ht="11.25" hidden="1" customHeight="1" outlineLevel="2" x14ac:dyDescent="0.25">
      <c r="B11205" s="704" t="s">
        <v>680</v>
      </c>
      <c r="C11205" s="704" t="s">
        <v>817</v>
      </c>
      <c r="D11205" s="704" t="s">
        <v>818</v>
      </c>
      <c r="E11205" s="704" t="s">
        <v>448</v>
      </c>
      <c r="F11205" s="705">
        <v>1.0989225367991728</v>
      </c>
      <c r="G11205" s="705">
        <v>903.01526456314411</v>
      </c>
    </row>
    <row r="11206" spans="2:7" ht="11.25" hidden="1" customHeight="1" outlineLevel="2" x14ac:dyDescent="0.25">
      <c r="B11206" s="704" t="s">
        <v>680</v>
      </c>
      <c r="C11206" s="704" t="s">
        <v>819</v>
      </c>
      <c r="D11206" s="704" t="s">
        <v>818</v>
      </c>
      <c r="E11206" s="704" t="s">
        <v>448</v>
      </c>
      <c r="F11206" s="705">
        <v>0.4785223989994386</v>
      </c>
      <c r="G11206" s="705">
        <v>381.06987319204728</v>
      </c>
    </row>
    <row r="11207" spans="2:7" ht="11.25" hidden="1" customHeight="1" outlineLevel="2" x14ac:dyDescent="0.25">
      <c r="B11207" s="704" t="s">
        <v>680</v>
      </c>
      <c r="C11207" s="704" t="s">
        <v>820</v>
      </c>
      <c r="D11207" s="704" t="s">
        <v>818</v>
      </c>
      <c r="E11207" s="704" t="s">
        <v>448</v>
      </c>
      <c r="F11207" s="705">
        <v>0.18233972419148145</v>
      </c>
      <c r="G11207" s="705">
        <v>284.43911204410654</v>
      </c>
    </row>
    <row r="11208" spans="2:7" ht="11.25" hidden="1" customHeight="1" outlineLevel="2" x14ac:dyDescent="0.25">
      <c r="B11208" s="704" t="s">
        <v>680</v>
      </c>
      <c r="C11208" s="704" t="s">
        <v>857</v>
      </c>
      <c r="D11208" s="704" t="s">
        <v>818</v>
      </c>
      <c r="E11208" s="704" t="s">
        <v>664</v>
      </c>
      <c r="F11208" s="709"/>
      <c r="G11208" s="705">
        <v>253.25465115089568</v>
      </c>
    </row>
    <row r="11209" spans="2:7" ht="11.25" hidden="1" customHeight="1" outlineLevel="2" x14ac:dyDescent="0.25">
      <c r="B11209" s="704" t="s">
        <v>680</v>
      </c>
      <c r="C11209" s="704" t="s">
        <v>858</v>
      </c>
      <c r="D11209" s="704" t="s">
        <v>818</v>
      </c>
      <c r="E11209" s="704" t="s">
        <v>664</v>
      </c>
      <c r="F11209" s="709"/>
      <c r="G11209" s="705">
        <v>2.1147708257498046</v>
      </c>
    </row>
    <row r="11210" spans="2:7" ht="11.25" hidden="1" customHeight="1" outlineLevel="2" x14ac:dyDescent="0.25">
      <c r="B11210" s="704" t="s">
        <v>680</v>
      </c>
      <c r="C11210" s="704" t="s">
        <v>922</v>
      </c>
      <c r="D11210" s="704" t="s">
        <v>822</v>
      </c>
      <c r="E11210" s="704" t="s">
        <v>861</v>
      </c>
      <c r="F11210" s="709"/>
      <c r="G11210" s="705">
        <v>6.7959081952121128E-30</v>
      </c>
    </row>
    <row r="11211" spans="2:7" ht="11.25" hidden="1" customHeight="1" outlineLevel="2" x14ac:dyDescent="0.25">
      <c r="B11211" s="704" t="s">
        <v>680</v>
      </c>
      <c r="C11211" s="704" t="s">
        <v>821</v>
      </c>
      <c r="D11211" s="704" t="s">
        <v>822</v>
      </c>
      <c r="E11211" s="704" t="s">
        <v>448</v>
      </c>
      <c r="F11211" s="705">
        <v>2.7324095556541653E-34</v>
      </c>
      <c r="G11211" s="705">
        <v>3.5099562988835953E-31</v>
      </c>
    </row>
    <row r="11212" spans="2:7" ht="11.25" hidden="1" customHeight="1" outlineLevel="2" x14ac:dyDescent="0.25">
      <c r="B11212" s="704" t="s">
        <v>680</v>
      </c>
      <c r="C11212" s="704" t="s">
        <v>855</v>
      </c>
      <c r="D11212" s="704" t="s">
        <v>822</v>
      </c>
      <c r="E11212" s="704" t="s">
        <v>824</v>
      </c>
      <c r="F11212" s="705">
        <v>1.3212207888560816E-40</v>
      </c>
      <c r="G11212" s="705">
        <v>3.8274928299855921E-37</v>
      </c>
    </row>
    <row r="11213" spans="2:7" ht="11.25" hidden="1" customHeight="1" outlineLevel="2" x14ac:dyDescent="0.25">
      <c r="B11213" s="704" t="s">
        <v>680</v>
      </c>
      <c r="C11213" s="704" t="s">
        <v>714</v>
      </c>
      <c r="D11213" s="704" t="s">
        <v>715</v>
      </c>
      <c r="E11213" s="704" t="s">
        <v>448</v>
      </c>
      <c r="F11213" s="705">
        <v>1.411431061829955</v>
      </c>
      <c r="G11213" s="705">
        <v>357.83638726176002</v>
      </c>
    </row>
    <row r="11214" spans="2:7" ht="11.25" hidden="1" customHeight="1" outlineLevel="2" x14ac:dyDescent="0.25">
      <c r="B11214" s="704" t="s">
        <v>680</v>
      </c>
      <c r="C11214" s="704" t="s">
        <v>716</v>
      </c>
      <c r="D11214" s="704" t="s">
        <v>715</v>
      </c>
      <c r="E11214" s="704" t="s">
        <v>448</v>
      </c>
      <c r="F11214" s="705">
        <v>1.2217467237388766E-33</v>
      </c>
      <c r="G11214" s="705">
        <v>1.4883506685854614E-30</v>
      </c>
    </row>
    <row r="11215" spans="2:7" ht="11.25" hidden="1" customHeight="1" outlineLevel="2" x14ac:dyDescent="0.25">
      <c r="B11215" s="704" t="s">
        <v>680</v>
      </c>
      <c r="C11215" s="704" t="s">
        <v>717</v>
      </c>
      <c r="D11215" s="704" t="s">
        <v>715</v>
      </c>
      <c r="E11215" s="704" t="s">
        <v>448</v>
      </c>
      <c r="F11215" s="705">
        <v>1.5118312018812359</v>
      </c>
      <c r="G11215" s="705">
        <v>413.18481786908904</v>
      </c>
    </row>
    <row r="11216" spans="2:7" ht="11.25" hidden="1" customHeight="1" outlineLevel="2" x14ac:dyDescent="0.25">
      <c r="B11216" s="704" t="s">
        <v>680</v>
      </c>
      <c r="C11216" s="704" t="s">
        <v>718</v>
      </c>
      <c r="D11216" s="704" t="s">
        <v>715</v>
      </c>
      <c r="E11216" s="704" t="s">
        <v>448</v>
      </c>
      <c r="F11216" s="705">
        <v>9.6810498399260481E-2</v>
      </c>
      <c r="G11216" s="705">
        <v>106.22956157076491</v>
      </c>
    </row>
    <row r="11217" spans="2:7" ht="11.25" hidden="1" customHeight="1" outlineLevel="2" x14ac:dyDescent="0.25">
      <c r="B11217" s="704" t="s">
        <v>680</v>
      </c>
      <c r="C11217" s="704" t="s">
        <v>746</v>
      </c>
      <c r="D11217" s="704" t="s">
        <v>715</v>
      </c>
      <c r="E11217" s="704" t="s">
        <v>448</v>
      </c>
      <c r="F11217" s="705">
        <v>0.24812817860831204</v>
      </c>
      <c r="G11217" s="705">
        <v>172.91043026300696</v>
      </c>
    </row>
    <row r="11218" spans="2:7" ht="11.25" hidden="1" customHeight="1" outlineLevel="2" x14ac:dyDescent="0.25">
      <c r="B11218" s="704" t="s">
        <v>680</v>
      </c>
      <c r="C11218" s="704" t="s">
        <v>747</v>
      </c>
      <c r="D11218" s="704" t="s">
        <v>715</v>
      </c>
      <c r="E11218" s="704" t="s">
        <v>448</v>
      </c>
      <c r="F11218" s="705">
        <v>2.1484163262982103</v>
      </c>
      <c r="G11218" s="705">
        <v>1843.0009775508097</v>
      </c>
    </row>
    <row r="11219" spans="2:7" ht="11.25" hidden="1" customHeight="1" outlineLevel="2" x14ac:dyDescent="0.25">
      <c r="B11219" s="704" t="s">
        <v>680</v>
      </c>
      <c r="C11219" s="704" t="s">
        <v>748</v>
      </c>
      <c r="D11219" s="704" t="s">
        <v>715</v>
      </c>
      <c r="E11219" s="704" t="s">
        <v>448</v>
      </c>
      <c r="F11219" s="705">
        <v>0.1326387723974263</v>
      </c>
      <c r="G11219" s="705">
        <v>172.66211907688304</v>
      </c>
    </row>
    <row r="11220" spans="2:7" ht="11.25" hidden="1" customHeight="1" outlineLevel="2" x14ac:dyDescent="0.25">
      <c r="B11220" s="704" t="s">
        <v>680</v>
      </c>
      <c r="C11220" s="704" t="s">
        <v>749</v>
      </c>
      <c r="D11220" s="704" t="s">
        <v>715</v>
      </c>
      <c r="E11220" s="704" t="s">
        <v>448</v>
      </c>
      <c r="F11220" s="705">
        <v>0.13121693630236717</v>
      </c>
      <c r="G11220" s="705">
        <v>103.65559872668655</v>
      </c>
    </row>
    <row r="11221" spans="2:7" ht="11.25" hidden="1" customHeight="1" outlineLevel="2" x14ac:dyDescent="0.25">
      <c r="B11221" s="704" t="s">
        <v>680</v>
      </c>
      <c r="C11221" s="704" t="s">
        <v>823</v>
      </c>
      <c r="D11221" s="704" t="s">
        <v>715</v>
      </c>
      <c r="E11221" s="704" t="s">
        <v>824</v>
      </c>
      <c r="F11221" s="705">
        <v>4.2912131950305875E-3</v>
      </c>
      <c r="G11221" s="705">
        <v>7.1692385698538557</v>
      </c>
    </row>
    <row r="11222" spans="2:7" ht="11.25" hidden="1" customHeight="1" outlineLevel="2" x14ac:dyDescent="0.25">
      <c r="B11222" s="704" t="s">
        <v>680</v>
      </c>
      <c r="C11222" s="704" t="s">
        <v>860</v>
      </c>
      <c r="D11222" s="704" t="s">
        <v>715</v>
      </c>
      <c r="E11222" s="704" t="s">
        <v>861</v>
      </c>
      <c r="F11222" s="709"/>
      <c r="G11222" s="705">
        <v>142.09373670000505</v>
      </c>
    </row>
    <row r="11223" spans="2:7" ht="11.25" hidden="1" customHeight="1" outlineLevel="2" x14ac:dyDescent="0.25">
      <c r="B11223" s="704" t="s">
        <v>680</v>
      </c>
      <c r="C11223" s="704" t="s">
        <v>919</v>
      </c>
      <c r="D11223" s="704" t="s">
        <v>920</v>
      </c>
      <c r="E11223" s="704" t="s">
        <v>861</v>
      </c>
      <c r="F11223" s="709"/>
      <c r="G11223" s="705">
        <v>8.295574892227551E-30</v>
      </c>
    </row>
    <row r="11224" spans="2:7" ht="11.25" hidden="1" customHeight="1" outlineLevel="1" x14ac:dyDescent="0.25">
      <c r="B11224" s="707" t="s">
        <v>946</v>
      </c>
      <c r="C11224" s="704"/>
      <c r="D11224" s="704"/>
      <c r="E11224" s="704"/>
      <c r="F11224" s="709">
        <f t="shared" ref="F11224:G11224" si="31">SUBTOTAL(9,F11013:F11223)</f>
        <v>12.199161435392615</v>
      </c>
      <c r="G11224" s="705">
        <f t="shared" si="31"/>
        <v>32097.016363120321</v>
      </c>
    </row>
    <row r="11225" spans="2:7" ht="11.25" hidden="1" customHeight="1" outlineLevel="2" x14ac:dyDescent="0.25">
      <c r="B11225" s="704" t="s">
        <v>681</v>
      </c>
      <c r="C11225" s="704" t="s">
        <v>739</v>
      </c>
      <c r="D11225" s="704" t="s">
        <v>44</v>
      </c>
      <c r="E11225" s="704" t="s">
        <v>448</v>
      </c>
      <c r="F11225" s="705">
        <v>3.0918712131196239E-3</v>
      </c>
      <c r="G11225" s="705">
        <v>1.8856203365723994</v>
      </c>
    </row>
    <row r="11226" spans="2:7" ht="11.25" hidden="1" customHeight="1" outlineLevel="2" x14ac:dyDescent="0.25">
      <c r="B11226" s="704" t="s">
        <v>681</v>
      </c>
      <c r="C11226" s="704" t="s">
        <v>796</v>
      </c>
      <c r="D11226" s="704" t="s">
        <v>44</v>
      </c>
      <c r="E11226" s="704" t="s">
        <v>448</v>
      </c>
      <c r="F11226" s="705">
        <v>3.2558132127021113E-3</v>
      </c>
      <c r="G11226" s="705">
        <v>4.5742440157680857</v>
      </c>
    </row>
    <row r="11227" spans="2:7" ht="11.25" hidden="1" customHeight="1" outlineLevel="2" x14ac:dyDescent="0.25">
      <c r="B11227" s="704" t="s">
        <v>681</v>
      </c>
      <c r="C11227" s="704" t="s">
        <v>797</v>
      </c>
      <c r="D11227" s="704" t="s">
        <v>44</v>
      </c>
      <c r="E11227" s="704" t="s">
        <v>448</v>
      </c>
      <c r="F11227" s="705">
        <v>5.2721986214487194E-3</v>
      </c>
      <c r="G11227" s="705">
        <v>18.040516502077104</v>
      </c>
    </row>
    <row r="11228" spans="2:7" ht="11.25" hidden="1" customHeight="1" outlineLevel="2" x14ac:dyDescent="0.25">
      <c r="B11228" s="704" t="s">
        <v>681</v>
      </c>
      <c r="C11228" s="704" t="s">
        <v>798</v>
      </c>
      <c r="D11228" s="704" t="s">
        <v>44</v>
      </c>
      <c r="E11228" s="704" t="s">
        <v>448</v>
      </c>
      <c r="F11228" s="705">
        <v>8.5447524196979955E-5</v>
      </c>
      <c r="G11228" s="705">
        <v>0.11210283411049547</v>
      </c>
    </row>
    <row r="11229" spans="2:7" ht="11.25" hidden="1" customHeight="1" outlineLevel="2" x14ac:dyDescent="0.25">
      <c r="B11229" s="704" t="s">
        <v>681</v>
      </c>
      <c r="C11229" s="704" t="s">
        <v>799</v>
      </c>
      <c r="D11229" s="704" t="s">
        <v>44</v>
      </c>
      <c r="E11229" s="704" t="s">
        <v>448</v>
      </c>
      <c r="F11229" s="705">
        <v>9.2309489215447495E-3</v>
      </c>
      <c r="G11229" s="705">
        <v>12.10130374271878</v>
      </c>
    </row>
    <row r="11230" spans="2:7" ht="11.25" hidden="1" customHeight="1" outlineLevel="2" x14ac:dyDescent="0.25">
      <c r="B11230" s="704" t="s">
        <v>681</v>
      </c>
      <c r="C11230" s="704" t="s">
        <v>800</v>
      </c>
      <c r="D11230" s="704" t="s">
        <v>44</v>
      </c>
      <c r="E11230" s="704" t="s">
        <v>448</v>
      </c>
      <c r="F11230" s="705">
        <v>3.0405563600721889E-3</v>
      </c>
      <c r="G11230" s="705">
        <v>3.7906547676807612</v>
      </c>
    </row>
    <row r="11231" spans="2:7" ht="11.25" hidden="1" customHeight="1" outlineLevel="2" x14ac:dyDescent="0.25">
      <c r="B11231" s="704" t="s">
        <v>681</v>
      </c>
      <c r="C11231" s="704" t="s">
        <v>801</v>
      </c>
      <c r="D11231" s="704" t="s">
        <v>44</v>
      </c>
      <c r="E11231" s="704" t="s">
        <v>448</v>
      </c>
      <c r="F11231" s="705">
        <v>3.9662689190984916E-2</v>
      </c>
      <c r="G11231" s="705">
        <v>41.178602899261925</v>
      </c>
    </row>
    <row r="11232" spans="2:7" ht="11.25" hidden="1" customHeight="1" outlineLevel="2" x14ac:dyDescent="0.25">
      <c r="B11232" s="704" t="s">
        <v>681</v>
      </c>
      <c r="C11232" s="704" t="s">
        <v>802</v>
      </c>
      <c r="D11232" s="704" t="s">
        <v>44</v>
      </c>
      <c r="E11232" s="704" t="s">
        <v>448</v>
      </c>
      <c r="F11232" s="705">
        <v>0.13038060703548562</v>
      </c>
      <c r="G11232" s="705">
        <v>88.266382977534363</v>
      </c>
    </row>
    <row r="11233" spans="2:7" ht="11.25" hidden="1" customHeight="1" outlineLevel="2" x14ac:dyDescent="0.25">
      <c r="B11233" s="704" t="s">
        <v>681</v>
      </c>
      <c r="C11233" s="704" t="s">
        <v>803</v>
      </c>
      <c r="D11233" s="704" t="s">
        <v>44</v>
      </c>
      <c r="E11233" s="704" t="s">
        <v>448</v>
      </c>
      <c r="F11233" s="705">
        <v>1.464853929319033E-2</v>
      </c>
      <c r="G11233" s="705">
        <v>19.203503086775562</v>
      </c>
    </row>
    <row r="11234" spans="2:7" ht="11.25" hidden="1" customHeight="1" outlineLevel="2" x14ac:dyDescent="0.25">
      <c r="B11234" s="704" t="s">
        <v>681</v>
      </c>
      <c r="C11234" s="704" t="s">
        <v>804</v>
      </c>
      <c r="D11234" s="704" t="s">
        <v>44</v>
      </c>
      <c r="E11234" s="704" t="s">
        <v>448</v>
      </c>
      <c r="F11234" s="705">
        <v>2.1811909129497094E-2</v>
      </c>
      <c r="G11234" s="705">
        <v>27.806594654742522</v>
      </c>
    </row>
    <row r="11235" spans="2:7" ht="11.25" hidden="1" customHeight="1" outlineLevel="2" x14ac:dyDescent="0.25">
      <c r="B11235" s="704" t="s">
        <v>681</v>
      </c>
      <c r="C11235" s="704" t="s">
        <v>805</v>
      </c>
      <c r="D11235" s="704" t="s">
        <v>44</v>
      </c>
      <c r="E11235" s="704" t="s">
        <v>448</v>
      </c>
      <c r="F11235" s="705">
        <v>4.3762310881543063E-3</v>
      </c>
      <c r="G11235" s="705">
        <v>30.847111523556972</v>
      </c>
    </row>
    <row r="11236" spans="2:7" ht="11.25" hidden="1" customHeight="1" outlineLevel="2" x14ac:dyDescent="0.25">
      <c r="B11236" s="704" t="s">
        <v>681</v>
      </c>
      <c r="C11236" s="704" t="s">
        <v>846</v>
      </c>
      <c r="D11236" s="704" t="s">
        <v>44</v>
      </c>
      <c r="E11236" s="704" t="s">
        <v>824</v>
      </c>
      <c r="F11236" s="705">
        <v>1.0625201362252415E-4</v>
      </c>
      <c r="G11236" s="705">
        <v>0.16882978743079097</v>
      </c>
    </row>
    <row r="11237" spans="2:7" ht="11.25" hidden="1" customHeight="1" outlineLevel="2" x14ac:dyDescent="0.25">
      <c r="B11237" s="704" t="s">
        <v>681</v>
      </c>
      <c r="C11237" s="704" t="s">
        <v>847</v>
      </c>
      <c r="D11237" s="704" t="s">
        <v>44</v>
      </c>
      <c r="E11237" s="704" t="s">
        <v>824</v>
      </c>
      <c r="F11237" s="705">
        <v>2.1802737004946369E-5</v>
      </c>
      <c r="G11237" s="705">
        <v>0.22977529123826573</v>
      </c>
    </row>
    <row r="11238" spans="2:7" ht="11.25" hidden="1" customHeight="1" outlineLevel="2" x14ac:dyDescent="0.25">
      <c r="B11238" s="704" t="s">
        <v>681</v>
      </c>
      <c r="C11238" s="704" t="s">
        <v>705</v>
      </c>
      <c r="D11238" s="704" t="s">
        <v>44</v>
      </c>
      <c r="E11238" s="704" t="s">
        <v>676</v>
      </c>
      <c r="F11238" s="705">
        <v>4.2533460494318213E-3</v>
      </c>
      <c r="G11238" s="705">
        <v>4.4598149027652925E-2</v>
      </c>
    </row>
    <row r="11239" spans="2:7" ht="11.25" hidden="1" customHeight="1" outlineLevel="2" x14ac:dyDescent="0.25">
      <c r="B11239" s="704" t="s">
        <v>681</v>
      </c>
      <c r="C11239" s="704" t="s">
        <v>706</v>
      </c>
      <c r="D11239" s="704" t="s">
        <v>44</v>
      </c>
      <c r="E11239" s="704" t="s">
        <v>676</v>
      </c>
      <c r="F11239" s="705">
        <v>1.3500417245570933E-3</v>
      </c>
      <c r="G11239" s="705">
        <v>1.4151521909207126E-2</v>
      </c>
    </row>
    <row r="11240" spans="2:7" ht="11.25" hidden="1" customHeight="1" outlineLevel="2" x14ac:dyDescent="0.25">
      <c r="B11240" s="704" t="s">
        <v>681</v>
      </c>
      <c r="C11240" s="704" t="s">
        <v>901</v>
      </c>
      <c r="D11240" s="704" t="s">
        <v>44</v>
      </c>
      <c r="E11240" s="704" t="s">
        <v>861</v>
      </c>
      <c r="F11240" s="709"/>
      <c r="G11240" s="705">
        <v>0.32980601949692007</v>
      </c>
    </row>
    <row r="11241" spans="2:7" ht="11.25" hidden="1" customHeight="1" outlineLevel="2" x14ac:dyDescent="0.25">
      <c r="B11241" s="704" t="s">
        <v>681</v>
      </c>
      <c r="C11241" s="704" t="s">
        <v>902</v>
      </c>
      <c r="D11241" s="704" t="s">
        <v>44</v>
      </c>
      <c r="E11241" s="704" t="s">
        <v>861</v>
      </c>
      <c r="F11241" s="709"/>
      <c r="G11241" s="705">
        <v>14258.303681287831</v>
      </c>
    </row>
    <row r="11242" spans="2:7" ht="11.25" hidden="1" customHeight="1" outlineLevel="2" x14ac:dyDescent="0.25">
      <c r="B11242" s="704" t="s">
        <v>681</v>
      </c>
      <c r="C11242" s="704" t="s">
        <v>903</v>
      </c>
      <c r="D11242" s="704" t="s">
        <v>44</v>
      </c>
      <c r="E11242" s="704" t="s">
        <v>861</v>
      </c>
      <c r="F11242" s="709"/>
      <c r="G11242" s="705">
        <v>1279.4047710411257</v>
      </c>
    </row>
    <row r="11243" spans="2:7" ht="11.25" hidden="1" customHeight="1" outlineLevel="2" x14ac:dyDescent="0.25">
      <c r="B11243" s="704" t="s">
        <v>681</v>
      </c>
      <c r="C11243" s="704" t="s">
        <v>904</v>
      </c>
      <c r="D11243" s="704" t="s">
        <v>44</v>
      </c>
      <c r="E11243" s="704" t="s">
        <v>861</v>
      </c>
      <c r="F11243" s="709"/>
      <c r="G11243" s="705">
        <v>7.1117433419020708</v>
      </c>
    </row>
    <row r="11244" spans="2:7" ht="11.25" hidden="1" customHeight="1" outlineLevel="2" x14ac:dyDescent="0.25">
      <c r="B11244" s="704" t="s">
        <v>681</v>
      </c>
      <c r="C11244" s="704" t="s">
        <v>905</v>
      </c>
      <c r="D11244" s="704" t="s">
        <v>44</v>
      </c>
      <c r="E11244" s="704" t="s">
        <v>861</v>
      </c>
      <c r="F11244" s="709"/>
      <c r="G11244" s="705">
        <v>1.4596758000206738</v>
      </c>
    </row>
    <row r="11245" spans="2:7" ht="11.25" hidden="1" customHeight="1" outlineLevel="2" x14ac:dyDescent="0.25">
      <c r="B11245" s="704" t="s">
        <v>681</v>
      </c>
      <c r="C11245" s="704" t="s">
        <v>906</v>
      </c>
      <c r="D11245" s="704" t="s">
        <v>44</v>
      </c>
      <c r="E11245" s="704" t="s">
        <v>861</v>
      </c>
      <c r="F11245" s="709"/>
      <c r="G11245" s="705">
        <v>108.60603486935501</v>
      </c>
    </row>
    <row r="11246" spans="2:7" ht="11.25" hidden="1" customHeight="1" outlineLevel="2" x14ac:dyDescent="0.25">
      <c r="B11246" s="704" t="s">
        <v>681</v>
      </c>
      <c r="C11246" s="704" t="s">
        <v>907</v>
      </c>
      <c r="D11246" s="704" t="s">
        <v>44</v>
      </c>
      <c r="E11246" s="704" t="s">
        <v>861</v>
      </c>
      <c r="F11246" s="709"/>
      <c r="G11246" s="705">
        <v>0.26831382715914309</v>
      </c>
    </row>
    <row r="11247" spans="2:7" ht="11.25" hidden="1" customHeight="1" outlineLevel="2" x14ac:dyDescent="0.25">
      <c r="B11247" s="704" t="s">
        <v>681</v>
      </c>
      <c r="C11247" s="704" t="s">
        <v>908</v>
      </c>
      <c r="D11247" s="704" t="s">
        <v>44</v>
      </c>
      <c r="E11247" s="704" t="s">
        <v>861</v>
      </c>
      <c r="F11247" s="709"/>
      <c r="G11247" s="705">
        <v>99.014719983292778</v>
      </c>
    </row>
    <row r="11248" spans="2:7" ht="11.25" hidden="1" customHeight="1" outlineLevel="2" x14ac:dyDescent="0.25">
      <c r="B11248" s="704" t="s">
        <v>681</v>
      </c>
      <c r="C11248" s="704" t="s">
        <v>909</v>
      </c>
      <c r="D11248" s="704" t="s">
        <v>44</v>
      </c>
      <c r="E11248" s="704" t="s">
        <v>861</v>
      </c>
      <c r="F11248" s="709"/>
      <c r="G11248" s="705">
        <v>275.03685212351633</v>
      </c>
    </row>
    <row r="11249" spans="2:7" ht="11.25" hidden="1" customHeight="1" outlineLevel="2" x14ac:dyDescent="0.25">
      <c r="B11249" s="704" t="s">
        <v>681</v>
      </c>
      <c r="C11249" s="704" t="s">
        <v>910</v>
      </c>
      <c r="D11249" s="704" t="s">
        <v>44</v>
      </c>
      <c r="E11249" s="704" t="s">
        <v>861</v>
      </c>
      <c r="F11249" s="709"/>
      <c r="G11249" s="705">
        <v>202.20563236622567</v>
      </c>
    </row>
    <row r="11250" spans="2:7" ht="11.25" hidden="1" customHeight="1" outlineLevel="2" x14ac:dyDescent="0.25">
      <c r="B11250" s="704" t="s">
        <v>681</v>
      </c>
      <c r="C11250" s="704" t="s">
        <v>814</v>
      </c>
      <c r="D11250" s="704" t="s">
        <v>815</v>
      </c>
      <c r="E11250" s="704" t="s">
        <v>448</v>
      </c>
      <c r="F11250" s="705">
        <v>2.8331664148189346E-5</v>
      </c>
      <c r="G11250" s="705">
        <v>8.2272473986186881E-2</v>
      </c>
    </row>
    <row r="11251" spans="2:7" ht="11.25" hidden="1" customHeight="1" outlineLevel="2" x14ac:dyDescent="0.25">
      <c r="B11251" s="704" t="s">
        <v>681</v>
      </c>
      <c r="C11251" s="704" t="s">
        <v>854</v>
      </c>
      <c r="D11251" s="704" t="s">
        <v>815</v>
      </c>
      <c r="E11251" s="704" t="s">
        <v>824</v>
      </c>
      <c r="F11251" s="705">
        <v>8.1845449905951178E-6</v>
      </c>
      <c r="G11251" s="705">
        <v>7.5198570808169996E-2</v>
      </c>
    </row>
    <row r="11252" spans="2:7" ht="11.25" hidden="1" customHeight="1" outlineLevel="2" x14ac:dyDescent="0.25">
      <c r="B11252" s="704" t="s">
        <v>681</v>
      </c>
      <c r="C11252" s="704" t="s">
        <v>918</v>
      </c>
      <c r="D11252" s="704" t="s">
        <v>815</v>
      </c>
      <c r="E11252" s="704" t="s">
        <v>861</v>
      </c>
      <c r="F11252" s="709"/>
      <c r="G11252" s="705">
        <v>5.1709206365457501</v>
      </c>
    </row>
    <row r="11253" spans="2:7" ht="11.25" hidden="1" customHeight="1" outlineLevel="2" x14ac:dyDescent="0.25">
      <c r="B11253" s="704" t="s">
        <v>681</v>
      </c>
      <c r="C11253" s="704" t="s">
        <v>740</v>
      </c>
      <c r="D11253" s="704" t="s">
        <v>562</v>
      </c>
      <c r="E11253" s="704" t="s">
        <v>448</v>
      </c>
      <c r="F11253" s="705">
        <v>1.8821012549329937E-2</v>
      </c>
      <c r="G11253" s="705">
        <v>9.3270749178073853</v>
      </c>
    </row>
    <row r="11254" spans="2:7" ht="11.25" hidden="1" customHeight="1" outlineLevel="2" x14ac:dyDescent="0.25">
      <c r="B11254" s="704" t="s">
        <v>681</v>
      </c>
      <c r="C11254" s="704" t="s">
        <v>741</v>
      </c>
      <c r="D11254" s="704" t="s">
        <v>562</v>
      </c>
      <c r="E11254" s="704" t="s">
        <v>448</v>
      </c>
      <c r="F11254" s="705">
        <v>0.12026536024038474</v>
      </c>
      <c r="G11254" s="705">
        <v>62.227238801992343</v>
      </c>
    </row>
    <row r="11255" spans="2:7" ht="11.25" hidden="1" customHeight="1" outlineLevel="2" x14ac:dyDescent="0.25">
      <c r="B11255" s="704" t="s">
        <v>681</v>
      </c>
      <c r="C11255" s="704" t="s">
        <v>742</v>
      </c>
      <c r="D11255" s="704" t="s">
        <v>562</v>
      </c>
      <c r="E11255" s="704" t="s">
        <v>448</v>
      </c>
      <c r="F11255" s="705">
        <v>5.3533971759393667E-5</v>
      </c>
      <c r="G11255" s="705">
        <v>2.3999181208591697E-2</v>
      </c>
    </row>
    <row r="11256" spans="2:7" ht="11.25" hidden="1" customHeight="1" outlineLevel="2" x14ac:dyDescent="0.25">
      <c r="B11256" s="704" t="s">
        <v>681</v>
      </c>
      <c r="C11256" s="704" t="s">
        <v>743</v>
      </c>
      <c r="D11256" s="704" t="s">
        <v>562</v>
      </c>
      <c r="E11256" s="704" t="s">
        <v>448</v>
      </c>
      <c r="F11256" s="705">
        <v>8.4234641033372522E-4</v>
      </c>
      <c r="G11256" s="705">
        <v>0.37762238334466569</v>
      </c>
    </row>
    <row r="11257" spans="2:7" ht="11.25" hidden="1" customHeight="1" outlineLevel="2" x14ac:dyDescent="0.25">
      <c r="B11257" s="704" t="s">
        <v>681</v>
      </c>
      <c r="C11257" s="704" t="s">
        <v>806</v>
      </c>
      <c r="D11257" s="704" t="s">
        <v>562</v>
      </c>
      <c r="E11257" s="704" t="s">
        <v>448</v>
      </c>
      <c r="F11257" s="705">
        <v>1.5968497854374291</v>
      </c>
      <c r="G11257" s="705">
        <v>1919.9325559359677</v>
      </c>
    </row>
    <row r="11258" spans="2:7" ht="11.25" hidden="1" customHeight="1" outlineLevel="2" x14ac:dyDescent="0.25">
      <c r="B11258" s="704" t="s">
        <v>681</v>
      </c>
      <c r="C11258" s="704" t="s">
        <v>807</v>
      </c>
      <c r="D11258" s="704" t="s">
        <v>562</v>
      </c>
      <c r="E11258" s="704" t="s">
        <v>448</v>
      </c>
      <c r="F11258" s="705">
        <v>0.34371550348272156</v>
      </c>
      <c r="G11258" s="705">
        <v>480.44395599023773</v>
      </c>
    </row>
    <row r="11259" spans="2:7" ht="11.25" hidden="1" customHeight="1" outlineLevel="2" x14ac:dyDescent="0.25">
      <c r="B11259" s="704" t="s">
        <v>681</v>
      </c>
      <c r="C11259" s="704" t="s">
        <v>808</v>
      </c>
      <c r="D11259" s="704" t="s">
        <v>562</v>
      </c>
      <c r="E11259" s="704" t="s">
        <v>448</v>
      </c>
      <c r="F11259" s="705">
        <v>0.15865918845652613</v>
      </c>
      <c r="G11259" s="705">
        <v>254.77564134257565</v>
      </c>
    </row>
    <row r="11260" spans="2:7" ht="11.25" hidden="1" customHeight="1" outlineLevel="2" x14ac:dyDescent="0.25">
      <c r="B11260" s="704" t="s">
        <v>681</v>
      </c>
      <c r="C11260" s="704" t="s">
        <v>809</v>
      </c>
      <c r="D11260" s="704" t="s">
        <v>562</v>
      </c>
      <c r="E11260" s="704" t="s">
        <v>448</v>
      </c>
      <c r="F11260" s="705">
        <v>0.36559419984828079</v>
      </c>
      <c r="G11260" s="705">
        <v>546.6563137025538</v>
      </c>
    </row>
    <row r="11261" spans="2:7" ht="11.25" hidden="1" customHeight="1" outlineLevel="2" x14ac:dyDescent="0.25">
      <c r="B11261" s="704" t="s">
        <v>681</v>
      </c>
      <c r="C11261" s="704" t="s">
        <v>810</v>
      </c>
      <c r="D11261" s="704" t="s">
        <v>562</v>
      </c>
      <c r="E11261" s="704" t="s">
        <v>448</v>
      </c>
      <c r="F11261" s="705">
        <v>0.69049082898012282</v>
      </c>
      <c r="G11261" s="705">
        <v>861.20957486736324</v>
      </c>
    </row>
    <row r="11262" spans="2:7" ht="11.25" hidden="1" customHeight="1" outlineLevel="2" x14ac:dyDescent="0.25">
      <c r="B11262" s="704" t="s">
        <v>681</v>
      </c>
      <c r="C11262" s="704" t="s">
        <v>811</v>
      </c>
      <c r="D11262" s="704" t="s">
        <v>562</v>
      </c>
      <c r="E11262" s="704" t="s">
        <v>448</v>
      </c>
      <c r="F11262" s="705">
        <v>2.9395560416299052E-2</v>
      </c>
      <c r="G11262" s="705">
        <v>40.506502265385294</v>
      </c>
    </row>
    <row r="11263" spans="2:7" ht="11.25" hidden="1" customHeight="1" outlineLevel="2" x14ac:dyDescent="0.25">
      <c r="B11263" s="704" t="s">
        <v>681</v>
      </c>
      <c r="C11263" s="704" t="s">
        <v>848</v>
      </c>
      <c r="D11263" s="704" t="s">
        <v>562</v>
      </c>
      <c r="E11263" s="704" t="s">
        <v>824</v>
      </c>
      <c r="F11263" s="705">
        <v>9.2920050415449526E-2</v>
      </c>
      <c r="G11263" s="705">
        <v>255.45624991930327</v>
      </c>
    </row>
    <row r="11264" spans="2:7" ht="11.25" hidden="1" customHeight="1" outlineLevel="2" x14ac:dyDescent="0.25">
      <c r="B11264" s="704" t="s">
        <v>681</v>
      </c>
      <c r="C11264" s="704" t="s">
        <v>849</v>
      </c>
      <c r="D11264" s="704" t="s">
        <v>562</v>
      </c>
      <c r="E11264" s="704" t="s">
        <v>824</v>
      </c>
      <c r="F11264" s="705">
        <v>1.3490991423886631E-2</v>
      </c>
      <c r="G11264" s="705">
        <v>56.899007257791723</v>
      </c>
    </row>
    <row r="11265" spans="2:7" ht="11.25" hidden="1" customHeight="1" outlineLevel="2" x14ac:dyDescent="0.25">
      <c r="B11265" s="704" t="s">
        <v>681</v>
      </c>
      <c r="C11265" s="704" t="s">
        <v>850</v>
      </c>
      <c r="D11265" s="704" t="s">
        <v>562</v>
      </c>
      <c r="E11265" s="704" t="s">
        <v>824</v>
      </c>
      <c r="F11265" s="705">
        <v>9.9809027847814029E-3</v>
      </c>
      <c r="G11265" s="705">
        <v>66.695846589803509</v>
      </c>
    </row>
    <row r="11266" spans="2:7" ht="11.25" hidden="1" customHeight="1" outlineLevel="2" x14ac:dyDescent="0.25">
      <c r="B11266" s="704" t="s">
        <v>681</v>
      </c>
      <c r="C11266" s="704" t="s">
        <v>851</v>
      </c>
      <c r="D11266" s="704" t="s">
        <v>562</v>
      </c>
      <c r="E11266" s="704" t="s">
        <v>824</v>
      </c>
      <c r="F11266" s="705">
        <v>1.7482808254073539E-2</v>
      </c>
      <c r="G11266" s="705">
        <v>82.85299930405678</v>
      </c>
    </row>
    <row r="11267" spans="2:7" ht="11.25" hidden="1" customHeight="1" outlineLevel="2" x14ac:dyDescent="0.25">
      <c r="B11267" s="704" t="s">
        <v>681</v>
      </c>
      <c r="C11267" s="704" t="s">
        <v>852</v>
      </c>
      <c r="D11267" s="704" t="s">
        <v>562</v>
      </c>
      <c r="E11267" s="704" t="s">
        <v>824</v>
      </c>
      <c r="F11267" s="705">
        <v>4.3653590037097157E-4</v>
      </c>
      <c r="G11267" s="705">
        <v>1.1199843820419029</v>
      </c>
    </row>
    <row r="11268" spans="2:7" ht="11.25" hidden="1" customHeight="1" outlineLevel="2" x14ac:dyDescent="0.25">
      <c r="B11268" s="704" t="s">
        <v>681</v>
      </c>
      <c r="C11268" s="704" t="s">
        <v>853</v>
      </c>
      <c r="D11268" s="704" t="s">
        <v>562</v>
      </c>
      <c r="E11268" s="704" t="s">
        <v>824</v>
      </c>
      <c r="F11268" s="705">
        <v>1.2735993078527062E-4</v>
      </c>
      <c r="G11268" s="705">
        <v>1.0403176422910887</v>
      </c>
    </row>
    <row r="11269" spans="2:7" ht="11.25" hidden="1" customHeight="1" outlineLevel="2" x14ac:dyDescent="0.25">
      <c r="B11269" s="704" t="s">
        <v>681</v>
      </c>
      <c r="C11269" s="704" t="s">
        <v>707</v>
      </c>
      <c r="D11269" s="704" t="s">
        <v>562</v>
      </c>
      <c r="E11269" s="704" t="s">
        <v>676</v>
      </c>
      <c r="F11269" s="705">
        <v>2.0530121720126187</v>
      </c>
      <c r="G11269" s="705">
        <v>57.010031357646497</v>
      </c>
    </row>
    <row r="11270" spans="2:7" ht="11.25" hidden="1" customHeight="1" outlineLevel="2" x14ac:dyDescent="0.25">
      <c r="B11270" s="704" t="s">
        <v>681</v>
      </c>
      <c r="C11270" s="704" t="s">
        <v>708</v>
      </c>
      <c r="D11270" s="704" t="s">
        <v>562</v>
      </c>
      <c r="E11270" s="704" t="s">
        <v>676</v>
      </c>
      <c r="F11270" s="705">
        <v>7.8709602870745632E-2</v>
      </c>
      <c r="G11270" s="705">
        <v>2.8612134238946356</v>
      </c>
    </row>
    <row r="11271" spans="2:7" ht="11.25" hidden="1" customHeight="1" outlineLevel="2" x14ac:dyDescent="0.25">
      <c r="B11271" s="704" t="s">
        <v>681</v>
      </c>
      <c r="C11271" s="704" t="s">
        <v>709</v>
      </c>
      <c r="D11271" s="704" t="s">
        <v>562</v>
      </c>
      <c r="E11271" s="704" t="s">
        <v>676</v>
      </c>
      <c r="F11271" s="705">
        <v>5.6507694617332536E-2</v>
      </c>
      <c r="G11271" s="705">
        <v>3.9632664729696248</v>
      </c>
    </row>
    <row r="11272" spans="2:7" ht="11.25" hidden="1" customHeight="1" outlineLevel="2" x14ac:dyDescent="0.25">
      <c r="B11272" s="704" t="s">
        <v>681</v>
      </c>
      <c r="C11272" s="704" t="s">
        <v>710</v>
      </c>
      <c r="D11272" s="704" t="s">
        <v>562</v>
      </c>
      <c r="E11272" s="704" t="s">
        <v>676</v>
      </c>
      <c r="F11272" s="705">
        <v>0.66201618483337998</v>
      </c>
      <c r="G11272" s="705">
        <v>138.53727196872038</v>
      </c>
    </row>
    <row r="11273" spans="2:7" ht="11.25" hidden="1" customHeight="1" outlineLevel="2" x14ac:dyDescent="0.25">
      <c r="B11273" s="704" t="s">
        <v>681</v>
      </c>
      <c r="C11273" s="704" t="s">
        <v>911</v>
      </c>
      <c r="D11273" s="704" t="s">
        <v>562</v>
      </c>
      <c r="E11273" s="704" t="s">
        <v>861</v>
      </c>
      <c r="F11273" s="709"/>
      <c r="G11273" s="705">
        <v>1477.3199383849005</v>
      </c>
    </row>
    <row r="11274" spans="2:7" ht="11.25" hidden="1" customHeight="1" outlineLevel="2" x14ac:dyDescent="0.25">
      <c r="B11274" s="704" t="s">
        <v>681</v>
      </c>
      <c r="C11274" s="704" t="s">
        <v>912</v>
      </c>
      <c r="D11274" s="704" t="s">
        <v>562</v>
      </c>
      <c r="E11274" s="704" t="s">
        <v>861</v>
      </c>
      <c r="F11274" s="709"/>
      <c r="G11274" s="705">
        <v>348.55792747647604</v>
      </c>
    </row>
    <row r="11275" spans="2:7" ht="11.25" hidden="1" customHeight="1" outlineLevel="2" x14ac:dyDescent="0.25">
      <c r="B11275" s="704" t="s">
        <v>681</v>
      </c>
      <c r="C11275" s="704" t="s">
        <v>913</v>
      </c>
      <c r="D11275" s="704" t="s">
        <v>562</v>
      </c>
      <c r="E11275" s="704" t="s">
        <v>861</v>
      </c>
      <c r="F11275" s="709"/>
      <c r="G11275" s="705">
        <v>967.11340291623799</v>
      </c>
    </row>
    <row r="11276" spans="2:7" ht="11.25" hidden="1" customHeight="1" outlineLevel="2" x14ac:dyDescent="0.25">
      <c r="B11276" s="704" t="s">
        <v>681</v>
      </c>
      <c r="C11276" s="704" t="s">
        <v>914</v>
      </c>
      <c r="D11276" s="704" t="s">
        <v>562</v>
      </c>
      <c r="E11276" s="704" t="s">
        <v>861</v>
      </c>
      <c r="F11276" s="709"/>
      <c r="G11276" s="705">
        <v>491.06871590513663</v>
      </c>
    </row>
    <row r="11277" spans="2:7" ht="11.25" hidden="1" customHeight="1" outlineLevel="2" x14ac:dyDescent="0.25">
      <c r="B11277" s="704" t="s">
        <v>681</v>
      </c>
      <c r="C11277" s="704" t="s">
        <v>915</v>
      </c>
      <c r="D11277" s="704" t="s">
        <v>562</v>
      </c>
      <c r="E11277" s="704" t="s">
        <v>861</v>
      </c>
      <c r="F11277" s="709"/>
      <c r="G11277" s="705">
        <v>47.175137575942578</v>
      </c>
    </row>
    <row r="11278" spans="2:7" ht="11.25" hidden="1" customHeight="1" outlineLevel="2" x14ac:dyDescent="0.25">
      <c r="B11278" s="704" t="s">
        <v>681</v>
      </c>
      <c r="C11278" s="704" t="s">
        <v>916</v>
      </c>
      <c r="D11278" s="704" t="s">
        <v>562</v>
      </c>
      <c r="E11278" s="704" t="s">
        <v>861</v>
      </c>
      <c r="F11278" s="709"/>
      <c r="G11278" s="705">
        <v>41.855032600512956</v>
      </c>
    </row>
    <row r="11279" spans="2:7" ht="11.25" hidden="1" customHeight="1" outlineLevel="2" x14ac:dyDescent="0.25">
      <c r="B11279" s="704" t="s">
        <v>681</v>
      </c>
      <c r="C11279" s="704" t="s">
        <v>719</v>
      </c>
      <c r="D11279" s="704" t="s">
        <v>675</v>
      </c>
      <c r="E11279" s="704" t="s">
        <v>448</v>
      </c>
      <c r="F11279" s="705">
        <v>3.2254060077489016E-2</v>
      </c>
      <c r="G11279" s="705">
        <v>19.887731334232267</v>
      </c>
    </row>
    <row r="11280" spans="2:7" ht="11.25" hidden="1" customHeight="1" outlineLevel="2" x14ac:dyDescent="0.25">
      <c r="B11280" s="704" t="s">
        <v>681</v>
      </c>
      <c r="C11280" s="704" t="s">
        <v>720</v>
      </c>
      <c r="D11280" s="704" t="s">
        <v>675</v>
      </c>
      <c r="E11280" s="704" t="s">
        <v>448</v>
      </c>
      <c r="F11280" s="705">
        <v>2.6655918382907213E-3</v>
      </c>
      <c r="G11280" s="705">
        <v>1.2898718591712275</v>
      </c>
    </row>
    <row r="11281" spans="2:7" ht="11.25" hidden="1" customHeight="1" outlineLevel="2" x14ac:dyDescent="0.25">
      <c r="B11281" s="704" t="s">
        <v>681</v>
      </c>
      <c r="C11281" s="704" t="s">
        <v>721</v>
      </c>
      <c r="D11281" s="704" t="s">
        <v>675</v>
      </c>
      <c r="E11281" s="704" t="s">
        <v>448</v>
      </c>
      <c r="F11281" s="705">
        <v>3.2281092787773548E-3</v>
      </c>
      <c r="G11281" s="705">
        <v>1.541965957314734</v>
      </c>
    </row>
    <row r="11282" spans="2:7" ht="11.25" hidden="1" customHeight="1" outlineLevel="2" x14ac:dyDescent="0.25">
      <c r="B11282" s="704" t="s">
        <v>681</v>
      </c>
      <c r="C11282" s="704" t="s">
        <v>722</v>
      </c>
      <c r="D11282" s="704" t="s">
        <v>675</v>
      </c>
      <c r="E11282" s="704" t="s">
        <v>448</v>
      </c>
      <c r="F11282" s="705">
        <v>2.5759343432986885E-5</v>
      </c>
      <c r="G11282" s="705">
        <v>1.1547057780689584E-2</v>
      </c>
    </row>
    <row r="11283" spans="2:7" ht="11.25" hidden="1" customHeight="1" outlineLevel="2" x14ac:dyDescent="0.25">
      <c r="B11283" s="704" t="s">
        <v>681</v>
      </c>
      <c r="C11283" s="704" t="s">
        <v>723</v>
      </c>
      <c r="D11283" s="704" t="s">
        <v>675</v>
      </c>
      <c r="E11283" s="704" t="s">
        <v>448</v>
      </c>
      <c r="F11283" s="705">
        <v>9.1890597761710449E-2</v>
      </c>
      <c r="G11283" s="705">
        <v>51.393004923586346</v>
      </c>
    </row>
    <row r="11284" spans="2:7" ht="11.25" hidden="1" customHeight="1" outlineLevel="2" x14ac:dyDescent="0.25">
      <c r="B11284" s="704" t="s">
        <v>681</v>
      </c>
      <c r="C11284" s="704" t="s">
        <v>724</v>
      </c>
      <c r="D11284" s="704" t="s">
        <v>675</v>
      </c>
      <c r="E11284" s="704" t="s">
        <v>448</v>
      </c>
      <c r="F11284" s="705">
        <v>6.7075190948721083E-4</v>
      </c>
      <c r="G11284" s="705">
        <v>0.30067610514757537</v>
      </c>
    </row>
    <row r="11285" spans="2:7" ht="11.25" hidden="1" customHeight="1" outlineLevel="2" x14ac:dyDescent="0.25">
      <c r="B11285" s="704" t="s">
        <v>681</v>
      </c>
      <c r="C11285" s="704" t="s">
        <v>750</v>
      </c>
      <c r="D11285" s="704" t="s">
        <v>675</v>
      </c>
      <c r="E11285" s="704" t="s">
        <v>448</v>
      </c>
      <c r="F11285" s="705">
        <v>1.1400958950851661E-2</v>
      </c>
      <c r="G11285" s="705">
        <v>17.679784702565055</v>
      </c>
    </row>
    <row r="11286" spans="2:7" ht="11.25" hidden="1" customHeight="1" outlineLevel="2" x14ac:dyDescent="0.25">
      <c r="B11286" s="704" t="s">
        <v>681</v>
      </c>
      <c r="C11286" s="704" t="s">
        <v>751</v>
      </c>
      <c r="D11286" s="704" t="s">
        <v>675</v>
      </c>
      <c r="E11286" s="704" t="s">
        <v>448</v>
      </c>
      <c r="F11286" s="705">
        <v>1.0098754225091018E-4</v>
      </c>
      <c r="G11286" s="705">
        <v>0.13064904033620933</v>
      </c>
    </row>
    <row r="11287" spans="2:7" ht="11.25" hidden="1" customHeight="1" outlineLevel="2" x14ac:dyDescent="0.25">
      <c r="B11287" s="704" t="s">
        <v>681</v>
      </c>
      <c r="C11287" s="704" t="s">
        <v>752</v>
      </c>
      <c r="D11287" s="704" t="s">
        <v>675</v>
      </c>
      <c r="E11287" s="704" t="s">
        <v>448</v>
      </c>
      <c r="F11287" s="705">
        <v>2.7779093259250383E-2</v>
      </c>
      <c r="G11287" s="705">
        <v>33.084153852502311</v>
      </c>
    </row>
    <row r="11288" spans="2:7" ht="11.25" hidden="1" customHeight="1" outlineLevel="2" x14ac:dyDescent="0.25">
      <c r="B11288" s="704" t="s">
        <v>681</v>
      </c>
      <c r="C11288" s="704" t="s">
        <v>753</v>
      </c>
      <c r="D11288" s="704" t="s">
        <v>675</v>
      </c>
      <c r="E11288" s="704" t="s">
        <v>448</v>
      </c>
      <c r="F11288" s="705">
        <v>1.9898101230484726E-2</v>
      </c>
      <c r="G11288" s="705">
        <v>31.262487885200009</v>
      </c>
    </row>
    <row r="11289" spans="2:7" ht="11.25" hidden="1" customHeight="1" outlineLevel="2" x14ac:dyDescent="0.25">
      <c r="B11289" s="704" t="s">
        <v>681</v>
      </c>
      <c r="C11289" s="704" t="s">
        <v>754</v>
      </c>
      <c r="D11289" s="704" t="s">
        <v>675</v>
      </c>
      <c r="E11289" s="704" t="s">
        <v>448</v>
      </c>
      <c r="F11289" s="705">
        <v>4.899287197987344E-2</v>
      </c>
      <c r="G11289" s="705">
        <v>62.222941508706285</v>
      </c>
    </row>
    <row r="11290" spans="2:7" ht="11.25" hidden="1" customHeight="1" outlineLevel="2" x14ac:dyDescent="0.25">
      <c r="B11290" s="704" t="s">
        <v>681</v>
      </c>
      <c r="C11290" s="704" t="s">
        <v>755</v>
      </c>
      <c r="D11290" s="704" t="s">
        <v>675</v>
      </c>
      <c r="E11290" s="704" t="s">
        <v>448</v>
      </c>
      <c r="F11290" s="705">
        <v>1.9163271062270081E-2</v>
      </c>
      <c r="G11290" s="705">
        <v>26.239412289042221</v>
      </c>
    </row>
    <row r="11291" spans="2:7" ht="11.25" hidden="1" customHeight="1" outlineLevel="2" x14ac:dyDescent="0.25">
      <c r="B11291" s="704" t="s">
        <v>681</v>
      </c>
      <c r="C11291" s="704" t="s">
        <v>756</v>
      </c>
      <c r="D11291" s="704" t="s">
        <v>675</v>
      </c>
      <c r="E11291" s="704" t="s">
        <v>448</v>
      </c>
      <c r="F11291" s="705">
        <v>1.0327097475297995E-3</v>
      </c>
      <c r="G11291" s="705">
        <v>1.3623336205022971</v>
      </c>
    </row>
    <row r="11292" spans="2:7" ht="11.25" hidden="1" customHeight="1" outlineLevel="2" x14ac:dyDescent="0.25">
      <c r="B11292" s="704" t="s">
        <v>681</v>
      </c>
      <c r="C11292" s="704" t="s">
        <v>757</v>
      </c>
      <c r="D11292" s="704" t="s">
        <v>675</v>
      </c>
      <c r="E11292" s="704" t="s">
        <v>448</v>
      </c>
      <c r="F11292" s="705">
        <v>3.6515493829710616E-2</v>
      </c>
      <c r="G11292" s="705">
        <v>54.931510291209484</v>
      </c>
    </row>
    <row r="11293" spans="2:7" ht="11.25" hidden="1" customHeight="1" outlineLevel="2" x14ac:dyDescent="0.25">
      <c r="B11293" s="704" t="s">
        <v>681</v>
      </c>
      <c r="C11293" s="704" t="s">
        <v>758</v>
      </c>
      <c r="D11293" s="704" t="s">
        <v>675</v>
      </c>
      <c r="E11293" s="704" t="s">
        <v>448</v>
      </c>
      <c r="F11293" s="705">
        <v>1.6438704891780731E-2</v>
      </c>
      <c r="G11293" s="705">
        <v>18.919285776095375</v>
      </c>
    </row>
    <row r="11294" spans="2:7" ht="11.25" hidden="1" customHeight="1" outlineLevel="2" x14ac:dyDescent="0.25">
      <c r="B11294" s="704" t="s">
        <v>681</v>
      </c>
      <c r="C11294" s="704" t="s">
        <v>759</v>
      </c>
      <c r="D11294" s="704" t="s">
        <v>675</v>
      </c>
      <c r="E11294" s="704" t="s">
        <v>448</v>
      </c>
      <c r="F11294" s="705">
        <v>8.1343254352802222E-2</v>
      </c>
      <c r="G11294" s="705">
        <v>114.41148213871776</v>
      </c>
    </row>
    <row r="11295" spans="2:7" ht="11.25" hidden="1" customHeight="1" outlineLevel="2" x14ac:dyDescent="0.25">
      <c r="B11295" s="704" t="s">
        <v>681</v>
      </c>
      <c r="C11295" s="704" t="s">
        <v>760</v>
      </c>
      <c r="D11295" s="704" t="s">
        <v>675</v>
      </c>
      <c r="E11295" s="704" t="s">
        <v>448</v>
      </c>
      <c r="F11295" s="705">
        <v>5.4819799500223101E-2</v>
      </c>
      <c r="G11295" s="705">
        <v>54.809101117093533</v>
      </c>
    </row>
    <row r="11296" spans="2:7" ht="11.25" hidden="1" customHeight="1" outlineLevel="2" x14ac:dyDescent="0.25">
      <c r="B11296" s="704" t="s">
        <v>681</v>
      </c>
      <c r="C11296" s="704" t="s">
        <v>761</v>
      </c>
      <c r="D11296" s="704" t="s">
        <v>675</v>
      </c>
      <c r="E11296" s="704" t="s">
        <v>448</v>
      </c>
      <c r="F11296" s="705">
        <v>2.6045611025575423E-3</v>
      </c>
      <c r="G11296" s="705">
        <v>4.3691479688194024</v>
      </c>
    </row>
    <row r="11297" spans="2:7" ht="11.25" hidden="1" customHeight="1" outlineLevel="2" x14ac:dyDescent="0.25">
      <c r="B11297" s="704" t="s">
        <v>681</v>
      </c>
      <c r="C11297" s="704" t="s">
        <v>762</v>
      </c>
      <c r="D11297" s="704" t="s">
        <v>675</v>
      </c>
      <c r="E11297" s="704" t="s">
        <v>448</v>
      </c>
      <c r="F11297" s="705">
        <v>5.296978263082181E-3</v>
      </c>
      <c r="G11297" s="705">
        <v>7.4085007171411013</v>
      </c>
    </row>
    <row r="11298" spans="2:7" ht="11.25" hidden="1" customHeight="1" outlineLevel="2" x14ac:dyDescent="0.25">
      <c r="B11298" s="704" t="s">
        <v>681</v>
      </c>
      <c r="C11298" s="704" t="s">
        <v>763</v>
      </c>
      <c r="D11298" s="704" t="s">
        <v>675</v>
      </c>
      <c r="E11298" s="704" t="s">
        <v>448</v>
      </c>
      <c r="F11298" s="705">
        <v>2.3530115002435743E-3</v>
      </c>
      <c r="G11298" s="705">
        <v>6.6386846525838967</v>
      </c>
    </row>
    <row r="11299" spans="2:7" ht="11.25" hidden="1" customHeight="1" outlineLevel="2" x14ac:dyDescent="0.25">
      <c r="B11299" s="704" t="s">
        <v>681</v>
      </c>
      <c r="C11299" s="704" t="s">
        <v>764</v>
      </c>
      <c r="D11299" s="704" t="s">
        <v>675</v>
      </c>
      <c r="E11299" s="704" t="s">
        <v>448</v>
      </c>
      <c r="F11299" s="705">
        <v>2.7413229058066771E-3</v>
      </c>
      <c r="G11299" s="705">
        <v>15.856099755703084</v>
      </c>
    </row>
    <row r="11300" spans="2:7" ht="11.25" hidden="1" customHeight="1" outlineLevel="2" x14ac:dyDescent="0.25">
      <c r="B11300" s="704" t="s">
        <v>681</v>
      </c>
      <c r="C11300" s="704" t="s">
        <v>765</v>
      </c>
      <c r="D11300" s="704" t="s">
        <v>675</v>
      </c>
      <c r="E11300" s="704" t="s">
        <v>448</v>
      </c>
      <c r="F11300" s="705">
        <v>2.5934053709689479E-2</v>
      </c>
      <c r="G11300" s="705">
        <v>37.574847100157186</v>
      </c>
    </row>
    <row r="11301" spans="2:7" ht="11.25" hidden="1" customHeight="1" outlineLevel="2" x14ac:dyDescent="0.25">
      <c r="B11301" s="704" t="s">
        <v>681</v>
      </c>
      <c r="C11301" s="704" t="s">
        <v>766</v>
      </c>
      <c r="D11301" s="704" t="s">
        <v>675</v>
      </c>
      <c r="E11301" s="704" t="s">
        <v>448</v>
      </c>
      <c r="F11301" s="705">
        <v>1.6085444213560004E-2</v>
      </c>
      <c r="G11301" s="705">
        <v>25.788101606617854</v>
      </c>
    </row>
    <row r="11302" spans="2:7" ht="11.25" hidden="1" customHeight="1" outlineLevel="2" x14ac:dyDescent="0.25">
      <c r="B11302" s="704" t="s">
        <v>681</v>
      </c>
      <c r="C11302" s="704" t="s">
        <v>767</v>
      </c>
      <c r="D11302" s="704" t="s">
        <v>675</v>
      </c>
      <c r="E11302" s="704" t="s">
        <v>448</v>
      </c>
      <c r="F11302" s="705">
        <v>8.0999188843776677E-3</v>
      </c>
      <c r="G11302" s="705">
        <v>8.4969468176300165</v>
      </c>
    </row>
    <row r="11303" spans="2:7" ht="11.25" hidden="1" customHeight="1" outlineLevel="2" x14ac:dyDescent="0.25">
      <c r="B11303" s="704" t="s">
        <v>681</v>
      </c>
      <c r="C11303" s="704" t="s">
        <v>768</v>
      </c>
      <c r="D11303" s="704" t="s">
        <v>675</v>
      </c>
      <c r="E11303" s="704" t="s">
        <v>448</v>
      </c>
      <c r="F11303" s="705">
        <v>3.7774291049893606E-3</v>
      </c>
      <c r="G11303" s="705">
        <v>6.0025125252576137</v>
      </c>
    </row>
    <row r="11304" spans="2:7" ht="11.25" hidden="1" customHeight="1" outlineLevel="2" x14ac:dyDescent="0.25">
      <c r="B11304" s="704" t="s">
        <v>681</v>
      </c>
      <c r="C11304" s="704" t="s">
        <v>825</v>
      </c>
      <c r="D11304" s="704" t="s">
        <v>675</v>
      </c>
      <c r="E11304" s="704" t="s">
        <v>824</v>
      </c>
      <c r="F11304" s="705">
        <v>7.1806796638343917E-4</v>
      </c>
      <c r="G11304" s="705">
        <v>3.3999168930975436</v>
      </c>
    </row>
    <row r="11305" spans="2:7" ht="11.25" hidden="1" customHeight="1" outlineLevel="2" x14ac:dyDescent="0.25">
      <c r="B11305" s="704" t="s">
        <v>681</v>
      </c>
      <c r="C11305" s="704" t="s">
        <v>826</v>
      </c>
      <c r="D11305" s="704" t="s">
        <v>675</v>
      </c>
      <c r="E11305" s="704" t="s">
        <v>824</v>
      </c>
      <c r="F11305" s="705">
        <v>5.3378850509563545E-4</v>
      </c>
      <c r="G11305" s="705">
        <v>5.7057012455714418</v>
      </c>
    </row>
    <row r="11306" spans="2:7" ht="11.25" hidden="1" customHeight="1" outlineLevel="2" x14ac:dyDescent="0.25">
      <c r="B11306" s="704" t="s">
        <v>681</v>
      </c>
      <c r="C11306" s="704" t="s">
        <v>827</v>
      </c>
      <c r="D11306" s="704" t="s">
        <v>675</v>
      </c>
      <c r="E11306" s="704" t="s">
        <v>824</v>
      </c>
      <c r="F11306" s="705">
        <v>3.9526149650110905E-4</v>
      </c>
      <c r="G11306" s="705">
        <v>0.94389414363819613</v>
      </c>
    </row>
    <row r="11307" spans="2:7" ht="11.25" hidden="1" customHeight="1" outlineLevel="2" x14ac:dyDescent="0.25">
      <c r="B11307" s="704" t="s">
        <v>681</v>
      </c>
      <c r="C11307" s="704" t="s">
        <v>828</v>
      </c>
      <c r="D11307" s="704" t="s">
        <v>675</v>
      </c>
      <c r="E11307" s="704" t="s">
        <v>824</v>
      </c>
      <c r="F11307" s="705">
        <v>1.0777935817745574E-4</v>
      </c>
      <c r="G11307" s="705">
        <v>0.59146518038698903</v>
      </c>
    </row>
    <row r="11308" spans="2:7" ht="11.25" hidden="1" customHeight="1" outlineLevel="2" x14ac:dyDescent="0.25">
      <c r="B11308" s="704" t="s">
        <v>681</v>
      </c>
      <c r="C11308" s="704" t="s">
        <v>829</v>
      </c>
      <c r="D11308" s="704" t="s">
        <v>675</v>
      </c>
      <c r="E11308" s="704" t="s">
        <v>824</v>
      </c>
      <c r="F11308" s="705">
        <v>2.3324185299534407E-3</v>
      </c>
      <c r="G11308" s="705">
        <v>10.466928938205188</v>
      </c>
    </row>
    <row r="11309" spans="2:7" ht="11.25" hidden="1" customHeight="1" outlineLevel="2" x14ac:dyDescent="0.25">
      <c r="B11309" s="704" t="s">
        <v>681</v>
      </c>
      <c r="C11309" s="704" t="s">
        <v>830</v>
      </c>
      <c r="D11309" s="704" t="s">
        <v>675</v>
      </c>
      <c r="E11309" s="704" t="s">
        <v>824</v>
      </c>
      <c r="F11309" s="705">
        <v>2.1160414205367824E-3</v>
      </c>
      <c r="G11309" s="705">
        <v>3.7686975915218905</v>
      </c>
    </row>
    <row r="11310" spans="2:7" ht="11.25" hidden="1" customHeight="1" outlineLevel="2" x14ac:dyDescent="0.25">
      <c r="B11310" s="704" t="s">
        <v>681</v>
      </c>
      <c r="C11310" s="704" t="s">
        <v>831</v>
      </c>
      <c r="D11310" s="704" t="s">
        <v>675</v>
      </c>
      <c r="E11310" s="704" t="s">
        <v>824</v>
      </c>
      <c r="F11310" s="705">
        <v>5.8710401740726267E-4</v>
      </c>
      <c r="G11310" s="705">
        <v>9.6835872711472959</v>
      </c>
    </row>
    <row r="11311" spans="2:7" ht="11.25" hidden="1" customHeight="1" outlineLevel="2" x14ac:dyDescent="0.25">
      <c r="B11311" s="704" t="s">
        <v>681</v>
      </c>
      <c r="C11311" s="704" t="s">
        <v>832</v>
      </c>
      <c r="D11311" s="704" t="s">
        <v>675</v>
      </c>
      <c r="E11311" s="704" t="s">
        <v>824</v>
      </c>
      <c r="F11311" s="705">
        <v>1.6048280847340724E-3</v>
      </c>
      <c r="G11311" s="705">
        <v>3.8568699241875768</v>
      </c>
    </row>
    <row r="11312" spans="2:7" ht="11.25" hidden="1" customHeight="1" outlineLevel="2" x14ac:dyDescent="0.25">
      <c r="B11312" s="704" t="s">
        <v>681</v>
      </c>
      <c r="C11312" s="704" t="s">
        <v>833</v>
      </c>
      <c r="D11312" s="704" t="s">
        <v>675</v>
      </c>
      <c r="E11312" s="704" t="s">
        <v>824</v>
      </c>
      <c r="F11312" s="705">
        <v>2.4510130434040353E-4</v>
      </c>
      <c r="G11312" s="705">
        <v>0.62062671928165292</v>
      </c>
    </row>
    <row r="11313" spans="2:7" ht="11.25" hidden="1" customHeight="1" outlineLevel="2" x14ac:dyDescent="0.25">
      <c r="B11313" s="704" t="s">
        <v>681</v>
      </c>
      <c r="C11313" s="704" t="s">
        <v>834</v>
      </c>
      <c r="D11313" s="704" t="s">
        <v>675</v>
      </c>
      <c r="E11313" s="704" t="s">
        <v>824</v>
      </c>
      <c r="F11313" s="705">
        <v>1.7753156980772492E-3</v>
      </c>
      <c r="G11313" s="705">
        <v>6.7138275554230757</v>
      </c>
    </row>
    <row r="11314" spans="2:7" ht="11.25" hidden="1" customHeight="1" outlineLevel="2" x14ac:dyDescent="0.25">
      <c r="B11314" s="704" t="s">
        <v>681</v>
      </c>
      <c r="C11314" s="704" t="s">
        <v>835</v>
      </c>
      <c r="D11314" s="704" t="s">
        <v>675</v>
      </c>
      <c r="E11314" s="704" t="s">
        <v>824</v>
      </c>
      <c r="F11314" s="705">
        <v>2.2266302933148115E-3</v>
      </c>
      <c r="G11314" s="705">
        <v>16.348522726070037</v>
      </c>
    </row>
    <row r="11315" spans="2:7" ht="11.25" hidden="1" customHeight="1" outlineLevel="2" x14ac:dyDescent="0.25">
      <c r="B11315" s="704" t="s">
        <v>681</v>
      </c>
      <c r="C11315" s="704" t="s">
        <v>836</v>
      </c>
      <c r="D11315" s="704" t="s">
        <v>675</v>
      </c>
      <c r="E11315" s="704" t="s">
        <v>824</v>
      </c>
      <c r="F11315" s="705">
        <v>1.5536360707432535E-4</v>
      </c>
      <c r="G11315" s="705">
        <v>1.7077889604604892</v>
      </c>
    </row>
    <row r="11316" spans="2:7" ht="11.25" hidden="1" customHeight="1" outlineLevel="2" x14ac:dyDescent="0.25">
      <c r="B11316" s="704" t="s">
        <v>681</v>
      </c>
      <c r="C11316" s="704" t="s">
        <v>837</v>
      </c>
      <c r="D11316" s="704" t="s">
        <v>675</v>
      </c>
      <c r="E11316" s="704" t="s">
        <v>824</v>
      </c>
      <c r="F11316" s="705">
        <v>5.1237465869072886E-3</v>
      </c>
      <c r="G11316" s="705">
        <v>14.146704860029178</v>
      </c>
    </row>
    <row r="11317" spans="2:7" ht="11.25" hidden="1" customHeight="1" outlineLevel="2" x14ac:dyDescent="0.25">
      <c r="B11317" s="704" t="s">
        <v>681</v>
      </c>
      <c r="C11317" s="704" t="s">
        <v>838</v>
      </c>
      <c r="D11317" s="704" t="s">
        <v>675</v>
      </c>
      <c r="E11317" s="704" t="s">
        <v>824</v>
      </c>
      <c r="F11317" s="705">
        <v>2.6429767665317842E-3</v>
      </c>
      <c r="G11317" s="705">
        <v>5.8502511801540313</v>
      </c>
    </row>
    <row r="11318" spans="2:7" ht="11.25" hidden="1" customHeight="1" outlineLevel="2" x14ac:dyDescent="0.25">
      <c r="B11318" s="704" t="s">
        <v>681</v>
      </c>
      <c r="C11318" s="704" t="s">
        <v>674</v>
      </c>
      <c r="D11318" s="704" t="s">
        <v>675</v>
      </c>
      <c r="E11318" s="704" t="s">
        <v>676</v>
      </c>
      <c r="F11318" s="705">
        <v>7.4949082658301138E-3</v>
      </c>
      <c r="G11318" s="705">
        <v>0.18548264520015595</v>
      </c>
    </row>
    <row r="11319" spans="2:7" ht="11.25" hidden="1" customHeight="1" outlineLevel="2" x14ac:dyDescent="0.25">
      <c r="B11319" s="704" t="s">
        <v>681</v>
      </c>
      <c r="C11319" s="704" t="s">
        <v>862</v>
      </c>
      <c r="D11319" s="704" t="s">
        <v>675</v>
      </c>
      <c r="E11319" s="704" t="s">
        <v>861</v>
      </c>
      <c r="F11319" s="709"/>
      <c r="G11319" s="705">
        <v>550.71955907221923</v>
      </c>
    </row>
    <row r="11320" spans="2:7" ht="11.25" hidden="1" customHeight="1" outlineLevel="2" x14ac:dyDescent="0.25">
      <c r="B11320" s="704" t="s">
        <v>681</v>
      </c>
      <c r="C11320" s="704" t="s">
        <v>863</v>
      </c>
      <c r="D11320" s="704" t="s">
        <v>675</v>
      </c>
      <c r="E11320" s="704" t="s">
        <v>861</v>
      </c>
      <c r="F11320" s="709"/>
      <c r="G11320" s="705">
        <v>0.89771046763246454</v>
      </c>
    </row>
    <row r="11321" spans="2:7" ht="11.25" hidden="1" customHeight="1" outlineLevel="2" x14ac:dyDescent="0.25">
      <c r="B11321" s="704" t="s">
        <v>681</v>
      </c>
      <c r="C11321" s="704" t="s">
        <v>864</v>
      </c>
      <c r="D11321" s="704" t="s">
        <v>675</v>
      </c>
      <c r="E11321" s="704" t="s">
        <v>861</v>
      </c>
      <c r="F11321" s="709"/>
      <c r="G11321" s="705">
        <v>14.789460675878855</v>
      </c>
    </row>
    <row r="11322" spans="2:7" ht="11.25" hidden="1" customHeight="1" outlineLevel="2" x14ac:dyDescent="0.25">
      <c r="B11322" s="704" t="s">
        <v>681</v>
      </c>
      <c r="C11322" s="704" t="s">
        <v>865</v>
      </c>
      <c r="D11322" s="704" t="s">
        <v>675</v>
      </c>
      <c r="E11322" s="704" t="s">
        <v>861</v>
      </c>
      <c r="F11322" s="709"/>
      <c r="G11322" s="705">
        <v>1378.5157803827847</v>
      </c>
    </row>
    <row r="11323" spans="2:7" ht="11.25" hidden="1" customHeight="1" outlineLevel="2" x14ac:dyDescent="0.25">
      <c r="B11323" s="704" t="s">
        <v>681</v>
      </c>
      <c r="C11323" s="704" t="s">
        <v>866</v>
      </c>
      <c r="D11323" s="704" t="s">
        <v>675</v>
      </c>
      <c r="E11323" s="704" t="s">
        <v>861</v>
      </c>
      <c r="F11323" s="709"/>
      <c r="G11323" s="705">
        <v>1499.534816964331</v>
      </c>
    </row>
    <row r="11324" spans="2:7" ht="11.25" hidden="1" customHeight="1" outlineLevel="2" x14ac:dyDescent="0.25">
      <c r="B11324" s="704" t="s">
        <v>681</v>
      </c>
      <c r="C11324" s="704" t="s">
        <v>867</v>
      </c>
      <c r="D11324" s="704" t="s">
        <v>675</v>
      </c>
      <c r="E11324" s="704" t="s">
        <v>861</v>
      </c>
      <c r="F11324" s="709"/>
      <c r="G11324" s="705">
        <v>82.614500395464063</v>
      </c>
    </row>
    <row r="11325" spans="2:7" ht="11.25" hidden="1" customHeight="1" outlineLevel="2" x14ac:dyDescent="0.25">
      <c r="B11325" s="704" t="s">
        <v>681</v>
      </c>
      <c r="C11325" s="704" t="s">
        <v>868</v>
      </c>
      <c r="D11325" s="704" t="s">
        <v>675</v>
      </c>
      <c r="E11325" s="704" t="s">
        <v>861</v>
      </c>
      <c r="F11325" s="709"/>
      <c r="G11325" s="705">
        <v>50.992131232133978</v>
      </c>
    </row>
    <row r="11326" spans="2:7" ht="11.25" hidden="1" customHeight="1" outlineLevel="2" x14ac:dyDescent="0.25">
      <c r="B11326" s="704" t="s">
        <v>681</v>
      </c>
      <c r="C11326" s="704" t="s">
        <v>869</v>
      </c>
      <c r="D11326" s="704" t="s">
        <v>675</v>
      </c>
      <c r="E11326" s="704" t="s">
        <v>861</v>
      </c>
      <c r="F11326" s="709"/>
      <c r="G11326" s="705">
        <v>152.25996813750803</v>
      </c>
    </row>
    <row r="11327" spans="2:7" ht="11.25" hidden="1" customHeight="1" outlineLevel="2" x14ac:dyDescent="0.25">
      <c r="B11327" s="704" t="s">
        <v>681</v>
      </c>
      <c r="C11327" s="704" t="s">
        <v>870</v>
      </c>
      <c r="D11327" s="704" t="s">
        <v>675</v>
      </c>
      <c r="E11327" s="704" t="s">
        <v>861</v>
      </c>
      <c r="F11327" s="709"/>
      <c r="G11327" s="705">
        <v>653.98603693894279</v>
      </c>
    </row>
    <row r="11328" spans="2:7" ht="11.25" hidden="1" customHeight="1" outlineLevel="2" x14ac:dyDescent="0.25">
      <c r="B11328" s="704" t="s">
        <v>681</v>
      </c>
      <c r="C11328" s="704" t="s">
        <v>871</v>
      </c>
      <c r="D11328" s="704" t="s">
        <v>675</v>
      </c>
      <c r="E11328" s="704" t="s">
        <v>861</v>
      </c>
      <c r="F11328" s="709"/>
      <c r="G11328" s="705">
        <v>562.35150828496489</v>
      </c>
    </row>
    <row r="11329" spans="2:7" ht="11.25" hidden="1" customHeight="1" outlineLevel="2" x14ac:dyDescent="0.25">
      <c r="B11329" s="704" t="s">
        <v>681</v>
      </c>
      <c r="C11329" s="704" t="s">
        <v>872</v>
      </c>
      <c r="D11329" s="704" t="s">
        <v>675</v>
      </c>
      <c r="E11329" s="704" t="s">
        <v>861</v>
      </c>
      <c r="F11329" s="709"/>
      <c r="G11329" s="705">
        <v>5586.5969260331603</v>
      </c>
    </row>
    <row r="11330" spans="2:7" ht="11.25" hidden="1" customHeight="1" outlineLevel="2" x14ac:dyDescent="0.25">
      <c r="B11330" s="704" t="s">
        <v>681</v>
      </c>
      <c r="C11330" s="704" t="s">
        <v>873</v>
      </c>
      <c r="D11330" s="704" t="s">
        <v>675</v>
      </c>
      <c r="E11330" s="704" t="s">
        <v>861</v>
      </c>
      <c r="F11330" s="709"/>
      <c r="G11330" s="705">
        <v>46.340557810574488</v>
      </c>
    </row>
    <row r="11331" spans="2:7" ht="11.25" hidden="1" customHeight="1" outlineLevel="2" x14ac:dyDescent="0.25">
      <c r="B11331" s="704" t="s">
        <v>681</v>
      </c>
      <c r="C11331" s="704" t="s">
        <v>874</v>
      </c>
      <c r="D11331" s="704" t="s">
        <v>675</v>
      </c>
      <c r="E11331" s="704" t="s">
        <v>861</v>
      </c>
      <c r="F11331" s="709"/>
      <c r="G11331" s="705">
        <v>21.888761031880545</v>
      </c>
    </row>
    <row r="11332" spans="2:7" ht="11.25" hidden="1" customHeight="1" outlineLevel="2" x14ac:dyDescent="0.25">
      <c r="B11332" s="704" t="s">
        <v>681</v>
      </c>
      <c r="C11332" s="704" t="s">
        <v>875</v>
      </c>
      <c r="D11332" s="704" t="s">
        <v>675</v>
      </c>
      <c r="E11332" s="704" t="s">
        <v>861</v>
      </c>
      <c r="F11332" s="709"/>
      <c r="G11332" s="705">
        <v>1275.9300443663731</v>
      </c>
    </row>
    <row r="11333" spans="2:7" ht="11.25" hidden="1" customHeight="1" outlineLevel="2" x14ac:dyDescent="0.25">
      <c r="B11333" s="704" t="s">
        <v>681</v>
      </c>
      <c r="C11333" s="704" t="s">
        <v>876</v>
      </c>
      <c r="D11333" s="704" t="s">
        <v>675</v>
      </c>
      <c r="E11333" s="704" t="s">
        <v>861</v>
      </c>
      <c r="F11333" s="709"/>
      <c r="G11333" s="705">
        <v>1389.9104597916116</v>
      </c>
    </row>
    <row r="11334" spans="2:7" ht="11.25" hidden="1" customHeight="1" outlineLevel="2" x14ac:dyDescent="0.25">
      <c r="B11334" s="704" t="s">
        <v>681</v>
      </c>
      <c r="C11334" s="704" t="s">
        <v>877</v>
      </c>
      <c r="D11334" s="704" t="s">
        <v>675</v>
      </c>
      <c r="E11334" s="704" t="s">
        <v>861</v>
      </c>
      <c r="F11334" s="709"/>
      <c r="G11334" s="705">
        <v>4778.1801660420406</v>
      </c>
    </row>
    <row r="11335" spans="2:7" ht="11.25" hidden="1" customHeight="1" outlineLevel="2" x14ac:dyDescent="0.25">
      <c r="B11335" s="704" t="s">
        <v>681</v>
      </c>
      <c r="C11335" s="704" t="s">
        <v>878</v>
      </c>
      <c r="D11335" s="704" t="s">
        <v>675</v>
      </c>
      <c r="E11335" s="704" t="s">
        <v>861</v>
      </c>
      <c r="F11335" s="709"/>
      <c r="G11335" s="705">
        <v>224.95011947622638</v>
      </c>
    </row>
    <row r="11336" spans="2:7" ht="11.25" hidden="1" customHeight="1" outlineLevel="2" x14ac:dyDescent="0.25">
      <c r="B11336" s="704" t="s">
        <v>681</v>
      </c>
      <c r="C11336" s="704" t="s">
        <v>879</v>
      </c>
      <c r="D11336" s="704" t="s">
        <v>675</v>
      </c>
      <c r="E11336" s="704" t="s">
        <v>861</v>
      </c>
      <c r="F11336" s="709"/>
      <c r="G11336" s="705">
        <v>1788.2024213831423</v>
      </c>
    </row>
    <row r="11337" spans="2:7" ht="11.25" hidden="1" customHeight="1" outlineLevel="2" x14ac:dyDescent="0.25">
      <c r="B11337" s="704" t="s">
        <v>681</v>
      </c>
      <c r="C11337" s="704" t="s">
        <v>880</v>
      </c>
      <c r="D11337" s="704" t="s">
        <v>675</v>
      </c>
      <c r="E11337" s="704" t="s">
        <v>861</v>
      </c>
      <c r="F11337" s="709"/>
      <c r="G11337" s="705">
        <v>6080.7766503136518</v>
      </c>
    </row>
    <row r="11338" spans="2:7" ht="11.25" hidden="1" customHeight="1" outlineLevel="2" x14ac:dyDescent="0.25">
      <c r="B11338" s="704" t="s">
        <v>681</v>
      </c>
      <c r="C11338" s="704" t="s">
        <v>881</v>
      </c>
      <c r="D11338" s="704" t="s">
        <v>675</v>
      </c>
      <c r="E11338" s="704" t="s">
        <v>861</v>
      </c>
      <c r="F11338" s="709"/>
      <c r="G11338" s="705">
        <v>3687.6221240624741</v>
      </c>
    </row>
    <row r="11339" spans="2:7" ht="11.25" hidden="1" customHeight="1" outlineLevel="2" x14ac:dyDescent="0.25">
      <c r="B11339" s="704" t="s">
        <v>681</v>
      </c>
      <c r="C11339" s="704" t="s">
        <v>882</v>
      </c>
      <c r="D11339" s="704" t="s">
        <v>675</v>
      </c>
      <c r="E11339" s="704" t="s">
        <v>861</v>
      </c>
      <c r="F11339" s="709"/>
      <c r="G11339" s="705">
        <v>5565.1002688268591</v>
      </c>
    </row>
    <row r="11340" spans="2:7" ht="11.25" hidden="1" customHeight="1" outlineLevel="2" x14ac:dyDescent="0.25">
      <c r="B11340" s="704" t="s">
        <v>681</v>
      </c>
      <c r="C11340" s="704" t="s">
        <v>883</v>
      </c>
      <c r="D11340" s="704" t="s">
        <v>675</v>
      </c>
      <c r="E11340" s="704" t="s">
        <v>861</v>
      </c>
      <c r="F11340" s="709"/>
      <c r="G11340" s="705">
        <v>2528.5698857945476</v>
      </c>
    </row>
    <row r="11341" spans="2:7" ht="11.25" hidden="1" customHeight="1" outlineLevel="2" x14ac:dyDescent="0.25">
      <c r="B11341" s="704" t="s">
        <v>681</v>
      </c>
      <c r="C11341" s="704" t="s">
        <v>884</v>
      </c>
      <c r="D11341" s="704" t="s">
        <v>675</v>
      </c>
      <c r="E11341" s="704" t="s">
        <v>861</v>
      </c>
      <c r="F11341" s="709"/>
      <c r="G11341" s="705">
        <v>598.59262946931005</v>
      </c>
    </row>
    <row r="11342" spans="2:7" ht="11.25" hidden="1" customHeight="1" outlineLevel="2" x14ac:dyDescent="0.25">
      <c r="B11342" s="704" t="s">
        <v>681</v>
      </c>
      <c r="C11342" s="704" t="s">
        <v>885</v>
      </c>
      <c r="D11342" s="704" t="s">
        <v>675</v>
      </c>
      <c r="E11342" s="704" t="s">
        <v>861</v>
      </c>
      <c r="F11342" s="709"/>
      <c r="G11342" s="705">
        <v>7.7907162701270014</v>
      </c>
    </row>
    <row r="11343" spans="2:7" ht="11.25" hidden="1" customHeight="1" outlineLevel="2" x14ac:dyDescent="0.25">
      <c r="B11343" s="704" t="s">
        <v>681</v>
      </c>
      <c r="C11343" s="704" t="s">
        <v>886</v>
      </c>
      <c r="D11343" s="704" t="s">
        <v>675</v>
      </c>
      <c r="E11343" s="704" t="s">
        <v>861</v>
      </c>
      <c r="F11343" s="709"/>
      <c r="G11343" s="705">
        <v>573.59404225969013</v>
      </c>
    </row>
    <row r="11344" spans="2:7" ht="11.25" hidden="1" customHeight="1" outlineLevel="2" x14ac:dyDescent="0.25">
      <c r="B11344" s="704" t="s">
        <v>681</v>
      </c>
      <c r="C11344" s="704" t="s">
        <v>725</v>
      </c>
      <c r="D11344" s="704" t="s">
        <v>563</v>
      </c>
      <c r="E11344" s="704" t="s">
        <v>448</v>
      </c>
      <c r="F11344" s="705">
        <v>3.1952613788030325E-4</v>
      </c>
      <c r="G11344" s="705">
        <v>0.14324283840768842</v>
      </c>
    </row>
    <row r="11345" spans="2:7" ht="11.25" hidden="1" customHeight="1" outlineLevel="2" x14ac:dyDescent="0.25">
      <c r="B11345" s="704" t="s">
        <v>681</v>
      </c>
      <c r="C11345" s="704" t="s">
        <v>726</v>
      </c>
      <c r="D11345" s="704" t="s">
        <v>563</v>
      </c>
      <c r="E11345" s="704" t="s">
        <v>448</v>
      </c>
      <c r="F11345" s="705">
        <v>2.516550530658934E-5</v>
      </c>
      <c r="G11345" s="705">
        <v>1.1281659688983885E-2</v>
      </c>
    </row>
    <row r="11346" spans="2:7" ht="11.25" hidden="1" customHeight="1" outlineLevel="2" x14ac:dyDescent="0.25">
      <c r="B11346" s="704" t="s">
        <v>681</v>
      </c>
      <c r="C11346" s="704" t="s">
        <v>769</v>
      </c>
      <c r="D11346" s="704" t="s">
        <v>563</v>
      </c>
      <c r="E11346" s="704" t="s">
        <v>448</v>
      </c>
      <c r="F11346" s="705">
        <v>1.637924803889465E-2</v>
      </c>
      <c r="G11346" s="705">
        <v>17.423298631607793</v>
      </c>
    </row>
    <row r="11347" spans="2:7" ht="11.25" hidden="1" customHeight="1" outlineLevel="2" x14ac:dyDescent="0.25">
      <c r="B11347" s="704" t="s">
        <v>681</v>
      </c>
      <c r="C11347" s="704" t="s">
        <v>770</v>
      </c>
      <c r="D11347" s="704" t="s">
        <v>563</v>
      </c>
      <c r="E11347" s="704" t="s">
        <v>448</v>
      </c>
      <c r="F11347" s="705">
        <v>1.4892312256483516E-2</v>
      </c>
      <c r="G11347" s="705">
        <v>51.595084187382454</v>
      </c>
    </row>
    <row r="11348" spans="2:7" ht="11.25" hidden="1" customHeight="1" outlineLevel="2" x14ac:dyDescent="0.25">
      <c r="B11348" s="704" t="s">
        <v>681</v>
      </c>
      <c r="C11348" s="704" t="s">
        <v>771</v>
      </c>
      <c r="D11348" s="704" t="s">
        <v>563</v>
      </c>
      <c r="E11348" s="704" t="s">
        <v>448</v>
      </c>
      <c r="F11348" s="705">
        <v>5.5720546727978503E-3</v>
      </c>
      <c r="G11348" s="705">
        <v>13.030448109484412</v>
      </c>
    </row>
    <row r="11349" spans="2:7" ht="11.25" hidden="1" customHeight="1" outlineLevel="2" x14ac:dyDescent="0.25">
      <c r="B11349" s="704" t="s">
        <v>681</v>
      </c>
      <c r="C11349" s="704" t="s">
        <v>772</v>
      </c>
      <c r="D11349" s="704" t="s">
        <v>563</v>
      </c>
      <c r="E11349" s="704" t="s">
        <v>448</v>
      </c>
      <c r="F11349" s="705">
        <v>1.8694752876962942E-2</v>
      </c>
      <c r="G11349" s="705">
        <v>24.28817188893305</v>
      </c>
    </row>
    <row r="11350" spans="2:7" ht="11.25" hidden="1" customHeight="1" outlineLevel="2" x14ac:dyDescent="0.25">
      <c r="B11350" s="704" t="s">
        <v>681</v>
      </c>
      <c r="C11350" s="704" t="s">
        <v>773</v>
      </c>
      <c r="D11350" s="704" t="s">
        <v>563</v>
      </c>
      <c r="E11350" s="704" t="s">
        <v>448</v>
      </c>
      <c r="F11350" s="705">
        <v>1.0463975592941114E-3</v>
      </c>
      <c r="G11350" s="705">
        <v>1.19334364601471</v>
      </c>
    </row>
    <row r="11351" spans="2:7" ht="11.25" hidden="1" customHeight="1" outlineLevel="2" x14ac:dyDescent="0.25">
      <c r="B11351" s="704" t="s">
        <v>681</v>
      </c>
      <c r="C11351" s="704" t="s">
        <v>774</v>
      </c>
      <c r="D11351" s="704" t="s">
        <v>563</v>
      </c>
      <c r="E11351" s="704" t="s">
        <v>448</v>
      </c>
      <c r="F11351" s="705">
        <v>8.0900580260024452E-4</v>
      </c>
      <c r="G11351" s="705">
        <v>1.089746222763859</v>
      </c>
    </row>
    <row r="11352" spans="2:7" ht="11.25" hidden="1" customHeight="1" outlineLevel="2" x14ac:dyDescent="0.25">
      <c r="B11352" s="704" t="s">
        <v>681</v>
      </c>
      <c r="C11352" s="704" t="s">
        <v>775</v>
      </c>
      <c r="D11352" s="704" t="s">
        <v>563</v>
      </c>
      <c r="E11352" s="704" t="s">
        <v>448</v>
      </c>
      <c r="F11352" s="705">
        <v>4.111747369712086E-4</v>
      </c>
      <c r="G11352" s="705">
        <v>5.2610753393976406</v>
      </c>
    </row>
    <row r="11353" spans="2:7" ht="11.25" hidden="1" customHeight="1" outlineLevel="2" x14ac:dyDescent="0.25">
      <c r="B11353" s="704" t="s">
        <v>681</v>
      </c>
      <c r="C11353" s="704" t="s">
        <v>839</v>
      </c>
      <c r="D11353" s="704" t="s">
        <v>563</v>
      </c>
      <c r="E11353" s="704" t="s">
        <v>824</v>
      </c>
      <c r="F11353" s="705">
        <v>1.8188770734358001E-2</v>
      </c>
      <c r="G11353" s="705">
        <v>44.138073361205642</v>
      </c>
    </row>
    <row r="11354" spans="2:7" ht="11.25" hidden="1" customHeight="1" outlineLevel="2" x14ac:dyDescent="0.25">
      <c r="B11354" s="704" t="s">
        <v>681</v>
      </c>
      <c r="C11354" s="704" t="s">
        <v>840</v>
      </c>
      <c r="D11354" s="704" t="s">
        <v>563</v>
      </c>
      <c r="E11354" s="704" t="s">
        <v>824</v>
      </c>
      <c r="F11354" s="705">
        <v>0.53006343595363592</v>
      </c>
      <c r="G11354" s="705">
        <v>3902.487693211131</v>
      </c>
    </row>
    <row r="11355" spans="2:7" ht="11.25" hidden="1" customHeight="1" outlineLevel="2" x14ac:dyDescent="0.25">
      <c r="B11355" s="704" t="s">
        <v>681</v>
      </c>
      <c r="C11355" s="704" t="s">
        <v>841</v>
      </c>
      <c r="D11355" s="704" t="s">
        <v>563</v>
      </c>
      <c r="E11355" s="704" t="s">
        <v>824</v>
      </c>
      <c r="F11355" s="705">
        <v>2.5782013150601009E-3</v>
      </c>
      <c r="G11355" s="705">
        <v>29.502904387653061</v>
      </c>
    </row>
    <row r="11356" spans="2:7" ht="11.25" hidden="1" customHeight="1" outlineLevel="2" x14ac:dyDescent="0.25">
      <c r="B11356" s="704" t="s">
        <v>681</v>
      </c>
      <c r="C11356" s="704" t="s">
        <v>842</v>
      </c>
      <c r="D11356" s="704" t="s">
        <v>563</v>
      </c>
      <c r="E11356" s="704" t="s">
        <v>824</v>
      </c>
      <c r="F11356" s="705">
        <v>9.3427560436663945E-4</v>
      </c>
      <c r="G11356" s="705">
        <v>9.1445300139070014</v>
      </c>
    </row>
    <row r="11357" spans="2:7" ht="11.25" hidden="1" customHeight="1" outlineLevel="2" x14ac:dyDescent="0.25">
      <c r="B11357" s="704" t="s">
        <v>681</v>
      </c>
      <c r="C11357" s="704" t="s">
        <v>843</v>
      </c>
      <c r="D11357" s="704" t="s">
        <v>563</v>
      </c>
      <c r="E11357" s="704" t="s">
        <v>824</v>
      </c>
      <c r="F11357" s="705">
        <v>9.030310500776239E-4</v>
      </c>
      <c r="G11357" s="705">
        <v>2.3594475588055364</v>
      </c>
    </row>
    <row r="11358" spans="2:7" ht="11.25" hidden="1" customHeight="1" outlineLevel="2" x14ac:dyDescent="0.25">
      <c r="B11358" s="704" t="s">
        <v>681</v>
      </c>
      <c r="C11358" s="704" t="s">
        <v>844</v>
      </c>
      <c r="D11358" s="704" t="s">
        <v>563</v>
      </c>
      <c r="E11358" s="704" t="s">
        <v>824</v>
      </c>
      <c r="F11358" s="705">
        <v>9.0306810289146437E-4</v>
      </c>
      <c r="G11358" s="705">
        <v>17.946383973518046</v>
      </c>
    </row>
    <row r="11359" spans="2:7" ht="11.25" hidden="1" customHeight="1" outlineLevel="2" x14ac:dyDescent="0.25">
      <c r="B11359" s="704" t="s">
        <v>681</v>
      </c>
      <c r="C11359" s="704" t="s">
        <v>700</v>
      </c>
      <c r="D11359" s="704" t="s">
        <v>563</v>
      </c>
      <c r="E11359" s="704" t="s">
        <v>676</v>
      </c>
      <c r="F11359" s="705">
        <v>2.7375127664937215</v>
      </c>
      <c r="G11359" s="705">
        <v>230.37752409074113</v>
      </c>
    </row>
    <row r="11360" spans="2:7" ht="11.25" hidden="1" customHeight="1" outlineLevel="2" x14ac:dyDescent="0.25">
      <c r="B11360" s="704" t="s">
        <v>681</v>
      </c>
      <c r="C11360" s="704" t="s">
        <v>701</v>
      </c>
      <c r="D11360" s="704" t="s">
        <v>563</v>
      </c>
      <c r="E11360" s="704" t="s">
        <v>676</v>
      </c>
      <c r="F11360" s="705">
        <v>2.990063603252126E-3</v>
      </c>
      <c r="G11360" s="705">
        <v>0.2618322461845638</v>
      </c>
    </row>
    <row r="11361" spans="2:7" ht="11.25" hidden="1" customHeight="1" outlineLevel="2" x14ac:dyDescent="0.25">
      <c r="B11361" s="704" t="s">
        <v>681</v>
      </c>
      <c r="C11361" s="704" t="s">
        <v>702</v>
      </c>
      <c r="D11361" s="704" t="s">
        <v>563</v>
      </c>
      <c r="E11361" s="704" t="s">
        <v>676</v>
      </c>
      <c r="F11361" s="705">
        <v>1.3951619912421932E-3</v>
      </c>
      <c r="G11361" s="705">
        <v>0.14298973941631732</v>
      </c>
    </row>
    <row r="11362" spans="2:7" ht="11.25" hidden="1" customHeight="1" outlineLevel="2" x14ac:dyDescent="0.25">
      <c r="B11362" s="704" t="s">
        <v>681</v>
      </c>
      <c r="C11362" s="704" t="s">
        <v>703</v>
      </c>
      <c r="D11362" s="704" t="s">
        <v>563</v>
      </c>
      <c r="E11362" s="704" t="s">
        <v>676</v>
      </c>
      <c r="F11362" s="705">
        <v>1.0446601190335827E-2</v>
      </c>
      <c r="G11362" s="705">
        <v>1.0287179392047801</v>
      </c>
    </row>
    <row r="11363" spans="2:7" ht="11.25" hidden="1" customHeight="1" outlineLevel="2" x14ac:dyDescent="0.25">
      <c r="B11363" s="704" t="s">
        <v>681</v>
      </c>
      <c r="C11363" s="704" t="s">
        <v>704</v>
      </c>
      <c r="D11363" s="704" t="s">
        <v>563</v>
      </c>
      <c r="E11363" s="704" t="s">
        <v>676</v>
      </c>
      <c r="F11363" s="705">
        <v>4.7511417125668427E-3</v>
      </c>
      <c r="G11363" s="705">
        <v>1.0684285217783731</v>
      </c>
    </row>
    <row r="11364" spans="2:7" ht="11.25" hidden="1" customHeight="1" outlineLevel="2" x14ac:dyDescent="0.25">
      <c r="B11364" s="704" t="s">
        <v>681</v>
      </c>
      <c r="C11364" s="704" t="s">
        <v>887</v>
      </c>
      <c r="D11364" s="704" t="s">
        <v>563</v>
      </c>
      <c r="E11364" s="704" t="s">
        <v>861</v>
      </c>
      <c r="F11364" s="709"/>
      <c r="G11364" s="705">
        <v>71.810954265567773</v>
      </c>
    </row>
    <row r="11365" spans="2:7" ht="11.25" hidden="1" customHeight="1" outlineLevel="2" x14ac:dyDescent="0.25">
      <c r="B11365" s="704" t="s">
        <v>681</v>
      </c>
      <c r="C11365" s="704" t="s">
        <v>888</v>
      </c>
      <c r="D11365" s="704" t="s">
        <v>563</v>
      </c>
      <c r="E11365" s="704" t="s">
        <v>861</v>
      </c>
      <c r="F11365" s="709"/>
      <c r="G11365" s="705">
        <v>1042.0181119277756</v>
      </c>
    </row>
    <row r="11366" spans="2:7" ht="11.25" hidden="1" customHeight="1" outlineLevel="2" x14ac:dyDescent="0.25">
      <c r="B11366" s="704" t="s">
        <v>681</v>
      </c>
      <c r="C11366" s="704" t="s">
        <v>889</v>
      </c>
      <c r="D11366" s="704" t="s">
        <v>563</v>
      </c>
      <c r="E11366" s="704" t="s">
        <v>861</v>
      </c>
      <c r="F11366" s="709"/>
      <c r="G11366" s="705">
        <v>454.80646969246669</v>
      </c>
    </row>
    <row r="11367" spans="2:7" ht="11.25" hidden="1" customHeight="1" outlineLevel="2" x14ac:dyDescent="0.25">
      <c r="B11367" s="704" t="s">
        <v>681</v>
      </c>
      <c r="C11367" s="704" t="s">
        <v>890</v>
      </c>
      <c r="D11367" s="704" t="s">
        <v>563</v>
      </c>
      <c r="E11367" s="704" t="s">
        <v>861</v>
      </c>
      <c r="F11367" s="709"/>
      <c r="G11367" s="705">
        <v>461.62362739134016</v>
      </c>
    </row>
    <row r="11368" spans="2:7" ht="11.25" hidden="1" customHeight="1" outlineLevel="2" x14ac:dyDescent="0.25">
      <c r="B11368" s="704" t="s">
        <v>681</v>
      </c>
      <c r="C11368" s="704" t="s">
        <v>891</v>
      </c>
      <c r="D11368" s="704" t="s">
        <v>563</v>
      </c>
      <c r="E11368" s="704" t="s">
        <v>861</v>
      </c>
      <c r="F11368" s="709"/>
      <c r="G11368" s="705">
        <v>17.746459918862445</v>
      </c>
    </row>
    <row r="11369" spans="2:7" ht="11.25" hidden="1" customHeight="1" outlineLevel="2" x14ac:dyDescent="0.25">
      <c r="B11369" s="704" t="s">
        <v>681</v>
      </c>
      <c r="C11369" s="704" t="s">
        <v>892</v>
      </c>
      <c r="D11369" s="704" t="s">
        <v>563</v>
      </c>
      <c r="E11369" s="704" t="s">
        <v>861</v>
      </c>
      <c r="F11369" s="709"/>
      <c r="G11369" s="705">
        <v>2992.281414077916</v>
      </c>
    </row>
    <row r="11370" spans="2:7" ht="11.25" hidden="1" customHeight="1" outlineLevel="2" x14ac:dyDescent="0.25">
      <c r="B11370" s="704" t="s">
        <v>681</v>
      </c>
      <c r="C11370" s="704" t="s">
        <v>893</v>
      </c>
      <c r="D11370" s="704" t="s">
        <v>563</v>
      </c>
      <c r="E11370" s="704" t="s">
        <v>861</v>
      </c>
      <c r="F11370" s="709"/>
      <c r="G11370" s="705">
        <v>656.03013850612604</v>
      </c>
    </row>
    <row r="11371" spans="2:7" ht="11.25" hidden="1" customHeight="1" outlineLevel="2" x14ac:dyDescent="0.25">
      <c r="B11371" s="704" t="s">
        <v>681</v>
      </c>
      <c r="C11371" s="704" t="s">
        <v>727</v>
      </c>
      <c r="D11371" s="704" t="s">
        <v>728</v>
      </c>
      <c r="E11371" s="704" t="s">
        <v>448</v>
      </c>
      <c r="F11371" s="705">
        <v>1.0461197538878367E-2</v>
      </c>
      <c r="G11371" s="705">
        <v>5.7290887584085777</v>
      </c>
    </row>
    <row r="11372" spans="2:7" ht="11.25" hidden="1" customHeight="1" outlineLevel="2" x14ac:dyDescent="0.25">
      <c r="B11372" s="704" t="s">
        <v>681</v>
      </c>
      <c r="C11372" s="704" t="s">
        <v>729</v>
      </c>
      <c r="D11372" s="704" t="s">
        <v>728</v>
      </c>
      <c r="E11372" s="704" t="s">
        <v>448</v>
      </c>
      <c r="F11372" s="705">
        <v>0.11017335627559582</v>
      </c>
      <c r="G11372" s="705">
        <v>59.457486549339926</v>
      </c>
    </row>
    <row r="11373" spans="2:7" ht="11.25" hidden="1" customHeight="1" outlineLevel="2" x14ac:dyDescent="0.25">
      <c r="B11373" s="704" t="s">
        <v>681</v>
      </c>
      <c r="C11373" s="704" t="s">
        <v>730</v>
      </c>
      <c r="D11373" s="704" t="s">
        <v>728</v>
      </c>
      <c r="E11373" s="704" t="s">
        <v>448</v>
      </c>
      <c r="F11373" s="705">
        <v>0.1500956340912184</v>
      </c>
      <c r="G11373" s="705">
        <v>78.264140033826919</v>
      </c>
    </row>
    <row r="11374" spans="2:7" ht="11.25" hidden="1" customHeight="1" outlineLevel="2" x14ac:dyDescent="0.25">
      <c r="B11374" s="704" t="s">
        <v>681</v>
      </c>
      <c r="C11374" s="704" t="s">
        <v>731</v>
      </c>
      <c r="D11374" s="704" t="s">
        <v>728</v>
      </c>
      <c r="E11374" s="704" t="s">
        <v>448</v>
      </c>
      <c r="F11374" s="705">
        <v>1.2067675493790309</v>
      </c>
      <c r="G11374" s="705">
        <v>661.69721803280481</v>
      </c>
    </row>
    <row r="11375" spans="2:7" ht="11.25" hidden="1" customHeight="1" outlineLevel="2" x14ac:dyDescent="0.25">
      <c r="B11375" s="704" t="s">
        <v>681</v>
      </c>
      <c r="C11375" s="704" t="s">
        <v>732</v>
      </c>
      <c r="D11375" s="704" t="s">
        <v>728</v>
      </c>
      <c r="E11375" s="704" t="s">
        <v>448</v>
      </c>
      <c r="F11375" s="705">
        <v>0.18507533175085367</v>
      </c>
      <c r="G11375" s="705">
        <v>109.06484100013508</v>
      </c>
    </row>
    <row r="11376" spans="2:7" ht="11.25" hidden="1" customHeight="1" outlineLevel="2" x14ac:dyDescent="0.25">
      <c r="B11376" s="704" t="s">
        <v>681</v>
      </c>
      <c r="C11376" s="704" t="s">
        <v>733</v>
      </c>
      <c r="D11376" s="704" t="s">
        <v>728</v>
      </c>
      <c r="E11376" s="704" t="s">
        <v>448</v>
      </c>
      <c r="F11376" s="705">
        <v>1.1395727971343332</v>
      </c>
      <c r="G11376" s="705">
        <v>576.98861548392199</v>
      </c>
    </row>
    <row r="11377" spans="2:7" ht="11.25" hidden="1" customHeight="1" outlineLevel="2" x14ac:dyDescent="0.25">
      <c r="B11377" s="704" t="s">
        <v>681</v>
      </c>
      <c r="C11377" s="704" t="s">
        <v>734</v>
      </c>
      <c r="D11377" s="704" t="s">
        <v>728</v>
      </c>
      <c r="E11377" s="704" t="s">
        <v>448</v>
      </c>
      <c r="F11377" s="705">
        <v>0.1304527567900986</v>
      </c>
      <c r="G11377" s="705">
        <v>70.193870966780977</v>
      </c>
    </row>
    <row r="11378" spans="2:7" ht="11.25" hidden="1" customHeight="1" outlineLevel="2" x14ac:dyDescent="0.25">
      <c r="B11378" s="704" t="s">
        <v>681</v>
      </c>
      <c r="C11378" s="704" t="s">
        <v>735</v>
      </c>
      <c r="D11378" s="704" t="s">
        <v>728</v>
      </c>
      <c r="E11378" s="704" t="s">
        <v>448</v>
      </c>
      <c r="F11378" s="705">
        <v>1.0057988513757505</v>
      </c>
      <c r="G11378" s="705">
        <v>538.77037371702261</v>
      </c>
    </row>
    <row r="11379" spans="2:7" ht="11.25" hidden="1" customHeight="1" outlineLevel="2" x14ac:dyDescent="0.25">
      <c r="B11379" s="704" t="s">
        <v>681</v>
      </c>
      <c r="C11379" s="704" t="s">
        <v>736</v>
      </c>
      <c r="D11379" s="704" t="s">
        <v>728</v>
      </c>
      <c r="E11379" s="704" t="s">
        <v>448</v>
      </c>
      <c r="F11379" s="705">
        <v>0.226966294082597</v>
      </c>
      <c r="G11379" s="705">
        <v>33.408235837355591</v>
      </c>
    </row>
    <row r="11380" spans="2:7" ht="11.25" hidden="1" customHeight="1" outlineLevel="2" x14ac:dyDescent="0.25">
      <c r="B11380" s="704" t="s">
        <v>681</v>
      </c>
      <c r="C11380" s="704" t="s">
        <v>737</v>
      </c>
      <c r="D11380" s="704" t="s">
        <v>728</v>
      </c>
      <c r="E11380" s="704" t="s">
        <v>448</v>
      </c>
      <c r="F11380" s="705">
        <v>1.1696171710994465</v>
      </c>
      <c r="G11380" s="705">
        <v>172.16318386879561</v>
      </c>
    </row>
    <row r="11381" spans="2:7" ht="11.25" hidden="1" customHeight="1" outlineLevel="2" x14ac:dyDescent="0.25">
      <c r="B11381" s="704" t="s">
        <v>681</v>
      </c>
      <c r="C11381" s="704" t="s">
        <v>738</v>
      </c>
      <c r="D11381" s="704" t="s">
        <v>728</v>
      </c>
      <c r="E11381" s="704" t="s">
        <v>448</v>
      </c>
      <c r="F11381" s="705">
        <v>4.9274332274712061E-4</v>
      </c>
      <c r="G11381" s="705">
        <v>0.24626379757805272</v>
      </c>
    </row>
    <row r="11382" spans="2:7" ht="11.25" hidden="1" customHeight="1" outlineLevel="2" x14ac:dyDescent="0.25">
      <c r="B11382" s="704" t="s">
        <v>681</v>
      </c>
      <c r="C11382" s="704" t="s">
        <v>776</v>
      </c>
      <c r="D11382" s="704" t="s">
        <v>728</v>
      </c>
      <c r="E11382" s="704" t="s">
        <v>448</v>
      </c>
      <c r="F11382" s="705">
        <v>1.5793974358671667</v>
      </c>
      <c r="G11382" s="705">
        <v>977.75519147137391</v>
      </c>
    </row>
    <row r="11383" spans="2:7" ht="11.25" hidden="1" customHeight="1" outlineLevel="2" x14ac:dyDescent="0.25">
      <c r="B11383" s="704" t="s">
        <v>681</v>
      </c>
      <c r="C11383" s="704" t="s">
        <v>777</v>
      </c>
      <c r="D11383" s="704" t="s">
        <v>728</v>
      </c>
      <c r="E11383" s="704" t="s">
        <v>448</v>
      </c>
      <c r="F11383" s="705">
        <v>1.4142623480176471</v>
      </c>
      <c r="G11383" s="705">
        <v>1681.9143720117956</v>
      </c>
    </row>
    <row r="11384" spans="2:7" ht="11.25" hidden="1" customHeight="1" outlineLevel="2" x14ac:dyDescent="0.25">
      <c r="B11384" s="704" t="s">
        <v>681</v>
      </c>
      <c r="C11384" s="704" t="s">
        <v>778</v>
      </c>
      <c r="D11384" s="704" t="s">
        <v>728</v>
      </c>
      <c r="E11384" s="704" t="s">
        <v>448</v>
      </c>
      <c r="F11384" s="705">
        <v>0.13351477576033471</v>
      </c>
      <c r="G11384" s="705">
        <v>81.986067373831204</v>
      </c>
    </row>
    <row r="11385" spans="2:7" ht="11.25" hidden="1" customHeight="1" outlineLevel="2" x14ac:dyDescent="0.25">
      <c r="B11385" s="704" t="s">
        <v>681</v>
      </c>
      <c r="C11385" s="704" t="s">
        <v>779</v>
      </c>
      <c r="D11385" s="704" t="s">
        <v>728</v>
      </c>
      <c r="E11385" s="704" t="s">
        <v>448</v>
      </c>
      <c r="F11385" s="705">
        <v>1.1463526505487931</v>
      </c>
      <c r="G11385" s="705">
        <v>856.10999014208221</v>
      </c>
    </row>
    <row r="11386" spans="2:7" ht="11.25" hidden="1" customHeight="1" outlineLevel="2" x14ac:dyDescent="0.25">
      <c r="B11386" s="704" t="s">
        <v>681</v>
      </c>
      <c r="C11386" s="704" t="s">
        <v>780</v>
      </c>
      <c r="D11386" s="704" t="s">
        <v>728</v>
      </c>
      <c r="E11386" s="704" t="s">
        <v>448</v>
      </c>
      <c r="F11386" s="705">
        <v>7.2366792895445457E-3</v>
      </c>
      <c r="G11386" s="705">
        <v>5.4431500655199629</v>
      </c>
    </row>
    <row r="11387" spans="2:7" ht="11.25" hidden="1" customHeight="1" outlineLevel="2" x14ac:dyDescent="0.25">
      <c r="B11387" s="704" t="s">
        <v>681</v>
      </c>
      <c r="C11387" s="704" t="s">
        <v>781</v>
      </c>
      <c r="D11387" s="704" t="s">
        <v>728</v>
      </c>
      <c r="E11387" s="704" t="s">
        <v>448</v>
      </c>
      <c r="F11387" s="705">
        <v>3.142812215069607E-2</v>
      </c>
      <c r="G11387" s="705">
        <v>38.961348434442257</v>
      </c>
    </row>
    <row r="11388" spans="2:7" ht="11.25" hidden="1" customHeight="1" outlineLevel="2" x14ac:dyDescent="0.25">
      <c r="B11388" s="704" t="s">
        <v>681</v>
      </c>
      <c r="C11388" s="704" t="s">
        <v>782</v>
      </c>
      <c r="D11388" s="704" t="s">
        <v>728</v>
      </c>
      <c r="E11388" s="704" t="s">
        <v>448</v>
      </c>
      <c r="F11388" s="705">
        <v>1.3773282491756002E-2</v>
      </c>
      <c r="G11388" s="705">
        <v>10.384557325396745</v>
      </c>
    </row>
    <row r="11389" spans="2:7" ht="11.25" hidden="1" customHeight="1" outlineLevel="2" x14ac:dyDescent="0.25">
      <c r="B11389" s="704" t="s">
        <v>681</v>
      </c>
      <c r="C11389" s="704" t="s">
        <v>783</v>
      </c>
      <c r="D11389" s="704" t="s">
        <v>728</v>
      </c>
      <c r="E11389" s="704" t="s">
        <v>448</v>
      </c>
      <c r="F11389" s="705">
        <v>1.0317451046963184</v>
      </c>
      <c r="G11389" s="705">
        <v>1607.355122150127</v>
      </c>
    </row>
    <row r="11390" spans="2:7" ht="11.25" hidden="1" customHeight="1" outlineLevel="2" x14ac:dyDescent="0.25">
      <c r="B11390" s="704" t="s">
        <v>681</v>
      </c>
      <c r="C11390" s="704" t="s">
        <v>784</v>
      </c>
      <c r="D11390" s="704" t="s">
        <v>728</v>
      </c>
      <c r="E11390" s="704" t="s">
        <v>448</v>
      </c>
      <c r="F11390" s="705">
        <v>0.19799731732531417</v>
      </c>
      <c r="G11390" s="705">
        <v>107.93695448120063</v>
      </c>
    </row>
    <row r="11391" spans="2:7" ht="11.25" hidden="1" customHeight="1" outlineLevel="2" x14ac:dyDescent="0.25">
      <c r="B11391" s="704" t="s">
        <v>681</v>
      </c>
      <c r="C11391" s="704" t="s">
        <v>785</v>
      </c>
      <c r="D11391" s="704" t="s">
        <v>728</v>
      </c>
      <c r="E11391" s="704" t="s">
        <v>448</v>
      </c>
      <c r="F11391" s="705">
        <v>1.0204839371501615</v>
      </c>
      <c r="G11391" s="705">
        <v>556.23243276425001</v>
      </c>
    </row>
    <row r="11392" spans="2:7" ht="11.25" hidden="1" customHeight="1" outlineLevel="2" x14ac:dyDescent="0.25">
      <c r="B11392" s="704" t="s">
        <v>681</v>
      </c>
      <c r="C11392" s="704" t="s">
        <v>786</v>
      </c>
      <c r="D11392" s="704" t="s">
        <v>728</v>
      </c>
      <c r="E11392" s="704" t="s">
        <v>448</v>
      </c>
      <c r="F11392" s="705">
        <v>0.15535598180266397</v>
      </c>
      <c r="G11392" s="705">
        <v>196.182905903061</v>
      </c>
    </row>
    <row r="11393" spans="2:7" ht="11.25" hidden="1" customHeight="1" outlineLevel="2" x14ac:dyDescent="0.25">
      <c r="B11393" s="704" t="s">
        <v>681</v>
      </c>
      <c r="C11393" s="704" t="s">
        <v>787</v>
      </c>
      <c r="D11393" s="704" t="s">
        <v>728</v>
      </c>
      <c r="E11393" s="704" t="s">
        <v>448</v>
      </c>
      <c r="F11393" s="705">
        <v>0.13177913778080647</v>
      </c>
      <c r="G11393" s="705">
        <v>185.7024035735225</v>
      </c>
    </row>
    <row r="11394" spans="2:7" ht="11.25" hidden="1" customHeight="1" outlineLevel="2" x14ac:dyDescent="0.25">
      <c r="B11394" s="704" t="s">
        <v>681</v>
      </c>
      <c r="C11394" s="704" t="s">
        <v>788</v>
      </c>
      <c r="D11394" s="704" t="s">
        <v>728</v>
      </c>
      <c r="E11394" s="704" t="s">
        <v>448</v>
      </c>
      <c r="F11394" s="705">
        <v>0.18573804622913404</v>
      </c>
      <c r="G11394" s="705">
        <v>211.36761257080076</v>
      </c>
    </row>
    <row r="11395" spans="2:7" ht="11.25" hidden="1" customHeight="1" outlineLevel="2" x14ac:dyDescent="0.25">
      <c r="B11395" s="704" t="s">
        <v>681</v>
      </c>
      <c r="C11395" s="704" t="s">
        <v>789</v>
      </c>
      <c r="D11395" s="704" t="s">
        <v>728</v>
      </c>
      <c r="E11395" s="704" t="s">
        <v>448</v>
      </c>
      <c r="F11395" s="705">
        <v>0.14314209881539638</v>
      </c>
      <c r="G11395" s="705">
        <v>98.426584322437421</v>
      </c>
    </row>
    <row r="11396" spans="2:7" ht="11.25" hidden="1" customHeight="1" outlineLevel="2" x14ac:dyDescent="0.25">
      <c r="B11396" s="704" t="s">
        <v>681</v>
      </c>
      <c r="C11396" s="704" t="s">
        <v>790</v>
      </c>
      <c r="D11396" s="704" t="s">
        <v>728</v>
      </c>
      <c r="E11396" s="704" t="s">
        <v>448</v>
      </c>
      <c r="F11396" s="705">
        <v>2.0774176949441649</v>
      </c>
      <c r="G11396" s="705">
        <v>2629.6971067638769</v>
      </c>
    </row>
    <row r="11397" spans="2:7" ht="11.25" hidden="1" customHeight="1" outlineLevel="2" x14ac:dyDescent="0.25">
      <c r="B11397" s="704" t="s">
        <v>681</v>
      </c>
      <c r="C11397" s="704" t="s">
        <v>791</v>
      </c>
      <c r="D11397" s="704" t="s">
        <v>728</v>
      </c>
      <c r="E11397" s="704" t="s">
        <v>448</v>
      </c>
      <c r="F11397" s="705">
        <v>1.7905649039918408</v>
      </c>
      <c r="G11397" s="705">
        <v>2523.7771811154616</v>
      </c>
    </row>
    <row r="11398" spans="2:7" ht="11.25" hidden="1" customHeight="1" outlineLevel="2" x14ac:dyDescent="0.25">
      <c r="B11398" s="704" t="s">
        <v>681</v>
      </c>
      <c r="C11398" s="704" t="s">
        <v>792</v>
      </c>
      <c r="D11398" s="704" t="s">
        <v>728</v>
      </c>
      <c r="E11398" s="704" t="s">
        <v>448</v>
      </c>
      <c r="F11398" s="705">
        <v>0.20158049864185737</v>
      </c>
      <c r="G11398" s="705">
        <v>422.53287225050303</v>
      </c>
    </row>
    <row r="11399" spans="2:7" ht="11.25" hidden="1" customHeight="1" outlineLevel="2" x14ac:dyDescent="0.25">
      <c r="B11399" s="704" t="s">
        <v>681</v>
      </c>
      <c r="C11399" s="704" t="s">
        <v>793</v>
      </c>
      <c r="D11399" s="704" t="s">
        <v>728</v>
      </c>
      <c r="E11399" s="704" t="s">
        <v>448</v>
      </c>
      <c r="F11399" s="705">
        <v>5.6075855770558851</v>
      </c>
      <c r="G11399" s="705">
        <v>8141.8683241916942</v>
      </c>
    </row>
    <row r="11400" spans="2:7" ht="11.25" hidden="1" customHeight="1" outlineLevel="2" x14ac:dyDescent="0.25">
      <c r="B11400" s="704" t="s">
        <v>681</v>
      </c>
      <c r="C11400" s="704" t="s">
        <v>794</v>
      </c>
      <c r="D11400" s="704" t="s">
        <v>728</v>
      </c>
      <c r="E11400" s="704" t="s">
        <v>448</v>
      </c>
      <c r="F11400" s="705">
        <v>0.11947457234266137</v>
      </c>
      <c r="G11400" s="705">
        <v>93.147185913611963</v>
      </c>
    </row>
    <row r="11401" spans="2:7" ht="11.25" hidden="1" customHeight="1" outlineLevel="2" x14ac:dyDescent="0.25">
      <c r="B11401" s="704" t="s">
        <v>681</v>
      </c>
      <c r="C11401" s="704" t="s">
        <v>795</v>
      </c>
      <c r="D11401" s="704" t="s">
        <v>728</v>
      </c>
      <c r="E11401" s="704" t="s">
        <v>448</v>
      </c>
      <c r="F11401" s="705">
        <v>0.31933814047043846</v>
      </c>
      <c r="G11401" s="705">
        <v>249.46357296227399</v>
      </c>
    </row>
    <row r="11402" spans="2:7" ht="11.25" hidden="1" customHeight="1" outlineLevel="2" x14ac:dyDescent="0.25">
      <c r="B11402" s="704" t="s">
        <v>681</v>
      </c>
      <c r="C11402" s="704" t="s">
        <v>845</v>
      </c>
      <c r="D11402" s="704" t="s">
        <v>728</v>
      </c>
      <c r="E11402" s="704" t="s">
        <v>824</v>
      </c>
      <c r="F11402" s="705">
        <v>1.5713145969454233E-2</v>
      </c>
      <c r="G11402" s="705">
        <v>140.16785539119991</v>
      </c>
    </row>
    <row r="11403" spans="2:7" ht="11.25" hidden="1" customHeight="1" outlineLevel="2" x14ac:dyDescent="0.25">
      <c r="B11403" s="704" t="s">
        <v>681</v>
      </c>
      <c r="C11403" s="704" t="s">
        <v>894</v>
      </c>
      <c r="D11403" s="704" t="s">
        <v>728</v>
      </c>
      <c r="E11403" s="704" t="s">
        <v>861</v>
      </c>
      <c r="F11403" s="709"/>
      <c r="G11403" s="705">
        <v>0.21788658108718578</v>
      </c>
    </row>
    <row r="11404" spans="2:7" ht="11.25" hidden="1" customHeight="1" outlineLevel="2" x14ac:dyDescent="0.25">
      <c r="B11404" s="704" t="s">
        <v>681</v>
      </c>
      <c r="C11404" s="704" t="s">
        <v>895</v>
      </c>
      <c r="D11404" s="704" t="s">
        <v>728</v>
      </c>
      <c r="E11404" s="704" t="s">
        <v>861</v>
      </c>
      <c r="F11404" s="709"/>
      <c r="G11404" s="705">
        <v>58.228450080055396</v>
      </c>
    </row>
    <row r="11405" spans="2:7" ht="11.25" hidden="1" customHeight="1" outlineLevel="2" x14ac:dyDescent="0.25">
      <c r="B11405" s="704" t="s">
        <v>681</v>
      </c>
      <c r="C11405" s="704" t="s">
        <v>896</v>
      </c>
      <c r="D11405" s="704" t="s">
        <v>728</v>
      </c>
      <c r="E11405" s="704" t="s">
        <v>861</v>
      </c>
      <c r="F11405" s="709"/>
      <c r="G11405" s="705">
        <v>1523.6395843298974</v>
      </c>
    </row>
    <row r="11406" spans="2:7" ht="11.25" hidden="1" customHeight="1" outlineLevel="2" x14ac:dyDescent="0.25">
      <c r="B11406" s="704" t="s">
        <v>681</v>
      </c>
      <c r="C11406" s="704" t="s">
        <v>897</v>
      </c>
      <c r="D11406" s="704" t="s">
        <v>728</v>
      </c>
      <c r="E11406" s="704" t="s">
        <v>861</v>
      </c>
      <c r="F11406" s="709"/>
      <c r="G11406" s="705">
        <v>314.42756326910262</v>
      </c>
    </row>
    <row r="11407" spans="2:7" ht="11.25" hidden="1" customHeight="1" outlineLevel="2" x14ac:dyDescent="0.25">
      <c r="B11407" s="704" t="s">
        <v>681</v>
      </c>
      <c r="C11407" s="704" t="s">
        <v>898</v>
      </c>
      <c r="D11407" s="704" t="s">
        <v>728</v>
      </c>
      <c r="E11407" s="704" t="s">
        <v>861</v>
      </c>
      <c r="F11407" s="709"/>
      <c r="G11407" s="705">
        <v>2074.3947911072255</v>
      </c>
    </row>
    <row r="11408" spans="2:7" ht="11.25" hidden="1" customHeight="1" outlineLevel="2" x14ac:dyDescent="0.25">
      <c r="B11408" s="704" t="s">
        <v>681</v>
      </c>
      <c r="C11408" s="704" t="s">
        <v>899</v>
      </c>
      <c r="D11408" s="704" t="s">
        <v>728</v>
      </c>
      <c r="E11408" s="704" t="s">
        <v>861</v>
      </c>
      <c r="F11408" s="709"/>
      <c r="G11408" s="705">
        <v>244.58907132588095</v>
      </c>
    </row>
    <row r="11409" spans="2:7" ht="11.25" hidden="1" customHeight="1" outlineLevel="2" x14ac:dyDescent="0.25">
      <c r="B11409" s="704" t="s">
        <v>681</v>
      </c>
      <c r="C11409" s="704" t="s">
        <v>900</v>
      </c>
      <c r="D11409" s="704" t="s">
        <v>728</v>
      </c>
      <c r="E11409" s="704" t="s">
        <v>861</v>
      </c>
      <c r="F11409" s="709"/>
      <c r="G11409" s="705">
        <v>5.8262645405521658</v>
      </c>
    </row>
    <row r="11410" spans="2:7" ht="11.25" hidden="1" customHeight="1" outlineLevel="2" x14ac:dyDescent="0.25">
      <c r="B11410" s="704" t="s">
        <v>681</v>
      </c>
      <c r="C11410" s="704" t="s">
        <v>744</v>
      </c>
      <c r="D11410" s="704" t="s">
        <v>745</v>
      </c>
      <c r="E11410" s="704" t="s">
        <v>448</v>
      </c>
      <c r="F11410" s="705">
        <v>1.4263420852343845E-2</v>
      </c>
      <c r="G11410" s="705">
        <v>8.2485120948308204</v>
      </c>
    </row>
    <row r="11411" spans="2:7" ht="11.25" hidden="1" customHeight="1" outlineLevel="2" x14ac:dyDescent="0.25">
      <c r="B11411" s="704" t="s">
        <v>681</v>
      </c>
      <c r="C11411" s="704" t="s">
        <v>812</v>
      </c>
      <c r="D11411" s="704" t="s">
        <v>745</v>
      </c>
      <c r="E11411" s="704" t="s">
        <v>448</v>
      </c>
      <c r="F11411" s="705">
        <v>1.6775728059978678E-2</v>
      </c>
      <c r="G11411" s="705">
        <v>18.572803174133043</v>
      </c>
    </row>
    <row r="11412" spans="2:7" ht="11.25" hidden="1" customHeight="1" outlineLevel="2" x14ac:dyDescent="0.25">
      <c r="B11412" s="704" t="s">
        <v>681</v>
      </c>
      <c r="C11412" s="704" t="s">
        <v>813</v>
      </c>
      <c r="D11412" s="704" t="s">
        <v>745</v>
      </c>
      <c r="E11412" s="704" t="s">
        <v>448</v>
      </c>
      <c r="F11412" s="705">
        <v>1.7208390357525036E-4</v>
      </c>
      <c r="G11412" s="705">
        <v>0.21818829305700377</v>
      </c>
    </row>
    <row r="11413" spans="2:7" ht="11.25" hidden="1" customHeight="1" outlineLevel="2" x14ac:dyDescent="0.25">
      <c r="B11413" s="704" t="s">
        <v>681</v>
      </c>
      <c r="C11413" s="704" t="s">
        <v>917</v>
      </c>
      <c r="D11413" s="704" t="s">
        <v>745</v>
      </c>
      <c r="E11413" s="704" t="s">
        <v>861</v>
      </c>
      <c r="F11413" s="709"/>
      <c r="G11413" s="705">
        <v>247.16547225372301</v>
      </c>
    </row>
    <row r="11414" spans="2:7" ht="11.25" hidden="1" customHeight="1" outlineLevel="2" x14ac:dyDescent="0.25">
      <c r="B11414" s="704" t="s">
        <v>681</v>
      </c>
      <c r="C11414" s="704" t="s">
        <v>816</v>
      </c>
      <c r="D11414" s="704" t="s">
        <v>712</v>
      </c>
      <c r="E11414" s="704" t="s">
        <v>448</v>
      </c>
      <c r="F11414" s="705">
        <v>1.6685691472936203E-2</v>
      </c>
      <c r="G11414" s="705">
        <v>20.088329130503634</v>
      </c>
    </row>
    <row r="11415" spans="2:7" ht="11.25" hidden="1" customHeight="1" outlineLevel="2" x14ac:dyDescent="0.25">
      <c r="B11415" s="704" t="s">
        <v>681</v>
      </c>
      <c r="C11415" s="704" t="s">
        <v>711</v>
      </c>
      <c r="D11415" s="704" t="s">
        <v>712</v>
      </c>
      <c r="E11415" s="704" t="s">
        <v>676</v>
      </c>
      <c r="F11415" s="705">
        <v>5.968856006320887E-2</v>
      </c>
      <c r="G11415" s="705">
        <v>13.648946798389323</v>
      </c>
    </row>
    <row r="11416" spans="2:7" ht="11.25" hidden="1" customHeight="1" outlineLevel="2" x14ac:dyDescent="0.25">
      <c r="B11416" s="704" t="s">
        <v>681</v>
      </c>
      <c r="C11416" s="704" t="s">
        <v>921</v>
      </c>
      <c r="D11416" s="704" t="s">
        <v>712</v>
      </c>
      <c r="E11416" s="704" t="s">
        <v>861</v>
      </c>
      <c r="F11416" s="709"/>
      <c r="G11416" s="705">
        <v>72.367194478489935</v>
      </c>
    </row>
    <row r="11417" spans="2:7" ht="11.25" hidden="1" customHeight="1" outlineLevel="2" x14ac:dyDescent="0.25">
      <c r="B11417" s="704" t="s">
        <v>681</v>
      </c>
      <c r="C11417" s="704" t="s">
        <v>817</v>
      </c>
      <c r="D11417" s="704" t="s">
        <v>818</v>
      </c>
      <c r="E11417" s="704" t="s">
        <v>448</v>
      </c>
      <c r="F11417" s="705">
        <v>0.58619466546712795</v>
      </c>
      <c r="G11417" s="705">
        <v>481.60821273105205</v>
      </c>
    </row>
    <row r="11418" spans="2:7" ht="11.25" hidden="1" customHeight="1" outlineLevel="2" x14ac:dyDescent="0.25">
      <c r="B11418" s="704" t="s">
        <v>681</v>
      </c>
      <c r="C11418" s="704" t="s">
        <v>819</v>
      </c>
      <c r="D11418" s="704" t="s">
        <v>818</v>
      </c>
      <c r="E11418" s="704" t="s">
        <v>448</v>
      </c>
      <c r="F11418" s="705">
        <v>0.25525656317273515</v>
      </c>
      <c r="G11418" s="705">
        <v>203.23733091254712</v>
      </c>
    </row>
    <row r="11419" spans="2:7" ht="11.25" hidden="1" customHeight="1" outlineLevel="2" x14ac:dyDescent="0.25">
      <c r="B11419" s="704" t="s">
        <v>681</v>
      </c>
      <c r="C11419" s="704" t="s">
        <v>820</v>
      </c>
      <c r="D11419" s="704" t="s">
        <v>818</v>
      </c>
      <c r="E11419" s="704" t="s">
        <v>448</v>
      </c>
      <c r="F11419" s="705">
        <v>9.7606730679074077E-2</v>
      </c>
      <c r="G11419" s="705">
        <v>151.70079478872543</v>
      </c>
    </row>
    <row r="11420" spans="2:7" ht="11.25" hidden="1" customHeight="1" outlineLevel="2" x14ac:dyDescent="0.25">
      <c r="B11420" s="704" t="s">
        <v>681</v>
      </c>
      <c r="C11420" s="704" t="s">
        <v>857</v>
      </c>
      <c r="D11420" s="704" t="s">
        <v>818</v>
      </c>
      <c r="E11420" s="704" t="s">
        <v>664</v>
      </c>
      <c r="F11420" s="709"/>
      <c r="G11420" s="705">
        <v>135.06915569845131</v>
      </c>
    </row>
    <row r="11421" spans="2:7" ht="11.25" hidden="1" customHeight="1" outlineLevel="2" x14ac:dyDescent="0.25">
      <c r="B11421" s="704" t="s">
        <v>681</v>
      </c>
      <c r="C11421" s="704" t="s">
        <v>858</v>
      </c>
      <c r="D11421" s="704" t="s">
        <v>818</v>
      </c>
      <c r="E11421" s="704" t="s">
        <v>664</v>
      </c>
      <c r="F11421" s="709"/>
      <c r="G11421" s="705">
        <v>1.1278778647508745</v>
      </c>
    </row>
    <row r="11422" spans="2:7" ht="11.25" hidden="1" customHeight="1" outlineLevel="2" x14ac:dyDescent="0.25">
      <c r="B11422" s="704" t="s">
        <v>681</v>
      </c>
      <c r="C11422" s="704" t="s">
        <v>922</v>
      </c>
      <c r="D11422" s="704" t="s">
        <v>822</v>
      </c>
      <c r="E11422" s="704" t="s">
        <v>861</v>
      </c>
      <c r="F11422" s="709"/>
      <c r="G11422" s="705">
        <v>86.34797149467262</v>
      </c>
    </row>
    <row r="11423" spans="2:7" ht="11.25" hidden="1" customHeight="1" outlineLevel="2" x14ac:dyDescent="0.25">
      <c r="B11423" s="704" t="s">
        <v>681</v>
      </c>
      <c r="C11423" s="704" t="s">
        <v>821</v>
      </c>
      <c r="D11423" s="704" t="s">
        <v>822</v>
      </c>
      <c r="E11423" s="704" t="s">
        <v>448</v>
      </c>
      <c r="F11423" s="705">
        <v>2.7381262544486753E-3</v>
      </c>
      <c r="G11423" s="705">
        <v>3.6981801216152719</v>
      </c>
    </row>
    <row r="11424" spans="2:7" ht="11.25" hidden="1" customHeight="1" outlineLevel="2" x14ac:dyDescent="0.25">
      <c r="B11424" s="704" t="s">
        <v>681</v>
      </c>
      <c r="C11424" s="704" t="s">
        <v>855</v>
      </c>
      <c r="D11424" s="704" t="s">
        <v>822</v>
      </c>
      <c r="E11424" s="704" t="s">
        <v>824</v>
      </c>
      <c r="F11424" s="705">
        <v>4.3478347593036507E-5</v>
      </c>
      <c r="G11424" s="705">
        <v>0.12585274377322919</v>
      </c>
    </row>
    <row r="11425" spans="2:7" ht="11.25" hidden="1" customHeight="1" outlineLevel="2" x14ac:dyDescent="0.25">
      <c r="B11425" s="704" t="s">
        <v>681</v>
      </c>
      <c r="C11425" s="704" t="s">
        <v>714</v>
      </c>
      <c r="D11425" s="704" t="s">
        <v>715</v>
      </c>
      <c r="E11425" s="704" t="s">
        <v>448</v>
      </c>
      <c r="F11425" s="705">
        <v>1.4115162662922598</v>
      </c>
      <c r="G11425" s="705">
        <v>357.83638726176002</v>
      </c>
    </row>
    <row r="11426" spans="2:7" ht="11.25" hidden="1" customHeight="1" outlineLevel="2" x14ac:dyDescent="0.25">
      <c r="B11426" s="704" t="s">
        <v>681</v>
      </c>
      <c r="C11426" s="704" t="s">
        <v>716</v>
      </c>
      <c r="D11426" s="704" t="s">
        <v>715</v>
      </c>
      <c r="E11426" s="704" t="s">
        <v>448</v>
      </c>
      <c r="F11426" s="705">
        <v>1.220677049326443E-33</v>
      </c>
      <c r="G11426" s="705">
        <v>1.4883506685854614E-30</v>
      </c>
    </row>
    <row r="11427" spans="2:7" ht="11.25" hidden="1" customHeight="1" outlineLevel="2" x14ac:dyDescent="0.25">
      <c r="B11427" s="704" t="s">
        <v>681</v>
      </c>
      <c r="C11427" s="704" t="s">
        <v>717</v>
      </c>
      <c r="D11427" s="704" t="s">
        <v>715</v>
      </c>
      <c r="E11427" s="704" t="s">
        <v>448</v>
      </c>
      <c r="F11427" s="705">
        <v>1.5119219198278302</v>
      </c>
      <c r="G11427" s="705">
        <v>413.18481786908904</v>
      </c>
    </row>
    <row r="11428" spans="2:7" ht="11.25" hidden="1" customHeight="1" outlineLevel="2" x14ac:dyDescent="0.25">
      <c r="B11428" s="704" t="s">
        <v>681</v>
      </c>
      <c r="C11428" s="704" t="s">
        <v>718</v>
      </c>
      <c r="D11428" s="704" t="s">
        <v>715</v>
      </c>
      <c r="E11428" s="704" t="s">
        <v>448</v>
      </c>
      <c r="F11428" s="705">
        <v>9.6816320427786207E-2</v>
      </c>
      <c r="G11428" s="705">
        <v>106.22956157076491</v>
      </c>
    </row>
    <row r="11429" spans="2:7" ht="11.25" hidden="1" customHeight="1" outlineLevel="2" x14ac:dyDescent="0.25">
      <c r="B11429" s="704" t="s">
        <v>681</v>
      </c>
      <c r="C11429" s="704" t="s">
        <v>746</v>
      </c>
      <c r="D11429" s="704" t="s">
        <v>715</v>
      </c>
      <c r="E11429" s="704" t="s">
        <v>448</v>
      </c>
      <c r="F11429" s="705">
        <v>0.24932029311468987</v>
      </c>
      <c r="G11429" s="705">
        <v>172.91043026300696</v>
      </c>
    </row>
    <row r="11430" spans="2:7" ht="11.25" hidden="1" customHeight="1" outlineLevel="2" x14ac:dyDescent="0.25">
      <c r="B11430" s="704" t="s">
        <v>681</v>
      </c>
      <c r="C11430" s="704" t="s">
        <v>747</v>
      </c>
      <c r="D11430" s="704" t="s">
        <v>715</v>
      </c>
      <c r="E11430" s="704" t="s">
        <v>448</v>
      </c>
      <c r="F11430" s="705">
        <v>2.1586542945295277</v>
      </c>
      <c r="G11430" s="705">
        <v>1843.0009775508097</v>
      </c>
    </row>
    <row r="11431" spans="2:7" ht="11.25" hidden="1" customHeight="1" outlineLevel="2" x14ac:dyDescent="0.25">
      <c r="B11431" s="704" t="s">
        <v>681</v>
      </c>
      <c r="C11431" s="704" t="s">
        <v>748</v>
      </c>
      <c r="D11431" s="704" t="s">
        <v>715</v>
      </c>
      <c r="E11431" s="704" t="s">
        <v>448</v>
      </c>
      <c r="F11431" s="705">
        <v>0.46652358436248897</v>
      </c>
      <c r="G11431" s="705">
        <v>604.31721383640297</v>
      </c>
    </row>
    <row r="11432" spans="2:7" ht="11.25" hidden="1" customHeight="1" outlineLevel="2" x14ac:dyDescent="0.25">
      <c r="B11432" s="704" t="s">
        <v>681</v>
      </c>
      <c r="C11432" s="704" t="s">
        <v>749</v>
      </c>
      <c r="D11432" s="704" t="s">
        <v>715</v>
      </c>
      <c r="E11432" s="704" t="s">
        <v>448</v>
      </c>
      <c r="F11432" s="705">
        <v>0.13178971866720832</v>
      </c>
      <c r="G11432" s="705">
        <v>103.65559872668655</v>
      </c>
    </row>
    <row r="11433" spans="2:7" ht="11.25" hidden="1" customHeight="1" outlineLevel="2" x14ac:dyDescent="0.25">
      <c r="B11433" s="704" t="s">
        <v>681</v>
      </c>
      <c r="C11433" s="704" t="s">
        <v>823</v>
      </c>
      <c r="D11433" s="704" t="s">
        <v>715</v>
      </c>
      <c r="E11433" s="704" t="s">
        <v>824</v>
      </c>
      <c r="F11433" s="705">
        <v>4.2912131950305875E-3</v>
      </c>
      <c r="G11433" s="705">
        <v>7.1692385698538557</v>
      </c>
    </row>
    <row r="11434" spans="2:7" ht="11.25" hidden="1" customHeight="1" outlineLevel="2" x14ac:dyDescent="0.25">
      <c r="B11434" s="704" t="s">
        <v>681</v>
      </c>
      <c r="C11434" s="704" t="s">
        <v>860</v>
      </c>
      <c r="D11434" s="704" t="s">
        <v>715</v>
      </c>
      <c r="E11434" s="704" t="s">
        <v>861</v>
      </c>
      <c r="F11434" s="709"/>
      <c r="G11434" s="705">
        <v>142.09373670000505</v>
      </c>
    </row>
    <row r="11435" spans="2:7" ht="11.25" hidden="1" customHeight="1" outlineLevel="2" x14ac:dyDescent="0.25">
      <c r="B11435" s="704" t="s">
        <v>681</v>
      </c>
      <c r="C11435" s="704" t="s">
        <v>919</v>
      </c>
      <c r="D11435" s="704" t="s">
        <v>920</v>
      </c>
      <c r="E11435" s="704" t="s">
        <v>861</v>
      </c>
      <c r="F11435" s="709"/>
      <c r="G11435" s="705">
        <v>1.3456627778411454E-31</v>
      </c>
    </row>
    <row r="11436" spans="2:7" ht="11.25" hidden="1" customHeight="1" outlineLevel="1" x14ac:dyDescent="0.25">
      <c r="B11436" s="707" t="s">
        <v>947</v>
      </c>
      <c r="C11436" s="704"/>
      <c r="D11436" s="704"/>
      <c r="E11436" s="704"/>
      <c r="F11436" s="709">
        <f t="shared" ref="F11436:G11436" si="32">SUBTOTAL(9,F11225:F11435)</f>
        <v>40.201598509513282</v>
      </c>
      <c r="G11436" s="705">
        <f t="shared" si="32"/>
        <v>107072.80462765147</v>
      </c>
    </row>
    <row r="11437" spans="2:7" ht="11.25" hidden="1" customHeight="1" outlineLevel="2" x14ac:dyDescent="0.25">
      <c r="B11437" s="704" t="s">
        <v>682</v>
      </c>
      <c r="C11437" s="704" t="s">
        <v>739</v>
      </c>
      <c r="D11437" s="704" t="s">
        <v>44</v>
      </c>
      <c r="E11437" s="704" t="s">
        <v>448</v>
      </c>
      <c r="F11437" s="705">
        <v>1.5034877391004414E-3</v>
      </c>
      <c r="G11437" s="705">
        <v>0.91692252117684248</v>
      </c>
    </row>
    <row r="11438" spans="2:7" ht="11.25" hidden="1" customHeight="1" outlineLevel="2" x14ac:dyDescent="0.25">
      <c r="B11438" s="704" t="s">
        <v>682</v>
      </c>
      <c r="C11438" s="704" t="s">
        <v>796</v>
      </c>
      <c r="D11438" s="704" t="s">
        <v>44</v>
      </c>
      <c r="E11438" s="704" t="s">
        <v>448</v>
      </c>
      <c r="F11438" s="705">
        <v>1.5830305359563134E-3</v>
      </c>
      <c r="G11438" s="705">
        <v>2.2243248515943104</v>
      </c>
    </row>
    <row r="11439" spans="2:7" ht="11.25" hidden="1" customHeight="1" outlineLevel="2" x14ac:dyDescent="0.25">
      <c r="B11439" s="704" t="s">
        <v>682</v>
      </c>
      <c r="C11439" s="704" t="s">
        <v>797</v>
      </c>
      <c r="D11439" s="704" t="s">
        <v>44</v>
      </c>
      <c r="E11439" s="704" t="s">
        <v>448</v>
      </c>
      <c r="F11439" s="705">
        <v>2.5289518742556724E-3</v>
      </c>
      <c r="G11439" s="705">
        <v>8.6547230257102932</v>
      </c>
    </row>
    <row r="11440" spans="2:7" ht="11.25" hidden="1" customHeight="1" outlineLevel="2" x14ac:dyDescent="0.25">
      <c r="B11440" s="704" t="s">
        <v>682</v>
      </c>
      <c r="C11440" s="704" t="s">
        <v>798</v>
      </c>
      <c r="D11440" s="704" t="s">
        <v>44</v>
      </c>
      <c r="E11440" s="704" t="s">
        <v>448</v>
      </c>
      <c r="F11440" s="705">
        <v>4.1547234773168233E-5</v>
      </c>
      <c r="G11440" s="705">
        <v>5.4512400616013243E-2</v>
      </c>
    </row>
    <row r="11441" spans="2:7" ht="11.25" hidden="1" customHeight="1" outlineLevel="2" x14ac:dyDescent="0.25">
      <c r="B11441" s="704" t="s">
        <v>682</v>
      </c>
      <c r="C11441" s="704" t="s">
        <v>799</v>
      </c>
      <c r="D11441" s="704" t="s">
        <v>44</v>
      </c>
      <c r="E11441" s="704" t="s">
        <v>448</v>
      </c>
      <c r="F11441" s="705">
        <v>4.4883742965749623E-3</v>
      </c>
      <c r="G11441" s="705">
        <v>5.8845196237673356</v>
      </c>
    </row>
    <row r="11442" spans="2:7" ht="11.25" hidden="1" customHeight="1" outlineLevel="2" x14ac:dyDescent="0.25">
      <c r="B11442" s="704" t="s">
        <v>682</v>
      </c>
      <c r="C11442" s="704" t="s">
        <v>800</v>
      </c>
      <c r="D11442" s="704" t="s">
        <v>44</v>
      </c>
      <c r="E11442" s="704" t="s">
        <v>448</v>
      </c>
      <c r="F11442" s="705">
        <v>1.4783692129691705E-3</v>
      </c>
      <c r="G11442" s="705">
        <v>1.8432858044636347</v>
      </c>
    </row>
    <row r="11443" spans="2:7" ht="11.25" hidden="1" customHeight="1" outlineLevel="2" x14ac:dyDescent="0.25">
      <c r="B11443" s="704" t="s">
        <v>682</v>
      </c>
      <c r="C11443" s="704" t="s">
        <v>801</v>
      </c>
      <c r="D11443" s="704" t="s">
        <v>44</v>
      </c>
      <c r="E11443" s="704" t="s">
        <v>448</v>
      </c>
      <c r="F11443" s="705">
        <v>1.9284813428773723E-2</v>
      </c>
      <c r="G11443" s="705">
        <v>20.023969960715004</v>
      </c>
    </row>
    <row r="11444" spans="2:7" ht="11.25" hidden="1" customHeight="1" outlineLevel="2" x14ac:dyDescent="0.25">
      <c r="B11444" s="704" t="s">
        <v>682</v>
      </c>
      <c r="C11444" s="704" t="s">
        <v>802</v>
      </c>
      <c r="D11444" s="704" t="s">
        <v>44</v>
      </c>
      <c r="E11444" s="704" t="s">
        <v>448</v>
      </c>
      <c r="F11444" s="705">
        <v>6.3394373353471298E-2</v>
      </c>
      <c r="G11444" s="705">
        <v>42.921398396968961</v>
      </c>
    </row>
    <row r="11445" spans="2:7" ht="11.25" hidden="1" customHeight="1" outlineLevel="2" x14ac:dyDescent="0.25">
      <c r="B11445" s="704" t="s">
        <v>682</v>
      </c>
      <c r="C11445" s="704" t="s">
        <v>803</v>
      </c>
      <c r="D11445" s="704" t="s">
        <v>44</v>
      </c>
      <c r="E11445" s="704" t="s">
        <v>448</v>
      </c>
      <c r="F11445" s="705">
        <v>7.1225733854141261E-3</v>
      </c>
      <c r="G11445" s="705">
        <v>9.3381137691202678</v>
      </c>
    </row>
    <row r="11446" spans="2:7" ht="11.25" hidden="1" customHeight="1" outlineLevel="2" x14ac:dyDescent="0.25">
      <c r="B11446" s="704" t="s">
        <v>682</v>
      </c>
      <c r="C11446" s="704" t="s">
        <v>804</v>
      </c>
      <c r="D11446" s="704" t="s">
        <v>44</v>
      </c>
      <c r="E11446" s="704" t="s">
        <v>448</v>
      </c>
      <c r="F11446" s="705">
        <v>1.0605546606865548E-2</v>
      </c>
      <c r="G11446" s="705">
        <v>13.521540582852717</v>
      </c>
    </row>
    <row r="11447" spans="2:7" ht="11.25" hidden="1" customHeight="1" outlineLevel="2" x14ac:dyDescent="0.25">
      <c r="B11447" s="704" t="s">
        <v>682</v>
      </c>
      <c r="C11447" s="704" t="s">
        <v>805</v>
      </c>
      <c r="D11447" s="704" t="s">
        <v>44</v>
      </c>
      <c r="E11447" s="704" t="s">
        <v>448</v>
      </c>
      <c r="F11447" s="705">
        <v>2.1278104747260501E-3</v>
      </c>
      <c r="G11447" s="705">
        <v>15.000063888257623</v>
      </c>
    </row>
    <row r="11448" spans="2:7" ht="11.25" hidden="1" customHeight="1" outlineLevel="2" x14ac:dyDescent="0.25">
      <c r="B11448" s="704" t="s">
        <v>682</v>
      </c>
      <c r="C11448" s="704" t="s">
        <v>846</v>
      </c>
      <c r="D11448" s="704" t="s">
        <v>44</v>
      </c>
      <c r="E11448" s="704" t="s">
        <v>824</v>
      </c>
      <c r="F11448" s="705">
        <v>5.1667371275658477E-5</v>
      </c>
      <c r="G11448" s="705">
        <v>8.2097071419455964E-2</v>
      </c>
    </row>
    <row r="11449" spans="2:7" ht="11.25" hidden="1" customHeight="1" outlineLevel="2" x14ac:dyDescent="0.25">
      <c r="B11449" s="704" t="s">
        <v>682</v>
      </c>
      <c r="C11449" s="704" t="s">
        <v>847</v>
      </c>
      <c r="D11449" s="704" t="s">
        <v>44</v>
      </c>
      <c r="E11449" s="704" t="s">
        <v>824</v>
      </c>
      <c r="F11449" s="705">
        <v>1.0602038102517792E-5</v>
      </c>
      <c r="G11449" s="705">
        <v>0.11173309818955129</v>
      </c>
    </row>
    <row r="11450" spans="2:7" ht="11.25" hidden="1" customHeight="1" outlineLevel="2" x14ac:dyDescent="0.25">
      <c r="B11450" s="704" t="s">
        <v>682</v>
      </c>
      <c r="C11450" s="704" t="s">
        <v>705</v>
      </c>
      <c r="D11450" s="704" t="s">
        <v>44</v>
      </c>
      <c r="E11450" s="704" t="s">
        <v>676</v>
      </c>
      <c r="F11450" s="705">
        <v>2.0682796276645086E-3</v>
      </c>
      <c r="G11450" s="705">
        <v>2.1686815434195272E-2</v>
      </c>
    </row>
    <row r="11451" spans="2:7" ht="11.25" hidden="1" customHeight="1" outlineLevel="2" x14ac:dyDescent="0.25">
      <c r="B11451" s="704" t="s">
        <v>682</v>
      </c>
      <c r="C11451" s="704" t="s">
        <v>706</v>
      </c>
      <c r="D11451" s="704" t="s">
        <v>44</v>
      </c>
      <c r="E11451" s="704" t="s">
        <v>676</v>
      </c>
      <c r="F11451" s="705">
        <v>6.5648644225652769E-4</v>
      </c>
      <c r="G11451" s="705">
        <v>6.8814713045801685E-3</v>
      </c>
    </row>
    <row r="11452" spans="2:7" ht="11.25" hidden="1" customHeight="1" outlineLevel="2" x14ac:dyDescent="0.25">
      <c r="B11452" s="704" t="s">
        <v>682</v>
      </c>
      <c r="C11452" s="704" t="s">
        <v>901</v>
      </c>
      <c r="D11452" s="704" t="s">
        <v>44</v>
      </c>
      <c r="E11452" s="704" t="s">
        <v>861</v>
      </c>
      <c r="F11452" s="709"/>
      <c r="G11452" s="705">
        <v>0.16037511920716455</v>
      </c>
    </row>
    <row r="11453" spans="2:7" ht="11.25" hidden="1" customHeight="1" outlineLevel="2" x14ac:dyDescent="0.25">
      <c r="B11453" s="704" t="s">
        <v>682</v>
      </c>
      <c r="C11453" s="704" t="s">
        <v>902</v>
      </c>
      <c r="D11453" s="704" t="s">
        <v>44</v>
      </c>
      <c r="E11453" s="704" t="s">
        <v>861</v>
      </c>
      <c r="F11453" s="709"/>
      <c r="G11453" s="705">
        <v>6933.4004184210798</v>
      </c>
    </row>
    <row r="11454" spans="2:7" ht="11.25" hidden="1" customHeight="1" outlineLevel="2" x14ac:dyDescent="0.25">
      <c r="B11454" s="704" t="s">
        <v>682</v>
      </c>
      <c r="C11454" s="704" t="s">
        <v>903</v>
      </c>
      <c r="D11454" s="704" t="s">
        <v>44</v>
      </c>
      <c r="E11454" s="704" t="s">
        <v>861</v>
      </c>
      <c r="F11454" s="709"/>
      <c r="G11454" s="705">
        <v>622.13768561217785</v>
      </c>
    </row>
    <row r="11455" spans="2:7" ht="11.25" hidden="1" customHeight="1" outlineLevel="2" x14ac:dyDescent="0.25">
      <c r="B11455" s="704" t="s">
        <v>682</v>
      </c>
      <c r="C11455" s="704" t="s">
        <v>904</v>
      </c>
      <c r="D11455" s="704" t="s">
        <v>44</v>
      </c>
      <c r="E11455" s="704" t="s">
        <v>861</v>
      </c>
      <c r="F11455" s="709"/>
      <c r="G11455" s="705">
        <v>3.4582360060621604</v>
      </c>
    </row>
    <row r="11456" spans="2:7" ht="11.25" hidden="1" customHeight="1" outlineLevel="2" x14ac:dyDescent="0.25">
      <c r="B11456" s="704" t="s">
        <v>682</v>
      </c>
      <c r="C11456" s="704" t="s">
        <v>905</v>
      </c>
      <c r="D11456" s="704" t="s">
        <v>44</v>
      </c>
      <c r="E11456" s="704" t="s">
        <v>861</v>
      </c>
      <c r="F11456" s="709"/>
      <c r="G11456" s="705">
        <v>0.70979787596128829</v>
      </c>
    </row>
    <row r="11457" spans="2:7" ht="11.25" hidden="1" customHeight="1" outlineLevel="2" x14ac:dyDescent="0.25">
      <c r="B11457" s="704" t="s">
        <v>682</v>
      </c>
      <c r="C11457" s="704" t="s">
        <v>906</v>
      </c>
      <c r="D11457" s="704" t="s">
        <v>44</v>
      </c>
      <c r="E11457" s="704" t="s">
        <v>861</v>
      </c>
      <c r="F11457" s="709"/>
      <c r="G11457" s="705">
        <v>52.811982925073693</v>
      </c>
    </row>
    <row r="11458" spans="2:7" ht="11.25" hidden="1" customHeight="1" outlineLevel="2" x14ac:dyDescent="0.25">
      <c r="B11458" s="704" t="s">
        <v>682</v>
      </c>
      <c r="C11458" s="704" t="s">
        <v>907</v>
      </c>
      <c r="D11458" s="704" t="s">
        <v>44</v>
      </c>
      <c r="E11458" s="704" t="s">
        <v>861</v>
      </c>
      <c r="F11458" s="709"/>
      <c r="G11458" s="705">
        <v>0.13227460551797254</v>
      </c>
    </row>
    <row r="11459" spans="2:7" ht="11.25" hidden="1" customHeight="1" outlineLevel="2" x14ac:dyDescent="0.25">
      <c r="B11459" s="704" t="s">
        <v>682</v>
      </c>
      <c r="C11459" s="704" t="s">
        <v>908</v>
      </c>
      <c r="D11459" s="704" t="s">
        <v>44</v>
      </c>
      <c r="E11459" s="704" t="s">
        <v>861</v>
      </c>
      <c r="F11459" s="709"/>
      <c r="G11459" s="705">
        <v>48.812736588412648</v>
      </c>
    </row>
    <row r="11460" spans="2:7" ht="11.25" hidden="1" customHeight="1" outlineLevel="2" x14ac:dyDescent="0.25">
      <c r="B11460" s="704" t="s">
        <v>682</v>
      </c>
      <c r="C11460" s="704" t="s">
        <v>909</v>
      </c>
      <c r="D11460" s="704" t="s">
        <v>44</v>
      </c>
      <c r="E11460" s="704" t="s">
        <v>861</v>
      </c>
      <c r="F11460" s="709"/>
      <c r="G11460" s="705">
        <v>135.58891337489544</v>
      </c>
    </row>
    <row r="11461" spans="2:7" ht="11.25" hidden="1" customHeight="1" outlineLevel="2" x14ac:dyDescent="0.25">
      <c r="B11461" s="704" t="s">
        <v>682</v>
      </c>
      <c r="C11461" s="704" t="s">
        <v>910</v>
      </c>
      <c r="D11461" s="704" t="s">
        <v>44</v>
      </c>
      <c r="E11461" s="704" t="s">
        <v>861</v>
      </c>
      <c r="F11461" s="709"/>
      <c r="G11461" s="705">
        <v>99.684272434038448</v>
      </c>
    </row>
    <row r="11462" spans="2:7" ht="11.25" hidden="1" customHeight="1" outlineLevel="2" x14ac:dyDescent="0.25">
      <c r="B11462" s="704" t="s">
        <v>682</v>
      </c>
      <c r="C11462" s="704" t="s">
        <v>814</v>
      </c>
      <c r="D11462" s="704" t="s">
        <v>815</v>
      </c>
      <c r="E11462" s="704" t="s">
        <v>448</v>
      </c>
      <c r="F11462" s="705">
        <v>3.8952874951531652E-34</v>
      </c>
      <c r="G11462" s="705">
        <v>6.1605054560983056E-31</v>
      </c>
    </row>
    <row r="11463" spans="2:7" ht="11.25" hidden="1" customHeight="1" outlineLevel="2" x14ac:dyDescent="0.25">
      <c r="B11463" s="704" t="s">
        <v>682</v>
      </c>
      <c r="C11463" s="704" t="s">
        <v>854</v>
      </c>
      <c r="D11463" s="704" t="s">
        <v>815</v>
      </c>
      <c r="E11463" s="704" t="s">
        <v>824</v>
      </c>
      <c r="F11463" s="705">
        <v>1.6645027218787266E-36</v>
      </c>
      <c r="G11463" s="705">
        <v>2.4044512537756401E-32</v>
      </c>
    </row>
    <row r="11464" spans="2:7" ht="11.25" hidden="1" customHeight="1" outlineLevel="2" x14ac:dyDescent="0.25">
      <c r="B11464" s="704" t="s">
        <v>682</v>
      </c>
      <c r="C11464" s="704" t="s">
        <v>918</v>
      </c>
      <c r="D11464" s="704" t="s">
        <v>815</v>
      </c>
      <c r="E11464" s="704" t="s">
        <v>861</v>
      </c>
      <c r="F11464" s="709"/>
      <c r="G11464" s="705">
        <v>2.8862541582913706E-30</v>
      </c>
    </row>
    <row r="11465" spans="2:7" ht="11.25" hidden="1" customHeight="1" outlineLevel="2" x14ac:dyDescent="0.25">
      <c r="B11465" s="704" t="s">
        <v>682</v>
      </c>
      <c r="C11465" s="704" t="s">
        <v>740</v>
      </c>
      <c r="D11465" s="704" t="s">
        <v>562</v>
      </c>
      <c r="E11465" s="704" t="s">
        <v>448</v>
      </c>
      <c r="F11465" s="705">
        <v>7.2562928156745515E-3</v>
      </c>
      <c r="G11465" s="705">
        <v>3.595981245420997</v>
      </c>
    </row>
    <row r="11466" spans="2:7" ht="11.25" hidden="1" customHeight="1" outlineLevel="2" x14ac:dyDescent="0.25">
      <c r="B11466" s="704" t="s">
        <v>682</v>
      </c>
      <c r="C11466" s="704" t="s">
        <v>741</v>
      </c>
      <c r="D11466" s="704" t="s">
        <v>562</v>
      </c>
      <c r="E11466" s="704" t="s">
        <v>448</v>
      </c>
      <c r="F11466" s="705">
        <v>4.6367351102704658E-2</v>
      </c>
      <c r="G11466" s="705">
        <v>23.991243873084002</v>
      </c>
    </row>
    <row r="11467" spans="2:7" ht="11.25" hidden="1" customHeight="1" outlineLevel="2" x14ac:dyDescent="0.25">
      <c r="B11467" s="704" t="s">
        <v>682</v>
      </c>
      <c r="C11467" s="704" t="s">
        <v>742</v>
      </c>
      <c r="D11467" s="704" t="s">
        <v>562</v>
      </c>
      <c r="E11467" s="704" t="s">
        <v>448</v>
      </c>
      <c r="F11467" s="705">
        <v>2.0639596932865348E-5</v>
      </c>
      <c r="G11467" s="705">
        <v>9.2526803380129745E-3</v>
      </c>
    </row>
    <row r="11468" spans="2:7" ht="11.25" hidden="1" customHeight="1" outlineLevel="2" x14ac:dyDescent="0.25">
      <c r="B11468" s="704" t="s">
        <v>682</v>
      </c>
      <c r="C11468" s="704" t="s">
        <v>743</v>
      </c>
      <c r="D11468" s="704" t="s">
        <v>562</v>
      </c>
      <c r="E11468" s="704" t="s">
        <v>448</v>
      </c>
      <c r="F11468" s="705">
        <v>3.2476005209238786E-4</v>
      </c>
      <c r="G11468" s="705">
        <v>0.14558929967250481</v>
      </c>
    </row>
    <row r="11469" spans="2:7" ht="11.25" hidden="1" customHeight="1" outlineLevel="2" x14ac:dyDescent="0.25">
      <c r="B11469" s="704" t="s">
        <v>682</v>
      </c>
      <c r="C11469" s="704" t="s">
        <v>806</v>
      </c>
      <c r="D11469" s="704" t="s">
        <v>562</v>
      </c>
      <c r="E11469" s="704" t="s">
        <v>448</v>
      </c>
      <c r="F11469" s="705">
        <v>0.61559558776163514</v>
      </c>
      <c r="G11469" s="705">
        <v>740.21458407732689</v>
      </c>
    </row>
    <row r="11470" spans="2:7" ht="11.25" hidden="1" customHeight="1" outlineLevel="2" x14ac:dyDescent="0.25">
      <c r="B11470" s="704" t="s">
        <v>682</v>
      </c>
      <c r="C11470" s="704" t="s">
        <v>807</v>
      </c>
      <c r="D11470" s="704" t="s">
        <v>562</v>
      </c>
      <c r="E11470" s="704" t="s">
        <v>448</v>
      </c>
      <c r="F11470" s="705">
        <v>0.13250461589580495</v>
      </c>
      <c r="G11470" s="705">
        <v>185.23145121031641</v>
      </c>
    </row>
    <row r="11471" spans="2:7" ht="11.25" hidden="1" customHeight="1" outlineLevel="2" x14ac:dyDescent="0.25">
      <c r="B11471" s="704" t="s">
        <v>682</v>
      </c>
      <c r="C11471" s="704" t="s">
        <v>808</v>
      </c>
      <c r="D11471" s="704" t="s">
        <v>562</v>
      </c>
      <c r="E11471" s="704" t="s">
        <v>448</v>
      </c>
      <c r="F11471" s="705">
        <v>6.1164191227447796E-2</v>
      </c>
      <c r="G11471" s="705">
        <v>98.22678187904684</v>
      </c>
    </row>
    <row r="11472" spans="2:7" ht="11.25" hidden="1" customHeight="1" outlineLevel="2" x14ac:dyDescent="0.25">
      <c r="B11472" s="704" t="s">
        <v>682</v>
      </c>
      <c r="C11472" s="704" t="s">
        <v>809</v>
      </c>
      <c r="D11472" s="704" t="s">
        <v>562</v>
      </c>
      <c r="E11472" s="704" t="s">
        <v>448</v>
      </c>
      <c r="F11472" s="705">
        <v>0.14093893559249601</v>
      </c>
      <c r="G11472" s="705">
        <v>210.75909828079961</v>
      </c>
    </row>
    <row r="11473" spans="2:7" ht="11.25" hidden="1" customHeight="1" outlineLevel="2" x14ac:dyDescent="0.25">
      <c r="B11473" s="704" t="s">
        <v>682</v>
      </c>
      <c r="C11473" s="704" t="s">
        <v>810</v>
      </c>
      <c r="D11473" s="704" t="s">
        <v>562</v>
      </c>
      <c r="E11473" s="704" t="s">
        <v>448</v>
      </c>
      <c r="F11473" s="705">
        <v>0.26618859834949959</v>
      </c>
      <c r="G11473" s="705">
        <v>332.03260134701856</v>
      </c>
    </row>
    <row r="11474" spans="2:7" ht="11.25" hidden="1" customHeight="1" outlineLevel="2" x14ac:dyDescent="0.25">
      <c r="B11474" s="704" t="s">
        <v>682</v>
      </c>
      <c r="C11474" s="704" t="s">
        <v>811</v>
      </c>
      <c r="D11474" s="704" t="s">
        <v>562</v>
      </c>
      <c r="E11474" s="704" t="s">
        <v>448</v>
      </c>
      <c r="F11474" s="705">
        <v>1.1332175635057546E-2</v>
      </c>
      <c r="G11474" s="705">
        <v>15.616966404101557</v>
      </c>
    </row>
    <row r="11475" spans="2:7" ht="11.25" hidden="1" customHeight="1" outlineLevel="2" x14ac:dyDescent="0.25">
      <c r="B11475" s="704" t="s">
        <v>682</v>
      </c>
      <c r="C11475" s="704" t="s">
        <v>848</v>
      </c>
      <c r="D11475" s="704" t="s">
        <v>562</v>
      </c>
      <c r="E11475" s="704" t="s">
        <v>824</v>
      </c>
      <c r="F11475" s="705">
        <v>3.5824613663857634E-2</v>
      </c>
      <c r="G11475" s="705">
        <v>98.489164482617952</v>
      </c>
    </row>
    <row r="11476" spans="2:7" ht="11.25" hidden="1" customHeight="1" outlineLevel="2" x14ac:dyDescent="0.25">
      <c r="B11476" s="704" t="s">
        <v>682</v>
      </c>
      <c r="C11476" s="704" t="s">
        <v>849</v>
      </c>
      <c r="D11476" s="704" t="s">
        <v>562</v>
      </c>
      <c r="E11476" s="704" t="s">
        <v>824</v>
      </c>
      <c r="F11476" s="705">
        <v>5.2013488495035688E-3</v>
      </c>
      <c r="G11476" s="705">
        <v>21.936985538788534</v>
      </c>
    </row>
    <row r="11477" spans="2:7" ht="11.25" hidden="1" customHeight="1" outlineLevel="2" x14ac:dyDescent="0.25">
      <c r="B11477" s="704" t="s">
        <v>682</v>
      </c>
      <c r="C11477" s="704" t="s">
        <v>850</v>
      </c>
      <c r="D11477" s="704" t="s">
        <v>562</v>
      </c>
      <c r="E11477" s="704" t="s">
        <v>824</v>
      </c>
      <c r="F11477" s="705">
        <v>3.8480600808703091E-3</v>
      </c>
      <c r="G11477" s="705">
        <v>25.714071218799624</v>
      </c>
    </row>
    <row r="11478" spans="2:7" ht="11.25" hidden="1" customHeight="1" outlineLevel="2" x14ac:dyDescent="0.25">
      <c r="B11478" s="704" t="s">
        <v>682</v>
      </c>
      <c r="C11478" s="704" t="s">
        <v>851</v>
      </c>
      <c r="D11478" s="704" t="s">
        <v>562</v>
      </c>
      <c r="E11478" s="704" t="s">
        <v>824</v>
      </c>
      <c r="F11478" s="705">
        <v>6.7403599914786401E-3</v>
      </c>
      <c r="G11478" s="705">
        <v>31.94330560274031</v>
      </c>
    </row>
    <row r="11479" spans="2:7" ht="11.25" hidden="1" customHeight="1" outlineLevel="2" x14ac:dyDescent="0.25">
      <c r="B11479" s="704" t="s">
        <v>682</v>
      </c>
      <c r="C11479" s="704" t="s">
        <v>852</v>
      </c>
      <c r="D11479" s="704" t="s">
        <v>562</v>
      </c>
      <c r="E11479" s="704" t="s">
        <v>824</v>
      </c>
      <c r="F11479" s="705">
        <v>1.683031077866119E-4</v>
      </c>
      <c r="G11479" s="705">
        <v>0.43180151628413532</v>
      </c>
    </row>
    <row r="11480" spans="2:7" ht="11.25" hidden="1" customHeight="1" outlineLevel="2" x14ac:dyDescent="0.25">
      <c r="B11480" s="704" t="s">
        <v>682</v>
      </c>
      <c r="C11480" s="704" t="s">
        <v>853</v>
      </c>
      <c r="D11480" s="704" t="s">
        <v>562</v>
      </c>
      <c r="E11480" s="704" t="s">
        <v>824</v>
      </c>
      <c r="F11480" s="705">
        <v>4.9102618847407216E-5</v>
      </c>
      <c r="G11480" s="705">
        <v>0.40108673210333123</v>
      </c>
    </row>
    <row r="11481" spans="2:7" ht="11.25" hidden="1" customHeight="1" outlineLevel="2" x14ac:dyDescent="0.25">
      <c r="B11481" s="704" t="s">
        <v>682</v>
      </c>
      <c r="C11481" s="704" t="s">
        <v>707</v>
      </c>
      <c r="D11481" s="704" t="s">
        <v>562</v>
      </c>
      <c r="E11481" s="704" t="s">
        <v>676</v>
      </c>
      <c r="F11481" s="705">
        <v>0.79152314227951082</v>
      </c>
      <c r="G11481" s="705">
        <v>21.979777353708155</v>
      </c>
    </row>
    <row r="11482" spans="2:7" ht="11.25" hidden="1" customHeight="1" outlineLevel="2" x14ac:dyDescent="0.25">
      <c r="B11482" s="704" t="s">
        <v>682</v>
      </c>
      <c r="C11482" s="704" t="s">
        <v>708</v>
      </c>
      <c r="D11482" s="704" t="s">
        <v>562</v>
      </c>
      <c r="E11482" s="704" t="s">
        <v>676</v>
      </c>
      <c r="F11482" s="705">
        <v>3.0345865254220984E-2</v>
      </c>
      <c r="G11482" s="705">
        <v>1.1031182470573777</v>
      </c>
    </row>
    <row r="11483" spans="2:7" ht="11.25" hidden="1" customHeight="1" outlineLevel="2" x14ac:dyDescent="0.25">
      <c r="B11483" s="704" t="s">
        <v>682</v>
      </c>
      <c r="C11483" s="704" t="s">
        <v>709</v>
      </c>
      <c r="D11483" s="704" t="s">
        <v>562</v>
      </c>
      <c r="E11483" s="704" t="s">
        <v>676</v>
      </c>
      <c r="F11483" s="705">
        <v>2.1786092390987586E-2</v>
      </c>
      <c r="G11483" s="705">
        <v>1.5280055082165012</v>
      </c>
    </row>
    <row r="11484" spans="2:7" ht="11.25" hidden="1" customHeight="1" outlineLevel="2" x14ac:dyDescent="0.25">
      <c r="B11484" s="704" t="s">
        <v>682</v>
      </c>
      <c r="C11484" s="704" t="s">
        <v>710</v>
      </c>
      <c r="D11484" s="704" t="s">
        <v>562</v>
      </c>
      <c r="E11484" s="704" t="s">
        <v>676</v>
      </c>
      <c r="F11484" s="705">
        <v>0.25523512839652945</v>
      </c>
      <c r="G11484" s="705">
        <v>53.411924720210095</v>
      </c>
    </row>
    <row r="11485" spans="2:7" ht="11.25" hidden="1" customHeight="1" outlineLevel="2" x14ac:dyDescent="0.25">
      <c r="B11485" s="704" t="s">
        <v>682</v>
      </c>
      <c r="C11485" s="704" t="s">
        <v>911</v>
      </c>
      <c r="D11485" s="704" t="s">
        <v>562</v>
      </c>
      <c r="E11485" s="704" t="s">
        <v>861</v>
      </c>
      <c r="F11485" s="709"/>
      <c r="G11485" s="705">
        <v>569.56913568653567</v>
      </c>
    </row>
    <row r="11486" spans="2:7" ht="11.25" hidden="1" customHeight="1" outlineLevel="2" x14ac:dyDescent="0.25">
      <c r="B11486" s="704" t="s">
        <v>682</v>
      </c>
      <c r="C11486" s="704" t="s">
        <v>912</v>
      </c>
      <c r="D11486" s="704" t="s">
        <v>562</v>
      </c>
      <c r="E11486" s="704" t="s">
        <v>861</v>
      </c>
      <c r="F11486" s="709"/>
      <c r="G11486" s="705">
        <v>134.38378850828261</v>
      </c>
    </row>
    <row r="11487" spans="2:7" ht="11.25" hidden="1" customHeight="1" outlineLevel="2" x14ac:dyDescent="0.25">
      <c r="B11487" s="704" t="s">
        <v>682</v>
      </c>
      <c r="C11487" s="704" t="s">
        <v>913</v>
      </c>
      <c r="D11487" s="704" t="s">
        <v>562</v>
      </c>
      <c r="E11487" s="704" t="s">
        <v>861</v>
      </c>
      <c r="F11487" s="709"/>
      <c r="G11487" s="705">
        <v>372.86296930752854</v>
      </c>
    </row>
    <row r="11488" spans="2:7" ht="11.25" hidden="1" customHeight="1" outlineLevel="2" x14ac:dyDescent="0.25">
      <c r="B11488" s="704" t="s">
        <v>682</v>
      </c>
      <c r="C11488" s="704" t="s">
        <v>914</v>
      </c>
      <c r="D11488" s="704" t="s">
        <v>562</v>
      </c>
      <c r="E11488" s="704" t="s">
        <v>861</v>
      </c>
      <c r="F11488" s="709"/>
      <c r="G11488" s="705">
        <v>189.327740445486</v>
      </c>
    </row>
    <row r="11489" spans="2:7" ht="11.25" hidden="1" customHeight="1" outlineLevel="2" x14ac:dyDescent="0.25">
      <c r="B11489" s="704" t="s">
        <v>682</v>
      </c>
      <c r="C11489" s="704" t="s">
        <v>915</v>
      </c>
      <c r="D11489" s="704" t="s">
        <v>562</v>
      </c>
      <c r="E11489" s="704" t="s">
        <v>861</v>
      </c>
      <c r="F11489" s="709"/>
      <c r="G11489" s="705">
        <v>18.188003028591279</v>
      </c>
    </row>
    <row r="11490" spans="2:7" ht="11.25" hidden="1" customHeight="1" outlineLevel="2" x14ac:dyDescent="0.25">
      <c r="B11490" s="704" t="s">
        <v>682</v>
      </c>
      <c r="C11490" s="704" t="s">
        <v>916</v>
      </c>
      <c r="D11490" s="704" t="s">
        <v>562</v>
      </c>
      <c r="E11490" s="704" t="s">
        <v>861</v>
      </c>
      <c r="F11490" s="709"/>
      <c r="G11490" s="705">
        <v>16.136882733126861</v>
      </c>
    </row>
    <row r="11491" spans="2:7" ht="11.25" hidden="1" customHeight="1" outlineLevel="2" x14ac:dyDescent="0.25">
      <c r="B11491" s="704" t="s">
        <v>682</v>
      </c>
      <c r="C11491" s="704" t="s">
        <v>719</v>
      </c>
      <c r="D11491" s="704" t="s">
        <v>675</v>
      </c>
      <c r="E11491" s="704" t="s">
        <v>448</v>
      </c>
      <c r="F11491" s="705">
        <v>2.831409721607598E-2</v>
      </c>
      <c r="G11491" s="705">
        <v>17.458386212742795</v>
      </c>
    </row>
    <row r="11492" spans="2:7" ht="11.25" hidden="1" customHeight="1" outlineLevel="2" x14ac:dyDescent="0.25">
      <c r="B11492" s="704" t="s">
        <v>682</v>
      </c>
      <c r="C11492" s="704" t="s">
        <v>720</v>
      </c>
      <c r="D11492" s="704" t="s">
        <v>675</v>
      </c>
      <c r="E11492" s="704" t="s">
        <v>448</v>
      </c>
      <c r="F11492" s="705">
        <v>2.3399820483735166E-3</v>
      </c>
      <c r="G11492" s="705">
        <v>1.1323096956475525</v>
      </c>
    </row>
    <row r="11493" spans="2:7" ht="11.25" hidden="1" customHeight="1" outlineLevel="2" x14ac:dyDescent="0.25">
      <c r="B11493" s="704" t="s">
        <v>682</v>
      </c>
      <c r="C11493" s="704" t="s">
        <v>721</v>
      </c>
      <c r="D11493" s="704" t="s">
        <v>675</v>
      </c>
      <c r="E11493" s="704" t="s">
        <v>448</v>
      </c>
      <c r="F11493" s="705">
        <v>2.8337853370237467E-3</v>
      </c>
      <c r="G11493" s="705">
        <v>1.3536104730910752</v>
      </c>
    </row>
    <row r="11494" spans="2:7" ht="11.25" hidden="1" customHeight="1" outlineLevel="2" x14ac:dyDescent="0.25">
      <c r="B11494" s="704" t="s">
        <v>682</v>
      </c>
      <c r="C11494" s="704" t="s">
        <v>722</v>
      </c>
      <c r="D11494" s="704" t="s">
        <v>675</v>
      </c>
      <c r="E11494" s="704" t="s">
        <v>448</v>
      </c>
      <c r="F11494" s="705">
        <v>2.2612755307283487E-5</v>
      </c>
      <c r="G11494" s="705">
        <v>1.0136550015673464E-2</v>
      </c>
    </row>
    <row r="11495" spans="2:7" ht="11.25" hidden="1" customHeight="1" outlineLevel="2" x14ac:dyDescent="0.25">
      <c r="B11495" s="704" t="s">
        <v>682</v>
      </c>
      <c r="C11495" s="704" t="s">
        <v>723</v>
      </c>
      <c r="D11495" s="704" t="s">
        <v>675</v>
      </c>
      <c r="E11495" s="704" t="s">
        <v>448</v>
      </c>
      <c r="F11495" s="705">
        <v>8.066580320296686E-2</v>
      </c>
      <c r="G11495" s="705">
        <v>45.115137225894983</v>
      </c>
    </row>
    <row r="11496" spans="2:7" ht="11.25" hidden="1" customHeight="1" outlineLevel="2" x14ac:dyDescent="0.25">
      <c r="B11496" s="704" t="s">
        <v>682</v>
      </c>
      <c r="C11496" s="704" t="s">
        <v>724</v>
      </c>
      <c r="D11496" s="704" t="s">
        <v>675</v>
      </c>
      <c r="E11496" s="704" t="s">
        <v>448</v>
      </c>
      <c r="F11496" s="705">
        <v>5.8881742340065758E-4</v>
      </c>
      <c r="G11496" s="705">
        <v>0.26394743551868527</v>
      </c>
    </row>
    <row r="11497" spans="2:7" ht="11.25" hidden="1" customHeight="1" outlineLevel="2" x14ac:dyDescent="0.25">
      <c r="B11497" s="704" t="s">
        <v>682</v>
      </c>
      <c r="C11497" s="704" t="s">
        <v>750</v>
      </c>
      <c r="D11497" s="704" t="s">
        <v>675</v>
      </c>
      <c r="E11497" s="704" t="s">
        <v>448</v>
      </c>
      <c r="F11497" s="705">
        <v>1.0007392632240202E-2</v>
      </c>
      <c r="G11497" s="705">
        <v>15.52015097344926</v>
      </c>
    </row>
    <row r="11498" spans="2:7" ht="11.25" hidden="1" customHeight="1" outlineLevel="2" x14ac:dyDescent="0.25">
      <c r="B11498" s="704" t="s">
        <v>682</v>
      </c>
      <c r="C11498" s="704" t="s">
        <v>751</v>
      </c>
      <c r="D11498" s="704" t="s">
        <v>675</v>
      </c>
      <c r="E11498" s="704" t="s">
        <v>448</v>
      </c>
      <c r="F11498" s="705">
        <v>8.8643471087347271E-5</v>
      </c>
      <c r="G11498" s="705">
        <v>0.11468988767337107</v>
      </c>
    </row>
    <row r="11499" spans="2:7" ht="11.25" hidden="1" customHeight="1" outlineLevel="2" x14ac:dyDescent="0.25">
      <c r="B11499" s="704" t="s">
        <v>682</v>
      </c>
      <c r="C11499" s="704" t="s">
        <v>752</v>
      </c>
      <c r="D11499" s="704" t="s">
        <v>675</v>
      </c>
      <c r="E11499" s="704" t="s">
        <v>448</v>
      </c>
      <c r="F11499" s="705">
        <v>2.4383560646629374E-2</v>
      </c>
      <c r="G11499" s="705">
        <v>29.042812974388013</v>
      </c>
    </row>
    <row r="11500" spans="2:7" ht="11.25" hidden="1" customHeight="1" outlineLevel="2" x14ac:dyDescent="0.25">
      <c r="B11500" s="704" t="s">
        <v>682</v>
      </c>
      <c r="C11500" s="704" t="s">
        <v>753</v>
      </c>
      <c r="D11500" s="704" t="s">
        <v>675</v>
      </c>
      <c r="E11500" s="704" t="s">
        <v>448</v>
      </c>
      <c r="F11500" s="705">
        <v>1.7465896143108013E-2</v>
      </c>
      <c r="G11500" s="705">
        <v>27.443679524689365</v>
      </c>
    </row>
    <row r="11501" spans="2:7" ht="11.25" hidden="1" customHeight="1" outlineLevel="2" x14ac:dyDescent="0.25">
      <c r="B11501" s="704" t="s">
        <v>682</v>
      </c>
      <c r="C11501" s="704" t="s">
        <v>754</v>
      </c>
      <c r="D11501" s="704" t="s">
        <v>675</v>
      </c>
      <c r="E11501" s="704" t="s">
        <v>448</v>
      </c>
      <c r="F11501" s="705">
        <v>4.3004331263589282E-2</v>
      </c>
      <c r="G11501" s="705">
        <v>54.622198748411236</v>
      </c>
    </row>
    <row r="11502" spans="2:7" ht="11.25" hidden="1" customHeight="1" outlineLevel="2" x14ac:dyDescent="0.25">
      <c r="B11502" s="704" t="s">
        <v>682</v>
      </c>
      <c r="C11502" s="704" t="s">
        <v>755</v>
      </c>
      <c r="D11502" s="704" t="s">
        <v>675</v>
      </c>
      <c r="E11502" s="704" t="s">
        <v>448</v>
      </c>
      <c r="F11502" s="705">
        <v>1.6820883196031849E-2</v>
      </c>
      <c r="G11502" s="705">
        <v>23.034190320711126</v>
      </c>
    </row>
    <row r="11503" spans="2:7" ht="11.25" hidden="1" customHeight="1" outlineLevel="2" x14ac:dyDescent="0.25">
      <c r="B11503" s="704" t="s">
        <v>682</v>
      </c>
      <c r="C11503" s="704" t="s">
        <v>756</v>
      </c>
      <c r="D11503" s="704" t="s">
        <v>675</v>
      </c>
      <c r="E11503" s="704" t="s">
        <v>448</v>
      </c>
      <c r="F11503" s="705">
        <v>9.0647797887975843E-4</v>
      </c>
      <c r="G11503" s="705">
        <v>1.1959199792526203</v>
      </c>
    </row>
    <row r="11504" spans="2:7" ht="11.25" hidden="1" customHeight="1" outlineLevel="2" x14ac:dyDescent="0.25">
      <c r="B11504" s="704" t="s">
        <v>682</v>
      </c>
      <c r="C11504" s="704" t="s">
        <v>757</v>
      </c>
      <c r="D11504" s="704" t="s">
        <v>675</v>
      </c>
      <c r="E11504" s="704" t="s">
        <v>448</v>
      </c>
      <c r="F11504" s="705">
        <v>3.2052119073147284E-2</v>
      </c>
      <c r="G11504" s="705">
        <v>48.22143993860842</v>
      </c>
    </row>
    <row r="11505" spans="2:7" ht="11.25" hidden="1" customHeight="1" outlineLevel="2" x14ac:dyDescent="0.25">
      <c r="B11505" s="704" t="s">
        <v>682</v>
      </c>
      <c r="C11505" s="704" t="s">
        <v>758</v>
      </c>
      <c r="D11505" s="704" t="s">
        <v>675</v>
      </c>
      <c r="E11505" s="704" t="s">
        <v>448</v>
      </c>
      <c r="F11505" s="705">
        <v>1.4429403233470984E-2</v>
      </c>
      <c r="G11505" s="705">
        <v>16.608240302000493</v>
      </c>
    </row>
    <row r="11506" spans="2:7" ht="11.25" hidden="1" customHeight="1" outlineLevel="2" x14ac:dyDescent="0.25">
      <c r="B11506" s="704" t="s">
        <v>682</v>
      </c>
      <c r="C11506" s="704" t="s">
        <v>759</v>
      </c>
      <c r="D11506" s="704" t="s">
        <v>675</v>
      </c>
      <c r="E11506" s="704" t="s">
        <v>448</v>
      </c>
      <c r="F11506" s="705">
        <v>7.1400394219006555E-2</v>
      </c>
      <c r="G11506" s="705">
        <v>100.43578218781363</v>
      </c>
    </row>
    <row r="11507" spans="2:7" ht="11.25" hidden="1" customHeight="1" outlineLevel="2" x14ac:dyDescent="0.25">
      <c r="B11507" s="704" t="s">
        <v>682</v>
      </c>
      <c r="C11507" s="704" t="s">
        <v>760</v>
      </c>
      <c r="D11507" s="704" t="s">
        <v>675</v>
      </c>
      <c r="E11507" s="704" t="s">
        <v>448</v>
      </c>
      <c r="F11507" s="705">
        <v>4.8118997927598522E-2</v>
      </c>
      <c r="G11507" s="705">
        <v>48.113998625570822</v>
      </c>
    </row>
    <row r="11508" spans="2:7" ht="11.25" hidden="1" customHeight="1" outlineLevel="2" x14ac:dyDescent="0.25">
      <c r="B11508" s="704" t="s">
        <v>682</v>
      </c>
      <c r="C11508" s="704" t="s">
        <v>761</v>
      </c>
      <c r="D11508" s="704" t="s">
        <v>675</v>
      </c>
      <c r="E11508" s="704" t="s">
        <v>448</v>
      </c>
      <c r="F11508" s="705">
        <v>2.2862390492979934E-3</v>
      </c>
      <c r="G11508" s="705">
        <v>3.8354411658239922</v>
      </c>
    </row>
    <row r="11509" spans="2:7" ht="11.25" hidden="1" customHeight="1" outlineLevel="2" x14ac:dyDescent="0.25">
      <c r="B11509" s="704" t="s">
        <v>682</v>
      </c>
      <c r="C11509" s="704" t="s">
        <v>762</v>
      </c>
      <c r="D11509" s="704" t="s">
        <v>675</v>
      </c>
      <c r="E11509" s="704" t="s">
        <v>448</v>
      </c>
      <c r="F11509" s="705">
        <v>4.7283028008247175E-3</v>
      </c>
      <c r="G11509" s="705">
        <v>6.610965881657429</v>
      </c>
    </row>
    <row r="11510" spans="2:7" ht="11.25" hidden="1" customHeight="1" outlineLevel="2" x14ac:dyDescent="0.25">
      <c r="B11510" s="704" t="s">
        <v>682</v>
      </c>
      <c r="C11510" s="704" t="s">
        <v>763</v>
      </c>
      <c r="D11510" s="704" t="s">
        <v>675</v>
      </c>
      <c r="E11510" s="704" t="s">
        <v>448</v>
      </c>
      <c r="F11510" s="705">
        <v>2.0654320688585212E-3</v>
      </c>
      <c r="G11510" s="705">
        <v>5.8277443009287921</v>
      </c>
    </row>
    <row r="11511" spans="2:7" ht="11.25" hidden="1" customHeight="1" outlineLevel="2" x14ac:dyDescent="0.25">
      <c r="B11511" s="704" t="s">
        <v>682</v>
      </c>
      <c r="C11511" s="704" t="s">
        <v>764</v>
      </c>
      <c r="D11511" s="704" t="s">
        <v>675</v>
      </c>
      <c r="E11511" s="704" t="s">
        <v>448</v>
      </c>
      <c r="F11511" s="705">
        <v>2.4062703613937737E-3</v>
      </c>
      <c r="G11511" s="705">
        <v>13.919224995712563</v>
      </c>
    </row>
    <row r="11512" spans="2:7" ht="11.25" hidden="1" customHeight="1" outlineLevel="2" x14ac:dyDescent="0.25">
      <c r="B11512" s="704" t="s">
        <v>682</v>
      </c>
      <c r="C11512" s="704" t="s">
        <v>765</v>
      </c>
      <c r="D11512" s="704" t="s">
        <v>675</v>
      </c>
      <c r="E11512" s="704" t="s">
        <v>448</v>
      </c>
      <c r="F11512" s="705">
        <v>2.2764035889633771E-2</v>
      </c>
      <c r="G11512" s="705">
        <v>32.984942815794071</v>
      </c>
    </row>
    <row r="11513" spans="2:7" ht="11.25" hidden="1" customHeight="1" outlineLevel="2" x14ac:dyDescent="0.25">
      <c r="B11513" s="704" t="s">
        <v>682</v>
      </c>
      <c r="C11513" s="704" t="s">
        <v>766</v>
      </c>
      <c r="D11513" s="704" t="s">
        <v>675</v>
      </c>
      <c r="E11513" s="704" t="s">
        <v>448</v>
      </c>
      <c r="F11513" s="705">
        <v>1.4119393301794148E-2</v>
      </c>
      <c r="G11513" s="705">
        <v>22.638003707105074</v>
      </c>
    </row>
    <row r="11514" spans="2:7" ht="11.25" hidden="1" customHeight="1" outlineLevel="2" x14ac:dyDescent="0.25">
      <c r="B11514" s="704" t="s">
        <v>682</v>
      </c>
      <c r="C11514" s="704" t="s">
        <v>767</v>
      </c>
      <c r="D11514" s="704" t="s">
        <v>675</v>
      </c>
      <c r="E11514" s="704" t="s">
        <v>448</v>
      </c>
      <c r="F11514" s="705">
        <v>7.1098522677548988E-3</v>
      </c>
      <c r="G11514" s="705">
        <v>7.4590178834742922</v>
      </c>
    </row>
    <row r="11515" spans="2:7" ht="11.25" hidden="1" customHeight="1" outlineLevel="2" x14ac:dyDescent="0.25">
      <c r="B11515" s="704" t="s">
        <v>682</v>
      </c>
      <c r="C11515" s="704" t="s">
        <v>768</v>
      </c>
      <c r="D11515" s="704" t="s">
        <v>675</v>
      </c>
      <c r="E11515" s="704" t="s">
        <v>448</v>
      </c>
      <c r="F11515" s="705">
        <v>3.3157763943667071E-3</v>
      </c>
      <c r="G11515" s="705">
        <v>5.2692873499703339</v>
      </c>
    </row>
    <row r="11516" spans="2:7" ht="11.25" hidden="1" customHeight="1" outlineLevel="2" x14ac:dyDescent="0.25">
      <c r="B11516" s="704" t="s">
        <v>682</v>
      </c>
      <c r="C11516" s="704" t="s">
        <v>825</v>
      </c>
      <c r="D11516" s="704" t="s">
        <v>675</v>
      </c>
      <c r="E11516" s="704" t="s">
        <v>824</v>
      </c>
      <c r="F11516" s="705">
        <v>6.3035370887999924E-4</v>
      </c>
      <c r="G11516" s="705">
        <v>2.9846060372141054</v>
      </c>
    </row>
    <row r="11517" spans="2:7" ht="11.25" hidden="1" customHeight="1" outlineLevel="2" x14ac:dyDescent="0.25">
      <c r="B11517" s="704" t="s">
        <v>682</v>
      </c>
      <c r="C11517" s="704" t="s">
        <v>826</v>
      </c>
      <c r="D11517" s="704" t="s">
        <v>675</v>
      </c>
      <c r="E11517" s="704" t="s">
        <v>824</v>
      </c>
      <c r="F11517" s="705">
        <v>4.6858459907692665E-4</v>
      </c>
      <c r="G11517" s="705">
        <v>5.0087309989832756</v>
      </c>
    </row>
    <row r="11518" spans="2:7" ht="11.25" hidden="1" customHeight="1" outlineLevel="2" x14ac:dyDescent="0.25">
      <c r="B11518" s="704" t="s">
        <v>682</v>
      </c>
      <c r="C11518" s="704" t="s">
        <v>827</v>
      </c>
      <c r="D11518" s="704" t="s">
        <v>675</v>
      </c>
      <c r="E11518" s="704" t="s">
        <v>824</v>
      </c>
      <c r="F11518" s="705">
        <v>3.4697894077065936E-4</v>
      </c>
      <c r="G11518" s="705">
        <v>0.8285940199278955</v>
      </c>
    </row>
    <row r="11519" spans="2:7" ht="11.25" hidden="1" customHeight="1" outlineLevel="2" x14ac:dyDescent="0.25">
      <c r="B11519" s="704" t="s">
        <v>682</v>
      </c>
      <c r="C11519" s="704" t="s">
        <v>828</v>
      </c>
      <c r="D11519" s="704" t="s">
        <v>675</v>
      </c>
      <c r="E11519" s="704" t="s">
        <v>824</v>
      </c>
      <c r="F11519" s="705">
        <v>9.461372264385289E-5</v>
      </c>
      <c r="G11519" s="705">
        <v>0.51921569726230021</v>
      </c>
    </row>
    <row r="11520" spans="2:7" ht="11.25" hidden="1" customHeight="1" outlineLevel="2" x14ac:dyDescent="0.25">
      <c r="B11520" s="704" t="s">
        <v>682</v>
      </c>
      <c r="C11520" s="704" t="s">
        <v>829</v>
      </c>
      <c r="D11520" s="704" t="s">
        <v>675</v>
      </c>
      <c r="E11520" s="704" t="s">
        <v>824</v>
      </c>
      <c r="F11520" s="705">
        <v>2.0475060023723516E-3</v>
      </c>
      <c r="G11520" s="705">
        <v>9.1883611253191386</v>
      </c>
    </row>
    <row r="11521" spans="2:7" ht="11.25" hidden="1" customHeight="1" outlineLevel="2" x14ac:dyDescent="0.25">
      <c r="B11521" s="704" t="s">
        <v>682</v>
      </c>
      <c r="C11521" s="704" t="s">
        <v>830</v>
      </c>
      <c r="D11521" s="704" t="s">
        <v>675</v>
      </c>
      <c r="E11521" s="704" t="s">
        <v>824</v>
      </c>
      <c r="F11521" s="705">
        <v>1.857560090550146E-3</v>
      </c>
      <c r="G11521" s="705">
        <v>3.3083396339472642</v>
      </c>
    </row>
    <row r="11522" spans="2:7" ht="11.25" hidden="1" customHeight="1" outlineLevel="2" x14ac:dyDescent="0.25">
      <c r="B11522" s="704" t="s">
        <v>682</v>
      </c>
      <c r="C11522" s="704" t="s">
        <v>831</v>
      </c>
      <c r="D11522" s="704" t="s">
        <v>675</v>
      </c>
      <c r="E11522" s="704" t="s">
        <v>824</v>
      </c>
      <c r="F11522" s="705">
        <v>5.1538724822974618E-4</v>
      </c>
      <c r="G11522" s="705">
        <v>8.5007086479590672</v>
      </c>
    </row>
    <row r="11523" spans="2:7" ht="11.25" hidden="1" customHeight="1" outlineLevel="2" x14ac:dyDescent="0.25">
      <c r="B11523" s="704" t="s">
        <v>682</v>
      </c>
      <c r="C11523" s="704" t="s">
        <v>832</v>
      </c>
      <c r="D11523" s="704" t="s">
        <v>675</v>
      </c>
      <c r="E11523" s="704" t="s">
        <v>824</v>
      </c>
      <c r="F11523" s="705">
        <v>1.4087937431657128E-3</v>
      </c>
      <c r="G11523" s="705">
        <v>3.3298057575020943</v>
      </c>
    </row>
    <row r="11524" spans="2:7" ht="11.25" hidden="1" customHeight="1" outlineLevel="2" x14ac:dyDescent="0.25">
      <c r="B11524" s="704" t="s">
        <v>682</v>
      </c>
      <c r="C11524" s="704" t="s">
        <v>833</v>
      </c>
      <c r="D11524" s="704" t="s">
        <v>675</v>
      </c>
      <c r="E11524" s="704" t="s">
        <v>824</v>
      </c>
      <c r="F11524" s="705">
        <v>2.1160673362665279E-4</v>
      </c>
      <c r="G11524" s="705">
        <v>0.54481524858311581</v>
      </c>
    </row>
    <row r="11525" spans="2:7" ht="11.25" hidden="1" customHeight="1" outlineLevel="2" x14ac:dyDescent="0.25">
      <c r="B11525" s="704" t="s">
        <v>682</v>
      </c>
      <c r="C11525" s="704" t="s">
        <v>834</v>
      </c>
      <c r="D11525" s="704" t="s">
        <v>675</v>
      </c>
      <c r="E11525" s="704" t="s">
        <v>824</v>
      </c>
      <c r="F11525" s="705">
        <v>1.5584547704402592E-3</v>
      </c>
      <c r="G11525" s="705">
        <v>5.8937138081063516</v>
      </c>
    </row>
    <row r="11526" spans="2:7" ht="11.25" hidden="1" customHeight="1" outlineLevel="2" x14ac:dyDescent="0.25">
      <c r="B11526" s="704" t="s">
        <v>682</v>
      </c>
      <c r="C11526" s="704" t="s">
        <v>835</v>
      </c>
      <c r="D11526" s="704" t="s">
        <v>675</v>
      </c>
      <c r="E11526" s="704" t="s">
        <v>824</v>
      </c>
      <c r="F11526" s="705">
        <v>1.9546397217534875E-3</v>
      </c>
      <c r="G11526" s="705">
        <v>14.351503685548487</v>
      </c>
    </row>
    <row r="11527" spans="2:7" ht="11.25" hidden="1" customHeight="1" outlineLevel="2" x14ac:dyDescent="0.25">
      <c r="B11527" s="704" t="s">
        <v>682</v>
      </c>
      <c r="C11527" s="704" t="s">
        <v>836</v>
      </c>
      <c r="D11527" s="704" t="s">
        <v>675</v>
      </c>
      <c r="E11527" s="704" t="s">
        <v>824</v>
      </c>
      <c r="F11527" s="705">
        <v>1.3638538311997505E-4</v>
      </c>
      <c r="G11527" s="705">
        <v>1.4991777156190711</v>
      </c>
    </row>
    <row r="11528" spans="2:7" ht="11.25" hidden="1" customHeight="1" outlineLevel="2" x14ac:dyDescent="0.25">
      <c r="B11528" s="704" t="s">
        <v>682</v>
      </c>
      <c r="C11528" s="704" t="s">
        <v>837</v>
      </c>
      <c r="D11528" s="704" t="s">
        <v>675</v>
      </c>
      <c r="E11528" s="704" t="s">
        <v>824</v>
      </c>
      <c r="F11528" s="705">
        <v>4.4978654958864623E-3</v>
      </c>
      <c r="G11528" s="705">
        <v>12.418642371629225</v>
      </c>
    </row>
    <row r="11529" spans="2:7" ht="11.25" hidden="1" customHeight="1" outlineLevel="2" x14ac:dyDescent="0.25">
      <c r="B11529" s="704" t="s">
        <v>682</v>
      </c>
      <c r="C11529" s="704" t="s">
        <v>838</v>
      </c>
      <c r="D11529" s="704" t="s">
        <v>675</v>
      </c>
      <c r="E11529" s="704" t="s">
        <v>824</v>
      </c>
      <c r="F11529" s="705">
        <v>2.3201289246222228E-3</v>
      </c>
      <c r="G11529" s="705">
        <v>5.1356241463332513</v>
      </c>
    </row>
    <row r="11530" spans="2:7" ht="11.25" hidden="1" customHeight="1" outlineLevel="2" x14ac:dyDescent="0.25">
      <c r="B11530" s="704" t="s">
        <v>682</v>
      </c>
      <c r="C11530" s="704" t="s">
        <v>674</v>
      </c>
      <c r="D11530" s="704" t="s">
        <v>675</v>
      </c>
      <c r="E11530" s="704" t="s">
        <v>676</v>
      </c>
      <c r="F11530" s="705">
        <v>6.5793774874574424E-3</v>
      </c>
      <c r="G11530" s="705">
        <v>0.1628252796547337</v>
      </c>
    </row>
    <row r="11531" spans="2:7" ht="11.25" hidden="1" customHeight="1" outlineLevel="2" x14ac:dyDescent="0.25">
      <c r="B11531" s="704" t="s">
        <v>682</v>
      </c>
      <c r="C11531" s="704" t="s">
        <v>862</v>
      </c>
      <c r="D11531" s="704" t="s">
        <v>675</v>
      </c>
      <c r="E11531" s="704" t="s">
        <v>861</v>
      </c>
      <c r="F11531" s="709"/>
      <c r="G11531" s="705">
        <v>483.44729608395437</v>
      </c>
    </row>
    <row r="11532" spans="2:7" ht="11.25" hidden="1" customHeight="1" outlineLevel="2" x14ac:dyDescent="0.25">
      <c r="B11532" s="704" t="s">
        <v>682</v>
      </c>
      <c r="C11532" s="704" t="s">
        <v>863</v>
      </c>
      <c r="D11532" s="704" t="s">
        <v>675</v>
      </c>
      <c r="E11532" s="704" t="s">
        <v>861</v>
      </c>
      <c r="F11532" s="709"/>
      <c r="G11532" s="705">
        <v>0.7880521867316288</v>
      </c>
    </row>
    <row r="11533" spans="2:7" ht="11.25" hidden="1" customHeight="1" outlineLevel="2" x14ac:dyDescent="0.25">
      <c r="B11533" s="704" t="s">
        <v>682</v>
      </c>
      <c r="C11533" s="704" t="s">
        <v>864</v>
      </c>
      <c r="D11533" s="704" t="s">
        <v>675</v>
      </c>
      <c r="E11533" s="704" t="s">
        <v>861</v>
      </c>
      <c r="F11533" s="709"/>
      <c r="G11533" s="705">
        <v>12.982880868184967</v>
      </c>
    </row>
    <row r="11534" spans="2:7" ht="11.25" hidden="1" customHeight="1" outlineLevel="2" x14ac:dyDescent="0.25">
      <c r="B11534" s="704" t="s">
        <v>682</v>
      </c>
      <c r="C11534" s="704" t="s">
        <v>865</v>
      </c>
      <c r="D11534" s="704" t="s">
        <v>675</v>
      </c>
      <c r="E11534" s="704" t="s">
        <v>861</v>
      </c>
      <c r="F11534" s="709"/>
      <c r="G11534" s="705">
        <v>1210.1257431736922</v>
      </c>
    </row>
    <row r="11535" spans="2:7" ht="11.25" hidden="1" customHeight="1" outlineLevel="2" x14ac:dyDescent="0.25">
      <c r="B11535" s="704" t="s">
        <v>682</v>
      </c>
      <c r="C11535" s="704" t="s">
        <v>866</v>
      </c>
      <c r="D11535" s="704" t="s">
        <v>675</v>
      </c>
      <c r="E11535" s="704" t="s">
        <v>861</v>
      </c>
      <c r="F11535" s="709"/>
      <c r="G11535" s="705">
        <v>1316.3619082542227</v>
      </c>
    </row>
    <row r="11536" spans="2:7" ht="11.25" hidden="1" customHeight="1" outlineLevel="2" x14ac:dyDescent="0.25">
      <c r="B11536" s="704" t="s">
        <v>682</v>
      </c>
      <c r="C11536" s="704" t="s">
        <v>867</v>
      </c>
      <c r="D11536" s="704" t="s">
        <v>675</v>
      </c>
      <c r="E11536" s="704" t="s">
        <v>861</v>
      </c>
      <c r="F11536" s="709"/>
      <c r="G11536" s="705">
        <v>72.522878778626378</v>
      </c>
    </row>
    <row r="11537" spans="2:7" ht="11.25" hidden="1" customHeight="1" outlineLevel="2" x14ac:dyDescent="0.25">
      <c r="B11537" s="704" t="s">
        <v>682</v>
      </c>
      <c r="C11537" s="704" t="s">
        <v>868</v>
      </c>
      <c r="D11537" s="704" t="s">
        <v>675</v>
      </c>
      <c r="E11537" s="704" t="s">
        <v>861</v>
      </c>
      <c r="F11537" s="709"/>
      <c r="G11537" s="705">
        <v>44.763280068272543</v>
      </c>
    </row>
    <row r="11538" spans="2:7" ht="11.25" hidden="1" customHeight="1" outlineLevel="2" x14ac:dyDescent="0.25">
      <c r="B11538" s="704" t="s">
        <v>682</v>
      </c>
      <c r="C11538" s="704" t="s">
        <v>869</v>
      </c>
      <c r="D11538" s="704" t="s">
        <v>675</v>
      </c>
      <c r="E11538" s="704" t="s">
        <v>861</v>
      </c>
      <c r="F11538" s="709"/>
      <c r="G11538" s="705">
        <v>133.66089985389405</v>
      </c>
    </row>
    <row r="11539" spans="2:7" ht="11.25" hidden="1" customHeight="1" outlineLevel="2" x14ac:dyDescent="0.25">
      <c r="B11539" s="704" t="s">
        <v>682</v>
      </c>
      <c r="C11539" s="704" t="s">
        <v>870</v>
      </c>
      <c r="D11539" s="704" t="s">
        <v>675</v>
      </c>
      <c r="E11539" s="704" t="s">
        <v>861</v>
      </c>
      <c r="F11539" s="709"/>
      <c r="G11539" s="705">
        <v>574.0996435655037</v>
      </c>
    </row>
    <row r="11540" spans="2:7" ht="11.25" hidden="1" customHeight="1" outlineLevel="2" x14ac:dyDescent="0.25">
      <c r="B11540" s="704" t="s">
        <v>682</v>
      </c>
      <c r="C11540" s="704" t="s">
        <v>871</v>
      </c>
      <c r="D11540" s="704" t="s">
        <v>675</v>
      </c>
      <c r="E11540" s="704" t="s">
        <v>861</v>
      </c>
      <c r="F11540" s="709"/>
      <c r="G11540" s="705">
        <v>493.6584463804046</v>
      </c>
    </row>
    <row r="11541" spans="2:7" ht="11.25" hidden="1" customHeight="1" outlineLevel="2" x14ac:dyDescent="0.25">
      <c r="B11541" s="704" t="s">
        <v>682</v>
      </c>
      <c r="C11541" s="704" t="s">
        <v>872</v>
      </c>
      <c r="D11541" s="704" t="s">
        <v>675</v>
      </c>
      <c r="E11541" s="704" t="s">
        <v>861</v>
      </c>
      <c r="F11541" s="709"/>
      <c r="G11541" s="705">
        <v>4904.1746474850752</v>
      </c>
    </row>
    <row r="11542" spans="2:7" ht="11.25" hidden="1" customHeight="1" outlineLevel="2" x14ac:dyDescent="0.25">
      <c r="B11542" s="704" t="s">
        <v>682</v>
      </c>
      <c r="C11542" s="704" t="s">
        <v>873</v>
      </c>
      <c r="D11542" s="704" t="s">
        <v>675</v>
      </c>
      <c r="E11542" s="704" t="s">
        <v>861</v>
      </c>
      <c r="F11542" s="709"/>
      <c r="G11542" s="705">
        <v>40.679903894916407</v>
      </c>
    </row>
    <row r="11543" spans="2:7" ht="11.25" hidden="1" customHeight="1" outlineLevel="2" x14ac:dyDescent="0.25">
      <c r="B11543" s="704" t="s">
        <v>682</v>
      </c>
      <c r="C11543" s="704" t="s">
        <v>874</v>
      </c>
      <c r="D11543" s="704" t="s">
        <v>675</v>
      </c>
      <c r="E11543" s="704" t="s">
        <v>861</v>
      </c>
      <c r="F11543" s="709"/>
      <c r="G11543" s="705">
        <v>19.214977570029937</v>
      </c>
    </row>
    <row r="11544" spans="2:7" ht="11.25" hidden="1" customHeight="1" outlineLevel="2" x14ac:dyDescent="0.25">
      <c r="B11544" s="704" t="s">
        <v>682</v>
      </c>
      <c r="C11544" s="704" t="s">
        <v>875</v>
      </c>
      <c r="D11544" s="704" t="s">
        <v>675</v>
      </c>
      <c r="E11544" s="704" t="s">
        <v>861</v>
      </c>
      <c r="F11544" s="709"/>
      <c r="G11544" s="705">
        <v>1120.0713702148805</v>
      </c>
    </row>
    <row r="11545" spans="2:7" ht="11.25" hidden="1" customHeight="1" outlineLevel="2" x14ac:dyDescent="0.25">
      <c r="B11545" s="704" t="s">
        <v>682</v>
      </c>
      <c r="C11545" s="704" t="s">
        <v>876</v>
      </c>
      <c r="D11545" s="704" t="s">
        <v>675</v>
      </c>
      <c r="E11545" s="704" t="s">
        <v>861</v>
      </c>
      <c r="F11545" s="709"/>
      <c r="G11545" s="705">
        <v>1220.1281262823866</v>
      </c>
    </row>
    <row r="11546" spans="2:7" ht="11.25" hidden="1" customHeight="1" outlineLevel="2" x14ac:dyDescent="0.25">
      <c r="B11546" s="704" t="s">
        <v>682</v>
      </c>
      <c r="C11546" s="704" t="s">
        <v>877</v>
      </c>
      <c r="D11546" s="704" t="s">
        <v>675</v>
      </c>
      <c r="E11546" s="704" t="s">
        <v>861</v>
      </c>
      <c r="F11546" s="709"/>
      <c r="G11546" s="705">
        <v>4194.5096453725764</v>
      </c>
    </row>
    <row r="11547" spans="2:7" ht="11.25" hidden="1" customHeight="1" outlineLevel="2" x14ac:dyDescent="0.25">
      <c r="B11547" s="704" t="s">
        <v>682</v>
      </c>
      <c r="C11547" s="704" t="s">
        <v>878</v>
      </c>
      <c r="D11547" s="704" t="s">
        <v>675</v>
      </c>
      <c r="E11547" s="704" t="s">
        <v>861</v>
      </c>
      <c r="F11547" s="709"/>
      <c r="G11547" s="705">
        <v>197.47172497482308</v>
      </c>
    </row>
    <row r="11548" spans="2:7" ht="11.25" hidden="1" customHeight="1" outlineLevel="2" x14ac:dyDescent="0.25">
      <c r="B11548" s="704" t="s">
        <v>682</v>
      </c>
      <c r="C11548" s="704" t="s">
        <v>879</v>
      </c>
      <c r="D11548" s="704" t="s">
        <v>675</v>
      </c>
      <c r="E11548" s="704" t="s">
        <v>861</v>
      </c>
      <c r="F11548" s="709"/>
      <c r="G11548" s="705">
        <v>1569.7676999002151</v>
      </c>
    </row>
    <row r="11549" spans="2:7" ht="11.25" hidden="1" customHeight="1" outlineLevel="2" x14ac:dyDescent="0.25">
      <c r="B11549" s="704" t="s">
        <v>682</v>
      </c>
      <c r="C11549" s="704" t="s">
        <v>880</v>
      </c>
      <c r="D11549" s="704" t="s">
        <v>675</v>
      </c>
      <c r="E11549" s="704" t="s">
        <v>861</v>
      </c>
      <c r="F11549" s="709"/>
      <c r="G11549" s="705">
        <v>5337.9907409413763</v>
      </c>
    </row>
    <row r="11550" spans="2:7" ht="11.25" hidden="1" customHeight="1" outlineLevel="2" x14ac:dyDescent="0.25">
      <c r="B11550" s="704" t="s">
        <v>682</v>
      </c>
      <c r="C11550" s="704" t="s">
        <v>881</v>
      </c>
      <c r="D11550" s="704" t="s">
        <v>675</v>
      </c>
      <c r="E11550" s="704" t="s">
        <v>861</v>
      </c>
      <c r="F11550" s="709"/>
      <c r="G11550" s="705">
        <v>3237.1670112440925</v>
      </c>
    </row>
    <row r="11551" spans="2:7" ht="11.25" hidden="1" customHeight="1" outlineLevel="2" x14ac:dyDescent="0.25">
      <c r="B11551" s="704" t="s">
        <v>682</v>
      </c>
      <c r="C11551" s="704" t="s">
        <v>882</v>
      </c>
      <c r="D11551" s="704" t="s">
        <v>675</v>
      </c>
      <c r="E11551" s="704" t="s">
        <v>861</v>
      </c>
      <c r="F11551" s="709"/>
      <c r="G11551" s="705">
        <v>4885.3036095895077</v>
      </c>
    </row>
    <row r="11552" spans="2:7" ht="11.25" hidden="1" customHeight="1" outlineLevel="2" x14ac:dyDescent="0.25">
      <c r="B11552" s="704" t="s">
        <v>682</v>
      </c>
      <c r="C11552" s="704" t="s">
        <v>883</v>
      </c>
      <c r="D11552" s="704" t="s">
        <v>675</v>
      </c>
      <c r="E11552" s="704" t="s">
        <v>861</v>
      </c>
      <c r="F11552" s="709"/>
      <c r="G11552" s="705">
        <v>2219.6970039655635</v>
      </c>
    </row>
    <row r="11553" spans="2:7" ht="11.25" hidden="1" customHeight="1" outlineLevel="2" x14ac:dyDescent="0.25">
      <c r="B11553" s="704" t="s">
        <v>682</v>
      </c>
      <c r="C11553" s="704" t="s">
        <v>884</v>
      </c>
      <c r="D11553" s="704" t="s">
        <v>675</v>
      </c>
      <c r="E11553" s="704" t="s">
        <v>861</v>
      </c>
      <c r="F11553" s="709"/>
      <c r="G11553" s="705">
        <v>525.47264906577186</v>
      </c>
    </row>
    <row r="11554" spans="2:7" ht="11.25" hidden="1" customHeight="1" outlineLevel="2" x14ac:dyDescent="0.25">
      <c r="B11554" s="704" t="s">
        <v>682</v>
      </c>
      <c r="C11554" s="704" t="s">
        <v>885</v>
      </c>
      <c r="D11554" s="704" t="s">
        <v>675</v>
      </c>
      <c r="E11554" s="704" t="s">
        <v>861</v>
      </c>
      <c r="F11554" s="709"/>
      <c r="G11554" s="705">
        <v>6.8390553675287942</v>
      </c>
    </row>
    <row r="11555" spans="2:7" ht="11.25" hidden="1" customHeight="1" outlineLevel="2" x14ac:dyDescent="0.25">
      <c r="B11555" s="704" t="s">
        <v>682</v>
      </c>
      <c r="C11555" s="704" t="s">
        <v>886</v>
      </c>
      <c r="D11555" s="704" t="s">
        <v>675</v>
      </c>
      <c r="E11555" s="704" t="s">
        <v>861</v>
      </c>
      <c r="F11555" s="709"/>
      <c r="G11555" s="705">
        <v>503.52775726485152</v>
      </c>
    </row>
    <row r="11556" spans="2:7" ht="11.25" hidden="1" customHeight="1" outlineLevel="2" x14ac:dyDescent="0.25">
      <c r="B11556" s="704" t="s">
        <v>682</v>
      </c>
      <c r="C11556" s="704" t="s">
        <v>725</v>
      </c>
      <c r="D11556" s="704" t="s">
        <v>563</v>
      </c>
      <c r="E11556" s="704" t="s">
        <v>448</v>
      </c>
      <c r="F11556" s="705">
        <v>2.9141993244393322E-4</v>
      </c>
      <c r="G11556" s="705">
        <v>0.13064309690123208</v>
      </c>
    </row>
    <row r="11557" spans="2:7" ht="11.25" hidden="1" customHeight="1" outlineLevel="2" x14ac:dyDescent="0.25">
      <c r="B11557" s="704" t="s">
        <v>682</v>
      </c>
      <c r="C11557" s="704" t="s">
        <v>726</v>
      </c>
      <c r="D11557" s="704" t="s">
        <v>563</v>
      </c>
      <c r="E11557" s="704" t="s">
        <v>448</v>
      </c>
      <c r="F11557" s="705">
        <v>2.295190420456418E-5</v>
      </c>
      <c r="G11557" s="705">
        <v>1.0289286452678259E-2</v>
      </c>
    </row>
    <row r="11558" spans="2:7" ht="11.25" hidden="1" customHeight="1" outlineLevel="2" x14ac:dyDescent="0.25">
      <c r="B11558" s="704" t="s">
        <v>682</v>
      </c>
      <c r="C11558" s="704" t="s">
        <v>769</v>
      </c>
      <c r="D11558" s="704" t="s">
        <v>563</v>
      </c>
      <c r="E11558" s="704" t="s">
        <v>448</v>
      </c>
      <c r="F11558" s="705">
        <v>1.49373867446263E-2</v>
      </c>
      <c r="G11558" s="705">
        <v>15.890699504536363</v>
      </c>
    </row>
    <row r="11559" spans="2:7" ht="11.25" hidden="1" customHeight="1" outlineLevel="2" x14ac:dyDescent="0.25">
      <c r="B11559" s="704" t="s">
        <v>682</v>
      </c>
      <c r="C11559" s="704" t="s">
        <v>770</v>
      </c>
      <c r="D11559" s="704" t="s">
        <v>563</v>
      </c>
      <c r="E11559" s="704" t="s">
        <v>448</v>
      </c>
      <c r="F11559" s="705">
        <v>1.358131409967772E-2</v>
      </c>
      <c r="G11559" s="705">
        <v>47.056671666416712</v>
      </c>
    </row>
    <row r="11560" spans="2:7" ht="11.25" hidden="1" customHeight="1" outlineLevel="2" x14ac:dyDescent="0.25">
      <c r="B11560" s="704" t="s">
        <v>682</v>
      </c>
      <c r="C11560" s="704" t="s">
        <v>771</v>
      </c>
      <c r="D11560" s="704" t="s">
        <v>563</v>
      </c>
      <c r="E11560" s="704" t="s">
        <v>448</v>
      </c>
      <c r="F11560" s="705">
        <v>5.0814687674891135E-3</v>
      </c>
      <c r="G11560" s="705">
        <v>11.884268872043833</v>
      </c>
    </row>
    <row r="11561" spans="2:7" ht="11.25" hidden="1" customHeight="1" outlineLevel="2" x14ac:dyDescent="0.25">
      <c r="B11561" s="704" t="s">
        <v>682</v>
      </c>
      <c r="C11561" s="704" t="s">
        <v>772</v>
      </c>
      <c r="D11561" s="704" t="s">
        <v>563</v>
      </c>
      <c r="E11561" s="704" t="s">
        <v>448</v>
      </c>
      <c r="F11561" s="705">
        <v>1.7048754330067015E-2</v>
      </c>
      <c r="G11561" s="705">
        <v>22.151744844960856</v>
      </c>
    </row>
    <row r="11562" spans="2:7" ht="11.25" hidden="1" customHeight="1" outlineLevel="2" x14ac:dyDescent="0.25">
      <c r="B11562" s="704" t="s">
        <v>682</v>
      </c>
      <c r="C11562" s="704" t="s">
        <v>773</v>
      </c>
      <c r="D11562" s="704" t="s">
        <v>563</v>
      </c>
      <c r="E11562" s="704" t="s">
        <v>448</v>
      </c>
      <c r="F11562" s="705">
        <v>9.5428111670386171E-4</v>
      </c>
      <c r="G11562" s="705">
        <v>1.0883745270054617</v>
      </c>
    </row>
    <row r="11563" spans="2:7" ht="11.25" hidden="1" customHeight="1" outlineLevel="2" x14ac:dyDescent="0.25">
      <c r="B11563" s="704" t="s">
        <v>682</v>
      </c>
      <c r="C11563" s="704" t="s">
        <v>774</v>
      </c>
      <c r="D11563" s="704" t="s">
        <v>563</v>
      </c>
      <c r="E11563" s="704" t="s">
        <v>448</v>
      </c>
      <c r="F11563" s="705">
        <v>4.5881660708079288E-4</v>
      </c>
      <c r="G11563" s="705">
        <v>0.6180898021121467</v>
      </c>
    </row>
    <row r="11564" spans="2:7" ht="11.25" hidden="1" customHeight="1" outlineLevel="2" x14ac:dyDescent="0.25">
      <c r="B11564" s="704" t="s">
        <v>682</v>
      </c>
      <c r="C11564" s="704" t="s">
        <v>775</v>
      </c>
      <c r="D11564" s="704" t="s">
        <v>563</v>
      </c>
      <c r="E11564" s="704" t="s">
        <v>448</v>
      </c>
      <c r="F11564" s="705">
        <v>3.7497216011487389E-4</v>
      </c>
      <c r="G11564" s="705">
        <v>4.7983015515885103</v>
      </c>
    </row>
    <row r="11565" spans="2:7" ht="11.25" hidden="1" customHeight="1" outlineLevel="2" x14ac:dyDescent="0.25">
      <c r="B11565" s="704" t="s">
        <v>682</v>
      </c>
      <c r="C11565" s="704" t="s">
        <v>839</v>
      </c>
      <c r="D11565" s="704" t="s">
        <v>563</v>
      </c>
      <c r="E11565" s="704" t="s">
        <v>824</v>
      </c>
      <c r="F11565" s="705">
        <v>1.6588842660710541E-2</v>
      </c>
      <c r="G11565" s="705">
        <v>40.255614039022973</v>
      </c>
    </row>
    <row r="11566" spans="2:7" ht="11.25" hidden="1" customHeight="1" outlineLevel="2" x14ac:dyDescent="0.25">
      <c r="B11566" s="704" t="s">
        <v>682</v>
      </c>
      <c r="C11566" s="704" t="s">
        <v>840</v>
      </c>
      <c r="D11566" s="704" t="s">
        <v>563</v>
      </c>
      <c r="E11566" s="704" t="s">
        <v>824</v>
      </c>
      <c r="F11566" s="705">
        <v>0.48343816729823702</v>
      </c>
      <c r="G11566" s="705">
        <v>3559.2190575800587</v>
      </c>
    </row>
    <row r="11567" spans="2:7" ht="11.25" hidden="1" customHeight="1" outlineLevel="2" x14ac:dyDescent="0.25">
      <c r="B11567" s="704" t="s">
        <v>682</v>
      </c>
      <c r="C11567" s="704" t="s">
        <v>841</v>
      </c>
      <c r="D11567" s="704" t="s">
        <v>563</v>
      </c>
      <c r="E11567" s="704" t="s">
        <v>824</v>
      </c>
      <c r="F11567" s="705">
        <v>2.3514146227456012E-3</v>
      </c>
      <c r="G11567" s="705">
        <v>26.907772250030781</v>
      </c>
    </row>
    <row r="11568" spans="2:7" ht="11.25" hidden="1" customHeight="1" outlineLevel="2" x14ac:dyDescent="0.25">
      <c r="B11568" s="704" t="s">
        <v>682</v>
      </c>
      <c r="C11568" s="704" t="s">
        <v>842</v>
      </c>
      <c r="D11568" s="704" t="s">
        <v>563</v>
      </c>
      <c r="E11568" s="704" t="s">
        <v>824</v>
      </c>
      <c r="F11568" s="705">
        <v>8.5209500953712584E-4</v>
      </c>
      <c r="G11568" s="705">
        <v>8.3401602296176041</v>
      </c>
    </row>
    <row r="11569" spans="2:7" ht="11.25" hidden="1" customHeight="1" outlineLevel="2" x14ac:dyDescent="0.25">
      <c r="B11569" s="704" t="s">
        <v>682</v>
      </c>
      <c r="C11569" s="704" t="s">
        <v>843</v>
      </c>
      <c r="D11569" s="704" t="s">
        <v>563</v>
      </c>
      <c r="E11569" s="704" t="s">
        <v>824</v>
      </c>
      <c r="F11569" s="705">
        <v>8.2359878461067454E-4</v>
      </c>
      <c r="G11569" s="705">
        <v>2.1519070645942646</v>
      </c>
    </row>
    <row r="11570" spans="2:7" ht="11.25" hidden="1" customHeight="1" outlineLevel="2" x14ac:dyDescent="0.25">
      <c r="B11570" s="704" t="s">
        <v>682</v>
      </c>
      <c r="C11570" s="704" t="s">
        <v>844</v>
      </c>
      <c r="D11570" s="704" t="s">
        <v>563</v>
      </c>
      <c r="E11570" s="704" t="s">
        <v>824</v>
      </c>
      <c r="F11570" s="705">
        <v>8.2363361179773774E-4</v>
      </c>
      <c r="G11570" s="705">
        <v>16.367795561529388</v>
      </c>
    </row>
    <row r="11571" spans="2:7" ht="11.25" hidden="1" customHeight="1" outlineLevel="2" x14ac:dyDescent="0.25">
      <c r="B11571" s="704" t="s">
        <v>682</v>
      </c>
      <c r="C11571" s="704" t="s">
        <v>700</v>
      </c>
      <c r="D11571" s="704" t="s">
        <v>563</v>
      </c>
      <c r="E11571" s="704" t="s">
        <v>676</v>
      </c>
      <c r="F11571" s="705">
        <v>2.4967155539909465</v>
      </c>
      <c r="G11571" s="705">
        <v>210.11312856061414</v>
      </c>
    </row>
    <row r="11572" spans="2:7" ht="11.25" hidden="1" customHeight="1" outlineLevel="2" x14ac:dyDescent="0.25">
      <c r="B11572" s="704" t="s">
        <v>682</v>
      </c>
      <c r="C11572" s="704" t="s">
        <v>701</v>
      </c>
      <c r="D11572" s="704" t="s">
        <v>563</v>
      </c>
      <c r="E11572" s="704" t="s">
        <v>676</v>
      </c>
      <c r="F11572" s="705">
        <v>2.7270519409397747E-3</v>
      </c>
      <c r="G11572" s="705">
        <v>0.23880126946794777</v>
      </c>
    </row>
    <row r="11573" spans="2:7" ht="11.25" hidden="1" customHeight="1" outlineLevel="2" x14ac:dyDescent="0.25">
      <c r="B11573" s="704" t="s">
        <v>682</v>
      </c>
      <c r="C11573" s="704" t="s">
        <v>702</v>
      </c>
      <c r="D11573" s="704" t="s">
        <v>563</v>
      </c>
      <c r="E11573" s="704" t="s">
        <v>676</v>
      </c>
      <c r="F11573" s="705">
        <v>1.2724412749742899E-3</v>
      </c>
      <c r="G11573" s="705">
        <v>0.1304121831264648</v>
      </c>
    </row>
    <row r="11574" spans="2:7" ht="11.25" hidden="1" customHeight="1" outlineLevel="2" x14ac:dyDescent="0.25">
      <c r="B11574" s="704" t="s">
        <v>682</v>
      </c>
      <c r="C11574" s="704" t="s">
        <v>703</v>
      </c>
      <c r="D11574" s="704" t="s">
        <v>563</v>
      </c>
      <c r="E11574" s="704" t="s">
        <v>676</v>
      </c>
      <c r="F11574" s="705">
        <v>5.9251794879892931E-3</v>
      </c>
      <c r="G11574" s="705">
        <v>0.5834760916552274</v>
      </c>
    </row>
    <row r="11575" spans="2:7" ht="11.25" hidden="1" customHeight="1" outlineLevel="2" x14ac:dyDescent="0.25">
      <c r="B11575" s="704" t="s">
        <v>682</v>
      </c>
      <c r="C11575" s="704" t="s">
        <v>704</v>
      </c>
      <c r="D11575" s="704" t="s">
        <v>563</v>
      </c>
      <c r="E11575" s="704" t="s">
        <v>676</v>
      </c>
      <c r="F11575" s="705">
        <v>4.3332199909993461E-3</v>
      </c>
      <c r="G11575" s="705">
        <v>0.97444687523748119</v>
      </c>
    </row>
    <row r="11576" spans="2:7" ht="11.25" hidden="1" customHeight="1" outlineLevel="2" x14ac:dyDescent="0.25">
      <c r="B11576" s="704" t="s">
        <v>682</v>
      </c>
      <c r="C11576" s="704" t="s">
        <v>887</v>
      </c>
      <c r="D11576" s="704" t="s">
        <v>563</v>
      </c>
      <c r="E11576" s="704" t="s">
        <v>861</v>
      </c>
      <c r="F11576" s="709"/>
      <c r="G11576" s="705">
        <v>65.494333771240917</v>
      </c>
    </row>
    <row r="11577" spans="2:7" ht="11.25" hidden="1" customHeight="1" outlineLevel="2" x14ac:dyDescent="0.25">
      <c r="B11577" s="704" t="s">
        <v>682</v>
      </c>
      <c r="C11577" s="704" t="s">
        <v>888</v>
      </c>
      <c r="D11577" s="704" t="s">
        <v>563</v>
      </c>
      <c r="E11577" s="704" t="s">
        <v>861</v>
      </c>
      <c r="F11577" s="709"/>
      <c r="G11577" s="705">
        <v>950.36023081743861</v>
      </c>
    </row>
    <row r="11578" spans="2:7" ht="11.25" hidden="1" customHeight="1" outlineLevel="2" x14ac:dyDescent="0.25">
      <c r="B11578" s="704" t="s">
        <v>682</v>
      </c>
      <c r="C11578" s="704" t="s">
        <v>889</v>
      </c>
      <c r="D11578" s="704" t="s">
        <v>563</v>
      </c>
      <c r="E11578" s="704" t="s">
        <v>861</v>
      </c>
      <c r="F11578" s="709"/>
      <c r="G11578" s="705">
        <v>414.80105583686117</v>
      </c>
    </row>
    <row r="11579" spans="2:7" ht="11.25" hidden="1" customHeight="1" outlineLevel="2" x14ac:dyDescent="0.25">
      <c r="B11579" s="704" t="s">
        <v>682</v>
      </c>
      <c r="C11579" s="704" t="s">
        <v>890</v>
      </c>
      <c r="D11579" s="704" t="s">
        <v>563</v>
      </c>
      <c r="E11579" s="704" t="s">
        <v>861</v>
      </c>
      <c r="F11579" s="709"/>
      <c r="G11579" s="705">
        <v>421.01852841800468</v>
      </c>
    </row>
    <row r="11580" spans="2:7" ht="11.25" hidden="1" customHeight="1" outlineLevel="2" x14ac:dyDescent="0.25">
      <c r="B11580" s="704" t="s">
        <v>682</v>
      </c>
      <c r="C11580" s="704" t="s">
        <v>891</v>
      </c>
      <c r="D11580" s="704" t="s">
        <v>563</v>
      </c>
      <c r="E11580" s="704" t="s">
        <v>861</v>
      </c>
      <c r="F11580" s="709"/>
      <c r="G11580" s="705">
        <v>16.18545329909329</v>
      </c>
    </row>
    <row r="11581" spans="2:7" ht="11.25" hidden="1" customHeight="1" outlineLevel="2" x14ac:dyDescent="0.25">
      <c r="B11581" s="704" t="s">
        <v>682</v>
      </c>
      <c r="C11581" s="704" t="s">
        <v>892</v>
      </c>
      <c r="D11581" s="704" t="s">
        <v>563</v>
      </c>
      <c r="E11581" s="704" t="s">
        <v>861</v>
      </c>
      <c r="F11581" s="709"/>
      <c r="G11581" s="705">
        <v>1697.1855198050157</v>
      </c>
    </row>
    <row r="11582" spans="2:7" ht="11.25" hidden="1" customHeight="1" outlineLevel="2" x14ac:dyDescent="0.25">
      <c r="B11582" s="704" t="s">
        <v>682</v>
      </c>
      <c r="C11582" s="704" t="s">
        <v>893</v>
      </c>
      <c r="D11582" s="704" t="s">
        <v>563</v>
      </c>
      <c r="E11582" s="704" t="s">
        <v>861</v>
      </c>
      <c r="F11582" s="709"/>
      <c r="G11582" s="705">
        <v>598.32503580396838</v>
      </c>
    </row>
    <row r="11583" spans="2:7" ht="11.25" hidden="1" customHeight="1" outlineLevel="2" x14ac:dyDescent="0.25">
      <c r="B11583" s="704" t="s">
        <v>682</v>
      </c>
      <c r="C11583" s="704" t="s">
        <v>727</v>
      </c>
      <c r="D11583" s="704" t="s">
        <v>728</v>
      </c>
      <c r="E11583" s="704" t="s">
        <v>448</v>
      </c>
      <c r="F11583" s="705">
        <v>6.6375895025229965E-3</v>
      </c>
      <c r="G11583" s="705">
        <v>3.6350869764318228</v>
      </c>
    </row>
    <row r="11584" spans="2:7" ht="11.25" hidden="1" customHeight="1" outlineLevel="2" x14ac:dyDescent="0.25">
      <c r="B11584" s="704" t="s">
        <v>682</v>
      </c>
      <c r="C11584" s="704" t="s">
        <v>729</v>
      </c>
      <c r="D11584" s="704" t="s">
        <v>728</v>
      </c>
      <c r="E11584" s="704" t="s">
        <v>448</v>
      </c>
      <c r="F11584" s="705">
        <v>1.4317684308860086E-2</v>
      </c>
      <c r="G11584" s="705">
        <v>7.726850166205379</v>
      </c>
    </row>
    <row r="11585" spans="2:7" ht="11.25" hidden="1" customHeight="1" outlineLevel="2" x14ac:dyDescent="0.25">
      <c r="B11585" s="704" t="s">
        <v>682</v>
      </c>
      <c r="C11585" s="704" t="s">
        <v>730</v>
      </c>
      <c r="D11585" s="704" t="s">
        <v>728</v>
      </c>
      <c r="E11585" s="704" t="s">
        <v>448</v>
      </c>
      <c r="F11585" s="705">
        <v>9.5235074282028181E-2</v>
      </c>
      <c r="G11585" s="705">
        <v>49.658225856263527</v>
      </c>
    </row>
    <row r="11586" spans="2:7" ht="11.25" hidden="1" customHeight="1" outlineLevel="2" x14ac:dyDescent="0.25">
      <c r="B11586" s="704" t="s">
        <v>682</v>
      </c>
      <c r="C11586" s="704" t="s">
        <v>731</v>
      </c>
      <c r="D11586" s="704" t="s">
        <v>728</v>
      </c>
      <c r="E11586" s="704" t="s">
        <v>448</v>
      </c>
      <c r="F11586" s="705">
        <v>0.15682649136068019</v>
      </c>
      <c r="G11586" s="705">
        <v>85.991571458846579</v>
      </c>
    </row>
    <row r="11587" spans="2:7" ht="11.25" hidden="1" customHeight="1" outlineLevel="2" x14ac:dyDescent="0.25">
      <c r="B11587" s="704" t="s">
        <v>682</v>
      </c>
      <c r="C11587" s="704" t="s">
        <v>732</v>
      </c>
      <c r="D11587" s="704" t="s">
        <v>728</v>
      </c>
      <c r="E11587" s="704" t="s">
        <v>448</v>
      </c>
      <c r="F11587" s="705">
        <v>0.11742960526167431</v>
      </c>
      <c r="G11587" s="705">
        <v>69.201194745933918</v>
      </c>
    </row>
    <row r="11588" spans="2:7" ht="11.25" hidden="1" customHeight="1" outlineLevel="2" x14ac:dyDescent="0.25">
      <c r="B11588" s="704" t="s">
        <v>682</v>
      </c>
      <c r="C11588" s="704" t="s">
        <v>733</v>
      </c>
      <c r="D11588" s="704" t="s">
        <v>728</v>
      </c>
      <c r="E11588" s="704" t="s">
        <v>448</v>
      </c>
      <c r="F11588" s="705">
        <v>0.14809426589085195</v>
      </c>
      <c r="G11588" s="705">
        <v>74.983179006339142</v>
      </c>
    </row>
    <row r="11589" spans="2:7" ht="11.25" hidden="1" customHeight="1" outlineLevel="2" x14ac:dyDescent="0.25">
      <c r="B11589" s="704" t="s">
        <v>682</v>
      </c>
      <c r="C11589" s="704" t="s">
        <v>734</v>
      </c>
      <c r="D11589" s="704" t="s">
        <v>728</v>
      </c>
      <c r="E11589" s="704" t="s">
        <v>448</v>
      </c>
      <c r="F11589" s="705">
        <v>8.2771768823201822E-2</v>
      </c>
      <c r="G11589" s="705">
        <v>44.537775668977609</v>
      </c>
    </row>
    <row r="11590" spans="2:7" ht="11.25" hidden="1" customHeight="1" outlineLevel="2" x14ac:dyDescent="0.25">
      <c r="B11590" s="704" t="s">
        <v>682</v>
      </c>
      <c r="C11590" s="704" t="s">
        <v>735</v>
      </c>
      <c r="D11590" s="704" t="s">
        <v>728</v>
      </c>
      <c r="E11590" s="704" t="s">
        <v>448</v>
      </c>
      <c r="F11590" s="705">
        <v>0.13070948389985065</v>
      </c>
      <c r="G11590" s="705">
        <v>70.016445793809979</v>
      </c>
    </row>
    <row r="11591" spans="2:7" ht="11.25" hidden="1" customHeight="1" outlineLevel="2" x14ac:dyDescent="0.25">
      <c r="B11591" s="704" t="s">
        <v>682</v>
      </c>
      <c r="C11591" s="704" t="s">
        <v>736</v>
      </c>
      <c r="D11591" s="704" t="s">
        <v>728</v>
      </c>
      <c r="E11591" s="704" t="s">
        <v>448</v>
      </c>
      <c r="F11591" s="705">
        <v>0.14400923034185256</v>
      </c>
      <c r="G11591" s="705">
        <v>21.197394835948202</v>
      </c>
    </row>
    <row r="11592" spans="2:7" ht="11.25" hidden="1" customHeight="1" outlineLevel="2" x14ac:dyDescent="0.25">
      <c r="B11592" s="704" t="s">
        <v>682</v>
      </c>
      <c r="C11592" s="704" t="s">
        <v>737</v>
      </c>
      <c r="D11592" s="704" t="s">
        <v>728</v>
      </c>
      <c r="E11592" s="704" t="s">
        <v>448</v>
      </c>
      <c r="F11592" s="705">
        <v>0.15199872166775952</v>
      </c>
      <c r="G11592" s="705">
        <v>22.373642561234554</v>
      </c>
    </row>
    <row r="11593" spans="2:7" ht="11.25" hidden="1" customHeight="1" outlineLevel="2" x14ac:dyDescent="0.25">
      <c r="B11593" s="704" t="s">
        <v>682</v>
      </c>
      <c r="C11593" s="704" t="s">
        <v>738</v>
      </c>
      <c r="D11593" s="704" t="s">
        <v>728</v>
      </c>
      <c r="E11593" s="704" t="s">
        <v>448</v>
      </c>
      <c r="F11593" s="705">
        <v>6.403495857478837E-5</v>
      </c>
      <c r="G11593" s="705">
        <v>3.2003425616917602E-2</v>
      </c>
    </row>
    <row r="11594" spans="2:7" ht="11.25" hidden="1" customHeight="1" outlineLevel="2" x14ac:dyDescent="0.25">
      <c r="B11594" s="704" t="s">
        <v>682</v>
      </c>
      <c r="C11594" s="704" t="s">
        <v>776</v>
      </c>
      <c r="D11594" s="704" t="s">
        <v>728</v>
      </c>
      <c r="E11594" s="704" t="s">
        <v>448</v>
      </c>
      <c r="F11594" s="705">
        <v>1.002011592574815</v>
      </c>
      <c r="G11594" s="705">
        <v>620.38203771528606</v>
      </c>
    </row>
    <row r="11595" spans="2:7" ht="11.25" hidden="1" customHeight="1" outlineLevel="2" x14ac:dyDescent="0.25">
      <c r="B11595" s="704" t="s">
        <v>682</v>
      </c>
      <c r="C11595" s="704" t="s">
        <v>777</v>
      </c>
      <c r="D11595" s="704" t="s">
        <v>728</v>
      </c>
      <c r="E11595" s="704" t="s">
        <v>448</v>
      </c>
      <c r="F11595" s="705">
        <v>0.18377139851382257</v>
      </c>
      <c r="G11595" s="705">
        <v>218.5747888909969</v>
      </c>
    </row>
    <row r="11596" spans="2:7" ht="11.25" hidden="1" customHeight="1" outlineLevel="2" x14ac:dyDescent="0.25">
      <c r="B11596" s="704" t="s">
        <v>682</v>
      </c>
      <c r="C11596" s="704" t="s">
        <v>778</v>
      </c>
      <c r="D11596" s="704" t="s">
        <v>728</v>
      </c>
      <c r="E11596" s="704" t="s">
        <v>448</v>
      </c>
      <c r="F11596" s="705">
        <v>8.4705299187257527E-2</v>
      </c>
      <c r="G11596" s="705">
        <v>52.019863971807141</v>
      </c>
    </row>
    <row r="11597" spans="2:7" ht="11.25" hidden="1" customHeight="1" outlineLevel="2" x14ac:dyDescent="0.25">
      <c r="B11597" s="704" t="s">
        <v>682</v>
      </c>
      <c r="C11597" s="704" t="s">
        <v>779</v>
      </c>
      <c r="D11597" s="704" t="s">
        <v>728</v>
      </c>
      <c r="E11597" s="704" t="s">
        <v>448</v>
      </c>
      <c r="F11597" s="705">
        <v>0.14895866854300394</v>
      </c>
      <c r="G11597" s="705">
        <v>111.25659498579671</v>
      </c>
    </row>
    <row r="11598" spans="2:7" ht="11.25" hidden="1" customHeight="1" outlineLevel="2" x14ac:dyDescent="0.25">
      <c r="B11598" s="704" t="s">
        <v>682</v>
      </c>
      <c r="C11598" s="704" t="s">
        <v>780</v>
      </c>
      <c r="D11598" s="704" t="s">
        <v>728</v>
      </c>
      <c r="E11598" s="704" t="s">
        <v>448</v>
      </c>
      <c r="F11598" s="705">
        <v>4.5911402718409461E-3</v>
      </c>
      <c r="G11598" s="705">
        <v>3.4536585158607314</v>
      </c>
    </row>
    <row r="11599" spans="2:7" ht="11.25" hidden="1" customHeight="1" outlineLevel="2" x14ac:dyDescent="0.25">
      <c r="B11599" s="704" t="s">
        <v>682</v>
      </c>
      <c r="C11599" s="704" t="s">
        <v>781</v>
      </c>
      <c r="D11599" s="704" t="s">
        <v>728</v>
      </c>
      <c r="E11599" s="704" t="s">
        <v>448</v>
      </c>
      <c r="F11599" s="705">
        <v>4.083815621789005E-3</v>
      </c>
      <c r="G11599" s="705">
        <v>5.0632577985168288</v>
      </c>
    </row>
    <row r="11600" spans="2:7" ht="11.25" hidden="1" customHeight="1" outlineLevel="2" x14ac:dyDescent="0.25">
      <c r="B11600" s="704" t="s">
        <v>682</v>
      </c>
      <c r="C11600" s="704" t="s">
        <v>782</v>
      </c>
      <c r="D11600" s="704" t="s">
        <v>728</v>
      </c>
      <c r="E11600" s="704" t="s">
        <v>448</v>
      </c>
      <c r="F11600" s="705">
        <v>8.7381310020513015E-3</v>
      </c>
      <c r="G11600" s="705">
        <v>6.5889616972277905</v>
      </c>
    </row>
    <row r="11601" spans="2:7" ht="11.25" hidden="1" customHeight="1" outlineLevel="2" x14ac:dyDescent="0.25">
      <c r="B11601" s="704" t="s">
        <v>682</v>
      </c>
      <c r="C11601" s="704" t="s">
        <v>783</v>
      </c>
      <c r="D11601" s="704" t="s">
        <v>728</v>
      </c>
      <c r="E11601" s="704" t="s">
        <v>448</v>
      </c>
      <c r="F11601" s="705">
        <v>0.13406674422057993</v>
      </c>
      <c r="G11601" s="705">
        <v>208.8854248164123</v>
      </c>
    </row>
    <row r="11602" spans="2:7" ht="11.25" hidden="1" customHeight="1" outlineLevel="2" x14ac:dyDescent="0.25">
      <c r="B11602" s="704" t="s">
        <v>682</v>
      </c>
      <c r="C11602" s="704" t="s">
        <v>784</v>
      </c>
      <c r="D11602" s="704" t="s">
        <v>728</v>
      </c>
      <c r="E11602" s="704" t="s">
        <v>448</v>
      </c>
      <c r="F11602" s="705">
        <v>0.12568791349838898</v>
      </c>
      <c r="G11602" s="705">
        <v>68.485562519634001</v>
      </c>
    </row>
    <row r="11603" spans="2:7" ht="11.25" hidden="1" customHeight="1" outlineLevel="2" x14ac:dyDescent="0.25">
      <c r="B11603" s="704" t="s">
        <v>682</v>
      </c>
      <c r="C11603" s="704" t="s">
        <v>785</v>
      </c>
      <c r="D11603" s="704" t="s">
        <v>728</v>
      </c>
      <c r="E11603" s="704" t="s">
        <v>448</v>
      </c>
      <c r="F11603" s="705">
        <v>0.13267653081254621</v>
      </c>
      <c r="G11603" s="705">
        <v>72.285757447234374</v>
      </c>
    </row>
    <row r="11604" spans="2:7" ht="11.25" hidden="1" customHeight="1" outlineLevel="2" x14ac:dyDescent="0.25">
      <c r="B11604" s="704" t="s">
        <v>682</v>
      </c>
      <c r="C11604" s="704" t="s">
        <v>786</v>
      </c>
      <c r="D11604" s="704" t="s">
        <v>728</v>
      </c>
      <c r="E11604" s="704" t="s">
        <v>448</v>
      </c>
      <c r="F11604" s="705">
        <v>9.856198544708232E-2</v>
      </c>
      <c r="G11604" s="705">
        <v>124.47733764400783</v>
      </c>
    </row>
    <row r="11605" spans="2:7" ht="11.25" hidden="1" customHeight="1" outlineLevel="2" x14ac:dyDescent="0.25">
      <c r="B11605" s="704" t="s">
        <v>682</v>
      </c>
      <c r="C11605" s="704" t="s">
        <v>787</v>
      </c>
      <c r="D11605" s="704" t="s">
        <v>728</v>
      </c>
      <c r="E11605" s="704" t="s">
        <v>448</v>
      </c>
      <c r="F11605" s="705">
        <v>1.7123567851558781E-2</v>
      </c>
      <c r="G11605" s="705">
        <v>24.133145613258186</v>
      </c>
    </row>
    <row r="11606" spans="2:7" ht="11.25" hidden="1" customHeight="1" outlineLevel="2" x14ac:dyDescent="0.25">
      <c r="B11606" s="704" t="s">
        <v>682</v>
      </c>
      <c r="C11606" s="704" t="s">
        <v>788</v>
      </c>
      <c r="D11606" s="704" t="s">
        <v>728</v>
      </c>
      <c r="E11606" s="704" t="s">
        <v>448</v>
      </c>
      <c r="F11606" s="705">
        <v>2.4135081813704617E-2</v>
      </c>
      <c r="G11606" s="705">
        <v>27.468490089060108</v>
      </c>
    </row>
    <row r="11607" spans="2:7" ht="11.25" hidden="1" customHeight="1" outlineLevel="2" x14ac:dyDescent="0.25">
      <c r="B11607" s="704" t="s">
        <v>682</v>
      </c>
      <c r="C11607" s="704" t="s">
        <v>789</v>
      </c>
      <c r="D11607" s="704" t="s">
        <v>728</v>
      </c>
      <c r="E11607" s="704" t="s">
        <v>448</v>
      </c>
      <c r="F11607" s="705">
        <v>1.8600090557698519E-2</v>
      </c>
      <c r="G11607" s="705">
        <v>12.791118413965359</v>
      </c>
    </row>
    <row r="11608" spans="2:7" ht="11.25" hidden="1" customHeight="1" outlineLevel="2" x14ac:dyDescent="0.25">
      <c r="B11608" s="704" t="s">
        <v>682</v>
      </c>
      <c r="C11608" s="704" t="s">
        <v>790</v>
      </c>
      <c r="D11608" s="704" t="s">
        <v>728</v>
      </c>
      <c r="E11608" s="704" t="s">
        <v>448</v>
      </c>
      <c r="F11608" s="705">
        <v>1.3179682021477612</v>
      </c>
      <c r="G11608" s="705">
        <v>1668.5312795365742</v>
      </c>
    </row>
    <row r="11609" spans="2:7" ht="11.25" hidden="1" customHeight="1" outlineLevel="2" x14ac:dyDescent="0.25">
      <c r="B11609" s="704" t="s">
        <v>682</v>
      </c>
      <c r="C11609" s="704" t="s">
        <v>791</v>
      </c>
      <c r="D11609" s="704" t="s">
        <v>728</v>
      </c>
      <c r="E11609" s="704" t="s">
        <v>448</v>
      </c>
      <c r="F11609" s="705">
        <v>0.23266843635139792</v>
      </c>
      <c r="G11609" s="705">
        <v>327.97978264446658</v>
      </c>
    </row>
    <row r="11610" spans="2:7" ht="11.25" hidden="1" customHeight="1" outlineLevel="2" x14ac:dyDescent="0.25">
      <c r="B11610" s="704" t="s">
        <v>682</v>
      </c>
      <c r="C11610" s="704" t="s">
        <v>792</v>
      </c>
      <c r="D11610" s="704" t="s">
        <v>728</v>
      </c>
      <c r="E11610" s="704" t="s">
        <v>448</v>
      </c>
      <c r="F11610" s="705">
        <v>2.6193693668600432E-2</v>
      </c>
      <c r="G11610" s="705">
        <v>54.910670559544528</v>
      </c>
    </row>
    <row r="11611" spans="2:7" ht="11.25" hidden="1" customHeight="1" outlineLevel="2" x14ac:dyDescent="0.25">
      <c r="B11611" s="704" t="s">
        <v>682</v>
      </c>
      <c r="C11611" s="704" t="s">
        <v>793</v>
      </c>
      <c r="D11611" s="704" t="s">
        <v>728</v>
      </c>
      <c r="E11611" s="704" t="s">
        <v>448</v>
      </c>
      <c r="F11611" s="705">
        <v>0.72865778340282439</v>
      </c>
      <c r="G11611" s="705">
        <v>1058.084438920474</v>
      </c>
    </row>
    <row r="11612" spans="2:7" ht="11.25" hidden="1" customHeight="1" outlineLevel="2" x14ac:dyDescent="0.25">
      <c r="B11612" s="704" t="s">
        <v>682</v>
      </c>
      <c r="C11612" s="704" t="s">
        <v>794</v>
      </c>
      <c r="D11612" s="704" t="s">
        <v>728</v>
      </c>
      <c r="E11612" s="704" t="s">
        <v>448</v>
      </c>
      <c r="F11612" s="705">
        <v>7.5797849030905862E-2</v>
      </c>
      <c r="G11612" s="705">
        <v>59.101526911879311</v>
      </c>
    </row>
    <row r="11613" spans="2:7" ht="11.25" hidden="1" customHeight="1" outlineLevel="2" x14ac:dyDescent="0.25">
      <c r="B11613" s="704" t="s">
        <v>682</v>
      </c>
      <c r="C11613" s="704" t="s">
        <v>795</v>
      </c>
      <c r="D11613" s="704" t="s">
        <v>728</v>
      </c>
      <c r="E11613" s="704" t="s">
        <v>448</v>
      </c>
      <c r="F11613" s="705">
        <v>4.1495258994724761E-2</v>
      </c>
      <c r="G11613" s="705">
        <v>32.419269805368188</v>
      </c>
    </row>
    <row r="11614" spans="2:7" ht="11.25" hidden="1" customHeight="1" outlineLevel="2" x14ac:dyDescent="0.25">
      <c r="B11614" s="704" t="s">
        <v>682</v>
      </c>
      <c r="C11614" s="704" t="s">
        <v>845</v>
      </c>
      <c r="D11614" s="704" t="s">
        <v>728</v>
      </c>
      <c r="E11614" s="704" t="s">
        <v>824</v>
      </c>
      <c r="F11614" s="705">
        <v>2.0420170342443163E-3</v>
      </c>
      <c r="G11614" s="705">
        <v>18.215633151079398</v>
      </c>
    </row>
    <row r="11615" spans="2:7" ht="11.25" hidden="1" customHeight="1" outlineLevel="2" x14ac:dyDescent="0.25">
      <c r="B11615" s="704" t="s">
        <v>682</v>
      </c>
      <c r="C11615" s="704" t="s">
        <v>894</v>
      </c>
      <c r="D11615" s="704" t="s">
        <v>728</v>
      </c>
      <c r="E11615" s="704" t="s">
        <v>861</v>
      </c>
      <c r="F11615" s="709"/>
      <c r="G11615" s="705">
        <v>2.8315657555904029E-2</v>
      </c>
    </row>
    <row r="11616" spans="2:7" ht="11.25" hidden="1" customHeight="1" outlineLevel="2" x14ac:dyDescent="0.25">
      <c r="B11616" s="704" t="s">
        <v>682</v>
      </c>
      <c r="C11616" s="704" t="s">
        <v>895</v>
      </c>
      <c r="D11616" s="704" t="s">
        <v>728</v>
      </c>
      <c r="E11616" s="704" t="s">
        <v>861</v>
      </c>
      <c r="F11616" s="709"/>
      <c r="G11616" s="705">
        <v>7.5671357898725056</v>
      </c>
    </row>
    <row r="11617" spans="2:7" ht="11.25" hidden="1" customHeight="1" outlineLevel="2" x14ac:dyDescent="0.25">
      <c r="B11617" s="704" t="s">
        <v>682</v>
      </c>
      <c r="C11617" s="704" t="s">
        <v>896</v>
      </c>
      <c r="D11617" s="704" t="s">
        <v>728</v>
      </c>
      <c r="E11617" s="704" t="s">
        <v>861</v>
      </c>
      <c r="F11617" s="709"/>
      <c r="G11617" s="705">
        <v>198.00599656117365</v>
      </c>
    </row>
    <row r="11618" spans="2:7" ht="11.25" hidden="1" customHeight="1" outlineLevel="2" x14ac:dyDescent="0.25">
      <c r="B11618" s="704" t="s">
        <v>682</v>
      </c>
      <c r="C11618" s="704" t="s">
        <v>897</v>
      </c>
      <c r="D11618" s="704" t="s">
        <v>728</v>
      </c>
      <c r="E11618" s="704" t="s">
        <v>861</v>
      </c>
      <c r="F11618" s="709"/>
      <c r="G11618" s="705">
        <v>40.861745300020679</v>
      </c>
    </row>
    <row r="11619" spans="2:7" ht="11.25" hidden="1" customHeight="1" outlineLevel="2" x14ac:dyDescent="0.25">
      <c r="B11619" s="704" t="s">
        <v>682</v>
      </c>
      <c r="C11619" s="704" t="s">
        <v>898</v>
      </c>
      <c r="D11619" s="704" t="s">
        <v>728</v>
      </c>
      <c r="E11619" s="704" t="s">
        <v>861</v>
      </c>
      <c r="F11619" s="709"/>
      <c r="G11619" s="705">
        <v>269.57999294508249</v>
      </c>
    </row>
    <row r="11620" spans="2:7" ht="11.25" hidden="1" customHeight="1" outlineLevel="2" x14ac:dyDescent="0.25">
      <c r="B11620" s="704" t="s">
        <v>682</v>
      </c>
      <c r="C11620" s="704" t="s">
        <v>899</v>
      </c>
      <c r="D11620" s="704" t="s">
        <v>728</v>
      </c>
      <c r="E11620" s="704" t="s">
        <v>861</v>
      </c>
      <c r="F11620" s="709"/>
      <c r="G11620" s="705">
        <v>31.785793891183808</v>
      </c>
    </row>
    <row r="11621" spans="2:7" ht="11.25" hidden="1" customHeight="1" outlineLevel="2" x14ac:dyDescent="0.25">
      <c r="B11621" s="704" t="s">
        <v>682</v>
      </c>
      <c r="C11621" s="704" t="s">
        <v>900</v>
      </c>
      <c r="D11621" s="704" t="s">
        <v>728</v>
      </c>
      <c r="E11621" s="704" t="s">
        <v>861</v>
      </c>
      <c r="F11621" s="709"/>
      <c r="G11621" s="705">
        <v>0.75715760812675015</v>
      </c>
    </row>
    <row r="11622" spans="2:7" ht="11.25" hidden="1" customHeight="1" outlineLevel="2" x14ac:dyDescent="0.25">
      <c r="B11622" s="704" t="s">
        <v>682</v>
      </c>
      <c r="C11622" s="704" t="s">
        <v>744</v>
      </c>
      <c r="D11622" s="704" t="s">
        <v>745</v>
      </c>
      <c r="E11622" s="704" t="s">
        <v>448</v>
      </c>
      <c r="F11622" s="705">
        <v>1.4494954078327848E-3</v>
      </c>
      <c r="G11622" s="705">
        <v>0.83824120321322126</v>
      </c>
    </row>
    <row r="11623" spans="2:7" ht="11.25" hidden="1" customHeight="1" outlineLevel="2" x14ac:dyDescent="0.25">
      <c r="B11623" s="704" t="s">
        <v>682</v>
      </c>
      <c r="C11623" s="704" t="s">
        <v>812</v>
      </c>
      <c r="D11623" s="704" t="s">
        <v>745</v>
      </c>
      <c r="E11623" s="704" t="s">
        <v>448</v>
      </c>
      <c r="F11623" s="705">
        <v>1.7046453660849914E-3</v>
      </c>
      <c r="G11623" s="705">
        <v>1.8874282448024666</v>
      </c>
    </row>
    <row r="11624" spans="2:7" ht="11.25" hidden="1" customHeight="1" outlineLevel="2" x14ac:dyDescent="0.25">
      <c r="B11624" s="704" t="s">
        <v>682</v>
      </c>
      <c r="C11624" s="704" t="s">
        <v>813</v>
      </c>
      <c r="D11624" s="704" t="s">
        <v>745</v>
      </c>
      <c r="E11624" s="704" t="s">
        <v>448</v>
      </c>
      <c r="F11624" s="705">
        <v>1.7486093662297707E-5</v>
      </c>
      <c r="G11624" s="705">
        <v>2.217300846743216E-2</v>
      </c>
    </row>
    <row r="11625" spans="2:7" ht="11.25" hidden="1" customHeight="1" outlineLevel="2" x14ac:dyDescent="0.25">
      <c r="B11625" s="704" t="s">
        <v>682</v>
      </c>
      <c r="C11625" s="704" t="s">
        <v>917</v>
      </c>
      <c r="D11625" s="704" t="s">
        <v>745</v>
      </c>
      <c r="E11625" s="704" t="s">
        <v>861</v>
      </c>
      <c r="F11625" s="709"/>
      <c r="G11625" s="705">
        <v>25.117736361345759</v>
      </c>
    </row>
    <row r="11626" spans="2:7" ht="11.25" hidden="1" customHeight="1" outlineLevel="2" x14ac:dyDescent="0.25">
      <c r="B11626" s="704" t="s">
        <v>682</v>
      </c>
      <c r="C11626" s="704" t="s">
        <v>816</v>
      </c>
      <c r="D11626" s="704" t="s">
        <v>712</v>
      </c>
      <c r="E11626" s="704" t="s">
        <v>448</v>
      </c>
      <c r="F11626" s="705">
        <v>2.8661987182845824E-34</v>
      </c>
      <c r="G11626" s="705">
        <v>3.3224387853505758E-31</v>
      </c>
    </row>
    <row r="11627" spans="2:7" ht="11.25" hidden="1" customHeight="1" outlineLevel="2" x14ac:dyDescent="0.25">
      <c r="B11627" s="704" t="s">
        <v>682</v>
      </c>
      <c r="C11627" s="704" t="s">
        <v>711</v>
      </c>
      <c r="D11627" s="704" t="s">
        <v>712</v>
      </c>
      <c r="E11627" s="704" t="s">
        <v>676</v>
      </c>
      <c r="F11627" s="705">
        <v>3.136151520901011E-33</v>
      </c>
      <c r="G11627" s="705">
        <v>7.3601632656396319E-31</v>
      </c>
    </row>
    <row r="11628" spans="2:7" ht="11.25" hidden="1" customHeight="1" outlineLevel="2" x14ac:dyDescent="0.25">
      <c r="B11628" s="704" t="s">
        <v>682</v>
      </c>
      <c r="C11628" s="704" t="s">
        <v>921</v>
      </c>
      <c r="D11628" s="704" t="s">
        <v>712</v>
      </c>
      <c r="E11628" s="704" t="s">
        <v>861</v>
      </c>
      <c r="F11628" s="709"/>
      <c r="G11628" s="705">
        <v>7.9720101268876722E-32</v>
      </c>
    </row>
    <row r="11629" spans="2:7" ht="11.25" hidden="1" customHeight="1" outlineLevel="2" x14ac:dyDescent="0.25">
      <c r="B11629" s="704" t="s">
        <v>682</v>
      </c>
      <c r="C11629" s="704" t="s">
        <v>817</v>
      </c>
      <c r="D11629" s="704" t="s">
        <v>818</v>
      </c>
      <c r="E11629" s="704" t="s">
        <v>448</v>
      </c>
      <c r="F11629" s="705">
        <v>7.0343344674886792</v>
      </c>
      <c r="G11629" s="705">
        <v>5779.2967433866179</v>
      </c>
    </row>
    <row r="11630" spans="2:7" ht="11.25" hidden="1" customHeight="1" outlineLevel="2" x14ac:dyDescent="0.25">
      <c r="B11630" s="704" t="s">
        <v>682</v>
      </c>
      <c r="C11630" s="704" t="s">
        <v>819</v>
      </c>
      <c r="D11630" s="704" t="s">
        <v>818</v>
      </c>
      <c r="E11630" s="704" t="s">
        <v>448</v>
      </c>
      <c r="F11630" s="705">
        <v>3.0630789223590771</v>
      </c>
      <c r="G11630" s="705">
        <v>2438.8475198854912</v>
      </c>
    </row>
    <row r="11631" spans="2:7" ht="11.25" hidden="1" customHeight="1" outlineLevel="2" x14ac:dyDescent="0.25">
      <c r="B11631" s="704" t="s">
        <v>682</v>
      </c>
      <c r="C11631" s="704" t="s">
        <v>820</v>
      </c>
      <c r="D11631" s="704" t="s">
        <v>818</v>
      </c>
      <c r="E11631" s="704" t="s">
        <v>448</v>
      </c>
      <c r="F11631" s="705">
        <v>2.1231589967119904</v>
      </c>
      <c r="G11631" s="705">
        <v>3299.493271157954</v>
      </c>
    </row>
    <row r="11632" spans="2:7" ht="11.25" hidden="1" customHeight="1" outlineLevel="2" x14ac:dyDescent="0.25">
      <c r="B11632" s="704" t="s">
        <v>682</v>
      </c>
      <c r="C11632" s="704" t="s">
        <v>857</v>
      </c>
      <c r="D11632" s="704" t="s">
        <v>818</v>
      </c>
      <c r="E11632" s="704" t="s">
        <v>664</v>
      </c>
      <c r="F11632" s="709"/>
      <c r="G11632" s="705">
        <v>2937.753932042579</v>
      </c>
    </row>
    <row r="11633" spans="2:7" ht="11.25" hidden="1" customHeight="1" outlineLevel="2" x14ac:dyDescent="0.25">
      <c r="B11633" s="704" t="s">
        <v>682</v>
      </c>
      <c r="C11633" s="704" t="s">
        <v>858</v>
      </c>
      <c r="D11633" s="704" t="s">
        <v>818</v>
      </c>
      <c r="E11633" s="704" t="s">
        <v>664</v>
      </c>
      <c r="F11633" s="709"/>
      <c r="G11633" s="705">
        <v>13.534536794501248</v>
      </c>
    </row>
    <row r="11634" spans="2:7" ht="11.25" hidden="1" customHeight="1" outlineLevel="2" x14ac:dyDescent="0.25">
      <c r="B11634" s="704" t="s">
        <v>682</v>
      </c>
      <c r="C11634" s="704" t="s">
        <v>922</v>
      </c>
      <c r="D11634" s="704" t="s">
        <v>822</v>
      </c>
      <c r="E11634" s="704" t="s">
        <v>861</v>
      </c>
      <c r="F11634" s="709"/>
      <c r="G11634" s="705">
        <v>156.34202811417143</v>
      </c>
    </row>
    <row r="11635" spans="2:7" ht="11.25" hidden="1" customHeight="1" outlineLevel="2" x14ac:dyDescent="0.25">
      <c r="B11635" s="704" t="s">
        <v>682</v>
      </c>
      <c r="C11635" s="704" t="s">
        <v>821</v>
      </c>
      <c r="D11635" s="704" t="s">
        <v>822</v>
      </c>
      <c r="E11635" s="704" t="s">
        <v>448</v>
      </c>
      <c r="F11635" s="705">
        <v>4.9571956221965497E-3</v>
      </c>
      <c r="G11635" s="705">
        <v>6.6959496749326117</v>
      </c>
    </row>
    <row r="11636" spans="2:7" ht="11.25" hidden="1" customHeight="1" outlineLevel="2" x14ac:dyDescent="0.25">
      <c r="B11636" s="704" t="s">
        <v>682</v>
      </c>
      <c r="C11636" s="704" t="s">
        <v>855</v>
      </c>
      <c r="D11636" s="704" t="s">
        <v>822</v>
      </c>
      <c r="E11636" s="704" t="s">
        <v>824</v>
      </c>
      <c r="F11636" s="705">
        <v>7.8722026819418156E-5</v>
      </c>
      <c r="G11636" s="705">
        <v>0.22786960514242463</v>
      </c>
    </row>
    <row r="11637" spans="2:7" ht="11.25" hidden="1" customHeight="1" outlineLevel="2" x14ac:dyDescent="0.25">
      <c r="B11637" s="704" t="s">
        <v>682</v>
      </c>
      <c r="C11637" s="704" t="s">
        <v>714</v>
      </c>
      <c r="D11637" s="704" t="s">
        <v>715</v>
      </c>
      <c r="E11637" s="704" t="s">
        <v>448</v>
      </c>
      <c r="F11637" s="705">
        <v>3.7640427742339102</v>
      </c>
      <c r="G11637" s="705">
        <v>954.23028225580015</v>
      </c>
    </row>
    <row r="11638" spans="2:7" ht="11.25" hidden="1" customHeight="1" outlineLevel="2" x14ac:dyDescent="0.25">
      <c r="B11638" s="704" t="s">
        <v>682</v>
      </c>
      <c r="C11638" s="704" t="s">
        <v>716</v>
      </c>
      <c r="D11638" s="704" t="s">
        <v>715</v>
      </c>
      <c r="E11638" s="704" t="s">
        <v>448</v>
      </c>
      <c r="F11638" s="705">
        <v>2.2012928122670537E-34</v>
      </c>
      <c r="G11638" s="705">
        <v>2.6839964376933469E-31</v>
      </c>
    </row>
    <row r="11639" spans="2:7" ht="11.25" hidden="1" customHeight="1" outlineLevel="2" x14ac:dyDescent="0.25">
      <c r="B11639" s="704" t="s">
        <v>682</v>
      </c>
      <c r="C11639" s="704" t="s">
        <v>717</v>
      </c>
      <c r="D11639" s="704" t="s">
        <v>715</v>
      </c>
      <c r="E11639" s="704" t="s">
        <v>448</v>
      </c>
      <c r="F11639" s="705">
        <v>4.0317920525453079</v>
      </c>
      <c r="G11639" s="705">
        <v>1101.8254873556698</v>
      </c>
    </row>
    <row r="11640" spans="2:7" ht="11.25" hidden="1" customHeight="1" outlineLevel="2" x14ac:dyDescent="0.25">
      <c r="B11640" s="704" t="s">
        <v>682</v>
      </c>
      <c r="C11640" s="704" t="s">
        <v>718</v>
      </c>
      <c r="D11640" s="704" t="s">
        <v>715</v>
      </c>
      <c r="E11640" s="704" t="s">
        <v>448</v>
      </c>
      <c r="F11640" s="705">
        <v>0.25817679020102169</v>
      </c>
      <c r="G11640" s="705">
        <v>283.27889607704628</v>
      </c>
    </row>
    <row r="11641" spans="2:7" ht="11.25" hidden="1" customHeight="1" outlineLevel="2" x14ac:dyDescent="0.25">
      <c r="B11641" s="704" t="s">
        <v>682</v>
      </c>
      <c r="C11641" s="704" t="s">
        <v>746</v>
      </c>
      <c r="D11641" s="704" t="s">
        <v>715</v>
      </c>
      <c r="E11641" s="704" t="s">
        <v>448</v>
      </c>
      <c r="F11641" s="705">
        <v>0.66484700248470152</v>
      </c>
      <c r="G11641" s="705">
        <v>461.09466113859071</v>
      </c>
    </row>
    <row r="11642" spans="2:7" ht="11.25" hidden="1" customHeight="1" outlineLevel="2" x14ac:dyDescent="0.25">
      <c r="B11642" s="704" t="s">
        <v>682</v>
      </c>
      <c r="C11642" s="704" t="s">
        <v>747</v>
      </c>
      <c r="D11642" s="704" t="s">
        <v>715</v>
      </c>
      <c r="E11642" s="704" t="s">
        <v>448</v>
      </c>
      <c r="F11642" s="705">
        <v>5.7563501889331663</v>
      </c>
      <c r="G11642" s="705">
        <v>4914.6737782423588</v>
      </c>
    </row>
    <row r="11643" spans="2:7" ht="11.25" hidden="1" customHeight="1" outlineLevel="2" x14ac:dyDescent="0.25">
      <c r="B11643" s="704" t="s">
        <v>682</v>
      </c>
      <c r="C11643" s="704" t="s">
        <v>748</v>
      </c>
      <c r="D11643" s="704" t="s">
        <v>715</v>
      </c>
      <c r="E11643" s="704" t="s">
        <v>448</v>
      </c>
      <c r="F11643" s="705">
        <v>0.26658176554838353</v>
      </c>
      <c r="G11643" s="705">
        <v>345.32406459591778</v>
      </c>
    </row>
    <row r="11644" spans="2:7" ht="11.25" hidden="1" customHeight="1" outlineLevel="2" x14ac:dyDescent="0.25">
      <c r="B11644" s="704" t="s">
        <v>682</v>
      </c>
      <c r="C11644" s="704" t="s">
        <v>749</v>
      </c>
      <c r="D11644" s="704" t="s">
        <v>715</v>
      </c>
      <c r="E11644" s="704" t="s">
        <v>448</v>
      </c>
      <c r="F11644" s="705">
        <v>0.35143578834822214</v>
      </c>
      <c r="G11644" s="705">
        <v>276.41502108592425</v>
      </c>
    </row>
    <row r="11645" spans="2:7" ht="11.25" hidden="1" customHeight="1" outlineLevel="2" x14ac:dyDescent="0.25">
      <c r="B11645" s="704" t="s">
        <v>682</v>
      </c>
      <c r="C11645" s="704" t="s">
        <v>823</v>
      </c>
      <c r="D11645" s="704" t="s">
        <v>715</v>
      </c>
      <c r="E11645" s="704" t="s">
        <v>824</v>
      </c>
      <c r="F11645" s="705">
        <v>1.1443235182431401E-2</v>
      </c>
      <c r="G11645" s="705">
        <v>19.117966778259756</v>
      </c>
    </row>
    <row r="11646" spans="2:7" ht="11.25" hidden="1" customHeight="1" outlineLevel="2" x14ac:dyDescent="0.25">
      <c r="B11646" s="704" t="s">
        <v>682</v>
      </c>
      <c r="C11646" s="704" t="s">
        <v>860</v>
      </c>
      <c r="D11646" s="704" t="s">
        <v>715</v>
      </c>
      <c r="E11646" s="704" t="s">
        <v>861</v>
      </c>
      <c r="F11646" s="709"/>
      <c r="G11646" s="705">
        <v>378.91666585936753</v>
      </c>
    </row>
    <row r="11647" spans="2:7" ht="11.25" hidden="1" customHeight="1" outlineLevel="2" x14ac:dyDescent="0.25">
      <c r="B11647" s="704" t="s">
        <v>682</v>
      </c>
      <c r="C11647" s="704" t="s">
        <v>919</v>
      </c>
      <c r="D11647" s="704" t="s">
        <v>920</v>
      </c>
      <c r="E11647" s="704" t="s">
        <v>861</v>
      </c>
      <c r="F11647" s="709"/>
      <c r="G11647" s="705">
        <v>3.0023057417662033E-30</v>
      </c>
    </row>
    <row r="11648" spans="2:7" ht="11.25" hidden="1" customHeight="1" outlineLevel="1" x14ac:dyDescent="0.25">
      <c r="B11648" s="707" t="s">
        <v>948</v>
      </c>
      <c r="C11648" s="704"/>
      <c r="D11648" s="704"/>
      <c r="E11648" s="704"/>
      <c r="F11648" s="709">
        <f t="shared" ref="F11648:G11648" si="33">SUBTOTAL(9,F11437:F11647)</f>
        <v>38.888909058493404</v>
      </c>
      <c r="G11648" s="705">
        <f t="shared" si="33"/>
        <v>83411.330828221617</v>
      </c>
    </row>
    <row r="11649" spans="2:7" ht="11.25" hidden="1" customHeight="1" outlineLevel="2" x14ac:dyDescent="0.25">
      <c r="B11649" s="704" t="s">
        <v>683</v>
      </c>
      <c r="C11649" s="704" t="s">
        <v>739</v>
      </c>
      <c r="D11649" s="704" t="s">
        <v>44</v>
      </c>
      <c r="E11649" s="704" t="s">
        <v>448</v>
      </c>
      <c r="F11649" s="705">
        <v>7.067403502474842E-4</v>
      </c>
      <c r="G11649" s="705">
        <v>0.43101510898029383</v>
      </c>
    </row>
    <row r="11650" spans="2:7" ht="11.25" hidden="1" customHeight="1" outlineLevel="2" x14ac:dyDescent="0.25">
      <c r="B11650" s="704" t="s">
        <v>683</v>
      </c>
      <c r="C11650" s="704" t="s">
        <v>796</v>
      </c>
      <c r="D11650" s="704" t="s">
        <v>44</v>
      </c>
      <c r="E11650" s="704" t="s">
        <v>448</v>
      </c>
      <c r="F11650" s="705">
        <v>7.419459042913273E-4</v>
      </c>
      <c r="G11650" s="705">
        <v>1.045581517904945</v>
      </c>
    </row>
    <row r="11651" spans="2:7" ht="11.25" hidden="1" customHeight="1" outlineLevel="2" x14ac:dyDescent="0.25">
      <c r="B11651" s="704" t="s">
        <v>683</v>
      </c>
      <c r="C11651" s="704" t="s">
        <v>797</v>
      </c>
      <c r="D11651" s="704" t="s">
        <v>44</v>
      </c>
      <c r="E11651" s="704" t="s">
        <v>448</v>
      </c>
      <c r="F11651" s="705">
        <v>1.1855330136133651E-3</v>
      </c>
      <c r="G11651" s="705">
        <v>4.0683002402015331</v>
      </c>
    </row>
    <row r="11652" spans="2:7" ht="11.25" hidden="1" customHeight="1" outlineLevel="2" x14ac:dyDescent="0.25">
      <c r="B11652" s="704" t="s">
        <v>683</v>
      </c>
      <c r="C11652" s="704" t="s">
        <v>798</v>
      </c>
      <c r="D11652" s="704" t="s">
        <v>44</v>
      </c>
      <c r="E11652" s="704" t="s">
        <v>448</v>
      </c>
      <c r="F11652" s="705">
        <v>1.9487807655414429E-5</v>
      </c>
      <c r="G11652" s="705">
        <v>2.5624474645200474E-2</v>
      </c>
    </row>
    <row r="11653" spans="2:7" ht="11.25" hidden="1" customHeight="1" outlineLevel="2" x14ac:dyDescent="0.25">
      <c r="B11653" s="704" t="s">
        <v>683</v>
      </c>
      <c r="C11653" s="704" t="s">
        <v>799</v>
      </c>
      <c r="D11653" s="704" t="s">
        <v>44</v>
      </c>
      <c r="E11653" s="704" t="s">
        <v>448</v>
      </c>
      <c r="F11653" s="705">
        <v>2.105281549772204E-3</v>
      </c>
      <c r="G11653" s="705">
        <v>2.7661162586444537</v>
      </c>
    </row>
    <row r="11654" spans="2:7" ht="11.25" hidden="1" customHeight="1" outlineLevel="2" x14ac:dyDescent="0.25">
      <c r="B11654" s="704" t="s">
        <v>683</v>
      </c>
      <c r="C11654" s="704" t="s">
        <v>800</v>
      </c>
      <c r="D11654" s="704" t="s">
        <v>44</v>
      </c>
      <c r="E11654" s="704" t="s">
        <v>448</v>
      </c>
      <c r="F11654" s="705">
        <v>6.9289266586131256E-4</v>
      </c>
      <c r="G11654" s="705">
        <v>0.86646796599019815</v>
      </c>
    </row>
    <row r="11655" spans="2:7" ht="11.25" hidden="1" customHeight="1" outlineLevel="2" x14ac:dyDescent="0.25">
      <c r="B11655" s="704" t="s">
        <v>683</v>
      </c>
      <c r="C11655" s="704" t="s">
        <v>801</v>
      </c>
      <c r="D11655" s="704" t="s">
        <v>44</v>
      </c>
      <c r="E11655" s="704" t="s">
        <v>448</v>
      </c>
      <c r="F11655" s="705">
        <v>9.0403869085305451E-3</v>
      </c>
      <c r="G11655" s="705">
        <v>9.4126082279582217</v>
      </c>
    </row>
    <row r="11656" spans="2:7" ht="11.25" hidden="1" customHeight="1" outlineLevel="2" x14ac:dyDescent="0.25">
      <c r="B11656" s="704" t="s">
        <v>683</v>
      </c>
      <c r="C11656" s="704" t="s">
        <v>802</v>
      </c>
      <c r="D11656" s="704" t="s">
        <v>44</v>
      </c>
      <c r="E11656" s="704" t="s">
        <v>448</v>
      </c>
      <c r="F11656" s="705">
        <v>2.9726119619235349E-2</v>
      </c>
      <c r="G11656" s="705">
        <v>20.175935659371035</v>
      </c>
    </row>
    <row r="11657" spans="2:7" ht="11.25" hidden="1" customHeight="1" outlineLevel="2" x14ac:dyDescent="0.25">
      <c r="B11657" s="704" t="s">
        <v>683</v>
      </c>
      <c r="C11657" s="704" t="s">
        <v>803</v>
      </c>
      <c r="D11657" s="704" t="s">
        <v>44</v>
      </c>
      <c r="E11657" s="704" t="s">
        <v>448</v>
      </c>
      <c r="F11657" s="705">
        <v>3.3408586747085012E-3</v>
      </c>
      <c r="G11657" s="705">
        <v>4.3895371853479501</v>
      </c>
    </row>
    <row r="11658" spans="2:7" ht="11.25" hidden="1" customHeight="1" outlineLevel="2" x14ac:dyDescent="0.25">
      <c r="B11658" s="704" t="s">
        <v>683</v>
      </c>
      <c r="C11658" s="704" t="s">
        <v>804</v>
      </c>
      <c r="D11658" s="704" t="s">
        <v>44</v>
      </c>
      <c r="E11658" s="704" t="s">
        <v>448</v>
      </c>
      <c r="F11658" s="705">
        <v>4.9735003324586488E-3</v>
      </c>
      <c r="G11658" s="705">
        <v>6.3560321941518616</v>
      </c>
    </row>
    <row r="11659" spans="2:7" ht="11.25" hidden="1" customHeight="1" outlineLevel="2" x14ac:dyDescent="0.25">
      <c r="B11659" s="704" t="s">
        <v>683</v>
      </c>
      <c r="C11659" s="704" t="s">
        <v>805</v>
      </c>
      <c r="D11659" s="704" t="s">
        <v>44</v>
      </c>
      <c r="E11659" s="704" t="s">
        <v>448</v>
      </c>
      <c r="F11659" s="705">
        <v>9.974506877164697E-4</v>
      </c>
      <c r="G11659" s="705">
        <v>7.0510309630512324</v>
      </c>
    </row>
    <row r="11660" spans="2:7" ht="11.25" hidden="1" customHeight="1" outlineLevel="2" x14ac:dyDescent="0.25">
      <c r="B11660" s="704" t="s">
        <v>683</v>
      </c>
      <c r="C11660" s="704" t="s">
        <v>846</v>
      </c>
      <c r="D11660" s="704" t="s">
        <v>44</v>
      </c>
      <c r="E11660" s="704" t="s">
        <v>824</v>
      </c>
      <c r="F11660" s="705">
        <v>2.4287110741290029E-5</v>
      </c>
      <c r="G11660" s="705">
        <v>3.8591106505006342E-2</v>
      </c>
    </row>
    <row r="11661" spans="2:7" ht="11.25" hidden="1" customHeight="1" outlineLevel="2" x14ac:dyDescent="0.25">
      <c r="B11661" s="704" t="s">
        <v>683</v>
      </c>
      <c r="C11661" s="704" t="s">
        <v>847</v>
      </c>
      <c r="D11661" s="704" t="s">
        <v>44</v>
      </c>
      <c r="E11661" s="704" t="s">
        <v>824</v>
      </c>
      <c r="F11661" s="705">
        <v>4.9836683889197731E-6</v>
      </c>
      <c r="G11661" s="705">
        <v>5.2522071439770647E-2</v>
      </c>
    </row>
    <row r="11662" spans="2:7" ht="11.25" hidden="1" customHeight="1" outlineLevel="2" x14ac:dyDescent="0.25">
      <c r="B11662" s="704" t="s">
        <v>683</v>
      </c>
      <c r="C11662" s="704" t="s">
        <v>705</v>
      </c>
      <c r="D11662" s="704" t="s">
        <v>44</v>
      </c>
      <c r="E11662" s="704" t="s">
        <v>676</v>
      </c>
      <c r="F11662" s="705">
        <v>9.7222965737891152E-4</v>
      </c>
      <c r="G11662" s="705">
        <v>1.0194253944075232E-2</v>
      </c>
    </row>
    <row r="11663" spans="2:7" ht="11.25" hidden="1" customHeight="1" outlineLevel="2" x14ac:dyDescent="0.25">
      <c r="B11663" s="704" t="s">
        <v>683</v>
      </c>
      <c r="C11663" s="704" t="s">
        <v>706</v>
      </c>
      <c r="D11663" s="704" t="s">
        <v>44</v>
      </c>
      <c r="E11663" s="704" t="s">
        <v>676</v>
      </c>
      <c r="F11663" s="705">
        <v>3.085925658816548E-4</v>
      </c>
      <c r="G11663" s="705">
        <v>3.2347549403924977E-3</v>
      </c>
    </row>
    <row r="11664" spans="2:7" ht="11.25" hidden="1" customHeight="1" outlineLevel="2" x14ac:dyDescent="0.25">
      <c r="B11664" s="704" t="s">
        <v>683</v>
      </c>
      <c r="C11664" s="704" t="s">
        <v>901</v>
      </c>
      <c r="D11664" s="704" t="s">
        <v>44</v>
      </c>
      <c r="E11664" s="704" t="s">
        <v>861</v>
      </c>
      <c r="F11664" s="709"/>
      <c r="G11664" s="705">
        <v>7.5387068535670496E-2</v>
      </c>
    </row>
    <row r="11665" spans="2:7" ht="11.25" hidden="1" customHeight="1" outlineLevel="2" x14ac:dyDescent="0.25">
      <c r="B11665" s="704" t="s">
        <v>683</v>
      </c>
      <c r="C11665" s="704" t="s">
        <v>902</v>
      </c>
      <c r="D11665" s="704" t="s">
        <v>44</v>
      </c>
      <c r="E11665" s="704" t="s">
        <v>861</v>
      </c>
      <c r="F11665" s="709"/>
      <c r="G11665" s="705">
        <v>3259.1625763979682</v>
      </c>
    </row>
    <row r="11666" spans="2:7" ht="11.25" hidden="1" customHeight="1" outlineLevel="2" x14ac:dyDescent="0.25">
      <c r="B11666" s="704" t="s">
        <v>683</v>
      </c>
      <c r="C11666" s="704" t="s">
        <v>903</v>
      </c>
      <c r="D11666" s="704" t="s">
        <v>44</v>
      </c>
      <c r="E11666" s="704" t="s">
        <v>861</v>
      </c>
      <c r="F11666" s="709"/>
      <c r="G11666" s="705">
        <v>292.44630708957425</v>
      </c>
    </row>
    <row r="11667" spans="2:7" ht="11.25" hidden="1" customHeight="1" outlineLevel="2" x14ac:dyDescent="0.25">
      <c r="B11667" s="704" t="s">
        <v>683</v>
      </c>
      <c r="C11667" s="704" t="s">
        <v>904</v>
      </c>
      <c r="D11667" s="704" t="s">
        <v>44</v>
      </c>
      <c r="E11667" s="704" t="s">
        <v>861</v>
      </c>
      <c r="F11667" s="709"/>
      <c r="G11667" s="705">
        <v>1.6256021151539979</v>
      </c>
    </row>
    <row r="11668" spans="2:7" ht="11.25" hidden="1" customHeight="1" outlineLevel="2" x14ac:dyDescent="0.25">
      <c r="B11668" s="704" t="s">
        <v>683</v>
      </c>
      <c r="C11668" s="704" t="s">
        <v>905</v>
      </c>
      <c r="D11668" s="704" t="s">
        <v>44</v>
      </c>
      <c r="E11668" s="704" t="s">
        <v>861</v>
      </c>
      <c r="F11668" s="709"/>
      <c r="G11668" s="705">
        <v>0.33365251807731028</v>
      </c>
    </row>
    <row r="11669" spans="2:7" ht="11.25" hidden="1" customHeight="1" outlineLevel="2" x14ac:dyDescent="0.25">
      <c r="B11669" s="704" t="s">
        <v>683</v>
      </c>
      <c r="C11669" s="704" t="s">
        <v>906</v>
      </c>
      <c r="D11669" s="704" t="s">
        <v>44</v>
      </c>
      <c r="E11669" s="704" t="s">
        <v>861</v>
      </c>
      <c r="F11669" s="709"/>
      <c r="G11669" s="705">
        <v>24.825170243437945</v>
      </c>
    </row>
    <row r="11670" spans="2:7" ht="11.25" hidden="1" customHeight="1" outlineLevel="2" x14ac:dyDescent="0.25">
      <c r="B11670" s="704" t="s">
        <v>683</v>
      </c>
      <c r="C11670" s="704" t="s">
        <v>907</v>
      </c>
      <c r="D11670" s="704" t="s">
        <v>44</v>
      </c>
      <c r="E11670" s="704" t="s">
        <v>861</v>
      </c>
      <c r="F11670" s="709"/>
      <c r="G11670" s="705">
        <v>6.2177938475616625E-2</v>
      </c>
    </row>
    <row r="11671" spans="2:7" ht="11.25" hidden="1" customHeight="1" outlineLevel="2" x14ac:dyDescent="0.25">
      <c r="B11671" s="704" t="s">
        <v>683</v>
      </c>
      <c r="C11671" s="704" t="s">
        <v>908</v>
      </c>
      <c r="D11671" s="704" t="s">
        <v>44</v>
      </c>
      <c r="E11671" s="704" t="s">
        <v>861</v>
      </c>
      <c r="F11671" s="709"/>
      <c r="G11671" s="705">
        <v>22.945239316110879</v>
      </c>
    </row>
    <row r="11672" spans="2:7" ht="11.25" hidden="1" customHeight="1" outlineLevel="2" x14ac:dyDescent="0.25">
      <c r="B11672" s="704" t="s">
        <v>683</v>
      </c>
      <c r="C11672" s="704" t="s">
        <v>909</v>
      </c>
      <c r="D11672" s="704" t="s">
        <v>44</v>
      </c>
      <c r="E11672" s="704" t="s">
        <v>861</v>
      </c>
      <c r="F11672" s="709"/>
      <c r="G11672" s="705">
        <v>63.735870412953133</v>
      </c>
    </row>
    <row r="11673" spans="2:7" ht="11.25" hidden="1" customHeight="1" outlineLevel="2" x14ac:dyDescent="0.25">
      <c r="B11673" s="704" t="s">
        <v>683</v>
      </c>
      <c r="C11673" s="704" t="s">
        <v>910</v>
      </c>
      <c r="D11673" s="704" t="s">
        <v>44</v>
      </c>
      <c r="E11673" s="704" t="s">
        <v>861</v>
      </c>
      <c r="F11673" s="709"/>
      <c r="G11673" s="705">
        <v>46.858281472168187</v>
      </c>
    </row>
    <row r="11674" spans="2:7" ht="11.25" hidden="1" customHeight="1" outlineLevel="2" x14ac:dyDescent="0.25">
      <c r="B11674" s="704" t="s">
        <v>683</v>
      </c>
      <c r="C11674" s="704" t="s">
        <v>814</v>
      </c>
      <c r="D11674" s="704" t="s">
        <v>815</v>
      </c>
      <c r="E11674" s="704" t="s">
        <v>448</v>
      </c>
      <c r="F11674" s="705">
        <v>3.6481196869676405E-36</v>
      </c>
      <c r="G11674" s="705">
        <v>5.1032962245437871E-32</v>
      </c>
    </row>
    <row r="11675" spans="2:7" ht="11.25" hidden="1" customHeight="1" outlineLevel="2" x14ac:dyDescent="0.25">
      <c r="B11675" s="704" t="s">
        <v>683</v>
      </c>
      <c r="C11675" s="704" t="s">
        <v>854</v>
      </c>
      <c r="D11675" s="704" t="s">
        <v>815</v>
      </c>
      <c r="E11675" s="704" t="s">
        <v>824</v>
      </c>
      <c r="F11675" s="705">
        <v>1.6645027218787266E-36</v>
      </c>
      <c r="G11675" s="705">
        <v>2.4044512537756401E-32</v>
      </c>
    </row>
    <row r="11676" spans="2:7" ht="11.25" hidden="1" customHeight="1" outlineLevel="2" x14ac:dyDescent="0.25">
      <c r="B11676" s="704" t="s">
        <v>683</v>
      </c>
      <c r="C11676" s="704" t="s">
        <v>918</v>
      </c>
      <c r="D11676" s="704" t="s">
        <v>815</v>
      </c>
      <c r="E11676" s="704" t="s">
        <v>861</v>
      </c>
      <c r="F11676" s="709"/>
      <c r="G11676" s="705">
        <v>2.1486815209001712E-28</v>
      </c>
    </row>
    <row r="11677" spans="2:7" ht="11.25" hidden="1" customHeight="1" outlineLevel="2" x14ac:dyDescent="0.25">
      <c r="B11677" s="704" t="s">
        <v>683</v>
      </c>
      <c r="C11677" s="704" t="s">
        <v>740</v>
      </c>
      <c r="D11677" s="704" t="s">
        <v>562</v>
      </c>
      <c r="E11677" s="704" t="s">
        <v>448</v>
      </c>
      <c r="F11677" s="705">
        <v>8.6168472033301118E-3</v>
      </c>
      <c r="G11677" s="705">
        <v>4.2702288137846818</v>
      </c>
    </row>
    <row r="11678" spans="2:7" ht="11.25" hidden="1" customHeight="1" outlineLevel="2" x14ac:dyDescent="0.25">
      <c r="B11678" s="704" t="s">
        <v>683</v>
      </c>
      <c r="C11678" s="704" t="s">
        <v>741</v>
      </c>
      <c r="D11678" s="704" t="s">
        <v>562</v>
      </c>
      <c r="E11678" s="704" t="s">
        <v>448</v>
      </c>
      <c r="F11678" s="705">
        <v>5.5061227858682352E-2</v>
      </c>
      <c r="G11678" s="705">
        <v>28.489598884659827</v>
      </c>
    </row>
    <row r="11679" spans="2:7" ht="11.25" hidden="1" customHeight="1" outlineLevel="2" x14ac:dyDescent="0.25">
      <c r="B11679" s="704" t="s">
        <v>683</v>
      </c>
      <c r="C11679" s="704" t="s">
        <v>742</v>
      </c>
      <c r="D11679" s="704" t="s">
        <v>562</v>
      </c>
      <c r="E11679" s="704" t="s">
        <v>448</v>
      </c>
      <c r="F11679" s="705">
        <v>2.4509524654466707E-5</v>
      </c>
      <c r="G11679" s="705">
        <v>1.0987585180172909E-2</v>
      </c>
    </row>
    <row r="11680" spans="2:7" ht="11.25" hidden="1" customHeight="1" outlineLevel="2" x14ac:dyDescent="0.25">
      <c r="B11680" s="704" t="s">
        <v>683</v>
      </c>
      <c r="C11680" s="704" t="s">
        <v>743</v>
      </c>
      <c r="D11680" s="704" t="s">
        <v>562</v>
      </c>
      <c r="E11680" s="704" t="s">
        <v>448</v>
      </c>
      <c r="F11680" s="705">
        <v>3.8565260945625315E-4</v>
      </c>
      <c r="G11680" s="705">
        <v>0.17288721684572575</v>
      </c>
    </row>
    <row r="11681" spans="2:7" ht="11.25" hidden="1" customHeight="1" outlineLevel="2" x14ac:dyDescent="0.25">
      <c r="B11681" s="704" t="s">
        <v>683</v>
      </c>
      <c r="C11681" s="704" t="s">
        <v>806</v>
      </c>
      <c r="D11681" s="704" t="s">
        <v>562</v>
      </c>
      <c r="E11681" s="704" t="s">
        <v>448</v>
      </c>
      <c r="F11681" s="705">
        <v>0.72747499964226536</v>
      </c>
      <c r="G11681" s="705">
        <v>879.00518713362874</v>
      </c>
    </row>
    <row r="11682" spans="2:7" ht="11.25" hidden="1" customHeight="1" outlineLevel="2" x14ac:dyDescent="0.25">
      <c r="B11682" s="704" t="s">
        <v>683</v>
      </c>
      <c r="C11682" s="704" t="s">
        <v>807</v>
      </c>
      <c r="D11682" s="704" t="s">
        <v>562</v>
      </c>
      <c r="E11682" s="704" t="s">
        <v>448</v>
      </c>
      <c r="F11682" s="705">
        <v>0.15659551811736472</v>
      </c>
      <c r="G11682" s="705">
        <v>219.96237579573284</v>
      </c>
    </row>
    <row r="11683" spans="2:7" ht="11.25" hidden="1" customHeight="1" outlineLevel="2" x14ac:dyDescent="0.25">
      <c r="B11683" s="704" t="s">
        <v>683</v>
      </c>
      <c r="C11683" s="704" t="s">
        <v>808</v>
      </c>
      <c r="D11683" s="704" t="s">
        <v>562</v>
      </c>
      <c r="E11683" s="704" t="s">
        <v>448</v>
      </c>
      <c r="F11683" s="705">
        <v>7.2286021513749632E-2</v>
      </c>
      <c r="G11683" s="705">
        <v>116.64419679347615</v>
      </c>
    </row>
    <row r="11684" spans="2:7" ht="11.25" hidden="1" customHeight="1" outlineLevel="2" x14ac:dyDescent="0.25">
      <c r="B11684" s="704" t="s">
        <v>683</v>
      </c>
      <c r="C11684" s="704" t="s">
        <v>809</v>
      </c>
      <c r="D11684" s="704" t="s">
        <v>562</v>
      </c>
      <c r="E11684" s="704" t="s">
        <v>448</v>
      </c>
      <c r="F11684" s="705">
        <v>0.16656087015012072</v>
      </c>
      <c r="G11684" s="705">
        <v>250.27638965328114</v>
      </c>
    </row>
    <row r="11685" spans="2:7" ht="11.25" hidden="1" customHeight="1" outlineLevel="2" x14ac:dyDescent="0.25">
      <c r="B11685" s="704" t="s">
        <v>683</v>
      </c>
      <c r="C11685" s="704" t="s">
        <v>810</v>
      </c>
      <c r="D11685" s="704" t="s">
        <v>562</v>
      </c>
      <c r="E11685" s="704" t="s">
        <v>448</v>
      </c>
      <c r="F11685" s="705">
        <v>0.31456564551731547</v>
      </c>
      <c r="G11685" s="705">
        <v>394.28869209894185</v>
      </c>
    </row>
    <row r="11686" spans="2:7" ht="11.25" hidden="1" customHeight="1" outlineLevel="2" x14ac:dyDescent="0.25">
      <c r="B11686" s="704" t="s">
        <v>683</v>
      </c>
      <c r="C11686" s="704" t="s">
        <v>811</v>
      </c>
      <c r="D11686" s="704" t="s">
        <v>562</v>
      </c>
      <c r="E11686" s="704" t="s">
        <v>448</v>
      </c>
      <c r="F11686" s="705">
        <v>1.3391730923369885E-2</v>
      </c>
      <c r="G11686" s="705">
        <v>18.545142022193009</v>
      </c>
    </row>
    <row r="11687" spans="2:7" ht="11.25" hidden="1" customHeight="1" outlineLevel="2" x14ac:dyDescent="0.25">
      <c r="B11687" s="704" t="s">
        <v>683</v>
      </c>
      <c r="C11687" s="704" t="s">
        <v>848</v>
      </c>
      <c r="D11687" s="704" t="s">
        <v>562</v>
      </c>
      <c r="E11687" s="704" t="s">
        <v>824</v>
      </c>
      <c r="F11687" s="705">
        <v>4.254172054770132E-2</v>
      </c>
      <c r="G11687" s="705">
        <v>116.95588002359445</v>
      </c>
    </row>
    <row r="11688" spans="2:7" ht="11.25" hidden="1" customHeight="1" outlineLevel="2" x14ac:dyDescent="0.25">
      <c r="B11688" s="704" t="s">
        <v>683</v>
      </c>
      <c r="C11688" s="704" t="s">
        <v>849</v>
      </c>
      <c r="D11688" s="704" t="s">
        <v>562</v>
      </c>
      <c r="E11688" s="704" t="s">
        <v>824</v>
      </c>
      <c r="F11688" s="705">
        <v>6.1766014019330219E-3</v>
      </c>
      <c r="G11688" s="705">
        <v>26.050135857066277</v>
      </c>
    </row>
    <row r="11689" spans="2:7" ht="11.25" hidden="1" customHeight="1" outlineLevel="2" x14ac:dyDescent="0.25">
      <c r="B11689" s="704" t="s">
        <v>683</v>
      </c>
      <c r="C11689" s="704" t="s">
        <v>850</v>
      </c>
      <c r="D11689" s="704" t="s">
        <v>562</v>
      </c>
      <c r="E11689" s="704" t="s">
        <v>824</v>
      </c>
      <c r="F11689" s="705">
        <v>4.5695691928592371E-3</v>
      </c>
      <c r="G11689" s="705">
        <v>30.535455912716497</v>
      </c>
    </row>
    <row r="11690" spans="2:7" ht="11.25" hidden="1" customHeight="1" outlineLevel="2" x14ac:dyDescent="0.25">
      <c r="B11690" s="704" t="s">
        <v>683</v>
      </c>
      <c r="C11690" s="704" t="s">
        <v>851</v>
      </c>
      <c r="D11690" s="704" t="s">
        <v>562</v>
      </c>
      <c r="E11690" s="704" t="s">
        <v>824</v>
      </c>
      <c r="F11690" s="705">
        <v>8.0041797070417534E-3</v>
      </c>
      <c r="G11690" s="705">
        <v>37.932690867465752</v>
      </c>
    </row>
    <row r="11691" spans="2:7" ht="11.25" hidden="1" customHeight="1" outlineLevel="2" x14ac:dyDescent="0.25">
      <c r="B11691" s="704" t="s">
        <v>683</v>
      </c>
      <c r="C11691" s="704" t="s">
        <v>852</v>
      </c>
      <c r="D11691" s="704" t="s">
        <v>562</v>
      </c>
      <c r="E11691" s="704" t="s">
        <v>824</v>
      </c>
      <c r="F11691" s="705">
        <v>1.9985973673732941E-4</v>
      </c>
      <c r="G11691" s="705">
        <v>0.51276428174759381</v>
      </c>
    </row>
    <row r="11692" spans="2:7" ht="11.25" hidden="1" customHeight="1" outlineLevel="2" x14ac:dyDescent="0.25">
      <c r="B11692" s="704" t="s">
        <v>683</v>
      </c>
      <c r="C11692" s="704" t="s">
        <v>853</v>
      </c>
      <c r="D11692" s="704" t="s">
        <v>562</v>
      </c>
      <c r="E11692" s="704" t="s">
        <v>824</v>
      </c>
      <c r="F11692" s="705">
        <v>5.8309334389929612E-5</v>
      </c>
      <c r="G11692" s="705">
        <v>0.47629031802753474</v>
      </c>
    </row>
    <row r="11693" spans="2:7" ht="11.25" hidden="1" customHeight="1" outlineLevel="2" x14ac:dyDescent="0.25">
      <c r="B11693" s="704" t="s">
        <v>683</v>
      </c>
      <c r="C11693" s="704" t="s">
        <v>707</v>
      </c>
      <c r="D11693" s="704" t="s">
        <v>562</v>
      </c>
      <c r="E11693" s="704" t="s">
        <v>676</v>
      </c>
      <c r="F11693" s="705">
        <v>0.93993347307302555</v>
      </c>
      <c r="G11693" s="705">
        <v>26.100982031370055</v>
      </c>
    </row>
    <row r="11694" spans="2:7" ht="11.25" hidden="1" customHeight="1" outlineLevel="2" x14ac:dyDescent="0.25">
      <c r="B11694" s="704" t="s">
        <v>683</v>
      </c>
      <c r="C11694" s="704" t="s">
        <v>708</v>
      </c>
      <c r="D11694" s="704" t="s">
        <v>562</v>
      </c>
      <c r="E11694" s="704" t="s">
        <v>676</v>
      </c>
      <c r="F11694" s="705">
        <v>3.6035731103460943E-2</v>
      </c>
      <c r="G11694" s="705">
        <v>1.3099533293498919</v>
      </c>
    </row>
    <row r="11695" spans="2:7" ht="11.25" hidden="1" customHeight="1" outlineLevel="2" x14ac:dyDescent="0.25">
      <c r="B11695" s="704" t="s">
        <v>683</v>
      </c>
      <c r="C11695" s="704" t="s">
        <v>709</v>
      </c>
      <c r="D11695" s="704" t="s">
        <v>562</v>
      </c>
      <c r="E11695" s="704" t="s">
        <v>676</v>
      </c>
      <c r="F11695" s="705">
        <v>2.5870986359397209E-2</v>
      </c>
      <c r="G11695" s="705">
        <v>1.8145070878291276</v>
      </c>
    </row>
    <row r="11696" spans="2:7" ht="11.25" hidden="1" customHeight="1" outlineLevel="2" x14ac:dyDescent="0.25">
      <c r="B11696" s="704" t="s">
        <v>683</v>
      </c>
      <c r="C11696" s="704" t="s">
        <v>710</v>
      </c>
      <c r="D11696" s="704" t="s">
        <v>562</v>
      </c>
      <c r="E11696" s="704" t="s">
        <v>676</v>
      </c>
      <c r="F11696" s="705">
        <v>0.30309192013613762</v>
      </c>
      <c r="G11696" s="705">
        <v>63.42664529103574</v>
      </c>
    </row>
    <row r="11697" spans="2:7" ht="11.25" hidden="1" customHeight="1" outlineLevel="2" x14ac:dyDescent="0.25">
      <c r="B11697" s="704" t="s">
        <v>683</v>
      </c>
      <c r="C11697" s="704" t="s">
        <v>911</v>
      </c>
      <c r="D11697" s="704" t="s">
        <v>562</v>
      </c>
      <c r="E11697" s="704" t="s">
        <v>861</v>
      </c>
      <c r="F11697" s="709"/>
      <c r="G11697" s="705">
        <v>676.36349042196366</v>
      </c>
    </row>
    <row r="11698" spans="2:7" ht="11.25" hidden="1" customHeight="1" outlineLevel="2" x14ac:dyDescent="0.25">
      <c r="B11698" s="704" t="s">
        <v>683</v>
      </c>
      <c r="C11698" s="704" t="s">
        <v>912</v>
      </c>
      <c r="D11698" s="704" t="s">
        <v>562</v>
      </c>
      <c r="E11698" s="704" t="s">
        <v>861</v>
      </c>
      <c r="F11698" s="709"/>
      <c r="G11698" s="705">
        <v>159.58069513023406</v>
      </c>
    </row>
    <row r="11699" spans="2:7" ht="11.25" hidden="1" customHeight="1" outlineLevel="2" x14ac:dyDescent="0.25">
      <c r="B11699" s="704" t="s">
        <v>683</v>
      </c>
      <c r="C11699" s="704" t="s">
        <v>913</v>
      </c>
      <c r="D11699" s="704" t="s">
        <v>562</v>
      </c>
      <c r="E11699" s="704" t="s">
        <v>861</v>
      </c>
      <c r="F11699" s="709"/>
      <c r="G11699" s="705">
        <v>442.77495823612981</v>
      </c>
    </row>
    <row r="11700" spans="2:7" ht="11.25" hidden="1" customHeight="1" outlineLevel="2" x14ac:dyDescent="0.25">
      <c r="B11700" s="704" t="s">
        <v>683</v>
      </c>
      <c r="C11700" s="704" t="s">
        <v>914</v>
      </c>
      <c r="D11700" s="704" t="s">
        <v>562</v>
      </c>
      <c r="E11700" s="704" t="s">
        <v>861</v>
      </c>
      <c r="F11700" s="709"/>
      <c r="G11700" s="705">
        <v>224.82668286322004</v>
      </c>
    </row>
    <row r="11701" spans="2:7" ht="11.25" hidden="1" customHeight="1" outlineLevel="2" x14ac:dyDescent="0.25">
      <c r="B11701" s="704" t="s">
        <v>683</v>
      </c>
      <c r="C11701" s="704" t="s">
        <v>915</v>
      </c>
      <c r="D11701" s="704" t="s">
        <v>562</v>
      </c>
      <c r="E11701" s="704" t="s">
        <v>861</v>
      </c>
      <c r="F11701" s="709"/>
      <c r="G11701" s="705">
        <v>21.598254760556177</v>
      </c>
    </row>
    <row r="11702" spans="2:7" ht="11.25" hidden="1" customHeight="1" outlineLevel="2" x14ac:dyDescent="0.25">
      <c r="B11702" s="704" t="s">
        <v>683</v>
      </c>
      <c r="C11702" s="704" t="s">
        <v>916</v>
      </c>
      <c r="D11702" s="704" t="s">
        <v>562</v>
      </c>
      <c r="E11702" s="704" t="s">
        <v>861</v>
      </c>
      <c r="F11702" s="709"/>
      <c r="G11702" s="705">
        <v>19.16254408592577</v>
      </c>
    </row>
    <row r="11703" spans="2:7" ht="11.25" hidden="1" customHeight="1" outlineLevel="2" x14ac:dyDescent="0.25">
      <c r="B11703" s="704" t="s">
        <v>683</v>
      </c>
      <c r="C11703" s="704" t="s">
        <v>719</v>
      </c>
      <c r="D11703" s="704" t="s">
        <v>675</v>
      </c>
      <c r="E11703" s="704" t="s">
        <v>448</v>
      </c>
      <c r="F11703" s="705">
        <v>4.7023004921730199E-2</v>
      </c>
      <c r="G11703" s="705">
        <v>28.994252933285665</v>
      </c>
    </row>
    <row r="11704" spans="2:7" ht="11.25" hidden="1" customHeight="1" outlineLevel="2" x14ac:dyDescent="0.25">
      <c r="B11704" s="704" t="s">
        <v>683</v>
      </c>
      <c r="C11704" s="704" t="s">
        <v>720</v>
      </c>
      <c r="D11704" s="704" t="s">
        <v>675</v>
      </c>
      <c r="E11704" s="704" t="s">
        <v>448</v>
      </c>
      <c r="F11704" s="705">
        <v>3.8861550060538558E-3</v>
      </c>
      <c r="G11704" s="705">
        <v>1.8804986909237289</v>
      </c>
    </row>
    <row r="11705" spans="2:7" ht="11.25" hidden="1" customHeight="1" outlineLevel="2" x14ac:dyDescent="0.25">
      <c r="B11705" s="704" t="s">
        <v>683</v>
      </c>
      <c r="C11705" s="704" t="s">
        <v>721</v>
      </c>
      <c r="D11705" s="704" t="s">
        <v>675</v>
      </c>
      <c r="E11705" s="704" t="s">
        <v>448</v>
      </c>
      <c r="F11705" s="705">
        <v>4.7062498248481438E-3</v>
      </c>
      <c r="G11705" s="705">
        <v>2.2480263058801304</v>
      </c>
    </row>
    <row r="11706" spans="2:7" ht="11.25" hidden="1" customHeight="1" outlineLevel="2" x14ac:dyDescent="0.25">
      <c r="B11706" s="704" t="s">
        <v>683</v>
      </c>
      <c r="C11706" s="704" t="s">
        <v>722</v>
      </c>
      <c r="D11706" s="704" t="s">
        <v>675</v>
      </c>
      <c r="E11706" s="704" t="s">
        <v>448</v>
      </c>
      <c r="F11706" s="705">
        <v>3.7554461960430758E-5</v>
      </c>
      <c r="G11706" s="705">
        <v>1.6834409662155065E-2</v>
      </c>
    </row>
    <row r="11707" spans="2:7" ht="11.25" hidden="1" customHeight="1" outlineLevel="2" x14ac:dyDescent="0.25">
      <c r="B11707" s="704" t="s">
        <v>683</v>
      </c>
      <c r="C11707" s="704" t="s">
        <v>723</v>
      </c>
      <c r="D11707" s="704" t="s">
        <v>675</v>
      </c>
      <c r="E11707" s="704" t="s">
        <v>448</v>
      </c>
      <c r="F11707" s="705">
        <v>0.13396697354560769</v>
      </c>
      <c r="G11707" s="705">
        <v>74.925622808191093</v>
      </c>
    </row>
    <row r="11708" spans="2:7" ht="11.25" hidden="1" customHeight="1" outlineLevel="2" x14ac:dyDescent="0.25">
      <c r="B11708" s="704" t="s">
        <v>683</v>
      </c>
      <c r="C11708" s="704" t="s">
        <v>724</v>
      </c>
      <c r="D11708" s="704" t="s">
        <v>675</v>
      </c>
      <c r="E11708" s="704" t="s">
        <v>448</v>
      </c>
      <c r="F11708" s="705">
        <v>9.7788770933805226E-4</v>
      </c>
      <c r="G11708" s="705">
        <v>0.43835476858019207</v>
      </c>
    </row>
    <row r="11709" spans="2:7" ht="11.25" hidden="1" customHeight="1" outlineLevel="2" x14ac:dyDescent="0.25">
      <c r="B11709" s="704" t="s">
        <v>683</v>
      </c>
      <c r="C11709" s="704" t="s">
        <v>750</v>
      </c>
      <c r="D11709" s="704" t="s">
        <v>675</v>
      </c>
      <c r="E11709" s="704" t="s">
        <v>448</v>
      </c>
      <c r="F11709" s="705">
        <v>1.6548747711023767E-2</v>
      </c>
      <c r="G11709" s="705">
        <v>25.775314195653873</v>
      </c>
    </row>
    <row r="11710" spans="2:7" ht="11.25" hidden="1" customHeight="1" outlineLevel="2" x14ac:dyDescent="0.25">
      <c r="B11710" s="704" t="s">
        <v>683</v>
      </c>
      <c r="C11710" s="704" t="s">
        <v>751</v>
      </c>
      <c r="D11710" s="704" t="s">
        <v>675</v>
      </c>
      <c r="E11710" s="704" t="s">
        <v>448</v>
      </c>
      <c r="F11710" s="705">
        <v>1.4657563741830274E-4</v>
      </c>
      <c r="G11710" s="705">
        <v>0.19047277494344422</v>
      </c>
    </row>
    <row r="11711" spans="2:7" ht="11.25" hidden="1" customHeight="1" outlineLevel="2" x14ac:dyDescent="0.25">
      <c r="B11711" s="704" t="s">
        <v>683</v>
      </c>
      <c r="C11711" s="704" t="s">
        <v>752</v>
      </c>
      <c r="D11711" s="704" t="s">
        <v>675</v>
      </c>
      <c r="E11711" s="704" t="s">
        <v>448</v>
      </c>
      <c r="F11711" s="705">
        <v>4.0319238293233778E-2</v>
      </c>
      <c r="G11711" s="705">
        <v>48.233243192237964</v>
      </c>
    </row>
    <row r="11712" spans="2:7" ht="11.25" hidden="1" customHeight="1" outlineLevel="2" x14ac:dyDescent="0.25">
      <c r="B11712" s="704" t="s">
        <v>683</v>
      </c>
      <c r="C11712" s="704" t="s">
        <v>753</v>
      </c>
      <c r="D11712" s="704" t="s">
        <v>675</v>
      </c>
      <c r="E11712" s="704" t="s">
        <v>448</v>
      </c>
      <c r="F11712" s="705">
        <v>2.8881013566062715E-2</v>
      </c>
      <c r="G11712" s="705">
        <v>45.577467531895572</v>
      </c>
    </row>
    <row r="11713" spans="2:7" ht="11.25" hidden="1" customHeight="1" outlineLevel="2" x14ac:dyDescent="0.25">
      <c r="B11713" s="704" t="s">
        <v>683</v>
      </c>
      <c r="C11713" s="704" t="s">
        <v>754</v>
      </c>
      <c r="D11713" s="704" t="s">
        <v>675</v>
      </c>
      <c r="E11713" s="704" t="s">
        <v>448</v>
      </c>
      <c r="F11713" s="705">
        <v>7.1110251294058915E-2</v>
      </c>
      <c r="G11713" s="705">
        <v>90.714568777791399</v>
      </c>
    </row>
    <row r="11714" spans="2:7" ht="11.25" hidden="1" customHeight="1" outlineLevel="2" x14ac:dyDescent="0.25">
      <c r="B11714" s="704" t="s">
        <v>683</v>
      </c>
      <c r="C11714" s="704" t="s">
        <v>755</v>
      </c>
      <c r="D11714" s="704" t="s">
        <v>675</v>
      </c>
      <c r="E11714" s="704" t="s">
        <v>448</v>
      </c>
      <c r="F11714" s="705">
        <v>2.7814187052841596E-2</v>
      </c>
      <c r="G11714" s="705">
        <v>38.25434727696355</v>
      </c>
    </row>
    <row r="11715" spans="2:7" ht="11.25" hidden="1" customHeight="1" outlineLevel="2" x14ac:dyDescent="0.25">
      <c r="B11715" s="704" t="s">
        <v>683</v>
      </c>
      <c r="C11715" s="704" t="s">
        <v>756</v>
      </c>
      <c r="D11715" s="704" t="s">
        <v>675</v>
      </c>
      <c r="E11715" s="704" t="s">
        <v>448</v>
      </c>
      <c r="F11715" s="705">
        <v>1.4988992031008239E-3</v>
      </c>
      <c r="G11715" s="705">
        <v>1.9861407444479708</v>
      </c>
    </row>
    <row r="11716" spans="2:7" ht="11.25" hidden="1" customHeight="1" outlineLevel="2" x14ac:dyDescent="0.25">
      <c r="B11716" s="704" t="s">
        <v>683</v>
      </c>
      <c r="C11716" s="704" t="s">
        <v>757</v>
      </c>
      <c r="D11716" s="704" t="s">
        <v>675</v>
      </c>
      <c r="E11716" s="704" t="s">
        <v>448</v>
      </c>
      <c r="F11716" s="705">
        <v>5.3003109995902034E-2</v>
      </c>
      <c r="G11716" s="705">
        <v>80.084420762005664</v>
      </c>
    </row>
    <row r="11717" spans="2:7" ht="11.25" hidden="1" customHeight="1" outlineLevel="2" x14ac:dyDescent="0.25">
      <c r="B11717" s="704" t="s">
        <v>683</v>
      </c>
      <c r="C11717" s="704" t="s">
        <v>758</v>
      </c>
      <c r="D11717" s="704" t="s">
        <v>675</v>
      </c>
      <c r="E11717" s="704" t="s">
        <v>448</v>
      </c>
      <c r="F11717" s="705">
        <v>2.3864471139603903E-2</v>
      </c>
      <c r="G11717" s="705">
        <v>27.58236287768721</v>
      </c>
    </row>
    <row r="11718" spans="2:7" ht="11.25" hidden="1" customHeight="1" outlineLevel="2" x14ac:dyDescent="0.25">
      <c r="B11718" s="704" t="s">
        <v>683</v>
      </c>
      <c r="C11718" s="704" t="s">
        <v>759</v>
      </c>
      <c r="D11718" s="704" t="s">
        <v>675</v>
      </c>
      <c r="E11718" s="704" t="s">
        <v>448</v>
      </c>
      <c r="F11718" s="705">
        <v>0.1180636641988477</v>
      </c>
      <c r="G11718" s="705">
        <v>166.79999001972749</v>
      </c>
    </row>
    <row r="11719" spans="2:7" ht="11.25" hidden="1" customHeight="1" outlineLevel="2" x14ac:dyDescent="0.25">
      <c r="B11719" s="704" t="s">
        <v>683</v>
      </c>
      <c r="C11719" s="704" t="s">
        <v>760</v>
      </c>
      <c r="D11719" s="704" t="s">
        <v>675</v>
      </c>
      <c r="E11719" s="704" t="s">
        <v>448</v>
      </c>
      <c r="F11719" s="705">
        <v>7.9567655962265241E-2</v>
      </c>
      <c r="G11719" s="705">
        <v>79.905997861474361</v>
      </c>
    </row>
    <row r="11720" spans="2:7" ht="11.25" hidden="1" customHeight="1" outlineLevel="2" x14ac:dyDescent="0.25">
      <c r="B11720" s="704" t="s">
        <v>683</v>
      </c>
      <c r="C11720" s="704" t="s">
        <v>761</v>
      </c>
      <c r="D11720" s="704" t="s">
        <v>675</v>
      </c>
      <c r="E11720" s="704" t="s">
        <v>448</v>
      </c>
      <c r="F11720" s="705">
        <v>3.7837429430160824E-3</v>
      </c>
      <c r="G11720" s="705">
        <v>6.3697631192732587</v>
      </c>
    </row>
    <row r="11721" spans="2:7" ht="11.25" hidden="1" customHeight="1" outlineLevel="2" x14ac:dyDescent="0.25">
      <c r="B11721" s="704" t="s">
        <v>683</v>
      </c>
      <c r="C11721" s="704" t="s">
        <v>762</v>
      </c>
      <c r="D11721" s="704" t="s">
        <v>675</v>
      </c>
      <c r="E11721" s="704" t="s">
        <v>448</v>
      </c>
      <c r="F11721" s="705">
        <v>7.6886721267976571E-3</v>
      </c>
      <c r="G11721" s="705">
        <v>10.800822003592536</v>
      </c>
    </row>
    <row r="11722" spans="2:7" ht="11.25" hidden="1" customHeight="1" outlineLevel="2" x14ac:dyDescent="0.25">
      <c r="B11722" s="704" t="s">
        <v>683</v>
      </c>
      <c r="C11722" s="704" t="s">
        <v>763</v>
      </c>
      <c r="D11722" s="704" t="s">
        <v>675</v>
      </c>
      <c r="E11722" s="704" t="s">
        <v>448</v>
      </c>
      <c r="F11722" s="705">
        <v>3.4182223827060113E-3</v>
      </c>
      <c r="G11722" s="705">
        <v>9.6785086683750379</v>
      </c>
    </row>
    <row r="11723" spans="2:7" ht="11.25" hidden="1" customHeight="1" outlineLevel="2" x14ac:dyDescent="0.25">
      <c r="B11723" s="704" t="s">
        <v>683</v>
      </c>
      <c r="C11723" s="704" t="s">
        <v>764</v>
      </c>
      <c r="D11723" s="704" t="s">
        <v>675</v>
      </c>
      <c r="E11723" s="704" t="s">
        <v>448</v>
      </c>
      <c r="F11723" s="705">
        <v>3.981139547486837E-3</v>
      </c>
      <c r="G11723" s="705">
        <v>23.116554286426588</v>
      </c>
    </row>
    <row r="11724" spans="2:7" ht="11.25" hidden="1" customHeight="1" outlineLevel="2" x14ac:dyDescent="0.25">
      <c r="B11724" s="704" t="s">
        <v>683</v>
      </c>
      <c r="C11724" s="704" t="s">
        <v>765</v>
      </c>
      <c r="D11724" s="704" t="s">
        <v>675</v>
      </c>
      <c r="E11724" s="704" t="s">
        <v>448</v>
      </c>
      <c r="F11724" s="705">
        <v>3.7641383045452885E-2</v>
      </c>
      <c r="G11724" s="705">
        <v>54.780258371951433</v>
      </c>
    </row>
    <row r="11725" spans="2:7" ht="11.25" hidden="1" customHeight="1" outlineLevel="2" x14ac:dyDescent="0.25">
      <c r="B11725" s="704" t="s">
        <v>683</v>
      </c>
      <c r="C11725" s="704" t="s">
        <v>766</v>
      </c>
      <c r="D11725" s="704" t="s">
        <v>675</v>
      </c>
      <c r="E11725" s="704" t="s">
        <v>448</v>
      </c>
      <c r="F11725" s="705">
        <v>2.3357375775249808E-2</v>
      </c>
      <c r="G11725" s="705">
        <v>37.596380757625482</v>
      </c>
    </row>
    <row r="11726" spans="2:7" ht="11.25" hidden="1" customHeight="1" outlineLevel="2" x14ac:dyDescent="0.25">
      <c r="B11726" s="704" t="s">
        <v>683</v>
      </c>
      <c r="C11726" s="704" t="s">
        <v>767</v>
      </c>
      <c r="D11726" s="704" t="s">
        <v>675</v>
      </c>
      <c r="E11726" s="704" t="s">
        <v>448</v>
      </c>
      <c r="F11726" s="705">
        <v>1.1757368234064111E-2</v>
      </c>
      <c r="G11726" s="705">
        <v>12.387664284195946</v>
      </c>
    </row>
    <row r="11727" spans="2:7" ht="11.25" hidden="1" customHeight="1" outlineLevel="2" x14ac:dyDescent="0.25">
      <c r="B11727" s="704" t="s">
        <v>683</v>
      </c>
      <c r="C11727" s="704" t="s">
        <v>768</v>
      </c>
      <c r="D11727" s="704" t="s">
        <v>675</v>
      </c>
      <c r="E11727" s="704" t="s">
        <v>448</v>
      </c>
      <c r="F11727" s="705">
        <v>5.4887267597359974E-3</v>
      </c>
      <c r="G11727" s="705">
        <v>8.7510339113744173</v>
      </c>
    </row>
    <row r="11728" spans="2:7" ht="11.25" hidden="1" customHeight="1" outlineLevel="2" x14ac:dyDescent="0.25">
      <c r="B11728" s="704" t="s">
        <v>683</v>
      </c>
      <c r="C11728" s="704" t="s">
        <v>825</v>
      </c>
      <c r="D11728" s="704" t="s">
        <v>675</v>
      </c>
      <c r="E11728" s="704" t="s">
        <v>824</v>
      </c>
      <c r="F11728" s="705">
        <v>1.0468685675725138E-3</v>
      </c>
      <c r="G11728" s="705">
        <v>4.9567263154733725</v>
      </c>
    </row>
    <row r="11729" spans="2:7" ht="11.25" hidden="1" customHeight="1" outlineLevel="2" x14ac:dyDescent="0.25">
      <c r="B11729" s="704" t="s">
        <v>683</v>
      </c>
      <c r="C11729" s="704" t="s">
        <v>826</v>
      </c>
      <c r="D11729" s="704" t="s">
        <v>675</v>
      </c>
      <c r="E11729" s="704" t="s">
        <v>824</v>
      </c>
      <c r="F11729" s="705">
        <v>7.7820826848781809E-4</v>
      </c>
      <c r="G11729" s="705">
        <v>8.3183208707594076</v>
      </c>
    </row>
    <row r="11730" spans="2:7" ht="11.25" hidden="1" customHeight="1" outlineLevel="2" x14ac:dyDescent="0.25">
      <c r="B11730" s="704" t="s">
        <v>683</v>
      </c>
      <c r="C11730" s="704" t="s">
        <v>827</v>
      </c>
      <c r="D11730" s="704" t="s">
        <v>675</v>
      </c>
      <c r="E11730" s="704" t="s">
        <v>824</v>
      </c>
      <c r="F11730" s="705">
        <v>5.7625011761688351E-4</v>
      </c>
      <c r="G11730" s="705">
        <v>1.3760993402650965</v>
      </c>
    </row>
    <row r="11731" spans="2:7" ht="11.25" hidden="1" customHeight="1" outlineLevel="2" x14ac:dyDescent="0.25">
      <c r="B11731" s="704" t="s">
        <v>683</v>
      </c>
      <c r="C11731" s="704" t="s">
        <v>828</v>
      </c>
      <c r="D11731" s="704" t="s">
        <v>675</v>
      </c>
      <c r="E11731" s="704" t="s">
        <v>824</v>
      </c>
      <c r="F11731" s="705">
        <v>1.5713111956916395E-4</v>
      </c>
      <c r="G11731" s="705">
        <v>0.86229436308473117</v>
      </c>
    </row>
    <row r="11732" spans="2:7" ht="11.25" hidden="1" customHeight="1" outlineLevel="2" x14ac:dyDescent="0.25">
      <c r="B11732" s="704" t="s">
        <v>683</v>
      </c>
      <c r="C11732" s="704" t="s">
        <v>829</v>
      </c>
      <c r="D11732" s="704" t="s">
        <v>675</v>
      </c>
      <c r="E11732" s="704" t="s">
        <v>824</v>
      </c>
      <c r="F11732" s="705">
        <v>3.4004231535545324E-3</v>
      </c>
      <c r="G11732" s="705">
        <v>15.25969747884319</v>
      </c>
    </row>
    <row r="11733" spans="2:7" ht="11.25" hidden="1" customHeight="1" outlineLevel="2" x14ac:dyDescent="0.25">
      <c r="B11733" s="704" t="s">
        <v>683</v>
      </c>
      <c r="C11733" s="704" t="s">
        <v>830</v>
      </c>
      <c r="D11733" s="704" t="s">
        <v>675</v>
      </c>
      <c r="E11733" s="704" t="s">
        <v>824</v>
      </c>
      <c r="F11733" s="705">
        <v>3.0849679718256071E-3</v>
      </c>
      <c r="G11733" s="705">
        <v>5.4943682702634584</v>
      </c>
    </row>
    <row r="11734" spans="2:7" ht="11.25" hidden="1" customHeight="1" outlineLevel="2" x14ac:dyDescent="0.25">
      <c r="B11734" s="704" t="s">
        <v>683</v>
      </c>
      <c r="C11734" s="704" t="s">
        <v>831</v>
      </c>
      <c r="D11734" s="704" t="s">
        <v>675</v>
      </c>
      <c r="E11734" s="704" t="s">
        <v>824</v>
      </c>
      <c r="F11734" s="705">
        <v>8.5593718360413794E-4</v>
      </c>
      <c r="G11734" s="705">
        <v>14.117667403841851</v>
      </c>
    </row>
    <row r="11735" spans="2:7" ht="11.25" hidden="1" customHeight="1" outlineLevel="2" x14ac:dyDescent="0.25">
      <c r="B11735" s="704" t="s">
        <v>683</v>
      </c>
      <c r="C11735" s="704" t="s">
        <v>832</v>
      </c>
      <c r="D11735" s="704" t="s">
        <v>675</v>
      </c>
      <c r="E11735" s="704" t="s">
        <v>824</v>
      </c>
      <c r="F11735" s="705">
        <v>2.3396731575651719E-3</v>
      </c>
      <c r="G11735" s="705">
        <v>5.6229159543255118</v>
      </c>
    </row>
    <row r="11736" spans="2:7" ht="11.25" hidden="1" customHeight="1" outlineLevel="2" x14ac:dyDescent="0.25">
      <c r="B11736" s="704" t="s">
        <v>683</v>
      </c>
      <c r="C11736" s="704" t="s">
        <v>833</v>
      </c>
      <c r="D11736" s="704" t="s">
        <v>675</v>
      </c>
      <c r="E11736" s="704" t="s">
        <v>824</v>
      </c>
      <c r="F11736" s="705">
        <v>3.5733217891199641E-4</v>
      </c>
      <c r="G11736" s="705">
        <v>0.90480919734597931</v>
      </c>
    </row>
    <row r="11737" spans="2:7" ht="11.25" hidden="1" customHeight="1" outlineLevel="2" x14ac:dyDescent="0.25">
      <c r="B11737" s="704" t="s">
        <v>683</v>
      </c>
      <c r="C11737" s="704" t="s">
        <v>834</v>
      </c>
      <c r="D11737" s="704" t="s">
        <v>675</v>
      </c>
      <c r="E11737" s="704" t="s">
        <v>824</v>
      </c>
      <c r="F11737" s="705">
        <v>2.5882255354278214E-3</v>
      </c>
      <c r="G11737" s="705">
        <v>9.7880655307719273</v>
      </c>
    </row>
    <row r="11738" spans="2:7" ht="11.25" hidden="1" customHeight="1" outlineLevel="2" x14ac:dyDescent="0.25">
      <c r="B11738" s="704" t="s">
        <v>683</v>
      </c>
      <c r="C11738" s="704" t="s">
        <v>835</v>
      </c>
      <c r="D11738" s="704" t="s">
        <v>675</v>
      </c>
      <c r="E11738" s="704" t="s">
        <v>824</v>
      </c>
      <c r="F11738" s="705">
        <v>3.2461958749929595E-3</v>
      </c>
      <c r="G11738" s="705">
        <v>23.834447922980527</v>
      </c>
    </row>
    <row r="11739" spans="2:7" ht="11.25" hidden="1" customHeight="1" outlineLevel="2" x14ac:dyDescent="0.25">
      <c r="B11739" s="704" t="s">
        <v>683</v>
      </c>
      <c r="C11739" s="704" t="s">
        <v>836</v>
      </c>
      <c r="D11739" s="704" t="s">
        <v>675</v>
      </c>
      <c r="E11739" s="704" t="s">
        <v>824</v>
      </c>
      <c r="F11739" s="705">
        <v>2.2650394227638056E-4</v>
      </c>
      <c r="G11739" s="705">
        <v>2.489780213601521</v>
      </c>
    </row>
    <row r="11740" spans="2:7" ht="11.25" hidden="1" customHeight="1" outlineLevel="2" x14ac:dyDescent="0.25">
      <c r="B11740" s="704" t="s">
        <v>683</v>
      </c>
      <c r="C11740" s="704" t="s">
        <v>837</v>
      </c>
      <c r="D11740" s="704" t="s">
        <v>675</v>
      </c>
      <c r="E11740" s="704" t="s">
        <v>824</v>
      </c>
      <c r="F11740" s="705">
        <v>7.4698920924879024E-3</v>
      </c>
      <c r="G11740" s="705">
        <v>20.62442563688138</v>
      </c>
    </row>
    <row r="11741" spans="2:7" ht="11.25" hidden="1" customHeight="1" outlineLevel="2" x14ac:dyDescent="0.25">
      <c r="B11741" s="704" t="s">
        <v>683</v>
      </c>
      <c r="C11741" s="704" t="s">
        <v>838</v>
      </c>
      <c r="D11741" s="704" t="s">
        <v>675</v>
      </c>
      <c r="E11741" s="704" t="s">
        <v>824</v>
      </c>
      <c r="F11741" s="705">
        <v>3.8531867722628277E-3</v>
      </c>
      <c r="G11741" s="705">
        <v>8.5290622387662811</v>
      </c>
    </row>
    <row r="11742" spans="2:7" ht="11.25" hidden="1" customHeight="1" outlineLevel="2" x14ac:dyDescent="0.25">
      <c r="B11742" s="704" t="s">
        <v>683</v>
      </c>
      <c r="C11742" s="704" t="s">
        <v>674</v>
      </c>
      <c r="D11742" s="704" t="s">
        <v>675</v>
      </c>
      <c r="E11742" s="704" t="s">
        <v>676</v>
      </c>
      <c r="F11742" s="705">
        <v>1.0926796589862158E-2</v>
      </c>
      <c r="G11742" s="705">
        <v>0.27041438970995041</v>
      </c>
    </row>
    <row r="11743" spans="2:7" ht="11.25" hidden="1" customHeight="1" outlineLevel="2" x14ac:dyDescent="0.25">
      <c r="B11743" s="704" t="s">
        <v>683</v>
      </c>
      <c r="C11743" s="704" t="s">
        <v>862</v>
      </c>
      <c r="D11743" s="704" t="s">
        <v>675</v>
      </c>
      <c r="E11743" s="704" t="s">
        <v>861</v>
      </c>
      <c r="F11743" s="709"/>
      <c r="G11743" s="705">
        <v>802.89173118326619</v>
      </c>
    </row>
    <row r="11744" spans="2:7" ht="11.25" hidden="1" customHeight="1" outlineLevel="2" x14ac:dyDescent="0.25">
      <c r="B11744" s="704" t="s">
        <v>683</v>
      </c>
      <c r="C11744" s="704" t="s">
        <v>863</v>
      </c>
      <c r="D11744" s="704" t="s">
        <v>675</v>
      </c>
      <c r="E11744" s="704" t="s">
        <v>861</v>
      </c>
      <c r="F11744" s="709"/>
      <c r="G11744" s="705">
        <v>1.3087685247288434</v>
      </c>
    </row>
    <row r="11745" spans="2:7" ht="11.25" hidden="1" customHeight="1" outlineLevel="2" x14ac:dyDescent="0.25">
      <c r="B11745" s="704" t="s">
        <v>683</v>
      </c>
      <c r="C11745" s="704" t="s">
        <v>864</v>
      </c>
      <c r="D11745" s="704" t="s">
        <v>675</v>
      </c>
      <c r="E11745" s="704" t="s">
        <v>861</v>
      </c>
      <c r="F11745" s="709"/>
      <c r="G11745" s="705">
        <v>21.561494429427956</v>
      </c>
    </row>
    <row r="11746" spans="2:7" ht="11.25" hidden="1" customHeight="1" outlineLevel="2" x14ac:dyDescent="0.25">
      <c r="B11746" s="704" t="s">
        <v>683</v>
      </c>
      <c r="C11746" s="704" t="s">
        <v>865</v>
      </c>
      <c r="D11746" s="704" t="s">
        <v>675</v>
      </c>
      <c r="E11746" s="704" t="s">
        <v>861</v>
      </c>
      <c r="F11746" s="709"/>
      <c r="G11746" s="705">
        <v>2009.7327424342986</v>
      </c>
    </row>
    <row r="11747" spans="2:7" ht="11.25" hidden="1" customHeight="1" outlineLevel="2" x14ac:dyDescent="0.25">
      <c r="B11747" s="704" t="s">
        <v>683</v>
      </c>
      <c r="C11747" s="704" t="s">
        <v>866</v>
      </c>
      <c r="D11747" s="704" t="s">
        <v>675</v>
      </c>
      <c r="E11747" s="704" t="s">
        <v>861</v>
      </c>
      <c r="F11747" s="709"/>
      <c r="G11747" s="705">
        <v>2186.1666266778593</v>
      </c>
    </row>
    <row r="11748" spans="2:7" ht="11.25" hidden="1" customHeight="1" outlineLevel="2" x14ac:dyDescent="0.25">
      <c r="B11748" s="704" t="s">
        <v>683</v>
      </c>
      <c r="C11748" s="704" t="s">
        <v>867</v>
      </c>
      <c r="D11748" s="704" t="s">
        <v>675</v>
      </c>
      <c r="E11748" s="704" t="s">
        <v>861</v>
      </c>
      <c r="F11748" s="709"/>
      <c r="G11748" s="705">
        <v>120.4433514679905</v>
      </c>
    </row>
    <row r="11749" spans="2:7" ht="11.25" hidden="1" customHeight="1" outlineLevel="2" x14ac:dyDescent="0.25">
      <c r="B11749" s="704" t="s">
        <v>683</v>
      </c>
      <c r="C11749" s="704" t="s">
        <v>868</v>
      </c>
      <c r="D11749" s="704" t="s">
        <v>675</v>
      </c>
      <c r="E11749" s="704" t="s">
        <v>861</v>
      </c>
      <c r="F11749" s="709"/>
      <c r="G11749" s="705">
        <v>74.341238947279678</v>
      </c>
    </row>
    <row r="11750" spans="2:7" ht="11.25" hidden="1" customHeight="1" outlineLevel="2" x14ac:dyDescent="0.25">
      <c r="B11750" s="704" t="s">
        <v>683</v>
      </c>
      <c r="C11750" s="704" t="s">
        <v>869</v>
      </c>
      <c r="D11750" s="704" t="s">
        <v>675</v>
      </c>
      <c r="E11750" s="704" t="s">
        <v>861</v>
      </c>
      <c r="F11750" s="709"/>
      <c r="G11750" s="705">
        <v>221.97917186101347</v>
      </c>
    </row>
    <row r="11751" spans="2:7" ht="11.25" hidden="1" customHeight="1" outlineLevel="2" x14ac:dyDescent="0.25">
      <c r="B11751" s="704" t="s">
        <v>683</v>
      </c>
      <c r="C11751" s="704" t="s">
        <v>870</v>
      </c>
      <c r="D11751" s="704" t="s">
        <v>675</v>
      </c>
      <c r="E11751" s="704" t="s">
        <v>861</v>
      </c>
      <c r="F11751" s="709"/>
      <c r="G11751" s="705">
        <v>953.44394057660077</v>
      </c>
    </row>
    <row r="11752" spans="2:7" ht="11.25" hidden="1" customHeight="1" outlineLevel="2" x14ac:dyDescent="0.25">
      <c r="B11752" s="704" t="s">
        <v>683</v>
      </c>
      <c r="C11752" s="704" t="s">
        <v>871</v>
      </c>
      <c r="D11752" s="704" t="s">
        <v>675</v>
      </c>
      <c r="E11752" s="704" t="s">
        <v>861</v>
      </c>
      <c r="F11752" s="709"/>
      <c r="G11752" s="705">
        <v>819.84991414170076</v>
      </c>
    </row>
    <row r="11753" spans="2:7" ht="11.25" hidden="1" customHeight="1" outlineLevel="2" x14ac:dyDescent="0.25">
      <c r="B11753" s="704" t="s">
        <v>683</v>
      </c>
      <c r="C11753" s="704" t="s">
        <v>872</v>
      </c>
      <c r="D11753" s="704" t="s">
        <v>675</v>
      </c>
      <c r="E11753" s="704" t="s">
        <v>861</v>
      </c>
      <c r="F11753" s="709"/>
      <c r="G11753" s="705">
        <v>8144.6762145989469</v>
      </c>
    </row>
    <row r="11754" spans="2:7" ht="11.25" hidden="1" customHeight="1" outlineLevel="2" x14ac:dyDescent="0.25">
      <c r="B11754" s="704" t="s">
        <v>683</v>
      </c>
      <c r="C11754" s="704" t="s">
        <v>873</v>
      </c>
      <c r="D11754" s="704" t="s">
        <v>675</v>
      </c>
      <c r="E11754" s="704" t="s">
        <v>861</v>
      </c>
      <c r="F11754" s="709"/>
      <c r="G11754" s="705">
        <v>67.559722174654482</v>
      </c>
    </row>
    <row r="11755" spans="2:7" ht="11.25" hidden="1" customHeight="1" outlineLevel="2" x14ac:dyDescent="0.25">
      <c r="B11755" s="704" t="s">
        <v>683</v>
      </c>
      <c r="C11755" s="704" t="s">
        <v>874</v>
      </c>
      <c r="D11755" s="704" t="s">
        <v>675</v>
      </c>
      <c r="E11755" s="704" t="s">
        <v>861</v>
      </c>
      <c r="F11755" s="709"/>
      <c r="G11755" s="705">
        <v>31.911540982111962</v>
      </c>
    </row>
    <row r="11756" spans="2:7" ht="11.25" hidden="1" customHeight="1" outlineLevel="2" x14ac:dyDescent="0.25">
      <c r="B11756" s="704" t="s">
        <v>683</v>
      </c>
      <c r="C11756" s="704" t="s">
        <v>875</v>
      </c>
      <c r="D11756" s="704" t="s">
        <v>675</v>
      </c>
      <c r="E11756" s="704" t="s">
        <v>861</v>
      </c>
      <c r="F11756" s="709"/>
      <c r="G11756" s="705">
        <v>1860.1735680706904</v>
      </c>
    </row>
    <row r="11757" spans="2:7" ht="11.25" hidden="1" customHeight="1" outlineLevel="2" x14ac:dyDescent="0.25">
      <c r="B11757" s="704" t="s">
        <v>683</v>
      </c>
      <c r="C11757" s="704" t="s">
        <v>876</v>
      </c>
      <c r="D11757" s="704" t="s">
        <v>675</v>
      </c>
      <c r="E11757" s="704" t="s">
        <v>861</v>
      </c>
      <c r="F11757" s="709"/>
      <c r="G11757" s="705">
        <v>2026.3449241715543</v>
      </c>
    </row>
    <row r="11758" spans="2:7" ht="11.25" hidden="1" customHeight="1" outlineLevel="2" x14ac:dyDescent="0.25">
      <c r="B11758" s="704" t="s">
        <v>683</v>
      </c>
      <c r="C11758" s="704" t="s">
        <v>877</v>
      </c>
      <c r="D11758" s="704" t="s">
        <v>675</v>
      </c>
      <c r="E11758" s="704" t="s">
        <v>861</v>
      </c>
      <c r="F11758" s="709"/>
      <c r="G11758" s="705">
        <v>6966.0907475788317</v>
      </c>
    </row>
    <row r="11759" spans="2:7" ht="11.25" hidden="1" customHeight="1" outlineLevel="2" x14ac:dyDescent="0.25">
      <c r="B11759" s="704" t="s">
        <v>683</v>
      </c>
      <c r="C11759" s="704" t="s">
        <v>878</v>
      </c>
      <c r="D11759" s="704" t="s">
        <v>675</v>
      </c>
      <c r="E11759" s="704" t="s">
        <v>861</v>
      </c>
      <c r="F11759" s="709"/>
      <c r="G11759" s="705">
        <v>327.95394574102789</v>
      </c>
    </row>
    <row r="11760" spans="2:7" ht="11.25" hidden="1" customHeight="1" outlineLevel="2" x14ac:dyDescent="0.25">
      <c r="B11760" s="704" t="s">
        <v>683</v>
      </c>
      <c r="C11760" s="704" t="s">
        <v>879</v>
      </c>
      <c r="D11760" s="704" t="s">
        <v>675</v>
      </c>
      <c r="E11760" s="704" t="s">
        <v>861</v>
      </c>
      <c r="F11760" s="709"/>
      <c r="G11760" s="705">
        <v>2607.0133978148856</v>
      </c>
    </row>
    <row r="11761" spans="2:7" ht="11.25" hidden="1" customHeight="1" outlineLevel="2" x14ac:dyDescent="0.25">
      <c r="B11761" s="704" t="s">
        <v>683</v>
      </c>
      <c r="C11761" s="704" t="s">
        <v>880</v>
      </c>
      <c r="D11761" s="704" t="s">
        <v>675</v>
      </c>
      <c r="E11761" s="704" t="s">
        <v>861</v>
      </c>
      <c r="F11761" s="709"/>
      <c r="G11761" s="705">
        <v>8865.1392177401758</v>
      </c>
    </row>
    <row r="11762" spans="2:7" ht="11.25" hidden="1" customHeight="1" outlineLevel="2" x14ac:dyDescent="0.25">
      <c r="B11762" s="704" t="s">
        <v>683</v>
      </c>
      <c r="C11762" s="704" t="s">
        <v>881</v>
      </c>
      <c r="D11762" s="704" t="s">
        <v>675</v>
      </c>
      <c r="E11762" s="704" t="s">
        <v>861</v>
      </c>
      <c r="F11762" s="709"/>
      <c r="G11762" s="705">
        <v>5376.1700710256728</v>
      </c>
    </row>
    <row r="11763" spans="2:7" ht="11.25" hidden="1" customHeight="1" outlineLevel="2" x14ac:dyDescent="0.25">
      <c r="B11763" s="704" t="s">
        <v>683</v>
      </c>
      <c r="C11763" s="704" t="s">
        <v>882</v>
      </c>
      <c r="D11763" s="704" t="s">
        <v>675</v>
      </c>
      <c r="E11763" s="704" t="s">
        <v>861</v>
      </c>
      <c r="F11763" s="709"/>
      <c r="G11763" s="705">
        <v>8113.3369644978775</v>
      </c>
    </row>
    <row r="11764" spans="2:7" ht="11.25" hidden="1" customHeight="1" outlineLevel="2" x14ac:dyDescent="0.25">
      <c r="B11764" s="704" t="s">
        <v>683</v>
      </c>
      <c r="C11764" s="704" t="s">
        <v>883</v>
      </c>
      <c r="D11764" s="704" t="s">
        <v>675</v>
      </c>
      <c r="E11764" s="704" t="s">
        <v>861</v>
      </c>
      <c r="F11764" s="709"/>
      <c r="G11764" s="705">
        <v>3686.3919701787195</v>
      </c>
    </row>
    <row r="11765" spans="2:7" ht="11.25" hidden="1" customHeight="1" outlineLevel="2" x14ac:dyDescent="0.25">
      <c r="B11765" s="704" t="s">
        <v>683</v>
      </c>
      <c r="C11765" s="704" t="s">
        <v>884</v>
      </c>
      <c r="D11765" s="704" t="s">
        <v>675</v>
      </c>
      <c r="E11765" s="704" t="s">
        <v>861</v>
      </c>
      <c r="F11765" s="709"/>
      <c r="G11765" s="705">
        <v>872.68612691120302</v>
      </c>
    </row>
    <row r="11766" spans="2:7" ht="11.25" hidden="1" customHeight="1" outlineLevel="2" x14ac:dyDescent="0.25">
      <c r="B11766" s="704" t="s">
        <v>683</v>
      </c>
      <c r="C11766" s="704" t="s">
        <v>885</v>
      </c>
      <c r="D11766" s="704" t="s">
        <v>675</v>
      </c>
      <c r="E11766" s="704" t="s">
        <v>861</v>
      </c>
      <c r="F11766" s="709"/>
      <c r="G11766" s="705">
        <v>11.358055354173326</v>
      </c>
    </row>
    <row r="11767" spans="2:7" ht="11.25" hidden="1" customHeight="1" outlineLevel="2" x14ac:dyDescent="0.25">
      <c r="B11767" s="704" t="s">
        <v>683</v>
      </c>
      <c r="C11767" s="704" t="s">
        <v>886</v>
      </c>
      <c r="D11767" s="704" t="s">
        <v>675</v>
      </c>
      <c r="E11767" s="704" t="s">
        <v>861</v>
      </c>
      <c r="F11767" s="709"/>
      <c r="G11767" s="705">
        <v>836.24074139148729</v>
      </c>
    </row>
    <row r="11768" spans="2:7" ht="11.25" hidden="1" customHeight="1" outlineLevel="2" x14ac:dyDescent="0.25">
      <c r="B11768" s="704" t="s">
        <v>683</v>
      </c>
      <c r="C11768" s="704" t="s">
        <v>725</v>
      </c>
      <c r="D11768" s="704" t="s">
        <v>563</v>
      </c>
      <c r="E11768" s="704" t="s">
        <v>448</v>
      </c>
      <c r="F11768" s="705">
        <v>1.0129882113497628E-4</v>
      </c>
      <c r="G11768" s="705">
        <v>4.5412127678293696E-2</v>
      </c>
    </row>
    <row r="11769" spans="2:7" ht="11.25" hidden="1" customHeight="1" outlineLevel="2" x14ac:dyDescent="0.25">
      <c r="B11769" s="704" t="s">
        <v>683</v>
      </c>
      <c r="C11769" s="704" t="s">
        <v>726</v>
      </c>
      <c r="D11769" s="704" t="s">
        <v>563</v>
      </c>
      <c r="E11769" s="704" t="s">
        <v>448</v>
      </c>
      <c r="F11769" s="705">
        <v>7.9781764293924906E-6</v>
      </c>
      <c r="G11769" s="705">
        <v>3.5766031174506111E-3</v>
      </c>
    </row>
    <row r="11770" spans="2:7" ht="11.25" hidden="1" customHeight="1" outlineLevel="2" x14ac:dyDescent="0.25">
      <c r="B11770" s="704" t="s">
        <v>683</v>
      </c>
      <c r="C11770" s="704" t="s">
        <v>769</v>
      </c>
      <c r="D11770" s="704" t="s">
        <v>563</v>
      </c>
      <c r="E11770" s="704" t="s">
        <v>448</v>
      </c>
      <c r="F11770" s="705">
        <v>5.1720938974191806E-3</v>
      </c>
      <c r="G11770" s="705">
        <v>5.5236816032044196</v>
      </c>
    </row>
    <row r="11771" spans="2:7" ht="11.25" hidden="1" customHeight="1" outlineLevel="2" x14ac:dyDescent="0.25">
      <c r="B11771" s="704" t="s">
        <v>683</v>
      </c>
      <c r="C11771" s="704" t="s">
        <v>770</v>
      </c>
      <c r="D11771" s="704" t="s">
        <v>563</v>
      </c>
      <c r="E11771" s="704" t="s">
        <v>448</v>
      </c>
      <c r="F11771" s="705">
        <v>4.7020147561236073E-3</v>
      </c>
      <c r="G11771" s="705">
        <v>16.357114774187643</v>
      </c>
    </row>
    <row r="11772" spans="2:7" ht="11.25" hidden="1" customHeight="1" outlineLevel="2" x14ac:dyDescent="0.25">
      <c r="B11772" s="704" t="s">
        <v>683</v>
      </c>
      <c r="C11772" s="704" t="s">
        <v>771</v>
      </c>
      <c r="D11772" s="704" t="s">
        <v>563</v>
      </c>
      <c r="E11772" s="704" t="s">
        <v>448</v>
      </c>
      <c r="F11772" s="705">
        <v>1.7580310051601271E-3</v>
      </c>
      <c r="G11772" s="705">
        <v>4.1310255666613829</v>
      </c>
    </row>
    <row r="11773" spans="2:7" ht="11.25" hidden="1" customHeight="1" outlineLevel="2" x14ac:dyDescent="0.25">
      <c r="B11773" s="704" t="s">
        <v>683</v>
      </c>
      <c r="C11773" s="704" t="s">
        <v>772</v>
      </c>
      <c r="D11773" s="704" t="s">
        <v>563</v>
      </c>
      <c r="E11773" s="704" t="s">
        <v>448</v>
      </c>
      <c r="F11773" s="705">
        <v>5.8975908706915192E-3</v>
      </c>
      <c r="G11773" s="705">
        <v>7.7000446571930246</v>
      </c>
    </row>
    <row r="11774" spans="2:7" ht="11.25" hidden="1" customHeight="1" outlineLevel="2" x14ac:dyDescent="0.25">
      <c r="B11774" s="704" t="s">
        <v>683</v>
      </c>
      <c r="C11774" s="704" t="s">
        <v>773</v>
      </c>
      <c r="D11774" s="704" t="s">
        <v>563</v>
      </c>
      <c r="E11774" s="704" t="s">
        <v>448</v>
      </c>
      <c r="F11774" s="705">
        <v>3.3038454527298115E-4</v>
      </c>
      <c r="G11774" s="705">
        <v>0.37832373067709929</v>
      </c>
    </row>
    <row r="11775" spans="2:7" ht="11.25" hidden="1" customHeight="1" outlineLevel="2" x14ac:dyDescent="0.25">
      <c r="B11775" s="704" t="s">
        <v>683</v>
      </c>
      <c r="C11775" s="704" t="s">
        <v>774</v>
      </c>
      <c r="D11775" s="704" t="s">
        <v>563</v>
      </c>
      <c r="E11775" s="704" t="s">
        <v>448</v>
      </c>
      <c r="F11775" s="705">
        <v>6.4783684540575717E-4</v>
      </c>
      <c r="G11775" s="705">
        <v>0.87696995931548771</v>
      </c>
    </row>
    <row r="11776" spans="2:7" ht="11.25" hidden="1" customHeight="1" outlineLevel="2" x14ac:dyDescent="0.25">
      <c r="B11776" s="704" t="s">
        <v>683</v>
      </c>
      <c r="C11776" s="704" t="s">
        <v>775</v>
      </c>
      <c r="D11776" s="704" t="s">
        <v>563</v>
      </c>
      <c r="E11776" s="704" t="s">
        <v>448</v>
      </c>
      <c r="F11776" s="705">
        <v>1.2970950753968719E-4</v>
      </c>
      <c r="G11776" s="705">
        <v>1.667911057742447</v>
      </c>
    </row>
    <row r="11777" spans="2:7" ht="11.25" hidden="1" customHeight="1" outlineLevel="2" x14ac:dyDescent="0.25">
      <c r="B11777" s="704" t="s">
        <v>683</v>
      </c>
      <c r="C11777" s="704" t="s">
        <v>839</v>
      </c>
      <c r="D11777" s="704" t="s">
        <v>563</v>
      </c>
      <c r="E11777" s="704" t="s">
        <v>824</v>
      </c>
      <c r="F11777" s="705">
        <v>5.7663558551410247E-3</v>
      </c>
      <c r="G11777" s="705">
        <v>13.993033509882629</v>
      </c>
    </row>
    <row r="11778" spans="2:7" ht="11.25" hidden="1" customHeight="1" outlineLevel="2" x14ac:dyDescent="0.25">
      <c r="B11778" s="704" t="s">
        <v>683</v>
      </c>
      <c r="C11778" s="704" t="s">
        <v>840</v>
      </c>
      <c r="D11778" s="704" t="s">
        <v>563</v>
      </c>
      <c r="E11778" s="704" t="s">
        <v>824</v>
      </c>
      <c r="F11778" s="705">
        <v>0.16804520000692319</v>
      </c>
      <c r="G11778" s="705">
        <v>1237.199990567354</v>
      </c>
    </row>
    <row r="11779" spans="2:7" ht="11.25" hidden="1" customHeight="1" outlineLevel="2" x14ac:dyDescent="0.25">
      <c r="B11779" s="704" t="s">
        <v>683</v>
      </c>
      <c r="C11779" s="704" t="s">
        <v>841</v>
      </c>
      <c r="D11779" s="704" t="s">
        <v>563</v>
      </c>
      <c r="E11779" s="704" t="s">
        <v>824</v>
      </c>
      <c r="F11779" s="705">
        <v>8.173619197144969E-4</v>
      </c>
      <c r="G11779" s="705">
        <v>9.3532533369181419</v>
      </c>
    </row>
    <row r="11780" spans="2:7" ht="11.25" hidden="1" customHeight="1" outlineLevel="2" x14ac:dyDescent="0.25">
      <c r="B11780" s="704" t="s">
        <v>683</v>
      </c>
      <c r="C11780" s="704" t="s">
        <v>842</v>
      </c>
      <c r="D11780" s="704" t="s">
        <v>563</v>
      </c>
      <c r="E11780" s="704" t="s">
        <v>824</v>
      </c>
      <c r="F11780" s="705">
        <v>2.9619177637818544E-4</v>
      </c>
      <c r="G11780" s="705">
        <v>2.8990767306870553</v>
      </c>
    </row>
    <row r="11781" spans="2:7" ht="11.25" hidden="1" customHeight="1" outlineLevel="2" x14ac:dyDescent="0.25">
      <c r="B11781" s="704" t="s">
        <v>683</v>
      </c>
      <c r="C11781" s="704" t="s">
        <v>843</v>
      </c>
      <c r="D11781" s="704" t="s">
        <v>563</v>
      </c>
      <c r="E11781" s="704" t="s">
        <v>824</v>
      </c>
      <c r="F11781" s="705">
        <v>2.8628641042086056E-4</v>
      </c>
      <c r="G11781" s="705">
        <v>0.74801187827796256</v>
      </c>
    </row>
    <row r="11782" spans="2:7" ht="11.25" hidden="1" customHeight="1" outlineLevel="2" x14ac:dyDescent="0.25">
      <c r="B11782" s="704" t="s">
        <v>683</v>
      </c>
      <c r="C11782" s="704" t="s">
        <v>844</v>
      </c>
      <c r="D11782" s="704" t="s">
        <v>563</v>
      </c>
      <c r="E11782" s="704" t="s">
        <v>824</v>
      </c>
      <c r="F11782" s="705">
        <v>2.8629844213809441E-4</v>
      </c>
      <c r="G11782" s="705">
        <v>5.6895262571402343</v>
      </c>
    </row>
    <row r="11783" spans="2:7" ht="11.25" hidden="1" customHeight="1" outlineLevel="2" x14ac:dyDescent="0.25">
      <c r="B11783" s="704" t="s">
        <v>683</v>
      </c>
      <c r="C11783" s="704" t="s">
        <v>700</v>
      </c>
      <c r="D11783" s="704" t="s">
        <v>563</v>
      </c>
      <c r="E11783" s="704" t="s">
        <v>676</v>
      </c>
      <c r="F11783" s="705">
        <v>0.86786982752524555</v>
      </c>
      <c r="G11783" s="705">
        <v>73.036230513804767</v>
      </c>
    </row>
    <row r="11784" spans="2:7" ht="11.25" hidden="1" customHeight="1" outlineLevel="2" x14ac:dyDescent="0.25">
      <c r="B11784" s="704" t="s">
        <v>683</v>
      </c>
      <c r="C11784" s="704" t="s">
        <v>701</v>
      </c>
      <c r="D11784" s="704" t="s">
        <v>563</v>
      </c>
      <c r="E11784" s="704" t="s">
        <v>676</v>
      </c>
      <c r="F11784" s="705">
        <v>9.4793575132498488E-4</v>
      </c>
      <c r="G11784" s="705">
        <v>8.3008300618627268E-2</v>
      </c>
    </row>
    <row r="11785" spans="2:7" ht="11.25" hidden="1" customHeight="1" outlineLevel="2" x14ac:dyDescent="0.25">
      <c r="B11785" s="704" t="s">
        <v>683</v>
      </c>
      <c r="C11785" s="704" t="s">
        <v>702</v>
      </c>
      <c r="D11785" s="704" t="s">
        <v>563</v>
      </c>
      <c r="E11785" s="704" t="s">
        <v>676</v>
      </c>
      <c r="F11785" s="705">
        <v>4.4230605894177188E-4</v>
      </c>
      <c r="G11785" s="705">
        <v>4.5331826882669485E-2</v>
      </c>
    </row>
    <row r="11786" spans="2:7" ht="11.25" hidden="1" customHeight="1" outlineLevel="2" x14ac:dyDescent="0.25">
      <c r="B11786" s="704" t="s">
        <v>683</v>
      </c>
      <c r="C11786" s="704" t="s">
        <v>703</v>
      </c>
      <c r="D11786" s="704" t="s">
        <v>563</v>
      </c>
      <c r="E11786" s="704" t="s">
        <v>676</v>
      </c>
      <c r="F11786" s="705">
        <v>8.4068897585988442E-3</v>
      </c>
      <c r="G11786" s="705">
        <v>0.82786003444082434</v>
      </c>
    </row>
    <row r="11787" spans="2:7" ht="11.25" hidden="1" customHeight="1" outlineLevel="2" x14ac:dyDescent="0.25">
      <c r="B11787" s="704" t="s">
        <v>683</v>
      </c>
      <c r="C11787" s="704" t="s">
        <v>704</v>
      </c>
      <c r="D11787" s="704" t="s">
        <v>563</v>
      </c>
      <c r="E11787" s="704" t="s">
        <v>676</v>
      </c>
      <c r="F11787" s="705">
        <v>1.5062470471717943E-3</v>
      </c>
      <c r="G11787" s="705">
        <v>0.33872230738413489</v>
      </c>
    </row>
    <row r="11788" spans="2:7" ht="11.25" hidden="1" customHeight="1" outlineLevel="2" x14ac:dyDescent="0.25">
      <c r="B11788" s="704" t="s">
        <v>683</v>
      </c>
      <c r="C11788" s="704" t="s">
        <v>887</v>
      </c>
      <c r="D11788" s="704" t="s">
        <v>563</v>
      </c>
      <c r="E11788" s="704" t="s">
        <v>861</v>
      </c>
      <c r="F11788" s="709"/>
      <c r="G11788" s="705">
        <v>22.766112881333186</v>
      </c>
    </row>
    <row r="11789" spans="2:7" ht="11.25" hidden="1" customHeight="1" outlineLevel="2" x14ac:dyDescent="0.25">
      <c r="B11789" s="704" t="s">
        <v>683</v>
      </c>
      <c r="C11789" s="704" t="s">
        <v>888</v>
      </c>
      <c r="D11789" s="704" t="s">
        <v>563</v>
      </c>
      <c r="E11789" s="704" t="s">
        <v>861</v>
      </c>
      <c r="F11789" s="709"/>
      <c r="G11789" s="705">
        <v>330.34935218717442</v>
      </c>
    </row>
    <row r="11790" spans="2:7" ht="11.25" hidden="1" customHeight="1" outlineLevel="2" x14ac:dyDescent="0.25">
      <c r="B11790" s="704" t="s">
        <v>683</v>
      </c>
      <c r="C11790" s="704" t="s">
        <v>889</v>
      </c>
      <c r="D11790" s="704" t="s">
        <v>563</v>
      </c>
      <c r="E11790" s="704" t="s">
        <v>861</v>
      </c>
      <c r="F11790" s="709"/>
      <c r="G11790" s="705">
        <v>144.18660601624151</v>
      </c>
    </row>
    <row r="11791" spans="2:7" ht="11.25" hidden="1" customHeight="1" outlineLevel="2" x14ac:dyDescent="0.25">
      <c r="B11791" s="704" t="s">
        <v>683</v>
      </c>
      <c r="C11791" s="704" t="s">
        <v>890</v>
      </c>
      <c r="D11791" s="704" t="s">
        <v>563</v>
      </c>
      <c r="E11791" s="704" t="s">
        <v>861</v>
      </c>
      <c r="F11791" s="709"/>
      <c r="G11791" s="705">
        <v>146.34783390126188</v>
      </c>
    </row>
    <row r="11792" spans="2:7" ht="11.25" hidden="1" customHeight="1" outlineLevel="2" x14ac:dyDescent="0.25">
      <c r="B11792" s="704" t="s">
        <v>683</v>
      </c>
      <c r="C11792" s="704" t="s">
        <v>891</v>
      </c>
      <c r="D11792" s="704" t="s">
        <v>563</v>
      </c>
      <c r="E11792" s="704" t="s">
        <v>861</v>
      </c>
      <c r="F11792" s="709"/>
      <c r="G11792" s="705">
        <v>5.6261341391241579</v>
      </c>
    </row>
    <row r="11793" spans="2:7" ht="11.25" hidden="1" customHeight="1" outlineLevel="2" x14ac:dyDescent="0.25">
      <c r="B11793" s="704" t="s">
        <v>683</v>
      </c>
      <c r="C11793" s="704" t="s">
        <v>892</v>
      </c>
      <c r="D11793" s="704" t="s">
        <v>563</v>
      </c>
      <c r="E11793" s="704" t="s">
        <v>861</v>
      </c>
      <c r="F11793" s="709"/>
      <c r="G11793" s="705">
        <v>2408.0360283179816</v>
      </c>
    </row>
    <row r="11794" spans="2:7" ht="11.25" hidden="1" customHeight="1" outlineLevel="2" x14ac:dyDescent="0.25">
      <c r="B11794" s="704" t="s">
        <v>683</v>
      </c>
      <c r="C11794" s="704" t="s">
        <v>893</v>
      </c>
      <c r="D11794" s="704" t="s">
        <v>563</v>
      </c>
      <c r="E11794" s="704" t="s">
        <v>861</v>
      </c>
      <c r="F11794" s="709"/>
      <c r="G11794" s="705">
        <v>207.98024047999135</v>
      </c>
    </row>
    <row r="11795" spans="2:7" ht="11.25" hidden="1" customHeight="1" outlineLevel="2" x14ac:dyDescent="0.25">
      <c r="B11795" s="704" t="s">
        <v>683</v>
      </c>
      <c r="C11795" s="704" t="s">
        <v>727</v>
      </c>
      <c r="D11795" s="704" t="s">
        <v>728</v>
      </c>
      <c r="E11795" s="704" t="s">
        <v>448</v>
      </c>
      <c r="F11795" s="705">
        <v>8.5768072969746294E-3</v>
      </c>
      <c r="G11795" s="705">
        <v>4.6971017599245304</v>
      </c>
    </row>
    <row r="11796" spans="2:7" ht="11.25" hidden="1" customHeight="1" outlineLevel="2" x14ac:dyDescent="0.25">
      <c r="B11796" s="704" t="s">
        <v>683</v>
      </c>
      <c r="C11796" s="704" t="s">
        <v>729</v>
      </c>
      <c r="D11796" s="704" t="s">
        <v>728</v>
      </c>
      <c r="E11796" s="704" t="s">
        <v>448</v>
      </c>
      <c r="F11796" s="705">
        <v>3.0091403410875243E-2</v>
      </c>
      <c r="G11796" s="705">
        <v>16.239480319252213</v>
      </c>
    </row>
    <row r="11797" spans="2:7" ht="11.25" hidden="1" customHeight="1" outlineLevel="2" x14ac:dyDescent="0.25">
      <c r="B11797" s="704" t="s">
        <v>683</v>
      </c>
      <c r="C11797" s="704" t="s">
        <v>730</v>
      </c>
      <c r="D11797" s="704" t="s">
        <v>728</v>
      </c>
      <c r="E11797" s="704" t="s">
        <v>448</v>
      </c>
      <c r="F11797" s="705">
        <v>0.12305875093065141</v>
      </c>
      <c r="G11797" s="705">
        <v>64.166326787783504</v>
      </c>
    </row>
    <row r="11798" spans="2:7" ht="11.25" hidden="1" customHeight="1" outlineLevel="2" x14ac:dyDescent="0.25">
      <c r="B11798" s="704" t="s">
        <v>683</v>
      </c>
      <c r="C11798" s="704" t="s">
        <v>731</v>
      </c>
      <c r="D11798" s="704" t="s">
        <v>728</v>
      </c>
      <c r="E11798" s="704" t="s">
        <v>448</v>
      </c>
      <c r="F11798" s="705">
        <v>0.3296014808337831</v>
      </c>
      <c r="G11798" s="705">
        <v>180.7281132546882</v>
      </c>
    </row>
    <row r="11799" spans="2:7" ht="11.25" hidden="1" customHeight="1" outlineLevel="2" x14ac:dyDescent="0.25">
      <c r="B11799" s="704" t="s">
        <v>683</v>
      </c>
      <c r="C11799" s="704" t="s">
        <v>732</v>
      </c>
      <c r="D11799" s="704" t="s">
        <v>728</v>
      </c>
      <c r="E11799" s="704" t="s">
        <v>448</v>
      </c>
      <c r="F11799" s="705">
        <v>0.15173744014584001</v>
      </c>
      <c r="G11799" s="705">
        <v>89.418835406650558</v>
      </c>
    </row>
    <row r="11800" spans="2:7" ht="11.25" hidden="1" customHeight="1" outlineLevel="2" x14ac:dyDescent="0.25">
      <c r="B11800" s="704" t="s">
        <v>683</v>
      </c>
      <c r="C11800" s="704" t="s">
        <v>733</v>
      </c>
      <c r="D11800" s="704" t="s">
        <v>728</v>
      </c>
      <c r="E11800" s="704" t="s">
        <v>448</v>
      </c>
      <c r="F11800" s="705">
        <v>0.3112488984792432</v>
      </c>
      <c r="G11800" s="705">
        <v>157.59169837484561</v>
      </c>
    </row>
    <row r="11801" spans="2:7" ht="11.25" hidden="1" customHeight="1" outlineLevel="2" x14ac:dyDescent="0.25">
      <c r="B11801" s="704" t="s">
        <v>683</v>
      </c>
      <c r="C11801" s="704" t="s">
        <v>734</v>
      </c>
      <c r="D11801" s="704" t="s">
        <v>728</v>
      </c>
      <c r="E11801" s="704" t="s">
        <v>448</v>
      </c>
      <c r="F11801" s="705">
        <v>0.1069541625967861</v>
      </c>
      <c r="G11801" s="705">
        <v>57.549801655713274</v>
      </c>
    </row>
    <row r="11802" spans="2:7" ht="11.25" hidden="1" customHeight="1" outlineLevel="2" x14ac:dyDescent="0.25">
      <c r="B11802" s="704" t="s">
        <v>683</v>
      </c>
      <c r="C11802" s="704" t="s">
        <v>735</v>
      </c>
      <c r="D11802" s="704" t="s">
        <v>728</v>
      </c>
      <c r="E11802" s="704" t="s">
        <v>448</v>
      </c>
      <c r="F11802" s="705">
        <v>0.27471140523035309</v>
      </c>
      <c r="G11802" s="705">
        <v>147.15320898713574</v>
      </c>
    </row>
    <row r="11803" spans="2:7" ht="11.25" hidden="1" customHeight="1" outlineLevel="2" x14ac:dyDescent="0.25">
      <c r="B11803" s="704" t="s">
        <v>683</v>
      </c>
      <c r="C11803" s="704" t="s">
        <v>736</v>
      </c>
      <c r="D11803" s="704" t="s">
        <v>728</v>
      </c>
      <c r="E11803" s="704" t="s">
        <v>448</v>
      </c>
      <c r="F11803" s="705">
        <v>0.18608258845993064</v>
      </c>
      <c r="G11803" s="705">
        <v>27.390400045116149</v>
      </c>
    </row>
    <row r="11804" spans="2:7" ht="11.25" hidden="1" customHeight="1" outlineLevel="2" x14ac:dyDescent="0.25">
      <c r="B11804" s="704" t="s">
        <v>683</v>
      </c>
      <c r="C11804" s="704" t="s">
        <v>737</v>
      </c>
      <c r="D11804" s="704" t="s">
        <v>728</v>
      </c>
      <c r="E11804" s="704" t="s">
        <v>448</v>
      </c>
      <c r="F11804" s="705">
        <v>0.31945480451186631</v>
      </c>
      <c r="G11804" s="705">
        <v>47.022549875325232</v>
      </c>
    </row>
    <row r="11805" spans="2:7" ht="11.25" hidden="1" customHeight="1" outlineLevel="2" x14ac:dyDescent="0.25">
      <c r="B11805" s="704" t="s">
        <v>683</v>
      </c>
      <c r="C11805" s="704" t="s">
        <v>738</v>
      </c>
      <c r="D11805" s="704" t="s">
        <v>728</v>
      </c>
      <c r="E11805" s="704" t="s">
        <v>448</v>
      </c>
      <c r="F11805" s="705">
        <v>1.3458189667558778E-4</v>
      </c>
      <c r="G11805" s="705">
        <v>6.7261497345630472E-2</v>
      </c>
    </row>
    <row r="11806" spans="2:7" ht="11.25" hidden="1" customHeight="1" outlineLevel="2" x14ac:dyDescent="0.25">
      <c r="B11806" s="704" t="s">
        <v>683</v>
      </c>
      <c r="C11806" s="704" t="s">
        <v>776</v>
      </c>
      <c r="D11806" s="704" t="s">
        <v>728</v>
      </c>
      <c r="E11806" s="704" t="s">
        <v>448</v>
      </c>
      <c r="F11806" s="705">
        <v>1.2909933443198975</v>
      </c>
      <c r="G11806" s="705">
        <v>801.6312234729013</v>
      </c>
    </row>
    <row r="11807" spans="2:7" ht="11.25" hidden="1" customHeight="1" outlineLevel="2" x14ac:dyDescent="0.25">
      <c r="B11807" s="704" t="s">
        <v>683</v>
      </c>
      <c r="C11807" s="704" t="s">
        <v>777</v>
      </c>
      <c r="D11807" s="704" t="s">
        <v>728</v>
      </c>
      <c r="E11807" s="704" t="s">
        <v>448</v>
      </c>
      <c r="F11807" s="705">
        <v>0.3850987219207016</v>
      </c>
      <c r="G11807" s="705">
        <v>459.37769890089885</v>
      </c>
    </row>
    <row r="11808" spans="2:7" ht="11.25" hidden="1" customHeight="1" outlineLevel="2" x14ac:dyDescent="0.25">
      <c r="B11808" s="704" t="s">
        <v>683</v>
      </c>
      <c r="C11808" s="704" t="s">
        <v>778</v>
      </c>
      <c r="D11808" s="704" t="s">
        <v>728</v>
      </c>
      <c r="E11808" s="704" t="s">
        <v>448</v>
      </c>
      <c r="F11808" s="705">
        <v>0.10913448927354881</v>
      </c>
      <c r="G11808" s="705">
        <v>67.217842974182858</v>
      </c>
    </row>
    <row r="11809" spans="2:7" ht="11.25" hidden="1" customHeight="1" outlineLevel="2" x14ac:dyDescent="0.25">
      <c r="B11809" s="704" t="s">
        <v>683</v>
      </c>
      <c r="C11809" s="704" t="s">
        <v>779</v>
      </c>
      <c r="D11809" s="704" t="s">
        <v>728</v>
      </c>
      <c r="E11809" s="704" t="s">
        <v>448</v>
      </c>
      <c r="F11809" s="705">
        <v>0.3121478945168803</v>
      </c>
      <c r="G11809" s="705">
        <v>233.82733557430015</v>
      </c>
    </row>
    <row r="11810" spans="2:7" ht="11.25" hidden="1" customHeight="1" outlineLevel="2" x14ac:dyDescent="0.25">
      <c r="B11810" s="704" t="s">
        <v>683</v>
      </c>
      <c r="C11810" s="704" t="s">
        <v>780</v>
      </c>
      <c r="D11810" s="704" t="s">
        <v>728</v>
      </c>
      <c r="E11810" s="704" t="s">
        <v>448</v>
      </c>
      <c r="F11810" s="705">
        <v>5.9152307862599353E-3</v>
      </c>
      <c r="G11810" s="705">
        <v>4.4626683080922778</v>
      </c>
    </row>
    <row r="11811" spans="2:7" ht="11.25" hidden="1" customHeight="1" outlineLevel="2" x14ac:dyDescent="0.25">
      <c r="B11811" s="704" t="s">
        <v>683</v>
      </c>
      <c r="C11811" s="704" t="s">
        <v>781</v>
      </c>
      <c r="D11811" s="704" t="s">
        <v>728</v>
      </c>
      <c r="E11811" s="704" t="s">
        <v>448</v>
      </c>
      <c r="F11811" s="705">
        <v>8.5577683909762274E-3</v>
      </c>
      <c r="G11811" s="705">
        <v>10.641424192095986</v>
      </c>
    </row>
    <row r="11812" spans="2:7" ht="11.25" hidden="1" customHeight="1" outlineLevel="2" x14ac:dyDescent="0.25">
      <c r="B11812" s="704" t="s">
        <v>683</v>
      </c>
      <c r="C11812" s="704" t="s">
        <v>782</v>
      </c>
      <c r="D11812" s="704" t="s">
        <v>728</v>
      </c>
      <c r="E11812" s="704" t="s">
        <v>448</v>
      </c>
      <c r="F11812" s="705">
        <v>1.1258222819641422E-2</v>
      </c>
      <c r="G11812" s="705">
        <v>8.5139774189503612</v>
      </c>
    </row>
    <row r="11813" spans="2:7" ht="11.25" hidden="1" customHeight="1" outlineLevel="2" x14ac:dyDescent="0.25">
      <c r="B11813" s="704" t="s">
        <v>683</v>
      </c>
      <c r="C11813" s="704" t="s">
        <v>783</v>
      </c>
      <c r="D11813" s="704" t="s">
        <v>728</v>
      </c>
      <c r="E11813" s="704" t="s">
        <v>448</v>
      </c>
      <c r="F11813" s="705">
        <v>0.2809564021833541</v>
      </c>
      <c r="G11813" s="705">
        <v>439.01355547551594</v>
      </c>
    </row>
    <row r="11814" spans="2:7" ht="11.25" hidden="1" customHeight="1" outlineLevel="2" x14ac:dyDescent="0.25">
      <c r="B11814" s="704" t="s">
        <v>683</v>
      </c>
      <c r="C11814" s="704" t="s">
        <v>784</v>
      </c>
      <c r="D11814" s="704" t="s">
        <v>728</v>
      </c>
      <c r="E11814" s="704" t="s">
        <v>448</v>
      </c>
      <c r="F11814" s="705">
        <v>0.16104618287691144</v>
      </c>
      <c r="G11814" s="705">
        <v>88.494067723472384</v>
      </c>
    </row>
    <row r="11815" spans="2:7" ht="11.25" hidden="1" customHeight="1" outlineLevel="2" x14ac:dyDescent="0.25">
      <c r="B11815" s="704" t="s">
        <v>683</v>
      </c>
      <c r="C11815" s="704" t="s">
        <v>785</v>
      </c>
      <c r="D11815" s="704" t="s">
        <v>728</v>
      </c>
      <c r="E11815" s="704" t="s">
        <v>448</v>
      </c>
      <c r="F11815" s="705">
        <v>0.27651770406334297</v>
      </c>
      <c r="G11815" s="705">
        <v>151.9228297789748</v>
      </c>
    </row>
    <row r="11816" spans="2:7" ht="11.25" hidden="1" customHeight="1" outlineLevel="2" x14ac:dyDescent="0.25">
      <c r="B11816" s="704" t="s">
        <v>683</v>
      </c>
      <c r="C11816" s="704" t="s">
        <v>786</v>
      </c>
      <c r="D11816" s="704" t="s">
        <v>728</v>
      </c>
      <c r="E11816" s="704" t="s">
        <v>448</v>
      </c>
      <c r="F11816" s="705">
        <v>0.12698746632131813</v>
      </c>
      <c r="G11816" s="705">
        <v>160.84433535969191</v>
      </c>
    </row>
    <row r="11817" spans="2:7" ht="11.25" hidden="1" customHeight="1" outlineLevel="2" x14ac:dyDescent="0.25">
      <c r="B11817" s="704" t="s">
        <v>683</v>
      </c>
      <c r="C11817" s="704" t="s">
        <v>787</v>
      </c>
      <c r="D11817" s="704" t="s">
        <v>728</v>
      </c>
      <c r="E11817" s="704" t="s">
        <v>448</v>
      </c>
      <c r="F11817" s="705">
        <v>3.588300416262722E-2</v>
      </c>
      <c r="G11817" s="705">
        <v>50.72049882410824</v>
      </c>
    </row>
    <row r="11818" spans="2:7" ht="11.25" hidden="1" customHeight="1" outlineLevel="2" x14ac:dyDescent="0.25">
      <c r="B11818" s="704" t="s">
        <v>683</v>
      </c>
      <c r="C11818" s="704" t="s">
        <v>788</v>
      </c>
      <c r="D11818" s="704" t="s">
        <v>728</v>
      </c>
      <c r="E11818" s="704" t="s">
        <v>448</v>
      </c>
      <c r="F11818" s="705">
        <v>5.0576480465292825E-2</v>
      </c>
      <c r="G11818" s="705">
        <v>57.73036129345271</v>
      </c>
    </row>
    <row r="11819" spans="2:7" ht="11.25" hidden="1" customHeight="1" outlineLevel="2" x14ac:dyDescent="0.25">
      <c r="B11819" s="704" t="s">
        <v>683</v>
      </c>
      <c r="C11819" s="704" t="s">
        <v>789</v>
      </c>
      <c r="D11819" s="704" t="s">
        <v>728</v>
      </c>
      <c r="E11819" s="704" t="s">
        <v>448</v>
      </c>
      <c r="F11819" s="705">
        <v>3.8977085233674158E-2</v>
      </c>
      <c r="G11819" s="705">
        <v>26.883034436553753</v>
      </c>
    </row>
    <row r="11820" spans="2:7" ht="11.25" hidden="1" customHeight="1" outlineLevel="2" x14ac:dyDescent="0.25">
      <c r="B11820" s="704" t="s">
        <v>683</v>
      </c>
      <c r="C11820" s="704" t="s">
        <v>790</v>
      </c>
      <c r="D11820" s="704" t="s">
        <v>728</v>
      </c>
      <c r="E11820" s="704" t="s">
        <v>448</v>
      </c>
      <c r="F11820" s="705">
        <v>1.6980726188548483</v>
      </c>
      <c r="G11820" s="705">
        <v>2156.0060527707142</v>
      </c>
    </row>
    <row r="11821" spans="2:7" ht="11.25" hidden="1" customHeight="1" outlineLevel="2" x14ac:dyDescent="0.25">
      <c r="B11821" s="704" t="s">
        <v>683</v>
      </c>
      <c r="C11821" s="704" t="s">
        <v>791</v>
      </c>
      <c r="D11821" s="704" t="s">
        <v>728</v>
      </c>
      <c r="E11821" s="704" t="s">
        <v>448</v>
      </c>
      <c r="F11821" s="705">
        <v>0.48756441859875083</v>
      </c>
      <c r="G11821" s="705">
        <v>689.31295254540021</v>
      </c>
    </row>
    <row r="11822" spans="2:7" ht="11.25" hidden="1" customHeight="1" outlineLevel="2" x14ac:dyDescent="0.25">
      <c r="B11822" s="704" t="s">
        <v>683</v>
      </c>
      <c r="C11822" s="704" t="s">
        <v>792</v>
      </c>
      <c r="D11822" s="704" t="s">
        <v>728</v>
      </c>
      <c r="E11822" s="704" t="s">
        <v>448</v>
      </c>
      <c r="F11822" s="705">
        <v>5.4891951156968939E-2</v>
      </c>
      <c r="G11822" s="705">
        <v>115.40551068013789</v>
      </c>
    </row>
    <row r="11823" spans="2:7" ht="11.25" hidden="1" customHeight="1" outlineLevel="2" x14ac:dyDescent="0.25">
      <c r="B11823" s="704" t="s">
        <v>683</v>
      </c>
      <c r="C11823" s="704" t="s">
        <v>793</v>
      </c>
      <c r="D11823" s="704" t="s">
        <v>728</v>
      </c>
      <c r="E11823" s="704" t="s">
        <v>448</v>
      </c>
      <c r="F11823" s="705">
        <v>1.526925745334281</v>
      </c>
      <c r="G11823" s="705">
        <v>2223.7698673974814</v>
      </c>
    </row>
    <row r="11824" spans="2:7" ht="11.25" hidden="1" customHeight="1" outlineLevel="2" x14ac:dyDescent="0.25">
      <c r="B11824" s="704" t="s">
        <v>683</v>
      </c>
      <c r="C11824" s="704" t="s">
        <v>794</v>
      </c>
      <c r="D11824" s="704" t="s">
        <v>728</v>
      </c>
      <c r="E11824" s="704" t="s">
        <v>448</v>
      </c>
      <c r="F11824" s="705">
        <v>9.7658435921202283E-2</v>
      </c>
      <c r="G11824" s="705">
        <v>76.368464145855214</v>
      </c>
    </row>
    <row r="11825" spans="2:7" ht="11.25" hidden="1" customHeight="1" outlineLevel="2" x14ac:dyDescent="0.25">
      <c r="B11825" s="704" t="s">
        <v>683</v>
      </c>
      <c r="C11825" s="704" t="s">
        <v>795</v>
      </c>
      <c r="D11825" s="704" t="s">
        <v>728</v>
      </c>
      <c r="E11825" s="704" t="s">
        <v>448</v>
      </c>
      <c r="F11825" s="705">
        <v>8.695519286900566E-2</v>
      </c>
      <c r="G11825" s="705">
        <v>68.135432184299148</v>
      </c>
    </row>
    <row r="11826" spans="2:7" ht="11.25" hidden="1" customHeight="1" outlineLevel="2" x14ac:dyDescent="0.25">
      <c r="B11826" s="704" t="s">
        <v>683</v>
      </c>
      <c r="C11826" s="704" t="s">
        <v>845</v>
      </c>
      <c r="D11826" s="704" t="s">
        <v>728</v>
      </c>
      <c r="E11826" s="704" t="s">
        <v>824</v>
      </c>
      <c r="F11826" s="705">
        <v>4.2916945898793203E-3</v>
      </c>
      <c r="G11826" s="705">
        <v>38.28371170919128</v>
      </c>
    </row>
    <row r="11827" spans="2:7" ht="11.25" hidden="1" customHeight="1" outlineLevel="2" x14ac:dyDescent="0.25">
      <c r="B11827" s="704" t="s">
        <v>683</v>
      </c>
      <c r="C11827" s="704" t="s">
        <v>894</v>
      </c>
      <c r="D11827" s="704" t="s">
        <v>728</v>
      </c>
      <c r="E11827" s="704" t="s">
        <v>861</v>
      </c>
      <c r="F11827" s="709"/>
      <c r="G11827" s="705">
        <v>5.951085950432513E-2</v>
      </c>
    </row>
    <row r="11828" spans="2:7" ht="11.25" hidden="1" customHeight="1" outlineLevel="2" x14ac:dyDescent="0.25">
      <c r="B11828" s="704" t="s">
        <v>683</v>
      </c>
      <c r="C11828" s="704" t="s">
        <v>895</v>
      </c>
      <c r="D11828" s="704" t="s">
        <v>728</v>
      </c>
      <c r="E11828" s="704" t="s">
        <v>861</v>
      </c>
      <c r="F11828" s="709"/>
      <c r="G11828" s="705">
        <v>15.903800947910694</v>
      </c>
    </row>
    <row r="11829" spans="2:7" ht="11.25" hidden="1" customHeight="1" outlineLevel="2" x14ac:dyDescent="0.25">
      <c r="B11829" s="704" t="s">
        <v>683</v>
      </c>
      <c r="C11829" s="704" t="s">
        <v>896</v>
      </c>
      <c r="D11829" s="704" t="s">
        <v>728</v>
      </c>
      <c r="E11829" s="704" t="s">
        <v>861</v>
      </c>
      <c r="F11829" s="709"/>
      <c r="G11829" s="705">
        <v>416.14820896023201</v>
      </c>
    </row>
    <row r="11830" spans="2:7" ht="11.25" hidden="1" customHeight="1" outlineLevel="2" x14ac:dyDescent="0.25">
      <c r="B11830" s="704" t="s">
        <v>683</v>
      </c>
      <c r="C11830" s="704" t="s">
        <v>897</v>
      </c>
      <c r="D11830" s="704" t="s">
        <v>728</v>
      </c>
      <c r="E11830" s="704" t="s">
        <v>861</v>
      </c>
      <c r="F11830" s="709"/>
      <c r="G11830" s="705">
        <v>85.878869282056371</v>
      </c>
    </row>
    <row r="11831" spans="2:7" ht="11.25" hidden="1" customHeight="1" outlineLevel="2" x14ac:dyDescent="0.25">
      <c r="B11831" s="704" t="s">
        <v>683</v>
      </c>
      <c r="C11831" s="704" t="s">
        <v>898</v>
      </c>
      <c r="D11831" s="704" t="s">
        <v>728</v>
      </c>
      <c r="E11831" s="704" t="s">
        <v>861</v>
      </c>
      <c r="F11831" s="709"/>
      <c r="G11831" s="705">
        <v>566.5747892983818</v>
      </c>
    </row>
    <row r="11832" spans="2:7" ht="11.25" hidden="1" customHeight="1" outlineLevel="2" x14ac:dyDescent="0.25">
      <c r="B11832" s="704" t="s">
        <v>683</v>
      </c>
      <c r="C11832" s="704" t="s">
        <v>899</v>
      </c>
      <c r="D11832" s="704" t="s">
        <v>728</v>
      </c>
      <c r="E11832" s="704" t="s">
        <v>861</v>
      </c>
      <c r="F11832" s="709"/>
      <c r="G11832" s="705">
        <v>66.804051326556987</v>
      </c>
    </row>
    <row r="11833" spans="2:7" ht="11.25" hidden="1" customHeight="1" outlineLevel="2" x14ac:dyDescent="0.25">
      <c r="B11833" s="704" t="s">
        <v>683</v>
      </c>
      <c r="C11833" s="704" t="s">
        <v>900</v>
      </c>
      <c r="D11833" s="704" t="s">
        <v>728</v>
      </c>
      <c r="E11833" s="704" t="s">
        <v>861</v>
      </c>
      <c r="F11833" s="709"/>
      <c r="G11833" s="705">
        <v>1.5913142809533578</v>
      </c>
    </row>
    <row r="11834" spans="2:7" ht="11.25" hidden="1" customHeight="1" outlineLevel="2" x14ac:dyDescent="0.25">
      <c r="B11834" s="704" t="s">
        <v>683</v>
      </c>
      <c r="C11834" s="704" t="s">
        <v>744</v>
      </c>
      <c r="D11834" s="704" t="s">
        <v>745</v>
      </c>
      <c r="E11834" s="704" t="s">
        <v>448</v>
      </c>
      <c r="F11834" s="705">
        <v>5.7043612846435388E-2</v>
      </c>
      <c r="G11834" s="705">
        <v>32.988225349242114</v>
      </c>
    </row>
    <row r="11835" spans="2:7" ht="11.25" hidden="1" customHeight="1" outlineLevel="2" x14ac:dyDescent="0.25">
      <c r="B11835" s="704" t="s">
        <v>683</v>
      </c>
      <c r="C11835" s="704" t="s">
        <v>812</v>
      </c>
      <c r="D11835" s="704" t="s">
        <v>745</v>
      </c>
      <c r="E11835" s="704" t="s">
        <v>448</v>
      </c>
      <c r="F11835" s="705">
        <v>6.6761790859171874E-2</v>
      </c>
      <c r="G11835" s="705">
        <v>74.278167198310612</v>
      </c>
    </row>
    <row r="11836" spans="2:7" ht="11.25" hidden="1" customHeight="1" outlineLevel="2" x14ac:dyDescent="0.25">
      <c r="B11836" s="704" t="s">
        <v>683</v>
      </c>
      <c r="C11836" s="704" t="s">
        <v>813</v>
      </c>
      <c r="D11836" s="704" t="s">
        <v>745</v>
      </c>
      <c r="E11836" s="704" t="s">
        <v>448</v>
      </c>
      <c r="F11836" s="705">
        <v>6.8481112773233124E-4</v>
      </c>
      <c r="G11836" s="705">
        <v>0.87260008312126625</v>
      </c>
    </row>
    <row r="11837" spans="2:7" ht="11.25" hidden="1" customHeight="1" outlineLevel="2" x14ac:dyDescent="0.25">
      <c r="B11837" s="704" t="s">
        <v>683</v>
      </c>
      <c r="C11837" s="704" t="s">
        <v>917</v>
      </c>
      <c r="D11837" s="704" t="s">
        <v>745</v>
      </c>
      <c r="E11837" s="704" t="s">
        <v>861</v>
      </c>
      <c r="F11837" s="709"/>
      <c r="G11837" s="705">
        <v>988.48691428226732</v>
      </c>
    </row>
    <row r="11838" spans="2:7" ht="11.25" hidden="1" customHeight="1" outlineLevel="2" x14ac:dyDescent="0.25">
      <c r="B11838" s="704" t="s">
        <v>683</v>
      </c>
      <c r="C11838" s="704" t="s">
        <v>816</v>
      </c>
      <c r="D11838" s="704" t="s">
        <v>712</v>
      </c>
      <c r="E11838" s="704" t="s">
        <v>448</v>
      </c>
      <c r="F11838" s="705">
        <v>8.8078438118890436E-35</v>
      </c>
      <c r="G11838" s="705">
        <v>1.0440683611184075E-31</v>
      </c>
    </row>
    <row r="11839" spans="2:7" ht="11.25" hidden="1" customHeight="1" outlineLevel="2" x14ac:dyDescent="0.25">
      <c r="B11839" s="704" t="s">
        <v>683</v>
      </c>
      <c r="C11839" s="704" t="s">
        <v>711</v>
      </c>
      <c r="D11839" s="704" t="s">
        <v>712</v>
      </c>
      <c r="E11839" s="704" t="s">
        <v>676</v>
      </c>
      <c r="F11839" s="705">
        <v>3.136151520901011E-33</v>
      </c>
      <c r="G11839" s="705">
        <v>7.3601632656396319E-31</v>
      </c>
    </row>
    <row r="11840" spans="2:7" ht="11.25" hidden="1" customHeight="1" outlineLevel="2" x14ac:dyDescent="0.25">
      <c r="B11840" s="704" t="s">
        <v>683</v>
      </c>
      <c r="C11840" s="704" t="s">
        <v>921</v>
      </c>
      <c r="D11840" s="704" t="s">
        <v>712</v>
      </c>
      <c r="E11840" s="704" t="s">
        <v>861</v>
      </c>
      <c r="F11840" s="709"/>
      <c r="G11840" s="705">
        <v>7.9720101268876722E-32</v>
      </c>
    </row>
    <row r="11841" spans="2:7" ht="11.25" hidden="1" customHeight="1" outlineLevel="2" x14ac:dyDescent="0.25">
      <c r="B11841" s="704" t="s">
        <v>683</v>
      </c>
      <c r="C11841" s="704" t="s">
        <v>817</v>
      </c>
      <c r="D11841" s="704" t="s">
        <v>818</v>
      </c>
      <c r="E11841" s="704" t="s">
        <v>448</v>
      </c>
      <c r="F11841" s="705">
        <v>7.3274306966454112</v>
      </c>
      <c r="G11841" s="705">
        <v>6020.1000629458349</v>
      </c>
    </row>
    <row r="11842" spans="2:7" ht="11.25" hidden="1" customHeight="1" outlineLevel="2" x14ac:dyDescent="0.25">
      <c r="B11842" s="704" t="s">
        <v>683</v>
      </c>
      <c r="C11842" s="704" t="s">
        <v>819</v>
      </c>
      <c r="D11842" s="704" t="s">
        <v>818</v>
      </c>
      <c r="E11842" s="704" t="s">
        <v>448</v>
      </c>
      <c r="F11842" s="705">
        <v>3.1907073927139171</v>
      </c>
      <c r="G11842" s="705">
        <v>2540.4676175299824</v>
      </c>
    </row>
    <row r="11843" spans="2:7" ht="11.25" hidden="1" customHeight="1" outlineLevel="2" x14ac:dyDescent="0.25">
      <c r="B11843" s="704" t="s">
        <v>683</v>
      </c>
      <c r="C11843" s="704" t="s">
        <v>820</v>
      </c>
      <c r="D11843" s="704" t="s">
        <v>818</v>
      </c>
      <c r="E11843" s="704" t="s">
        <v>448</v>
      </c>
      <c r="F11843" s="705">
        <v>3.6442280134271723</v>
      </c>
      <c r="G11843" s="705">
        <v>5669.8183289864992</v>
      </c>
    </row>
    <row r="11844" spans="2:7" ht="11.25" hidden="1" customHeight="1" outlineLevel="2" x14ac:dyDescent="0.25">
      <c r="B11844" s="704" t="s">
        <v>683</v>
      </c>
      <c r="C11844" s="704" t="s">
        <v>857</v>
      </c>
      <c r="D11844" s="704" t="s">
        <v>818</v>
      </c>
      <c r="E11844" s="704" t="s">
        <v>664</v>
      </c>
      <c r="F11844" s="709"/>
      <c r="G11844" s="705">
        <v>5048.2065171874438</v>
      </c>
    </row>
    <row r="11845" spans="2:7" ht="11.25" hidden="1" customHeight="1" outlineLevel="2" x14ac:dyDescent="0.25">
      <c r="B11845" s="704" t="s">
        <v>683</v>
      </c>
      <c r="C11845" s="704" t="s">
        <v>858</v>
      </c>
      <c r="D11845" s="704" t="s">
        <v>818</v>
      </c>
      <c r="E11845" s="704" t="s">
        <v>664</v>
      </c>
      <c r="F11845" s="709"/>
      <c r="G11845" s="705">
        <v>14.098472474098665</v>
      </c>
    </row>
    <row r="11846" spans="2:7" ht="11.25" hidden="1" customHeight="1" outlineLevel="2" x14ac:dyDescent="0.25">
      <c r="B11846" s="704" t="s">
        <v>683</v>
      </c>
      <c r="C11846" s="704" t="s">
        <v>922</v>
      </c>
      <c r="D11846" s="704" t="s">
        <v>822</v>
      </c>
      <c r="E11846" s="704" t="s">
        <v>861</v>
      </c>
      <c r="F11846" s="709"/>
      <c r="G11846" s="705">
        <v>3.5733218701167044</v>
      </c>
    </row>
    <row r="11847" spans="2:7" ht="11.25" hidden="1" customHeight="1" outlineLevel="2" x14ac:dyDescent="0.25">
      <c r="B11847" s="704" t="s">
        <v>683</v>
      </c>
      <c r="C11847" s="704" t="s">
        <v>821</v>
      </c>
      <c r="D11847" s="704" t="s">
        <v>822</v>
      </c>
      <c r="E11847" s="704" t="s">
        <v>448</v>
      </c>
      <c r="F11847" s="705">
        <v>1.1275301803991817E-4</v>
      </c>
      <c r="G11847" s="705">
        <v>0.15304114882938344</v>
      </c>
    </row>
    <row r="11848" spans="2:7" ht="11.25" hidden="1" customHeight="1" outlineLevel="2" x14ac:dyDescent="0.25">
      <c r="B11848" s="704" t="s">
        <v>683</v>
      </c>
      <c r="C11848" s="704" t="s">
        <v>855</v>
      </c>
      <c r="D11848" s="704" t="s">
        <v>822</v>
      </c>
      <c r="E11848" s="704" t="s">
        <v>824</v>
      </c>
      <c r="F11848" s="705">
        <v>1.7992556344046129E-6</v>
      </c>
      <c r="G11848" s="705">
        <v>5.2081411352396245E-3</v>
      </c>
    </row>
    <row r="11849" spans="2:7" ht="11.25" hidden="1" customHeight="1" outlineLevel="2" x14ac:dyDescent="0.25">
      <c r="B11849" s="704" t="s">
        <v>683</v>
      </c>
      <c r="C11849" s="704" t="s">
        <v>714</v>
      </c>
      <c r="D11849" s="704" t="s">
        <v>715</v>
      </c>
      <c r="E11849" s="704" t="s">
        <v>448</v>
      </c>
      <c r="F11849" s="705">
        <v>1.4115162662922598</v>
      </c>
      <c r="G11849" s="705">
        <v>357.83638726176002</v>
      </c>
    </row>
    <row r="11850" spans="2:7" ht="11.25" hidden="1" customHeight="1" outlineLevel="2" x14ac:dyDescent="0.25">
      <c r="B11850" s="704" t="s">
        <v>683</v>
      </c>
      <c r="C11850" s="704" t="s">
        <v>716</v>
      </c>
      <c r="D11850" s="704" t="s">
        <v>715</v>
      </c>
      <c r="E11850" s="704" t="s">
        <v>448</v>
      </c>
      <c r="F11850" s="705">
        <v>1.220677049326443E-33</v>
      </c>
      <c r="G11850" s="705">
        <v>1.4883506685854614E-30</v>
      </c>
    </row>
    <row r="11851" spans="2:7" ht="11.25" hidden="1" customHeight="1" outlineLevel="2" x14ac:dyDescent="0.25">
      <c r="B11851" s="704" t="s">
        <v>683</v>
      </c>
      <c r="C11851" s="704" t="s">
        <v>717</v>
      </c>
      <c r="D11851" s="704" t="s">
        <v>715</v>
      </c>
      <c r="E11851" s="704" t="s">
        <v>448</v>
      </c>
      <c r="F11851" s="705">
        <v>1.5119219198278302</v>
      </c>
      <c r="G11851" s="705">
        <v>413.18481786908904</v>
      </c>
    </row>
    <row r="11852" spans="2:7" ht="11.25" hidden="1" customHeight="1" outlineLevel="2" x14ac:dyDescent="0.25">
      <c r="B11852" s="704" t="s">
        <v>683</v>
      </c>
      <c r="C11852" s="704" t="s">
        <v>718</v>
      </c>
      <c r="D11852" s="704" t="s">
        <v>715</v>
      </c>
      <c r="E11852" s="704" t="s">
        <v>448</v>
      </c>
      <c r="F11852" s="705">
        <v>9.6816320427786207E-2</v>
      </c>
      <c r="G11852" s="705">
        <v>106.22956157076491</v>
      </c>
    </row>
    <row r="11853" spans="2:7" ht="11.25" hidden="1" customHeight="1" outlineLevel="2" x14ac:dyDescent="0.25">
      <c r="B11853" s="704" t="s">
        <v>683</v>
      </c>
      <c r="C11853" s="704" t="s">
        <v>746</v>
      </c>
      <c r="D11853" s="704" t="s">
        <v>715</v>
      </c>
      <c r="E11853" s="704" t="s">
        <v>448</v>
      </c>
      <c r="F11853" s="705">
        <v>0.24859778283539105</v>
      </c>
      <c r="G11853" s="705">
        <v>172.91043026300696</v>
      </c>
    </row>
    <row r="11854" spans="2:7" ht="11.25" hidden="1" customHeight="1" outlineLevel="2" x14ac:dyDescent="0.25">
      <c r="B11854" s="704" t="s">
        <v>683</v>
      </c>
      <c r="C11854" s="704" t="s">
        <v>747</v>
      </c>
      <c r="D11854" s="704" t="s">
        <v>715</v>
      </c>
      <c r="E11854" s="704" t="s">
        <v>448</v>
      </c>
      <c r="F11854" s="705">
        <v>2.1524488958734298</v>
      </c>
      <c r="G11854" s="705">
        <v>1843.0009775508097</v>
      </c>
    </row>
    <row r="11855" spans="2:7" ht="11.25" hidden="1" customHeight="1" outlineLevel="2" x14ac:dyDescent="0.25">
      <c r="B11855" s="704" t="s">
        <v>683</v>
      </c>
      <c r="C11855" s="704" t="s">
        <v>748</v>
      </c>
      <c r="D11855" s="704" t="s">
        <v>715</v>
      </c>
      <c r="E11855" s="704" t="s">
        <v>448</v>
      </c>
      <c r="F11855" s="705">
        <v>0.1993442843807231</v>
      </c>
      <c r="G11855" s="705">
        <v>258.99291158072703</v>
      </c>
    </row>
    <row r="11856" spans="2:7" ht="11.25" hidden="1" customHeight="1" outlineLevel="2" x14ac:dyDescent="0.25">
      <c r="B11856" s="704" t="s">
        <v>683</v>
      </c>
      <c r="C11856" s="704" t="s">
        <v>749</v>
      </c>
      <c r="D11856" s="704" t="s">
        <v>715</v>
      </c>
      <c r="E11856" s="704" t="s">
        <v>448</v>
      </c>
      <c r="F11856" s="705">
        <v>0.1314425563978556</v>
      </c>
      <c r="G11856" s="705">
        <v>103.65559872668655</v>
      </c>
    </row>
    <row r="11857" spans="2:7" ht="11.25" hidden="1" customHeight="1" outlineLevel="2" x14ac:dyDescent="0.25">
      <c r="B11857" s="704" t="s">
        <v>683</v>
      </c>
      <c r="C11857" s="704" t="s">
        <v>823</v>
      </c>
      <c r="D11857" s="704" t="s">
        <v>715</v>
      </c>
      <c r="E11857" s="704" t="s">
        <v>824</v>
      </c>
      <c r="F11857" s="705">
        <v>4.2912131950305875E-3</v>
      </c>
      <c r="G11857" s="705">
        <v>7.1692385698538557</v>
      </c>
    </row>
    <row r="11858" spans="2:7" ht="11.25" hidden="1" customHeight="1" outlineLevel="2" x14ac:dyDescent="0.25">
      <c r="B11858" s="704" t="s">
        <v>683</v>
      </c>
      <c r="C11858" s="704" t="s">
        <v>860</v>
      </c>
      <c r="D11858" s="704" t="s">
        <v>715</v>
      </c>
      <c r="E11858" s="704" t="s">
        <v>861</v>
      </c>
      <c r="F11858" s="709"/>
      <c r="G11858" s="705">
        <v>142.09373670000505</v>
      </c>
    </row>
    <row r="11859" spans="2:7" ht="11.25" hidden="1" customHeight="1" outlineLevel="2" x14ac:dyDescent="0.25">
      <c r="B11859" s="704" t="s">
        <v>683</v>
      </c>
      <c r="C11859" s="704" t="s">
        <v>919</v>
      </c>
      <c r="D11859" s="704" t="s">
        <v>920</v>
      </c>
      <c r="E11859" s="704" t="s">
        <v>861</v>
      </c>
      <c r="F11859" s="709"/>
      <c r="G11859" s="705">
        <v>2.6063399786129779E-29</v>
      </c>
    </row>
    <row r="11860" spans="2:7" ht="11.25" hidden="1" customHeight="1" outlineLevel="1" x14ac:dyDescent="0.25">
      <c r="B11860" s="707" t="s">
        <v>949</v>
      </c>
      <c r="C11860" s="704"/>
      <c r="D11860" s="704"/>
      <c r="E11860" s="704"/>
      <c r="F11860" s="709">
        <f t="shared" ref="F11860:G11860" si="34">SUBTOTAL(9,F11649:F11859)</f>
        <v>33.734555853587239</v>
      </c>
      <c r="G11860" s="705">
        <f t="shared" si="34"/>
        <v>103852.01557663023</v>
      </c>
    </row>
    <row r="11861" spans="2:7" ht="11.25" hidden="1" customHeight="1" outlineLevel="2" x14ac:dyDescent="0.25">
      <c r="B11861" s="704" t="s">
        <v>684</v>
      </c>
      <c r="C11861" s="704" t="s">
        <v>739</v>
      </c>
      <c r="D11861" s="704" t="s">
        <v>44</v>
      </c>
      <c r="E11861" s="704" t="s">
        <v>448</v>
      </c>
      <c r="F11861" s="705">
        <v>2.4651146391015078E-3</v>
      </c>
      <c r="G11861" s="705">
        <v>1.5035649757936125</v>
      </c>
    </row>
    <row r="11862" spans="2:7" ht="11.25" hidden="1" customHeight="1" outlineLevel="2" x14ac:dyDescent="0.25">
      <c r="B11862" s="704" t="s">
        <v>684</v>
      </c>
      <c r="C11862" s="704" t="s">
        <v>796</v>
      </c>
      <c r="D11862" s="704" t="s">
        <v>44</v>
      </c>
      <c r="E11862" s="704" t="s">
        <v>448</v>
      </c>
      <c r="F11862" s="705">
        <v>2.5821108789347768E-3</v>
      </c>
      <c r="G11862" s="705">
        <v>3.6474341623808386</v>
      </c>
    </row>
    <row r="11863" spans="2:7" ht="11.25" hidden="1" customHeight="1" outlineLevel="2" x14ac:dyDescent="0.25">
      <c r="B11863" s="704" t="s">
        <v>684</v>
      </c>
      <c r="C11863" s="704" t="s">
        <v>797</v>
      </c>
      <c r="D11863" s="704" t="s">
        <v>44</v>
      </c>
      <c r="E11863" s="704" t="s">
        <v>448</v>
      </c>
      <c r="F11863" s="705">
        <v>4.1265657616612137E-3</v>
      </c>
      <c r="G11863" s="705">
        <v>14.191960329025109</v>
      </c>
    </row>
    <row r="11864" spans="2:7" ht="11.25" hidden="1" customHeight="1" outlineLevel="2" x14ac:dyDescent="0.25">
      <c r="B11864" s="704" t="s">
        <v>684</v>
      </c>
      <c r="C11864" s="704" t="s">
        <v>798</v>
      </c>
      <c r="D11864" s="704" t="s">
        <v>44</v>
      </c>
      <c r="E11864" s="704" t="s">
        <v>448</v>
      </c>
      <c r="F11864" s="705">
        <v>6.7863777662427344E-5</v>
      </c>
      <c r="G11864" s="705">
        <v>8.9389025898029245E-2</v>
      </c>
    </row>
    <row r="11865" spans="2:7" ht="11.25" hidden="1" customHeight="1" outlineLevel="2" x14ac:dyDescent="0.25">
      <c r="B11865" s="704" t="s">
        <v>684</v>
      </c>
      <c r="C11865" s="704" t="s">
        <v>799</v>
      </c>
      <c r="D11865" s="704" t="s">
        <v>44</v>
      </c>
      <c r="E11865" s="704" t="s">
        <v>448</v>
      </c>
      <c r="F11865" s="705">
        <v>7.33137011268195E-3</v>
      </c>
      <c r="G11865" s="705">
        <v>9.6493984808816453</v>
      </c>
    </row>
    <row r="11866" spans="2:7" ht="11.25" hidden="1" customHeight="1" outlineLevel="2" x14ac:dyDescent="0.25">
      <c r="B11866" s="704" t="s">
        <v>684</v>
      </c>
      <c r="C11866" s="704" t="s">
        <v>800</v>
      </c>
      <c r="D11866" s="704" t="s">
        <v>44</v>
      </c>
      <c r="E11866" s="704" t="s">
        <v>448</v>
      </c>
      <c r="F11866" s="705">
        <v>2.411395378397858E-3</v>
      </c>
      <c r="G11866" s="705">
        <v>3.0226103097630568</v>
      </c>
    </row>
    <row r="11867" spans="2:7" ht="11.25" hidden="1" customHeight="1" outlineLevel="2" x14ac:dyDescent="0.25">
      <c r="B11867" s="704" t="s">
        <v>684</v>
      </c>
      <c r="C11867" s="704" t="s">
        <v>801</v>
      </c>
      <c r="D11867" s="704" t="s">
        <v>44</v>
      </c>
      <c r="E11867" s="704" t="s">
        <v>448</v>
      </c>
      <c r="F11867" s="705">
        <v>3.1467382306889238E-2</v>
      </c>
      <c r="G11867" s="705">
        <v>32.835192119010671</v>
      </c>
    </row>
    <row r="11868" spans="2:7" ht="11.25" hidden="1" customHeight="1" outlineLevel="2" x14ac:dyDescent="0.25">
      <c r="B11868" s="704" t="s">
        <v>684</v>
      </c>
      <c r="C11868" s="704" t="s">
        <v>802</v>
      </c>
      <c r="D11868" s="704" t="s">
        <v>44</v>
      </c>
      <c r="E11868" s="704" t="s">
        <v>448</v>
      </c>
      <c r="F11868" s="705">
        <v>0.10349171854710809</v>
      </c>
      <c r="G11868" s="705">
        <v>70.382246672353133</v>
      </c>
    </row>
    <row r="11869" spans="2:7" ht="11.25" hidden="1" customHeight="1" outlineLevel="2" x14ac:dyDescent="0.25">
      <c r="B11869" s="704" t="s">
        <v>684</v>
      </c>
      <c r="C11869" s="704" t="s">
        <v>803</v>
      </c>
      <c r="D11869" s="704" t="s">
        <v>44</v>
      </c>
      <c r="E11869" s="704" t="s">
        <v>448</v>
      </c>
      <c r="F11869" s="705">
        <v>1.1634102916539364E-2</v>
      </c>
      <c r="G11869" s="705">
        <v>15.312572825631575</v>
      </c>
    </row>
    <row r="11870" spans="2:7" ht="11.25" hidden="1" customHeight="1" outlineLevel="2" x14ac:dyDescent="0.25">
      <c r="B11870" s="704" t="s">
        <v>684</v>
      </c>
      <c r="C11870" s="704" t="s">
        <v>804</v>
      </c>
      <c r="D11870" s="704" t="s">
        <v>44</v>
      </c>
      <c r="E11870" s="704" t="s">
        <v>448</v>
      </c>
      <c r="F11870" s="705">
        <v>1.7316604904831764E-2</v>
      </c>
      <c r="G11870" s="705">
        <v>22.172550741020299</v>
      </c>
    </row>
    <row r="11871" spans="2:7" ht="11.25" hidden="1" customHeight="1" outlineLevel="2" x14ac:dyDescent="0.25">
      <c r="B11871" s="704" t="s">
        <v>684</v>
      </c>
      <c r="C11871" s="704" t="s">
        <v>805</v>
      </c>
      <c r="D11871" s="704" t="s">
        <v>44</v>
      </c>
      <c r="E11871" s="704" t="s">
        <v>448</v>
      </c>
      <c r="F11871" s="705">
        <v>3.4717997838224724E-3</v>
      </c>
      <c r="G11871" s="705">
        <v>24.596996143310914</v>
      </c>
    </row>
    <row r="11872" spans="2:7" ht="11.25" hidden="1" customHeight="1" outlineLevel="2" x14ac:dyDescent="0.25">
      <c r="B11872" s="704" t="s">
        <v>684</v>
      </c>
      <c r="C11872" s="704" t="s">
        <v>846</v>
      </c>
      <c r="D11872" s="704" t="s">
        <v>44</v>
      </c>
      <c r="E11872" s="704" t="s">
        <v>824</v>
      </c>
      <c r="F11872" s="705">
        <v>8.4723838298198404E-5</v>
      </c>
      <c r="G11872" s="705">
        <v>0.13462218976607512</v>
      </c>
    </row>
    <row r="11873" spans="2:7" ht="11.25" hidden="1" customHeight="1" outlineLevel="2" x14ac:dyDescent="0.25">
      <c r="B11873" s="704" t="s">
        <v>684</v>
      </c>
      <c r="C11873" s="704" t="s">
        <v>847</v>
      </c>
      <c r="D11873" s="704" t="s">
        <v>44</v>
      </c>
      <c r="E11873" s="704" t="s">
        <v>824</v>
      </c>
      <c r="F11873" s="705">
        <v>1.7385166571569018E-5</v>
      </c>
      <c r="G11873" s="705">
        <v>0.18321925637187497</v>
      </c>
    </row>
    <row r="11874" spans="2:7" ht="11.25" hidden="1" customHeight="1" outlineLevel="2" x14ac:dyDescent="0.25">
      <c r="B11874" s="704" t="s">
        <v>684</v>
      </c>
      <c r="C11874" s="704" t="s">
        <v>705</v>
      </c>
      <c r="D11874" s="704" t="s">
        <v>44</v>
      </c>
      <c r="E11874" s="704" t="s">
        <v>676</v>
      </c>
      <c r="F11874" s="705">
        <v>3.391552308856796E-3</v>
      </c>
      <c r="G11874" s="705">
        <v>3.5561874275231255E-2</v>
      </c>
    </row>
    <row r="11875" spans="2:7" ht="11.25" hidden="1" customHeight="1" outlineLevel="2" x14ac:dyDescent="0.25">
      <c r="B11875" s="704" t="s">
        <v>684</v>
      </c>
      <c r="C11875" s="704" t="s">
        <v>706</v>
      </c>
      <c r="D11875" s="704" t="s">
        <v>44</v>
      </c>
      <c r="E11875" s="704" t="s">
        <v>676</v>
      </c>
      <c r="F11875" s="705">
        <v>1.076502278820164E-3</v>
      </c>
      <c r="G11875" s="705">
        <v>1.128420282450621E-2</v>
      </c>
    </row>
    <row r="11876" spans="2:7" ht="11.25" hidden="1" customHeight="1" outlineLevel="2" x14ac:dyDescent="0.25">
      <c r="B11876" s="704" t="s">
        <v>684</v>
      </c>
      <c r="C11876" s="704" t="s">
        <v>901</v>
      </c>
      <c r="D11876" s="704" t="s">
        <v>44</v>
      </c>
      <c r="E11876" s="704" t="s">
        <v>861</v>
      </c>
      <c r="F11876" s="709"/>
      <c r="G11876" s="705">
        <v>0.26298216247193229</v>
      </c>
    </row>
    <row r="11877" spans="2:7" ht="11.25" hidden="1" customHeight="1" outlineLevel="2" x14ac:dyDescent="0.25">
      <c r="B11877" s="704" t="s">
        <v>684</v>
      </c>
      <c r="C11877" s="704" t="s">
        <v>902</v>
      </c>
      <c r="D11877" s="704" t="s">
        <v>44</v>
      </c>
      <c r="E11877" s="704" t="s">
        <v>861</v>
      </c>
      <c r="F11877" s="709"/>
      <c r="G11877" s="705">
        <v>11369.348375419426</v>
      </c>
    </row>
    <row r="11878" spans="2:7" ht="11.25" hidden="1" customHeight="1" outlineLevel="2" x14ac:dyDescent="0.25">
      <c r="B11878" s="704" t="s">
        <v>684</v>
      </c>
      <c r="C11878" s="704" t="s">
        <v>903</v>
      </c>
      <c r="D11878" s="704" t="s">
        <v>44</v>
      </c>
      <c r="E11878" s="704" t="s">
        <v>861</v>
      </c>
      <c r="F11878" s="709"/>
      <c r="G11878" s="705">
        <v>1020.1775000577402</v>
      </c>
    </row>
    <row r="11879" spans="2:7" ht="11.25" hidden="1" customHeight="1" outlineLevel="2" x14ac:dyDescent="0.25">
      <c r="B11879" s="704" t="s">
        <v>684</v>
      </c>
      <c r="C11879" s="704" t="s">
        <v>904</v>
      </c>
      <c r="D11879" s="704" t="s">
        <v>44</v>
      </c>
      <c r="E11879" s="704" t="s">
        <v>861</v>
      </c>
      <c r="F11879" s="709"/>
      <c r="G11879" s="705">
        <v>5.670792286756142</v>
      </c>
    </row>
    <row r="11880" spans="2:7" ht="11.25" hidden="1" customHeight="1" outlineLevel="2" x14ac:dyDescent="0.25">
      <c r="B11880" s="704" t="s">
        <v>684</v>
      </c>
      <c r="C11880" s="704" t="s">
        <v>905</v>
      </c>
      <c r="D11880" s="704" t="s">
        <v>44</v>
      </c>
      <c r="E11880" s="704" t="s">
        <v>861</v>
      </c>
      <c r="F11880" s="709"/>
      <c r="G11880" s="705">
        <v>1.1639219378973105</v>
      </c>
    </row>
    <row r="11881" spans="2:7" ht="11.25" hidden="1" customHeight="1" outlineLevel="2" x14ac:dyDescent="0.25">
      <c r="B11881" s="704" t="s">
        <v>684</v>
      </c>
      <c r="C11881" s="704" t="s">
        <v>906</v>
      </c>
      <c r="D11881" s="704" t="s">
        <v>44</v>
      </c>
      <c r="E11881" s="704" t="s">
        <v>861</v>
      </c>
      <c r="F11881" s="709"/>
      <c r="G11881" s="705">
        <v>86.600760315249133</v>
      </c>
    </row>
    <row r="11882" spans="2:7" ht="11.25" hidden="1" customHeight="1" outlineLevel="2" x14ac:dyDescent="0.25">
      <c r="B11882" s="704" t="s">
        <v>684</v>
      </c>
      <c r="C11882" s="704" t="s">
        <v>907</v>
      </c>
      <c r="D11882" s="704" t="s">
        <v>44</v>
      </c>
      <c r="E11882" s="704" t="s">
        <v>861</v>
      </c>
      <c r="F11882" s="709"/>
      <c r="G11882" s="705">
        <v>0.21690321576909077</v>
      </c>
    </row>
    <row r="11883" spans="2:7" ht="11.25" hidden="1" customHeight="1" outlineLevel="2" x14ac:dyDescent="0.25">
      <c r="B11883" s="704" t="s">
        <v>684</v>
      </c>
      <c r="C11883" s="704" t="s">
        <v>908</v>
      </c>
      <c r="D11883" s="704" t="s">
        <v>44</v>
      </c>
      <c r="E11883" s="704" t="s">
        <v>861</v>
      </c>
      <c r="F11883" s="709"/>
      <c r="G11883" s="705">
        <v>80.04283420745513</v>
      </c>
    </row>
    <row r="11884" spans="2:7" ht="11.25" hidden="1" customHeight="1" outlineLevel="2" x14ac:dyDescent="0.25">
      <c r="B11884" s="704" t="s">
        <v>684</v>
      </c>
      <c r="C11884" s="704" t="s">
        <v>909</v>
      </c>
      <c r="D11884" s="704" t="s">
        <v>44</v>
      </c>
      <c r="E11884" s="704" t="s">
        <v>861</v>
      </c>
      <c r="F11884" s="709"/>
      <c r="G11884" s="705">
        <v>222.33789830256848</v>
      </c>
    </row>
    <row r="11885" spans="2:7" ht="11.25" hidden="1" customHeight="1" outlineLevel="2" x14ac:dyDescent="0.25">
      <c r="B11885" s="704" t="s">
        <v>684</v>
      </c>
      <c r="C11885" s="704" t="s">
        <v>910</v>
      </c>
      <c r="D11885" s="704" t="s">
        <v>44</v>
      </c>
      <c r="E11885" s="704" t="s">
        <v>861</v>
      </c>
      <c r="F11885" s="709"/>
      <c r="G11885" s="705">
        <v>163.46163993283884</v>
      </c>
    </row>
    <row r="11886" spans="2:7" ht="11.25" hidden="1" customHeight="1" outlineLevel="2" x14ac:dyDescent="0.25">
      <c r="B11886" s="704" t="s">
        <v>684</v>
      </c>
      <c r="C11886" s="704" t="s">
        <v>814</v>
      </c>
      <c r="D11886" s="704" t="s">
        <v>815</v>
      </c>
      <c r="E11886" s="704" t="s">
        <v>448</v>
      </c>
      <c r="F11886" s="705">
        <v>2.3991914587645556E-6</v>
      </c>
      <c r="G11886" s="705">
        <v>7.0074351444588375E-3</v>
      </c>
    </row>
    <row r="11887" spans="2:7" ht="11.25" hidden="1" customHeight="1" outlineLevel="2" x14ac:dyDescent="0.25">
      <c r="B11887" s="704" t="s">
        <v>684</v>
      </c>
      <c r="C11887" s="704" t="s">
        <v>854</v>
      </c>
      <c r="D11887" s="704" t="s">
        <v>815</v>
      </c>
      <c r="E11887" s="704" t="s">
        <v>824</v>
      </c>
      <c r="F11887" s="705">
        <v>6.9710630690081591E-7</v>
      </c>
      <c r="G11887" s="705">
        <v>6.4049429622625486E-3</v>
      </c>
    </row>
    <row r="11888" spans="2:7" ht="11.25" hidden="1" customHeight="1" outlineLevel="2" x14ac:dyDescent="0.25">
      <c r="B11888" s="704" t="s">
        <v>684</v>
      </c>
      <c r="C11888" s="704" t="s">
        <v>918</v>
      </c>
      <c r="D11888" s="704" t="s">
        <v>815</v>
      </c>
      <c r="E11888" s="704" t="s">
        <v>861</v>
      </c>
      <c r="F11888" s="709"/>
      <c r="G11888" s="705">
        <v>0.44042558424449618</v>
      </c>
    </row>
    <row r="11889" spans="2:7" ht="11.25" hidden="1" customHeight="1" outlineLevel="2" x14ac:dyDescent="0.25">
      <c r="B11889" s="704" t="s">
        <v>684</v>
      </c>
      <c r="C11889" s="704" t="s">
        <v>740</v>
      </c>
      <c r="D11889" s="704" t="s">
        <v>562</v>
      </c>
      <c r="E11889" s="704" t="s">
        <v>448</v>
      </c>
      <c r="F11889" s="705">
        <v>5.3292844745707856E-3</v>
      </c>
      <c r="G11889" s="705">
        <v>2.6407967479482117</v>
      </c>
    </row>
    <row r="11890" spans="2:7" ht="11.25" hidden="1" customHeight="1" outlineLevel="2" x14ac:dyDescent="0.25">
      <c r="B11890" s="704" t="s">
        <v>684</v>
      </c>
      <c r="C11890" s="704" t="s">
        <v>741</v>
      </c>
      <c r="D11890" s="704" t="s">
        <v>562</v>
      </c>
      <c r="E11890" s="704" t="s">
        <v>448</v>
      </c>
      <c r="F11890" s="705">
        <v>3.4053908643260168E-2</v>
      </c>
      <c r="G11890" s="705">
        <v>17.618550520440692</v>
      </c>
    </row>
    <row r="11891" spans="2:7" ht="11.25" hidden="1" customHeight="1" outlineLevel="2" x14ac:dyDescent="0.25">
      <c r="B11891" s="704" t="s">
        <v>684</v>
      </c>
      <c r="C11891" s="704" t="s">
        <v>742</v>
      </c>
      <c r="D11891" s="704" t="s">
        <v>562</v>
      </c>
      <c r="E11891" s="704" t="s">
        <v>448</v>
      </c>
      <c r="F11891" s="705">
        <v>1.5158470249126388E-5</v>
      </c>
      <c r="G11891" s="705">
        <v>6.7949492678398568E-3</v>
      </c>
    </row>
    <row r="11892" spans="2:7" ht="11.25" hidden="1" customHeight="1" outlineLevel="2" x14ac:dyDescent="0.25">
      <c r="B11892" s="704" t="s">
        <v>684</v>
      </c>
      <c r="C11892" s="704" t="s">
        <v>743</v>
      </c>
      <c r="D11892" s="704" t="s">
        <v>562</v>
      </c>
      <c r="E11892" s="704" t="s">
        <v>448</v>
      </c>
      <c r="F11892" s="705">
        <v>2.3851567955644995E-4</v>
      </c>
      <c r="G11892" s="705">
        <v>0.10691709921297737</v>
      </c>
    </row>
    <row r="11893" spans="2:7" ht="11.25" hidden="1" customHeight="1" outlineLevel="2" x14ac:dyDescent="0.25">
      <c r="B11893" s="704" t="s">
        <v>684</v>
      </c>
      <c r="C11893" s="704" t="s">
        <v>806</v>
      </c>
      <c r="D11893" s="704" t="s">
        <v>562</v>
      </c>
      <c r="E11893" s="704" t="s">
        <v>448</v>
      </c>
      <c r="F11893" s="705">
        <v>0.44940399512051776</v>
      </c>
      <c r="G11893" s="705">
        <v>543.59512816606787</v>
      </c>
    </row>
    <row r="11894" spans="2:7" ht="11.25" hidden="1" customHeight="1" outlineLevel="2" x14ac:dyDescent="0.25">
      <c r="B11894" s="704" t="s">
        <v>684</v>
      </c>
      <c r="C11894" s="704" t="s">
        <v>807</v>
      </c>
      <c r="D11894" s="704" t="s">
        <v>562</v>
      </c>
      <c r="E11894" s="704" t="s">
        <v>448</v>
      </c>
      <c r="F11894" s="705">
        <v>9.6739513430686278E-2</v>
      </c>
      <c r="G11894" s="705">
        <v>136.02944878800878</v>
      </c>
    </row>
    <row r="11895" spans="2:7" ht="11.25" hidden="1" customHeight="1" outlineLevel="2" x14ac:dyDescent="0.25">
      <c r="B11895" s="704" t="s">
        <v>684</v>
      </c>
      <c r="C11895" s="704" t="s">
        <v>808</v>
      </c>
      <c r="D11895" s="704" t="s">
        <v>562</v>
      </c>
      <c r="E11895" s="704" t="s">
        <v>448</v>
      </c>
      <c r="F11895" s="705">
        <v>4.4656108838234801E-2</v>
      </c>
      <c r="G11895" s="705">
        <v>72.135289792686592</v>
      </c>
    </row>
    <row r="11896" spans="2:7" ht="11.25" hidden="1" customHeight="1" outlineLevel="2" x14ac:dyDescent="0.25">
      <c r="B11896" s="704" t="s">
        <v>684</v>
      </c>
      <c r="C11896" s="704" t="s">
        <v>809</v>
      </c>
      <c r="D11896" s="704" t="s">
        <v>562</v>
      </c>
      <c r="E11896" s="704" t="s">
        <v>448</v>
      </c>
      <c r="F11896" s="705">
        <v>0.10289544200947633</v>
      </c>
      <c r="G11896" s="705">
        <v>154.77617555257081</v>
      </c>
    </row>
    <row r="11897" spans="2:7" ht="11.25" hidden="1" customHeight="1" outlineLevel="2" x14ac:dyDescent="0.25">
      <c r="B11897" s="704" t="s">
        <v>684</v>
      </c>
      <c r="C11897" s="704" t="s">
        <v>810</v>
      </c>
      <c r="D11897" s="704" t="s">
        <v>562</v>
      </c>
      <c r="E11897" s="704" t="s">
        <v>448</v>
      </c>
      <c r="F11897" s="705">
        <v>0.19432560743005151</v>
      </c>
      <c r="G11897" s="705">
        <v>243.83653898268093</v>
      </c>
    </row>
    <row r="11898" spans="2:7" ht="11.25" hidden="1" customHeight="1" outlineLevel="2" x14ac:dyDescent="0.25">
      <c r="B11898" s="704" t="s">
        <v>684</v>
      </c>
      <c r="C11898" s="704" t="s">
        <v>811</v>
      </c>
      <c r="D11898" s="704" t="s">
        <v>562</v>
      </c>
      <c r="E11898" s="704" t="s">
        <v>448</v>
      </c>
      <c r="F11898" s="705">
        <v>8.2728634297405054E-3</v>
      </c>
      <c r="G11898" s="705">
        <v>11.46870366904267</v>
      </c>
    </row>
    <row r="11899" spans="2:7" ht="11.25" hidden="1" customHeight="1" outlineLevel="2" x14ac:dyDescent="0.25">
      <c r="B11899" s="704" t="s">
        <v>684</v>
      </c>
      <c r="C11899" s="704" t="s">
        <v>848</v>
      </c>
      <c r="D11899" s="704" t="s">
        <v>562</v>
      </c>
      <c r="E11899" s="704" t="s">
        <v>824</v>
      </c>
      <c r="F11899" s="705">
        <v>2.6308709422878548E-2</v>
      </c>
      <c r="G11899" s="705">
        <v>72.327962091847823</v>
      </c>
    </row>
    <row r="11900" spans="2:7" ht="11.25" hidden="1" customHeight="1" outlineLevel="2" x14ac:dyDescent="0.25">
      <c r="B11900" s="704" t="s">
        <v>684</v>
      </c>
      <c r="C11900" s="704" t="s">
        <v>849</v>
      </c>
      <c r="D11900" s="704" t="s">
        <v>562</v>
      </c>
      <c r="E11900" s="704" t="s">
        <v>824</v>
      </c>
      <c r="F11900" s="705">
        <v>3.8197387245930015E-3</v>
      </c>
      <c r="G11900" s="705">
        <v>16.109958528361226</v>
      </c>
    </row>
    <row r="11901" spans="2:7" ht="11.25" hidden="1" customHeight="1" outlineLevel="2" x14ac:dyDescent="0.25">
      <c r="B11901" s="704" t="s">
        <v>684</v>
      </c>
      <c r="C11901" s="704" t="s">
        <v>850</v>
      </c>
      <c r="D11901" s="704" t="s">
        <v>562</v>
      </c>
      <c r="E11901" s="704" t="s">
        <v>824</v>
      </c>
      <c r="F11901" s="705">
        <v>2.8259171894739529E-3</v>
      </c>
      <c r="G11901" s="705">
        <v>18.883761940652953</v>
      </c>
    </row>
    <row r="11902" spans="2:7" ht="11.25" hidden="1" customHeight="1" outlineLevel="2" x14ac:dyDescent="0.25">
      <c r="B11902" s="704" t="s">
        <v>684</v>
      </c>
      <c r="C11902" s="704" t="s">
        <v>851</v>
      </c>
      <c r="D11902" s="704" t="s">
        <v>562</v>
      </c>
      <c r="E11902" s="704" t="s">
        <v>824</v>
      </c>
      <c r="F11902" s="705">
        <v>4.9499528738813367E-3</v>
      </c>
      <c r="G11902" s="705">
        <v>23.458376829344239</v>
      </c>
    </row>
    <row r="11903" spans="2:7" ht="11.25" hidden="1" customHeight="1" outlineLevel="2" x14ac:dyDescent="0.25">
      <c r="B11903" s="704" t="s">
        <v>684</v>
      </c>
      <c r="C11903" s="704" t="s">
        <v>852</v>
      </c>
      <c r="D11903" s="704" t="s">
        <v>562</v>
      </c>
      <c r="E11903" s="704" t="s">
        <v>824</v>
      </c>
      <c r="F11903" s="705">
        <v>1.2359750964284618E-4</v>
      </c>
      <c r="G11903" s="705">
        <v>0.31710418957673447</v>
      </c>
    </row>
    <row r="11904" spans="2:7" ht="11.25" hidden="1" customHeight="1" outlineLevel="2" x14ac:dyDescent="0.25">
      <c r="B11904" s="704" t="s">
        <v>684</v>
      </c>
      <c r="C11904" s="704" t="s">
        <v>853</v>
      </c>
      <c r="D11904" s="704" t="s">
        <v>562</v>
      </c>
      <c r="E11904" s="704" t="s">
        <v>824</v>
      </c>
      <c r="F11904" s="705">
        <v>3.6059739073114789E-5</v>
      </c>
      <c r="G11904" s="705">
        <v>0.29454797516755449</v>
      </c>
    </row>
    <row r="11905" spans="2:7" ht="11.25" hidden="1" customHeight="1" outlineLevel="2" x14ac:dyDescent="0.25">
      <c r="B11905" s="704" t="s">
        <v>684</v>
      </c>
      <c r="C11905" s="704" t="s">
        <v>707</v>
      </c>
      <c r="D11905" s="704" t="s">
        <v>562</v>
      </c>
      <c r="E11905" s="704" t="s">
        <v>676</v>
      </c>
      <c r="F11905" s="705">
        <v>0.58127444167930864</v>
      </c>
      <c r="G11905" s="705">
        <v>16.141390455217483</v>
      </c>
    </row>
    <row r="11906" spans="2:7" ht="11.25" hidden="1" customHeight="1" outlineLevel="2" x14ac:dyDescent="0.25">
      <c r="B11906" s="704" t="s">
        <v>684</v>
      </c>
      <c r="C11906" s="704" t="s">
        <v>708</v>
      </c>
      <c r="D11906" s="704" t="s">
        <v>562</v>
      </c>
      <c r="E11906" s="704" t="s">
        <v>676</v>
      </c>
      <c r="F11906" s="705">
        <v>2.2285249245554545E-2</v>
      </c>
      <c r="G11906" s="705">
        <v>0.81010283897226931</v>
      </c>
    </row>
    <row r="11907" spans="2:7" ht="11.25" hidden="1" customHeight="1" outlineLevel="2" x14ac:dyDescent="0.25">
      <c r="B11907" s="704" t="s">
        <v>684</v>
      </c>
      <c r="C11907" s="704" t="s">
        <v>709</v>
      </c>
      <c r="D11907" s="704" t="s">
        <v>562</v>
      </c>
      <c r="E11907" s="704" t="s">
        <v>676</v>
      </c>
      <c r="F11907" s="705">
        <v>1.5999167104088559E-2</v>
      </c>
      <c r="G11907" s="705">
        <v>1.1221293777027717</v>
      </c>
    </row>
    <row r="11908" spans="2:7" ht="11.25" hidden="1" customHeight="1" outlineLevel="2" x14ac:dyDescent="0.25">
      <c r="B11908" s="704" t="s">
        <v>684</v>
      </c>
      <c r="C11908" s="704" t="s">
        <v>710</v>
      </c>
      <c r="D11908" s="704" t="s">
        <v>562</v>
      </c>
      <c r="E11908" s="704" t="s">
        <v>676</v>
      </c>
      <c r="F11908" s="705">
        <v>0.18743832256555615</v>
      </c>
      <c r="G11908" s="705">
        <v>39.22438184348573</v>
      </c>
    </row>
    <row r="11909" spans="2:7" ht="11.25" hidden="1" customHeight="1" outlineLevel="2" x14ac:dyDescent="0.25">
      <c r="B11909" s="704" t="s">
        <v>684</v>
      </c>
      <c r="C11909" s="704" t="s">
        <v>911</v>
      </c>
      <c r="D11909" s="704" t="s">
        <v>562</v>
      </c>
      <c r="E11909" s="704" t="s">
        <v>861</v>
      </c>
      <c r="F11909" s="709"/>
      <c r="G11909" s="705">
        <v>418.27734181256534</v>
      </c>
    </row>
    <row r="11910" spans="2:7" ht="11.25" hidden="1" customHeight="1" outlineLevel="2" x14ac:dyDescent="0.25">
      <c r="B11910" s="704" t="s">
        <v>684</v>
      </c>
      <c r="C11910" s="704" t="s">
        <v>912</v>
      </c>
      <c r="D11910" s="704" t="s">
        <v>562</v>
      </c>
      <c r="E11910" s="704" t="s">
        <v>861</v>
      </c>
      <c r="F11910" s="709"/>
      <c r="G11910" s="705">
        <v>98.68811954218009</v>
      </c>
    </row>
    <row r="11911" spans="2:7" ht="11.25" hidden="1" customHeight="1" outlineLevel="2" x14ac:dyDescent="0.25">
      <c r="B11911" s="704" t="s">
        <v>684</v>
      </c>
      <c r="C11911" s="704" t="s">
        <v>913</v>
      </c>
      <c r="D11911" s="704" t="s">
        <v>562</v>
      </c>
      <c r="E11911" s="704" t="s">
        <v>861</v>
      </c>
      <c r="F11911" s="709"/>
      <c r="G11911" s="705">
        <v>273.82127446328212</v>
      </c>
    </row>
    <row r="11912" spans="2:7" ht="11.25" hidden="1" customHeight="1" outlineLevel="2" x14ac:dyDescent="0.25">
      <c r="B11912" s="704" t="s">
        <v>684</v>
      </c>
      <c r="C11912" s="704" t="s">
        <v>914</v>
      </c>
      <c r="D11912" s="704" t="s">
        <v>562</v>
      </c>
      <c r="E11912" s="704" t="s">
        <v>861</v>
      </c>
      <c r="F11912" s="709"/>
      <c r="G11912" s="705">
        <v>139.03752008417314</v>
      </c>
    </row>
    <row r="11913" spans="2:7" ht="11.25" hidden="1" customHeight="1" outlineLevel="2" x14ac:dyDescent="0.25">
      <c r="B11913" s="704" t="s">
        <v>684</v>
      </c>
      <c r="C11913" s="704" t="s">
        <v>915</v>
      </c>
      <c r="D11913" s="704" t="s">
        <v>562</v>
      </c>
      <c r="E11913" s="704" t="s">
        <v>861</v>
      </c>
      <c r="F11913" s="709"/>
      <c r="G11913" s="705">
        <v>13.356816101550981</v>
      </c>
    </row>
    <row r="11914" spans="2:7" ht="11.25" hidden="1" customHeight="1" outlineLevel="2" x14ac:dyDescent="0.25">
      <c r="B11914" s="704" t="s">
        <v>684</v>
      </c>
      <c r="C11914" s="704" t="s">
        <v>916</v>
      </c>
      <c r="D11914" s="704" t="s">
        <v>562</v>
      </c>
      <c r="E11914" s="704" t="s">
        <v>861</v>
      </c>
      <c r="F11914" s="709"/>
      <c r="G11914" s="705">
        <v>11.850521449572073</v>
      </c>
    </row>
    <row r="11915" spans="2:7" ht="11.25" hidden="1" customHeight="1" outlineLevel="2" x14ac:dyDescent="0.25">
      <c r="B11915" s="704" t="s">
        <v>684</v>
      </c>
      <c r="C11915" s="704" t="s">
        <v>719</v>
      </c>
      <c r="D11915" s="704" t="s">
        <v>675</v>
      </c>
      <c r="E11915" s="704" t="s">
        <v>448</v>
      </c>
      <c r="F11915" s="705">
        <v>6.1381652320116314E-3</v>
      </c>
      <c r="G11915" s="705">
        <v>3.7846042591765872</v>
      </c>
    </row>
    <row r="11916" spans="2:7" ht="11.25" hidden="1" customHeight="1" outlineLevel="2" x14ac:dyDescent="0.25">
      <c r="B11916" s="704" t="s">
        <v>684</v>
      </c>
      <c r="C11916" s="704" t="s">
        <v>720</v>
      </c>
      <c r="D11916" s="704" t="s">
        <v>675</v>
      </c>
      <c r="E11916" s="704" t="s">
        <v>448</v>
      </c>
      <c r="F11916" s="705">
        <v>5.0728000224050187E-4</v>
      </c>
      <c r="G11916" s="705">
        <v>0.24546074132132004</v>
      </c>
    </row>
    <row r="11917" spans="2:7" ht="11.25" hidden="1" customHeight="1" outlineLevel="2" x14ac:dyDescent="0.25">
      <c r="B11917" s="704" t="s">
        <v>684</v>
      </c>
      <c r="C11917" s="704" t="s">
        <v>721</v>
      </c>
      <c r="D11917" s="704" t="s">
        <v>675</v>
      </c>
      <c r="E11917" s="704" t="s">
        <v>448</v>
      </c>
      <c r="F11917" s="705">
        <v>6.143311872427806E-4</v>
      </c>
      <c r="G11917" s="705">
        <v>0.29343393742941043</v>
      </c>
    </row>
    <row r="11918" spans="2:7" ht="11.25" hidden="1" customHeight="1" outlineLevel="2" x14ac:dyDescent="0.25">
      <c r="B11918" s="704" t="s">
        <v>684</v>
      </c>
      <c r="C11918" s="704" t="s">
        <v>722</v>
      </c>
      <c r="D11918" s="704" t="s">
        <v>675</v>
      </c>
      <c r="E11918" s="704" t="s">
        <v>448</v>
      </c>
      <c r="F11918" s="705">
        <v>4.9021773039386317E-6</v>
      </c>
      <c r="G11918" s="705">
        <v>2.1973888000769012E-3</v>
      </c>
    </row>
    <row r="11919" spans="2:7" ht="11.25" hidden="1" customHeight="1" outlineLevel="2" x14ac:dyDescent="0.25">
      <c r="B11919" s="704" t="s">
        <v>684</v>
      </c>
      <c r="C11919" s="704" t="s">
        <v>723</v>
      </c>
      <c r="D11919" s="704" t="s">
        <v>675</v>
      </c>
      <c r="E11919" s="704" t="s">
        <v>448</v>
      </c>
      <c r="F11919" s="705">
        <v>1.74874059340288E-2</v>
      </c>
      <c r="G11919" s="705">
        <v>9.7800182991624212</v>
      </c>
    </row>
    <row r="11920" spans="2:7" ht="11.25" hidden="1" customHeight="1" outlineLevel="2" x14ac:dyDescent="0.25">
      <c r="B11920" s="704" t="s">
        <v>684</v>
      </c>
      <c r="C11920" s="704" t="s">
        <v>724</v>
      </c>
      <c r="D11920" s="704" t="s">
        <v>675</v>
      </c>
      <c r="E11920" s="704" t="s">
        <v>448</v>
      </c>
      <c r="F11920" s="705">
        <v>1.2764873835052315E-4</v>
      </c>
      <c r="G11920" s="705">
        <v>5.7218228240652383E-2</v>
      </c>
    </row>
    <row r="11921" spans="2:7" ht="11.25" hidden="1" customHeight="1" outlineLevel="2" x14ac:dyDescent="0.25">
      <c r="B11921" s="704" t="s">
        <v>684</v>
      </c>
      <c r="C11921" s="704" t="s">
        <v>750</v>
      </c>
      <c r="D11921" s="704" t="s">
        <v>675</v>
      </c>
      <c r="E11921" s="704" t="s">
        <v>448</v>
      </c>
      <c r="F11921" s="705">
        <v>2.1573097177111865E-3</v>
      </c>
      <c r="G11921" s="705">
        <v>3.3644402293941886</v>
      </c>
    </row>
    <row r="11922" spans="2:7" ht="11.25" hidden="1" customHeight="1" outlineLevel="2" x14ac:dyDescent="0.25">
      <c r="B11922" s="704" t="s">
        <v>684</v>
      </c>
      <c r="C11922" s="704" t="s">
        <v>751</v>
      </c>
      <c r="D11922" s="704" t="s">
        <v>675</v>
      </c>
      <c r="E11922" s="704" t="s">
        <v>448</v>
      </c>
      <c r="F11922" s="705">
        <v>1.9107355517366003E-5</v>
      </c>
      <c r="G11922" s="705">
        <v>2.4862328077750715E-2</v>
      </c>
    </row>
    <row r="11923" spans="2:7" ht="11.25" hidden="1" customHeight="1" outlineLevel="2" x14ac:dyDescent="0.25">
      <c r="B11923" s="704" t="s">
        <v>684</v>
      </c>
      <c r="C11923" s="704" t="s">
        <v>752</v>
      </c>
      <c r="D11923" s="704" t="s">
        <v>675</v>
      </c>
      <c r="E11923" s="704" t="s">
        <v>448</v>
      </c>
      <c r="F11923" s="705">
        <v>5.2559479231985458E-3</v>
      </c>
      <c r="G11923" s="705">
        <v>6.2958651449687562</v>
      </c>
    </row>
    <row r="11924" spans="2:7" ht="11.25" hidden="1" customHeight="1" outlineLevel="2" x14ac:dyDescent="0.25">
      <c r="B11924" s="704" t="s">
        <v>684</v>
      </c>
      <c r="C11924" s="704" t="s">
        <v>753</v>
      </c>
      <c r="D11924" s="704" t="s">
        <v>675</v>
      </c>
      <c r="E11924" s="704" t="s">
        <v>448</v>
      </c>
      <c r="F11924" s="705">
        <v>3.7648992049191532E-3</v>
      </c>
      <c r="G11924" s="705">
        <v>5.9492075329649357</v>
      </c>
    </row>
    <row r="11925" spans="2:7" ht="11.25" hidden="1" customHeight="1" outlineLevel="2" x14ac:dyDescent="0.25">
      <c r="B11925" s="704" t="s">
        <v>684</v>
      </c>
      <c r="C11925" s="704" t="s">
        <v>754</v>
      </c>
      <c r="D11925" s="704" t="s">
        <v>675</v>
      </c>
      <c r="E11925" s="704" t="s">
        <v>448</v>
      </c>
      <c r="F11925" s="705">
        <v>9.2698445902685191E-3</v>
      </c>
      <c r="G11925" s="705">
        <v>11.840934173497095</v>
      </c>
    </row>
    <row r="11926" spans="2:7" ht="11.25" hidden="1" customHeight="1" outlineLevel="2" x14ac:dyDescent="0.25">
      <c r="B11926" s="704" t="s">
        <v>684</v>
      </c>
      <c r="C11926" s="704" t="s">
        <v>755</v>
      </c>
      <c r="D11926" s="704" t="s">
        <v>675</v>
      </c>
      <c r="E11926" s="704" t="s">
        <v>448</v>
      </c>
      <c r="F11926" s="705">
        <v>3.6258153567567653E-3</v>
      </c>
      <c r="G11926" s="705">
        <v>4.9933229396703203</v>
      </c>
    </row>
    <row r="11927" spans="2:7" ht="11.25" hidden="1" customHeight="1" outlineLevel="2" x14ac:dyDescent="0.25">
      <c r="B11927" s="704" t="s">
        <v>684</v>
      </c>
      <c r="C11927" s="704" t="s">
        <v>756</v>
      </c>
      <c r="D11927" s="704" t="s">
        <v>675</v>
      </c>
      <c r="E11927" s="704" t="s">
        <v>448</v>
      </c>
      <c r="F11927" s="705">
        <v>1.9539388939575217E-4</v>
      </c>
      <c r="G11927" s="705">
        <v>0.2592500348223517</v>
      </c>
    </row>
    <row r="11928" spans="2:7" ht="11.25" hidden="1" customHeight="1" outlineLevel="2" x14ac:dyDescent="0.25">
      <c r="B11928" s="704" t="s">
        <v>684</v>
      </c>
      <c r="C11928" s="704" t="s">
        <v>757</v>
      </c>
      <c r="D11928" s="704" t="s">
        <v>675</v>
      </c>
      <c r="E11928" s="704" t="s">
        <v>448</v>
      </c>
      <c r="F11928" s="705">
        <v>6.909539159596861E-3</v>
      </c>
      <c r="G11928" s="705">
        <v>10.453387497717284</v>
      </c>
    </row>
    <row r="11929" spans="2:7" ht="11.25" hidden="1" customHeight="1" outlineLevel="2" x14ac:dyDescent="0.25">
      <c r="B11929" s="704" t="s">
        <v>684</v>
      </c>
      <c r="C11929" s="704" t="s">
        <v>758</v>
      </c>
      <c r="D11929" s="704" t="s">
        <v>675</v>
      </c>
      <c r="E11929" s="704" t="s">
        <v>448</v>
      </c>
      <c r="F11929" s="705">
        <v>3.1111236783028747E-3</v>
      </c>
      <c r="G11929" s="705">
        <v>3.6003139777926267</v>
      </c>
    </row>
    <row r="11930" spans="2:7" ht="11.25" hidden="1" customHeight="1" outlineLevel="2" x14ac:dyDescent="0.25">
      <c r="B11930" s="704" t="s">
        <v>684</v>
      </c>
      <c r="C11930" s="704" t="s">
        <v>759</v>
      </c>
      <c r="D11930" s="704" t="s">
        <v>675</v>
      </c>
      <c r="E11930" s="704" t="s">
        <v>448</v>
      </c>
      <c r="F11930" s="705">
        <v>1.539058869578485E-2</v>
      </c>
      <c r="G11930" s="705">
        <v>21.772344660952559</v>
      </c>
    </row>
    <row r="11931" spans="2:7" ht="11.25" hidden="1" customHeight="1" outlineLevel="2" x14ac:dyDescent="0.25">
      <c r="B11931" s="704" t="s">
        <v>684</v>
      </c>
      <c r="C11931" s="704" t="s">
        <v>760</v>
      </c>
      <c r="D11931" s="704" t="s">
        <v>675</v>
      </c>
      <c r="E11931" s="704" t="s">
        <v>448</v>
      </c>
      <c r="F11931" s="705">
        <v>1.0372338274581111E-2</v>
      </c>
      <c r="G11931" s="705">
        <v>10.430094043917002</v>
      </c>
    </row>
    <row r="11932" spans="2:7" ht="11.25" hidden="1" customHeight="1" outlineLevel="2" x14ac:dyDescent="0.25">
      <c r="B11932" s="704" t="s">
        <v>684</v>
      </c>
      <c r="C11932" s="704" t="s">
        <v>761</v>
      </c>
      <c r="D11932" s="704" t="s">
        <v>675</v>
      </c>
      <c r="E11932" s="704" t="s">
        <v>448</v>
      </c>
      <c r="F11932" s="705">
        <v>4.9337425256974743E-4</v>
      </c>
      <c r="G11932" s="705">
        <v>0.83144255785814802</v>
      </c>
    </row>
    <row r="11933" spans="2:7" ht="11.25" hidden="1" customHeight="1" outlineLevel="2" x14ac:dyDescent="0.25">
      <c r="B11933" s="704" t="s">
        <v>684</v>
      </c>
      <c r="C11933" s="704" t="s">
        <v>762</v>
      </c>
      <c r="D11933" s="704" t="s">
        <v>675</v>
      </c>
      <c r="E11933" s="704" t="s">
        <v>448</v>
      </c>
      <c r="F11933" s="705">
        <v>1.0023021527877714E-3</v>
      </c>
      <c r="G11933" s="705">
        <v>1.4098264359678729</v>
      </c>
    </row>
    <row r="11934" spans="2:7" ht="11.25" hidden="1" customHeight="1" outlineLevel="2" x14ac:dyDescent="0.25">
      <c r="B11934" s="704" t="s">
        <v>684</v>
      </c>
      <c r="C11934" s="704" t="s">
        <v>763</v>
      </c>
      <c r="D11934" s="704" t="s">
        <v>675</v>
      </c>
      <c r="E11934" s="704" t="s">
        <v>448</v>
      </c>
      <c r="F11934" s="705">
        <v>4.4570980062055236E-4</v>
      </c>
      <c r="G11934" s="705">
        <v>1.2633311126752076</v>
      </c>
    </row>
    <row r="11935" spans="2:7" ht="11.25" hidden="1" customHeight="1" outlineLevel="2" x14ac:dyDescent="0.25">
      <c r="B11935" s="704" t="s">
        <v>684</v>
      </c>
      <c r="C11935" s="704" t="s">
        <v>764</v>
      </c>
      <c r="D11935" s="704" t="s">
        <v>675</v>
      </c>
      <c r="E11935" s="704" t="s">
        <v>448</v>
      </c>
      <c r="F11935" s="705">
        <v>5.1906412412780782E-4</v>
      </c>
      <c r="G11935" s="705">
        <v>3.0173933740784671</v>
      </c>
    </row>
    <row r="11936" spans="2:7" ht="11.25" hidden="1" customHeight="1" outlineLevel="2" x14ac:dyDescent="0.25">
      <c r="B11936" s="704" t="s">
        <v>684</v>
      </c>
      <c r="C11936" s="704" t="s">
        <v>765</v>
      </c>
      <c r="D11936" s="704" t="s">
        <v>675</v>
      </c>
      <c r="E11936" s="704" t="s">
        <v>448</v>
      </c>
      <c r="F11936" s="705">
        <v>4.90687233416292E-3</v>
      </c>
      <c r="G11936" s="705">
        <v>7.1504389892337761</v>
      </c>
    </row>
    <row r="11937" spans="2:7" ht="11.25" hidden="1" customHeight="1" outlineLevel="2" x14ac:dyDescent="0.25">
      <c r="B11937" s="704" t="s">
        <v>684</v>
      </c>
      <c r="C11937" s="704" t="s">
        <v>766</v>
      </c>
      <c r="D11937" s="704" t="s">
        <v>675</v>
      </c>
      <c r="E11937" s="704" t="s">
        <v>448</v>
      </c>
      <c r="F11937" s="705">
        <v>3.0452370802144259E-3</v>
      </c>
      <c r="G11937" s="705">
        <v>4.9074391607036425</v>
      </c>
    </row>
    <row r="11938" spans="2:7" ht="11.25" hidden="1" customHeight="1" outlineLevel="2" x14ac:dyDescent="0.25">
      <c r="B11938" s="704" t="s">
        <v>684</v>
      </c>
      <c r="C11938" s="704" t="s">
        <v>767</v>
      </c>
      <c r="D11938" s="704" t="s">
        <v>675</v>
      </c>
      <c r="E11938" s="704" t="s">
        <v>448</v>
      </c>
      <c r="F11938" s="705">
        <v>1.5327084604590581E-3</v>
      </c>
      <c r="G11938" s="705">
        <v>1.6169568228253335</v>
      </c>
    </row>
    <row r="11939" spans="2:7" ht="11.25" hidden="1" customHeight="1" outlineLevel="2" x14ac:dyDescent="0.25">
      <c r="B11939" s="704" t="s">
        <v>684</v>
      </c>
      <c r="C11939" s="704" t="s">
        <v>768</v>
      </c>
      <c r="D11939" s="704" t="s">
        <v>675</v>
      </c>
      <c r="E11939" s="704" t="s">
        <v>448</v>
      </c>
      <c r="F11939" s="705">
        <v>7.1573546444358722E-4</v>
      </c>
      <c r="G11939" s="705">
        <v>1.1422702605344375</v>
      </c>
    </row>
    <row r="11940" spans="2:7" ht="11.25" hidden="1" customHeight="1" outlineLevel="2" x14ac:dyDescent="0.25">
      <c r="B11940" s="704" t="s">
        <v>684</v>
      </c>
      <c r="C11940" s="704" t="s">
        <v>825</v>
      </c>
      <c r="D11940" s="704" t="s">
        <v>675</v>
      </c>
      <c r="E11940" s="704" t="s">
        <v>824</v>
      </c>
      <c r="F11940" s="705">
        <v>1.3664726924562321E-4</v>
      </c>
      <c r="G11940" s="705">
        <v>0.64699937685515652</v>
      </c>
    </row>
    <row r="11941" spans="2:7" ht="11.25" hidden="1" customHeight="1" outlineLevel="2" x14ac:dyDescent="0.25">
      <c r="B11941" s="704" t="s">
        <v>684</v>
      </c>
      <c r="C11941" s="704" t="s">
        <v>826</v>
      </c>
      <c r="D11941" s="704" t="s">
        <v>675</v>
      </c>
      <c r="E11941" s="704" t="s">
        <v>824</v>
      </c>
      <c r="F11941" s="705">
        <v>1.0157919226015414E-4</v>
      </c>
      <c r="G11941" s="705">
        <v>1.0857866984202986</v>
      </c>
    </row>
    <row r="11942" spans="2:7" ht="11.25" hidden="1" customHeight="1" outlineLevel="2" x14ac:dyDescent="0.25">
      <c r="B11942" s="704" t="s">
        <v>684</v>
      </c>
      <c r="C11942" s="704" t="s">
        <v>827</v>
      </c>
      <c r="D11942" s="704" t="s">
        <v>675</v>
      </c>
      <c r="E11942" s="704" t="s">
        <v>824</v>
      </c>
      <c r="F11942" s="705">
        <v>7.5217689267648811E-5</v>
      </c>
      <c r="G11942" s="705">
        <v>0.17962161239839833</v>
      </c>
    </row>
    <row r="11943" spans="2:7" ht="11.25" hidden="1" customHeight="1" outlineLevel="2" x14ac:dyDescent="0.25">
      <c r="B11943" s="704" t="s">
        <v>684</v>
      </c>
      <c r="C11943" s="704" t="s">
        <v>828</v>
      </c>
      <c r="D11943" s="704" t="s">
        <v>675</v>
      </c>
      <c r="E11943" s="704" t="s">
        <v>824</v>
      </c>
      <c r="F11943" s="705">
        <v>2.0510255393466448E-5</v>
      </c>
      <c r="G11943" s="705">
        <v>0.1125549813190045</v>
      </c>
    </row>
    <row r="11944" spans="2:7" ht="11.25" hidden="1" customHeight="1" outlineLevel="2" x14ac:dyDescent="0.25">
      <c r="B11944" s="704" t="s">
        <v>684</v>
      </c>
      <c r="C11944" s="704" t="s">
        <v>829</v>
      </c>
      <c r="D11944" s="704" t="s">
        <v>675</v>
      </c>
      <c r="E11944" s="704" t="s">
        <v>824</v>
      </c>
      <c r="F11944" s="705">
        <v>4.43855809655459E-4</v>
      </c>
      <c r="G11944" s="705">
        <v>1.9918421817186147</v>
      </c>
    </row>
    <row r="11945" spans="2:7" ht="11.25" hidden="1" customHeight="1" outlineLevel="2" x14ac:dyDescent="0.25">
      <c r="B11945" s="704" t="s">
        <v>684</v>
      </c>
      <c r="C11945" s="704" t="s">
        <v>830</v>
      </c>
      <c r="D11945" s="704" t="s">
        <v>675</v>
      </c>
      <c r="E11945" s="704" t="s">
        <v>824</v>
      </c>
      <c r="F11945" s="705">
        <v>4.0267954055890664E-4</v>
      </c>
      <c r="G11945" s="705">
        <v>0.71717783882943131</v>
      </c>
    </row>
    <row r="11946" spans="2:7" ht="11.25" hidden="1" customHeight="1" outlineLevel="2" x14ac:dyDescent="0.25">
      <c r="B11946" s="704" t="s">
        <v>684</v>
      </c>
      <c r="C11946" s="704" t="s">
        <v>831</v>
      </c>
      <c r="D11946" s="704" t="s">
        <v>675</v>
      </c>
      <c r="E11946" s="704" t="s">
        <v>824</v>
      </c>
      <c r="F11946" s="705">
        <v>1.1172508900300163E-4</v>
      </c>
      <c r="G11946" s="705">
        <v>1.842773250616915</v>
      </c>
    </row>
    <row r="11947" spans="2:7" ht="11.25" hidden="1" customHeight="1" outlineLevel="2" x14ac:dyDescent="0.25">
      <c r="B11947" s="704" t="s">
        <v>684</v>
      </c>
      <c r="C11947" s="704" t="s">
        <v>832</v>
      </c>
      <c r="D11947" s="704" t="s">
        <v>675</v>
      </c>
      <c r="E11947" s="704" t="s">
        <v>824</v>
      </c>
      <c r="F11947" s="705">
        <v>3.0539654689813647E-4</v>
      </c>
      <c r="G11947" s="705">
        <v>0.73395690135890856</v>
      </c>
    </row>
    <row r="11948" spans="2:7" ht="11.25" hidden="1" customHeight="1" outlineLevel="2" x14ac:dyDescent="0.25">
      <c r="B11948" s="704" t="s">
        <v>684</v>
      </c>
      <c r="C11948" s="704" t="s">
        <v>833</v>
      </c>
      <c r="D11948" s="704" t="s">
        <v>675</v>
      </c>
      <c r="E11948" s="704" t="s">
        <v>824</v>
      </c>
      <c r="F11948" s="705">
        <v>4.6642425040518683E-5</v>
      </c>
      <c r="G11948" s="705">
        <v>0.11810441694945482</v>
      </c>
    </row>
    <row r="11949" spans="2:7" ht="11.25" hidden="1" customHeight="1" outlineLevel="2" x14ac:dyDescent="0.25">
      <c r="B11949" s="704" t="s">
        <v>684</v>
      </c>
      <c r="C11949" s="704" t="s">
        <v>834</v>
      </c>
      <c r="D11949" s="704" t="s">
        <v>675</v>
      </c>
      <c r="E11949" s="704" t="s">
        <v>824</v>
      </c>
      <c r="F11949" s="705">
        <v>3.3784004127753256E-4</v>
      </c>
      <c r="G11949" s="705">
        <v>1.2776323886423049</v>
      </c>
    </row>
    <row r="11950" spans="2:7" ht="11.25" hidden="1" customHeight="1" outlineLevel="2" x14ac:dyDescent="0.25">
      <c r="B11950" s="704" t="s">
        <v>684</v>
      </c>
      <c r="C11950" s="704" t="s">
        <v>835</v>
      </c>
      <c r="D11950" s="704" t="s">
        <v>675</v>
      </c>
      <c r="E11950" s="704" t="s">
        <v>824</v>
      </c>
      <c r="F11950" s="705">
        <v>4.2372463146505911E-4</v>
      </c>
      <c r="G11950" s="705">
        <v>3.111100461850655</v>
      </c>
    </row>
    <row r="11951" spans="2:7" ht="11.25" hidden="1" customHeight="1" outlineLevel="2" x14ac:dyDescent="0.25">
      <c r="B11951" s="704" t="s">
        <v>684</v>
      </c>
      <c r="C11951" s="704" t="s">
        <v>836</v>
      </c>
      <c r="D11951" s="704" t="s">
        <v>675</v>
      </c>
      <c r="E11951" s="704" t="s">
        <v>824</v>
      </c>
      <c r="F11951" s="705">
        <v>2.9565467424393095E-5</v>
      </c>
      <c r="G11951" s="705">
        <v>0.32498986067897845</v>
      </c>
    </row>
    <row r="11952" spans="2:7" ht="11.25" hidden="1" customHeight="1" outlineLevel="2" x14ac:dyDescent="0.25">
      <c r="B11952" s="704" t="s">
        <v>684</v>
      </c>
      <c r="C11952" s="704" t="s">
        <v>837</v>
      </c>
      <c r="D11952" s="704" t="s">
        <v>675</v>
      </c>
      <c r="E11952" s="704" t="s">
        <v>824</v>
      </c>
      <c r="F11952" s="705">
        <v>9.7504183512891194E-4</v>
      </c>
      <c r="G11952" s="705">
        <v>2.6920984114286202</v>
      </c>
    </row>
    <row r="11953" spans="2:7" ht="11.25" hidden="1" customHeight="1" outlineLevel="2" x14ac:dyDescent="0.25">
      <c r="B11953" s="704" t="s">
        <v>684</v>
      </c>
      <c r="C11953" s="704" t="s">
        <v>838</v>
      </c>
      <c r="D11953" s="704" t="s">
        <v>675</v>
      </c>
      <c r="E11953" s="704" t="s">
        <v>824</v>
      </c>
      <c r="F11953" s="705">
        <v>5.0295461325746934E-4</v>
      </c>
      <c r="G11953" s="705">
        <v>1.1132944830208209</v>
      </c>
    </row>
    <row r="11954" spans="2:7" ht="11.25" hidden="1" customHeight="1" outlineLevel="2" x14ac:dyDescent="0.25">
      <c r="B11954" s="704" t="s">
        <v>684</v>
      </c>
      <c r="C11954" s="704" t="s">
        <v>674</v>
      </c>
      <c r="D11954" s="704" t="s">
        <v>675</v>
      </c>
      <c r="E11954" s="704" t="s">
        <v>676</v>
      </c>
      <c r="F11954" s="705">
        <v>1.4262689421798693E-3</v>
      </c>
      <c r="G11954" s="705">
        <v>3.52970905472434E-2</v>
      </c>
    </row>
    <row r="11955" spans="2:7" ht="11.25" hidden="1" customHeight="1" outlineLevel="2" x14ac:dyDescent="0.25">
      <c r="B11955" s="704" t="s">
        <v>684</v>
      </c>
      <c r="C11955" s="704" t="s">
        <v>862</v>
      </c>
      <c r="D11955" s="704" t="s">
        <v>675</v>
      </c>
      <c r="E11955" s="704" t="s">
        <v>861</v>
      </c>
      <c r="F11955" s="709"/>
      <c r="G11955" s="705">
        <v>104.8011144571137</v>
      </c>
    </row>
    <row r="11956" spans="2:7" ht="11.25" hidden="1" customHeight="1" outlineLevel="2" x14ac:dyDescent="0.25">
      <c r="B11956" s="704" t="s">
        <v>684</v>
      </c>
      <c r="C11956" s="704" t="s">
        <v>863</v>
      </c>
      <c r="D11956" s="704" t="s">
        <v>675</v>
      </c>
      <c r="E11956" s="704" t="s">
        <v>861</v>
      </c>
      <c r="F11956" s="709"/>
      <c r="G11956" s="705">
        <v>0.1708329668738004</v>
      </c>
    </row>
    <row r="11957" spans="2:7" ht="11.25" hidden="1" customHeight="1" outlineLevel="2" x14ac:dyDescent="0.25">
      <c r="B11957" s="704" t="s">
        <v>684</v>
      </c>
      <c r="C11957" s="704" t="s">
        <v>864</v>
      </c>
      <c r="D11957" s="704" t="s">
        <v>675</v>
      </c>
      <c r="E11957" s="704" t="s">
        <v>861</v>
      </c>
      <c r="F11957" s="709"/>
      <c r="G11957" s="705">
        <v>2.8144126943632424</v>
      </c>
    </row>
    <row r="11958" spans="2:7" ht="11.25" hidden="1" customHeight="1" outlineLevel="2" x14ac:dyDescent="0.25">
      <c r="B11958" s="704" t="s">
        <v>684</v>
      </c>
      <c r="C11958" s="704" t="s">
        <v>865</v>
      </c>
      <c r="D11958" s="704" t="s">
        <v>675</v>
      </c>
      <c r="E11958" s="704" t="s">
        <v>861</v>
      </c>
      <c r="F11958" s="709"/>
      <c r="G11958" s="705">
        <v>262.32954611814</v>
      </c>
    </row>
    <row r="11959" spans="2:7" ht="11.25" hidden="1" customHeight="1" outlineLevel="2" x14ac:dyDescent="0.25">
      <c r="B11959" s="704" t="s">
        <v>684</v>
      </c>
      <c r="C11959" s="704" t="s">
        <v>866</v>
      </c>
      <c r="D11959" s="704" t="s">
        <v>675</v>
      </c>
      <c r="E11959" s="704" t="s">
        <v>861</v>
      </c>
      <c r="F11959" s="709"/>
      <c r="G11959" s="705">
        <v>285.35936805910882</v>
      </c>
    </row>
    <row r="11960" spans="2:7" ht="11.25" hidden="1" customHeight="1" outlineLevel="2" x14ac:dyDescent="0.25">
      <c r="B11960" s="704" t="s">
        <v>684</v>
      </c>
      <c r="C11960" s="704" t="s">
        <v>867</v>
      </c>
      <c r="D11960" s="704" t="s">
        <v>675</v>
      </c>
      <c r="E11960" s="704" t="s">
        <v>861</v>
      </c>
      <c r="F11960" s="709"/>
      <c r="G11960" s="705">
        <v>15.721421172273477</v>
      </c>
    </row>
    <row r="11961" spans="2:7" ht="11.25" hidden="1" customHeight="1" outlineLevel="2" x14ac:dyDescent="0.25">
      <c r="B11961" s="704" t="s">
        <v>684</v>
      </c>
      <c r="C11961" s="704" t="s">
        <v>868</v>
      </c>
      <c r="D11961" s="704" t="s">
        <v>675</v>
      </c>
      <c r="E11961" s="704" t="s">
        <v>861</v>
      </c>
      <c r="F11961" s="709"/>
      <c r="G11961" s="705">
        <v>9.8229266689795338</v>
      </c>
    </row>
    <row r="11962" spans="2:7" ht="11.25" hidden="1" customHeight="1" outlineLevel="2" x14ac:dyDescent="0.25">
      <c r="B11962" s="704" t="s">
        <v>684</v>
      </c>
      <c r="C11962" s="704" t="s">
        <v>869</v>
      </c>
      <c r="D11962" s="704" t="s">
        <v>675</v>
      </c>
      <c r="E11962" s="704" t="s">
        <v>861</v>
      </c>
      <c r="F11962" s="709"/>
      <c r="G11962" s="705">
        <v>29.330773858277432</v>
      </c>
    </row>
    <row r="11963" spans="2:7" ht="11.25" hidden="1" customHeight="1" outlineLevel="2" x14ac:dyDescent="0.25">
      <c r="B11963" s="704" t="s">
        <v>684</v>
      </c>
      <c r="C11963" s="704" t="s">
        <v>870</v>
      </c>
      <c r="D11963" s="704" t="s">
        <v>675</v>
      </c>
      <c r="E11963" s="704" t="s">
        <v>861</v>
      </c>
      <c r="F11963" s="709"/>
      <c r="G11963" s="705">
        <v>125.98137069606663</v>
      </c>
    </row>
    <row r="11964" spans="2:7" ht="11.25" hidden="1" customHeight="1" outlineLevel="2" x14ac:dyDescent="0.25">
      <c r="B11964" s="704" t="s">
        <v>684</v>
      </c>
      <c r="C11964" s="704" t="s">
        <v>871</v>
      </c>
      <c r="D11964" s="704" t="s">
        <v>675</v>
      </c>
      <c r="E11964" s="704" t="s">
        <v>861</v>
      </c>
      <c r="F11964" s="709"/>
      <c r="G11964" s="705">
        <v>108.32920486335803</v>
      </c>
    </row>
    <row r="11965" spans="2:7" ht="11.25" hidden="1" customHeight="1" outlineLevel="2" x14ac:dyDescent="0.25">
      <c r="B11965" s="704" t="s">
        <v>684</v>
      </c>
      <c r="C11965" s="704" t="s">
        <v>872</v>
      </c>
      <c r="D11965" s="704" t="s">
        <v>675</v>
      </c>
      <c r="E11965" s="704" t="s">
        <v>861</v>
      </c>
      <c r="F11965" s="709"/>
      <c r="G11965" s="705">
        <v>1076.1805032918564</v>
      </c>
    </row>
    <row r="11966" spans="2:7" ht="11.25" hidden="1" customHeight="1" outlineLevel="2" x14ac:dyDescent="0.25">
      <c r="B11966" s="704" t="s">
        <v>684</v>
      </c>
      <c r="C11966" s="704" t="s">
        <v>873</v>
      </c>
      <c r="D11966" s="704" t="s">
        <v>675</v>
      </c>
      <c r="E11966" s="704" t="s">
        <v>861</v>
      </c>
      <c r="F11966" s="709"/>
      <c r="G11966" s="705">
        <v>8.9268667098563004</v>
      </c>
    </row>
    <row r="11967" spans="2:7" ht="11.25" hidden="1" customHeight="1" outlineLevel="2" x14ac:dyDescent="0.25">
      <c r="B11967" s="704" t="s">
        <v>684</v>
      </c>
      <c r="C11967" s="704" t="s">
        <v>874</v>
      </c>
      <c r="D11967" s="704" t="s">
        <v>675</v>
      </c>
      <c r="E11967" s="704" t="s">
        <v>861</v>
      </c>
      <c r="F11967" s="709"/>
      <c r="G11967" s="705">
        <v>4.2165663011762788</v>
      </c>
    </row>
    <row r="11968" spans="2:7" ht="11.25" hidden="1" customHeight="1" outlineLevel="2" x14ac:dyDescent="0.25">
      <c r="B11968" s="704" t="s">
        <v>684</v>
      </c>
      <c r="C11968" s="704" t="s">
        <v>875</v>
      </c>
      <c r="D11968" s="704" t="s">
        <v>675</v>
      </c>
      <c r="E11968" s="704" t="s">
        <v>861</v>
      </c>
      <c r="F11968" s="709"/>
      <c r="G11968" s="705">
        <v>245.79025829335535</v>
      </c>
    </row>
    <row r="11969" spans="2:7" ht="11.25" hidden="1" customHeight="1" outlineLevel="2" x14ac:dyDescent="0.25">
      <c r="B11969" s="704" t="s">
        <v>684</v>
      </c>
      <c r="C11969" s="704" t="s">
        <v>876</v>
      </c>
      <c r="D11969" s="704" t="s">
        <v>675</v>
      </c>
      <c r="E11969" s="704" t="s">
        <v>861</v>
      </c>
      <c r="F11969" s="709"/>
      <c r="G11969" s="705">
        <v>267.74702838063985</v>
      </c>
    </row>
    <row r="11970" spans="2:7" ht="11.25" hidden="1" customHeight="1" outlineLevel="2" x14ac:dyDescent="0.25">
      <c r="B11970" s="704" t="s">
        <v>684</v>
      </c>
      <c r="C11970" s="704" t="s">
        <v>877</v>
      </c>
      <c r="D11970" s="704" t="s">
        <v>675</v>
      </c>
      <c r="E11970" s="704" t="s">
        <v>861</v>
      </c>
      <c r="F11970" s="709"/>
      <c r="G11970" s="705">
        <v>920.45028336297241</v>
      </c>
    </row>
    <row r="11971" spans="2:7" ht="11.25" hidden="1" customHeight="1" outlineLevel="2" x14ac:dyDescent="0.25">
      <c r="B11971" s="704" t="s">
        <v>684</v>
      </c>
      <c r="C11971" s="704" t="s">
        <v>878</v>
      </c>
      <c r="D11971" s="704" t="s">
        <v>675</v>
      </c>
      <c r="E11971" s="704" t="s">
        <v>861</v>
      </c>
      <c r="F11971" s="709"/>
      <c r="G11971" s="705">
        <v>43.333524456583156</v>
      </c>
    </row>
    <row r="11972" spans="2:7" ht="11.25" hidden="1" customHeight="1" outlineLevel="2" x14ac:dyDescent="0.25">
      <c r="B11972" s="704" t="s">
        <v>684</v>
      </c>
      <c r="C11972" s="704" t="s">
        <v>879</v>
      </c>
      <c r="D11972" s="704" t="s">
        <v>675</v>
      </c>
      <c r="E11972" s="704" t="s">
        <v>861</v>
      </c>
      <c r="F11972" s="709"/>
      <c r="G11972" s="705">
        <v>344.472402802418</v>
      </c>
    </row>
    <row r="11973" spans="2:7" ht="11.25" hidden="1" customHeight="1" outlineLevel="2" x14ac:dyDescent="0.25">
      <c r="B11973" s="704" t="s">
        <v>684</v>
      </c>
      <c r="C11973" s="704" t="s">
        <v>880</v>
      </c>
      <c r="D11973" s="704" t="s">
        <v>675</v>
      </c>
      <c r="E11973" s="704" t="s">
        <v>861</v>
      </c>
      <c r="F11973" s="709"/>
      <c r="G11973" s="705">
        <v>1171.3773798133486</v>
      </c>
    </row>
    <row r="11974" spans="2:7" ht="11.25" hidden="1" customHeight="1" outlineLevel="2" x14ac:dyDescent="0.25">
      <c r="B11974" s="704" t="s">
        <v>684</v>
      </c>
      <c r="C11974" s="704" t="s">
        <v>881</v>
      </c>
      <c r="D11974" s="704" t="s">
        <v>675</v>
      </c>
      <c r="E11974" s="704" t="s">
        <v>861</v>
      </c>
      <c r="F11974" s="709"/>
      <c r="G11974" s="705">
        <v>710.36934371129007</v>
      </c>
    </row>
    <row r="11975" spans="2:7" ht="11.25" hidden="1" customHeight="1" outlineLevel="2" x14ac:dyDescent="0.25">
      <c r="B11975" s="704" t="s">
        <v>684</v>
      </c>
      <c r="C11975" s="704" t="s">
        <v>882</v>
      </c>
      <c r="D11975" s="704" t="s">
        <v>675</v>
      </c>
      <c r="E11975" s="704" t="s">
        <v>861</v>
      </c>
      <c r="F11975" s="709"/>
      <c r="G11975" s="705">
        <v>1072.0395672172824</v>
      </c>
    </row>
    <row r="11976" spans="2:7" ht="11.25" hidden="1" customHeight="1" outlineLevel="2" x14ac:dyDescent="0.25">
      <c r="B11976" s="704" t="s">
        <v>684</v>
      </c>
      <c r="C11976" s="704" t="s">
        <v>883</v>
      </c>
      <c r="D11976" s="704" t="s">
        <v>675</v>
      </c>
      <c r="E11976" s="704" t="s">
        <v>861</v>
      </c>
      <c r="F11976" s="709"/>
      <c r="G11976" s="705">
        <v>487.0939659270993</v>
      </c>
    </row>
    <row r="11977" spans="2:7" ht="11.25" hidden="1" customHeight="1" outlineLevel="2" x14ac:dyDescent="0.25">
      <c r="B11977" s="704" t="s">
        <v>684</v>
      </c>
      <c r="C11977" s="704" t="s">
        <v>884</v>
      </c>
      <c r="D11977" s="704" t="s">
        <v>675</v>
      </c>
      <c r="E11977" s="704" t="s">
        <v>861</v>
      </c>
      <c r="F11977" s="709"/>
      <c r="G11977" s="705">
        <v>115.31058815306388</v>
      </c>
    </row>
    <row r="11978" spans="2:7" ht="11.25" hidden="1" customHeight="1" outlineLevel="2" x14ac:dyDescent="0.25">
      <c r="B11978" s="704" t="s">
        <v>684</v>
      </c>
      <c r="C11978" s="704" t="s">
        <v>885</v>
      </c>
      <c r="D11978" s="704" t="s">
        <v>675</v>
      </c>
      <c r="E11978" s="704" t="s">
        <v>861</v>
      </c>
      <c r="F11978" s="709"/>
      <c r="G11978" s="705">
        <v>1.500773950107698</v>
      </c>
    </row>
    <row r="11979" spans="2:7" ht="11.25" hidden="1" customHeight="1" outlineLevel="2" x14ac:dyDescent="0.25">
      <c r="B11979" s="704" t="s">
        <v>684</v>
      </c>
      <c r="C11979" s="704" t="s">
        <v>886</v>
      </c>
      <c r="D11979" s="704" t="s">
        <v>675</v>
      </c>
      <c r="E11979" s="704" t="s">
        <v>861</v>
      </c>
      <c r="F11979" s="709"/>
      <c r="G11979" s="705">
        <v>110.4949498773678</v>
      </c>
    </row>
    <row r="11980" spans="2:7" ht="11.25" hidden="1" customHeight="1" outlineLevel="2" x14ac:dyDescent="0.25">
      <c r="B11980" s="704" t="s">
        <v>684</v>
      </c>
      <c r="C11980" s="704" t="s">
        <v>725</v>
      </c>
      <c r="D11980" s="704" t="s">
        <v>563</v>
      </c>
      <c r="E11980" s="704" t="s">
        <v>448</v>
      </c>
      <c r="F11980" s="705">
        <v>2.1039844666956932E-4</v>
      </c>
      <c r="G11980" s="705">
        <v>9.4314264080385332E-2</v>
      </c>
    </row>
    <row r="11981" spans="2:7" ht="11.25" hidden="1" customHeight="1" outlineLevel="2" x14ac:dyDescent="0.25">
      <c r="B11981" s="704" t="s">
        <v>684</v>
      </c>
      <c r="C11981" s="704" t="s">
        <v>726</v>
      </c>
      <c r="D11981" s="704" t="s">
        <v>563</v>
      </c>
      <c r="E11981" s="704" t="s">
        <v>448</v>
      </c>
      <c r="F11981" s="705">
        <v>1.6570740832769542E-5</v>
      </c>
      <c r="G11981" s="705">
        <v>7.4280665505126421E-3</v>
      </c>
    </row>
    <row r="11982" spans="2:7" ht="11.25" hidden="1" customHeight="1" outlineLevel="2" x14ac:dyDescent="0.25">
      <c r="B11982" s="704" t="s">
        <v>684</v>
      </c>
      <c r="C11982" s="704" t="s">
        <v>769</v>
      </c>
      <c r="D11982" s="704" t="s">
        <v>563</v>
      </c>
      <c r="E11982" s="704" t="s">
        <v>448</v>
      </c>
      <c r="F11982" s="705">
        <v>1.0731384687763731E-2</v>
      </c>
      <c r="G11982" s="705">
        <v>11.324895939563417</v>
      </c>
    </row>
    <row r="11983" spans="2:7" ht="11.25" hidden="1" customHeight="1" outlineLevel="2" x14ac:dyDescent="0.25">
      <c r="B11983" s="704" t="s">
        <v>684</v>
      </c>
      <c r="C11983" s="704" t="s">
        <v>770</v>
      </c>
      <c r="D11983" s="704" t="s">
        <v>563</v>
      </c>
      <c r="E11983" s="704" t="s">
        <v>448</v>
      </c>
      <c r="F11983" s="705">
        <v>9.6317589134150977E-3</v>
      </c>
      <c r="G11983" s="705">
        <v>33.100828733274916</v>
      </c>
    </row>
    <row r="11984" spans="2:7" ht="11.25" hidden="1" customHeight="1" outlineLevel="2" x14ac:dyDescent="0.25">
      <c r="B11984" s="704" t="s">
        <v>684</v>
      </c>
      <c r="C11984" s="704" t="s">
        <v>771</v>
      </c>
      <c r="D11984" s="704" t="s">
        <v>563</v>
      </c>
      <c r="E11984" s="704" t="s">
        <v>448</v>
      </c>
      <c r="F11984" s="705">
        <v>3.5543625130006634E-3</v>
      </c>
      <c r="G11984" s="705">
        <v>8.3596919916953247</v>
      </c>
    </row>
    <row r="11985" spans="2:7" ht="11.25" hidden="1" customHeight="1" outlineLevel="2" x14ac:dyDescent="0.25">
      <c r="B11985" s="704" t="s">
        <v>684</v>
      </c>
      <c r="C11985" s="704" t="s">
        <v>772</v>
      </c>
      <c r="D11985" s="704" t="s">
        <v>563</v>
      </c>
      <c r="E11985" s="704" t="s">
        <v>448</v>
      </c>
      <c r="F11985" s="705">
        <v>1.1923381103485139E-2</v>
      </c>
      <c r="G11985" s="705">
        <v>15.582086099554557</v>
      </c>
    </row>
    <row r="11986" spans="2:7" ht="11.25" hidden="1" customHeight="1" outlineLevel="2" x14ac:dyDescent="0.25">
      <c r="B11986" s="704" t="s">
        <v>684</v>
      </c>
      <c r="C11986" s="704" t="s">
        <v>773</v>
      </c>
      <c r="D11986" s="704" t="s">
        <v>563</v>
      </c>
      <c r="E11986" s="704" t="s">
        <v>448</v>
      </c>
      <c r="F11986" s="705">
        <v>6.6805890681650884E-4</v>
      </c>
      <c r="G11986" s="705">
        <v>0.76558987320213279</v>
      </c>
    </row>
    <row r="11987" spans="2:7" ht="11.25" hidden="1" customHeight="1" outlineLevel="2" x14ac:dyDescent="0.25">
      <c r="B11987" s="704" t="s">
        <v>684</v>
      </c>
      <c r="C11987" s="704" t="s">
        <v>774</v>
      </c>
      <c r="D11987" s="704" t="s">
        <v>563</v>
      </c>
      <c r="E11987" s="704" t="s">
        <v>448</v>
      </c>
      <c r="F11987" s="705">
        <v>1.5051906425468127E-4</v>
      </c>
      <c r="G11987" s="705">
        <v>0.20392672490648989</v>
      </c>
    </row>
    <row r="11988" spans="2:7" ht="11.25" hidden="1" customHeight="1" outlineLevel="2" x14ac:dyDescent="0.25">
      <c r="B11988" s="704" t="s">
        <v>684</v>
      </c>
      <c r="C11988" s="704" t="s">
        <v>775</v>
      </c>
      <c r="D11988" s="704" t="s">
        <v>563</v>
      </c>
      <c r="E11988" s="704" t="s">
        <v>448</v>
      </c>
      <c r="F11988" s="705">
        <v>2.6223767078717669E-4</v>
      </c>
      <c r="G11988" s="705">
        <v>3.375244095325832</v>
      </c>
    </row>
    <row r="11989" spans="2:7" ht="11.25" hidden="1" customHeight="1" outlineLevel="2" x14ac:dyDescent="0.25">
      <c r="B11989" s="704" t="s">
        <v>684</v>
      </c>
      <c r="C11989" s="704" t="s">
        <v>839</v>
      </c>
      <c r="D11989" s="704" t="s">
        <v>563</v>
      </c>
      <c r="E11989" s="704" t="s">
        <v>824</v>
      </c>
      <c r="F11989" s="705">
        <v>1.1669009559080155E-2</v>
      </c>
      <c r="G11989" s="705">
        <v>28.31680961693684</v>
      </c>
    </row>
    <row r="11990" spans="2:7" ht="11.25" hidden="1" customHeight="1" outlineLevel="2" x14ac:dyDescent="0.25">
      <c r="B11990" s="704" t="s">
        <v>684</v>
      </c>
      <c r="C11990" s="704" t="s">
        <v>840</v>
      </c>
      <c r="D11990" s="704" t="s">
        <v>563</v>
      </c>
      <c r="E11990" s="704" t="s">
        <v>824</v>
      </c>
      <c r="F11990" s="705">
        <v>0.34006254006987363</v>
      </c>
      <c r="G11990" s="705">
        <v>2503.6424056226451</v>
      </c>
    </row>
    <row r="11991" spans="2:7" ht="11.25" hidden="1" customHeight="1" outlineLevel="2" x14ac:dyDescent="0.25">
      <c r="B11991" s="704" t="s">
        <v>684</v>
      </c>
      <c r="C11991" s="704" t="s">
        <v>841</v>
      </c>
      <c r="D11991" s="704" t="s">
        <v>563</v>
      </c>
      <c r="E11991" s="704" t="s">
        <v>824</v>
      </c>
      <c r="F11991" s="705">
        <v>1.6757923809407552E-3</v>
      </c>
      <c r="G11991" s="705">
        <v>19.176478209783888</v>
      </c>
    </row>
    <row r="11992" spans="2:7" ht="11.25" hidden="1" customHeight="1" outlineLevel="2" x14ac:dyDescent="0.25">
      <c r="B11992" s="704" t="s">
        <v>684</v>
      </c>
      <c r="C11992" s="704" t="s">
        <v>842</v>
      </c>
      <c r="D11992" s="704" t="s">
        <v>563</v>
      </c>
      <c r="E11992" s="704" t="s">
        <v>824</v>
      </c>
      <c r="F11992" s="705">
        <v>6.0726603593287427E-4</v>
      </c>
      <c r="G11992" s="705">
        <v>5.9438144746150563</v>
      </c>
    </row>
    <row r="11993" spans="2:7" ht="11.25" hidden="1" customHeight="1" outlineLevel="2" x14ac:dyDescent="0.25">
      <c r="B11993" s="704" t="s">
        <v>684</v>
      </c>
      <c r="C11993" s="704" t="s">
        <v>843</v>
      </c>
      <c r="D11993" s="704" t="s">
        <v>563</v>
      </c>
      <c r="E11993" s="704" t="s">
        <v>824</v>
      </c>
      <c r="F11993" s="705">
        <v>5.8695671903938025E-4</v>
      </c>
      <c r="G11993" s="705">
        <v>1.5336071117364756</v>
      </c>
    </row>
    <row r="11994" spans="2:7" ht="11.25" hidden="1" customHeight="1" outlineLevel="2" x14ac:dyDescent="0.25">
      <c r="B11994" s="704" t="s">
        <v>684</v>
      </c>
      <c r="C11994" s="704" t="s">
        <v>844</v>
      </c>
      <c r="D11994" s="704" t="s">
        <v>563</v>
      </c>
      <c r="E11994" s="704" t="s">
        <v>824</v>
      </c>
      <c r="F11994" s="705">
        <v>5.8698158685239056E-4</v>
      </c>
      <c r="G11994" s="705">
        <v>11.664898398821192</v>
      </c>
    </row>
    <row r="11995" spans="2:7" ht="11.25" hidden="1" customHeight="1" outlineLevel="2" x14ac:dyDescent="0.25">
      <c r="B11995" s="704" t="s">
        <v>684</v>
      </c>
      <c r="C11995" s="704" t="s">
        <v>700</v>
      </c>
      <c r="D11995" s="704" t="s">
        <v>563</v>
      </c>
      <c r="E11995" s="704" t="s">
        <v>676</v>
      </c>
      <c r="F11995" s="705">
        <v>1.7793456327241908</v>
      </c>
      <c r="G11995" s="705">
        <v>149.7420988733648</v>
      </c>
    </row>
    <row r="11996" spans="2:7" ht="11.25" hidden="1" customHeight="1" outlineLevel="2" x14ac:dyDescent="0.25">
      <c r="B11996" s="704" t="s">
        <v>684</v>
      </c>
      <c r="C11996" s="704" t="s">
        <v>701</v>
      </c>
      <c r="D11996" s="704" t="s">
        <v>563</v>
      </c>
      <c r="E11996" s="704" t="s">
        <v>676</v>
      </c>
      <c r="F11996" s="705">
        <v>1.9434997358692458E-3</v>
      </c>
      <c r="G11996" s="705">
        <v>0.1701873180705688</v>
      </c>
    </row>
    <row r="11997" spans="2:7" ht="11.25" hidden="1" customHeight="1" outlineLevel="2" x14ac:dyDescent="0.25">
      <c r="B11997" s="704" t="s">
        <v>684</v>
      </c>
      <c r="C11997" s="704" t="s">
        <v>702</v>
      </c>
      <c r="D11997" s="704" t="s">
        <v>563</v>
      </c>
      <c r="E11997" s="704" t="s">
        <v>676</v>
      </c>
      <c r="F11997" s="705">
        <v>9.0683578067557295E-4</v>
      </c>
      <c r="G11997" s="705">
        <v>9.2941240945229986E-2</v>
      </c>
    </row>
    <row r="11998" spans="2:7" ht="11.25" hidden="1" customHeight="1" outlineLevel="2" x14ac:dyDescent="0.25">
      <c r="B11998" s="704" t="s">
        <v>684</v>
      </c>
      <c r="C11998" s="704" t="s">
        <v>703</v>
      </c>
      <c r="D11998" s="704" t="s">
        <v>563</v>
      </c>
      <c r="E11998" s="704" t="s">
        <v>676</v>
      </c>
      <c r="F11998" s="705">
        <v>1.9994510529634402E-3</v>
      </c>
      <c r="G11998" s="705">
        <v>0.19689411026007353</v>
      </c>
    </row>
    <row r="11999" spans="2:7" ht="11.25" hidden="1" customHeight="1" outlineLevel="2" x14ac:dyDescent="0.25">
      <c r="B11999" s="704" t="s">
        <v>684</v>
      </c>
      <c r="C11999" s="704" t="s">
        <v>704</v>
      </c>
      <c r="D11999" s="704" t="s">
        <v>563</v>
      </c>
      <c r="E11999" s="704" t="s">
        <v>676</v>
      </c>
      <c r="F11999" s="705">
        <v>3.0881733472456993E-3</v>
      </c>
      <c r="G11999" s="705">
        <v>0.69446336971687661</v>
      </c>
    </row>
    <row r="12000" spans="2:7" ht="11.25" hidden="1" customHeight="1" outlineLevel="2" x14ac:dyDescent="0.25">
      <c r="B12000" s="704" t="s">
        <v>684</v>
      </c>
      <c r="C12000" s="704" t="s">
        <v>887</v>
      </c>
      <c r="D12000" s="704" t="s">
        <v>563</v>
      </c>
      <c r="E12000" s="704" t="s">
        <v>861</v>
      </c>
      <c r="F12000" s="709"/>
      <c r="G12000" s="705">
        <v>46.676075608131285</v>
      </c>
    </row>
    <row r="12001" spans="2:7" ht="11.25" hidden="1" customHeight="1" outlineLevel="2" x14ac:dyDescent="0.25">
      <c r="B12001" s="704" t="s">
        <v>684</v>
      </c>
      <c r="C12001" s="704" t="s">
        <v>888</v>
      </c>
      <c r="D12001" s="704" t="s">
        <v>563</v>
      </c>
      <c r="E12001" s="704" t="s">
        <v>861</v>
      </c>
      <c r="F12001" s="709"/>
      <c r="G12001" s="705">
        <v>677.29722689060475</v>
      </c>
    </row>
    <row r="12002" spans="2:7" ht="11.25" hidden="1" customHeight="1" outlineLevel="2" x14ac:dyDescent="0.25">
      <c r="B12002" s="704" t="s">
        <v>684</v>
      </c>
      <c r="C12002" s="704" t="s">
        <v>889</v>
      </c>
      <c r="D12002" s="704" t="s">
        <v>563</v>
      </c>
      <c r="E12002" s="704" t="s">
        <v>861</v>
      </c>
      <c r="F12002" s="709"/>
      <c r="G12002" s="705">
        <v>295.61780605150955</v>
      </c>
    </row>
    <row r="12003" spans="2:7" ht="11.25" hidden="1" customHeight="1" outlineLevel="2" x14ac:dyDescent="0.25">
      <c r="B12003" s="704" t="s">
        <v>684</v>
      </c>
      <c r="C12003" s="704" t="s">
        <v>890</v>
      </c>
      <c r="D12003" s="704" t="s">
        <v>563</v>
      </c>
      <c r="E12003" s="704" t="s">
        <v>861</v>
      </c>
      <c r="F12003" s="709"/>
      <c r="G12003" s="705">
        <v>300.04889109156073</v>
      </c>
    </row>
    <row r="12004" spans="2:7" ht="11.25" hidden="1" customHeight="1" outlineLevel="2" x14ac:dyDescent="0.25">
      <c r="B12004" s="704" t="s">
        <v>684</v>
      </c>
      <c r="C12004" s="704" t="s">
        <v>891</v>
      </c>
      <c r="D12004" s="704" t="s">
        <v>563</v>
      </c>
      <c r="E12004" s="704" t="s">
        <v>861</v>
      </c>
      <c r="F12004" s="709"/>
      <c r="G12004" s="705">
        <v>11.534946771070983</v>
      </c>
    </row>
    <row r="12005" spans="2:7" ht="11.25" hidden="1" customHeight="1" outlineLevel="2" x14ac:dyDescent="0.25">
      <c r="B12005" s="704" t="s">
        <v>684</v>
      </c>
      <c r="C12005" s="704" t="s">
        <v>892</v>
      </c>
      <c r="D12005" s="704" t="s">
        <v>563</v>
      </c>
      <c r="E12005" s="704" t="s">
        <v>861</v>
      </c>
      <c r="F12005" s="709"/>
      <c r="G12005" s="705">
        <v>572.7152177249485</v>
      </c>
    </row>
    <row r="12006" spans="2:7" ht="11.25" hidden="1" customHeight="1" outlineLevel="2" x14ac:dyDescent="0.25">
      <c r="B12006" s="704" t="s">
        <v>684</v>
      </c>
      <c r="C12006" s="704" t="s">
        <v>893</v>
      </c>
      <c r="D12006" s="704" t="s">
        <v>563</v>
      </c>
      <c r="E12006" s="704" t="s">
        <v>861</v>
      </c>
      <c r="F12006" s="709"/>
      <c r="G12006" s="705">
        <v>426.41071783502503</v>
      </c>
    </row>
    <row r="12007" spans="2:7" ht="11.25" hidden="1" customHeight="1" outlineLevel="2" x14ac:dyDescent="0.25">
      <c r="B12007" s="704" t="s">
        <v>684</v>
      </c>
      <c r="C12007" s="704" t="s">
        <v>727</v>
      </c>
      <c r="D12007" s="704" t="s">
        <v>728</v>
      </c>
      <c r="E12007" s="704" t="s">
        <v>448</v>
      </c>
      <c r="F12007" s="705">
        <v>2.7119016322127614E-3</v>
      </c>
      <c r="G12007" s="705">
        <v>1.4853531006150751</v>
      </c>
    </row>
    <row r="12008" spans="2:7" ht="11.25" hidden="1" customHeight="1" outlineLevel="2" x14ac:dyDescent="0.25">
      <c r="B12008" s="704" t="s">
        <v>684</v>
      </c>
      <c r="C12008" s="704" t="s">
        <v>729</v>
      </c>
      <c r="D12008" s="704" t="s">
        <v>728</v>
      </c>
      <c r="E12008" s="704" t="s">
        <v>448</v>
      </c>
      <c r="F12008" s="705">
        <v>3.8822982438088259E-2</v>
      </c>
      <c r="G12008" s="705">
        <v>20.954179891075828</v>
      </c>
    </row>
    <row r="12009" spans="2:7" ht="11.25" hidden="1" customHeight="1" outlineLevel="2" x14ac:dyDescent="0.25">
      <c r="B12009" s="704" t="s">
        <v>684</v>
      </c>
      <c r="C12009" s="704" t="s">
        <v>730</v>
      </c>
      <c r="D12009" s="704" t="s">
        <v>728</v>
      </c>
      <c r="E12009" s="704" t="s">
        <v>448</v>
      </c>
      <c r="F12009" s="705">
        <v>3.8917971321611615E-2</v>
      </c>
      <c r="G12009" s="705">
        <v>20.291149644466142</v>
      </c>
    </row>
    <row r="12010" spans="2:7" ht="11.25" hidden="1" customHeight="1" outlineLevel="2" x14ac:dyDescent="0.25">
      <c r="B12010" s="704" t="s">
        <v>684</v>
      </c>
      <c r="C12010" s="704" t="s">
        <v>731</v>
      </c>
      <c r="D12010" s="704" t="s">
        <v>728</v>
      </c>
      <c r="E12010" s="704" t="s">
        <v>448</v>
      </c>
      <c r="F12010" s="705">
        <v>0.42532804486223497</v>
      </c>
      <c r="G12010" s="705">
        <v>233.19761041169184</v>
      </c>
    </row>
    <row r="12011" spans="2:7" ht="11.25" hidden="1" customHeight="1" outlineLevel="2" x14ac:dyDescent="0.25">
      <c r="B12011" s="704" t="s">
        <v>684</v>
      </c>
      <c r="C12011" s="704" t="s">
        <v>732</v>
      </c>
      <c r="D12011" s="704" t="s">
        <v>728</v>
      </c>
      <c r="E12011" s="704" t="s">
        <v>448</v>
      </c>
      <c r="F12011" s="705">
        <v>4.7977879290904801E-2</v>
      </c>
      <c r="G12011" s="705">
        <v>28.276715208600169</v>
      </c>
    </row>
    <row r="12012" spans="2:7" ht="11.25" hidden="1" customHeight="1" outlineLevel="2" x14ac:dyDescent="0.25">
      <c r="B12012" s="704" t="s">
        <v>684</v>
      </c>
      <c r="C12012" s="704" t="s">
        <v>733</v>
      </c>
      <c r="D12012" s="704" t="s">
        <v>728</v>
      </c>
      <c r="E12012" s="704" t="s">
        <v>448</v>
      </c>
      <c r="F12012" s="705">
        <v>0.40156348182353258</v>
      </c>
      <c r="G12012" s="705">
        <v>203.3441980538646</v>
      </c>
    </row>
    <row r="12013" spans="2:7" ht="11.25" hidden="1" customHeight="1" outlineLevel="2" x14ac:dyDescent="0.25">
      <c r="B12013" s="704" t="s">
        <v>684</v>
      </c>
      <c r="C12013" s="704" t="s">
        <v>734</v>
      </c>
      <c r="D12013" s="704" t="s">
        <v>728</v>
      </c>
      <c r="E12013" s="704" t="s">
        <v>448</v>
      </c>
      <c r="F12013" s="705">
        <v>3.3817845280865538E-2</v>
      </c>
      <c r="G12013" s="705">
        <v>18.198832612451138</v>
      </c>
    </row>
    <row r="12014" spans="2:7" ht="11.25" hidden="1" customHeight="1" outlineLevel="2" x14ac:dyDescent="0.25">
      <c r="B12014" s="704" t="s">
        <v>684</v>
      </c>
      <c r="C12014" s="704" t="s">
        <v>735</v>
      </c>
      <c r="D12014" s="704" t="s">
        <v>728</v>
      </c>
      <c r="E12014" s="704" t="s">
        <v>448</v>
      </c>
      <c r="F12014" s="705">
        <v>0.35442395053111242</v>
      </c>
      <c r="G12014" s="705">
        <v>189.87493253649592</v>
      </c>
    </row>
    <row r="12015" spans="2:7" ht="11.25" hidden="1" customHeight="1" outlineLevel="2" x14ac:dyDescent="0.25">
      <c r="B12015" s="704" t="s">
        <v>684</v>
      </c>
      <c r="C12015" s="704" t="s">
        <v>736</v>
      </c>
      <c r="D12015" s="704" t="s">
        <v>728</v>
      </c>
      <c r="E12015" s="704" t="s">
        <v>448</v>
      </c>
      <c r="F12015" s="705">
        <v>4.5555325274805243E-32</v>
      </c>
      <c r="G12015" s="705">
        <v>6.699639315255911E-30</v>
      </c>
    </row>
    <row r="12016" spans="2:7" ht="11.25" hidden="1" customHeight="1" outlineLevel="2" x14ac:dyDescent="0.25">
      <c r="B12016" s="704" t="s">
        <v>684</v>
      </c>
      <c r="C12016" s="704" t="s">
        <v>737</v>
      </c>
      <c r="D12016" s="704" t="s">
        <v>728</v>
      </c>
      <c r="E12016" s="704" t="s">
        <v>448</v>
      </c>
      <c r="F12016" s="705">
        <v>7.1053686662659441E-32</v>
      </c>
      <c r="G12016" s="705">
        <v>1.0449945038557977E-29</v>
      </c>
    </row>
    <row r="12017" spans="2:7" ht="11.25" hidden="1" customHeight="1" outlineLevel="2" x14ac:dyDescent="0.25">
      <c r="B12017" s="704" t="s">
        <v>684</v>
      </c>
      <c r="C12017" s="704" t="s">
        <v>738</v>
      </c>
      <c r="D12017" s="704" t="s">
        <v>728</v>
      </c>
      <c r="E12017" s="704" t="s">
        <v>448</v>
      </c>
      <c r="F12017" s="705">
        <v>1.7363324094411424E-4</v>
      </c>
      <c r="G12017" s="705">
        <v>8.6789034897465062E-2</v>
      </c>
    </row>
    <row r="12018" spans="2:7" ht="11.25" hidden="1" customHeight="1" outlineLevel="2" x14ac:dyDescent="0.25">
      <c r="B12018" s="704" t="s">
        <v>684</v>
      </c>
      <c r="C12018" s="704" t="s">
        <v>776</v>
      </c>
      <c r="D12018" s="704" t="s">
        <v>728</v>
      </c>
      <c r="E12018" s="704" t="s">
        <v>448</v>
      </c>
      <c r="F12018" s="705">
        <v>0.40728147722490798</v>
      </c>
      <c r="G12018" s="705">
        <v>253.49785178084431</v>
      </c>
    </row>
    <row r="12019" spans="2:7" ht="11.25" hidden="1" customHeight="1" outlineLevel="2" x14ac:dyDescent="0.25">
      <c r="B12019" s="704" t="s">
        <v>684</v>
      </c>
      <c r="C12019" s="704" t="s">
        <v>777</v>
      </c>
      <c r="D12019" s="704" t="s">
        <v>728</v>
      </c>
      <c r="E12019" s="704" t="s">
        <v>448</v>
      </c>
      <c r="F12019" s="705">
        <v>0.49572748868863015</v>
      </c>
      <c r="G12019" s="705">
        <v>592.74535199045658</v>
      </c>
    </row>
    <row r="12020" spans="2:7" ht="11.25" hidden="1" customHeight="1" outlineLevel="2" x14ac:dyDescent="0.25">
      <c r="B12020" s="704" t="s">
        <v>684</v>
      </c>
      <c r="C12020" s="704" t="s">
        <v>778</v>
      </c>
      <c r="D12020" s="704" t="s">
        <v>728</v>
      </c>
      <c r="E12020" s="704" t="s">
        <v>448</v>
      </c>
      <c r="F12020" s="705">
        <v>3.4429655133726388E-2</v>
      </c>
      <c r="G12020" s="705">
        <v>21.256143205017676</v>
      </c>
    </row>
    <row r="12021" spans="2:7" ht="11.25" hidden="1" customHeight="1" outlineLevel="2" x14ac:dyDescent="0.25">
      <c r="B12021" s="704" t="s">
        <v>684</v>
      </c>
      <c r="C12021" s="704" t="s">
        <v>779</v>
      </c>
      <c r="D12021" s="704" t="s">
        <v>728</v>
      </c>
      <c r="E12021" s="704" t="s">
        <v>448</v>
      </c>
      <c r="F12021" s="705">
        <v>0.40181975119570262</v>
      </c>
      <c r="G12021" s="705">
        <v>301.71281792980062</v>
      </c>
    </row>
    <row r="12022" spans="2:7" ht="11.25" hidden="1" customHeight="1" outlineLevel="2" x14ac:dyDescent="0.25">
      <c r="B12022" s="704" t="s">
        <v>684</v>
      </c>
      <c r="C12022" s="704" t="s">
        <v>780</v>
      </c>
      <c r="D12022" s="704" t="s">
        <v>728</v>
      </c>
      <c r="E12022" s="704" t="s">
        <v>448</v>
      </c>
      <c r="F12022" s="705">
        <v>1.866132254513324E-3</v>
      </c>
      <c r="G12022" s="705">
        <v>1.4112185830425306</v>
      </c>
    </row>
    <row r="12023" spans="2:7" ht="11.25" hidden="1" customHeight="1" outlineLevel="2" x14ac:dyDescent="0.25">
      <c r="B12023" s="704" t="s">
        <v>684</v>
      </c>
      <c r="C12023" s="704" t="s">
        <v>781</v>
      </c>
      <c r="D12023" s="704" t="s">
        <v>728</v>
      </c>
      <c r="E12023" s="704" t="s">
        <v>448</v>
      </c>
      <c r="F12023" s="705">
        <v>1.1016191768539615E-2</v>
      </c>
      <c r="G12023" s="705">
        <v>13.730869005468239</v>
      </c>
    </row>
    <row r="12024" spans="2:7" ht="11.25" hidden="1" customHeight="1" outlineLevel="2" x14ac:dyDescent="0.25">
      <c r="B12024" s="704" t="s">
        <v>684</v>
      </c>
      <c r="C12024" s="704" t="s">
        <v>782</v>
      </c>
      <c r="D12024" s="704" t="s">
        <v>728</v>
      </c>
      <c r="E12024" s="704" t="s">
        <v>448</v>
      </c>
      <c r="F12024" s="705">
        <v>3.5517338888386846E-3</v>
      </c>
      <c r="G12024" s="705">
        <v>2.6923538218325271</v>
      </c>
    </row>
    <row r="12025" spans="2:7" ht="11.25" hidden="1" customHeight="1" outlineLevel="2" x14ac:dyDescent="0.25">
      <c r="B12025" s="704" t="s">
        <v>684</v>
      </c>
      <c r="C12025" s="704" t="s">
        <v>783</v>
      </c>
      <c r="D12025" s="704" t="s">
        <v>728</v>
      </c>
      <c r="E12025" s="704" t="s">
        <v>448</v>
      </c>
      <c r="F12025" s="705">
        <v>0.36168351279990529</v>
      </c>
      <c r="G12025" s="705">
        <v>566.46829167564181</v>
      </c>
    </row>
    <row r="12026" spans="2:7" ht="11.25" hidden="1" customHeight="1" outlineLevel="2" x14ac:dyDescent="0.25">
      <c r="B12026" s="704" t="s">
        <v>684</v>
      </c>
      <c r="C12026" s="704" t="s">
        <v>784</v>
      </c>
      <c r="D12026" s="704" t="s">
        <v>728</v>
      </c>
      <c r="E12026" s="704" t="s">
        <v>448</v>
      </c>
      <c r="F12026" s="705">
        <v>4.926109764354625E-35</v>
      </c>
      <c r="G12026" s="705">
        <v>2.6967279111944965E-32</v>
      </c>
    </row>
    <row r="12027" spans="2:7" ht="11.25" hidden="1" customHeight="1" outlineLevel="2" x14ac:dyDescent="0.25">
      <c r="B12027" s="704" t="s">
        <v>684</v>
      </c>
      <c r="C12027" s="704" t="s">
        <v>785</v>
      </c>
      <c r="D12027" s="704" t="s">
        <v>728</v>
      </c>
      <c r="E12027" s="704" t="s">
        <v>448</v>
      </c>
      <c r="F12027" s="705">
        <v>4.2542909981863441E-32</v>
      </c>
      <c r="G12027" s="705">
        <v>2.3290931510745778E-29</v>
      </c>
    </row>
    <row r="12028" spans="2:7" ht="11.25" hidden="1" customHeight="1" outlineLevel="2" x14ac:dyDescent="0.25">
      <c r="B12028" s="704" t="s">
        <v>684</v>
      </c>
      <c r="C12028" s="704" t="s">
        <v>786</v>
      </c>
      <c r="D12028" s="704" t="s">
        <v>728</v>
      </c>
      <c r="E12028" s="704" t="s">
        <v>448</v>
      </c>
      <c r="F12028" s="705">
        <v>4.006191567012915E-2</v>
      </c>
      <c r="G12028" s="705">
        <v>50.863388300478491</v>
      </c>
    </row>
    <row r="12029" spans="2:7" ht="11.25" hidden="1" customHeight="1" outlineLevel="2" x14ac:dyDescent="0.25">
      <c r="B12029" s="704" t="s">
        <v>684</v>
      </c>
      <c r="C12029" s="704" t="s">
        <v>787</v>
      </c>
      <c r="D12029" s="704" t="s">
        <v>728</v>
      </c>
      <c r="E12029" s="704" t="s">
        <v>448</v>
      </c>
      <c r="F12029" s="705">
        <v>4.6191246574305116E-2</v>
      </c>
      <c r="G12029" s="705">
        <v>65.445767438112313</v>
      </c>
    </row>
    <row r="12030" spans="2:7" ht="11.25" hidden="1" customHeight="1" outlineLevel="2" x14ac:dyDescent="0.25">
      <c r="B12030" s="704" t="s">
        <v>684</v>
      </c>
      <c r="C12030" s="704" t="s">
        <v>788</v>
      </c>
      <c r="D12030" s="704" t="s">
        <v>728</v>
      </c>
      <c r="E12030" s="704" t="s">
        <v>448</v>
      </c>
      <c r="F12030" s="705">
        <v>6.5106435671112461E-2</v>
      </c>
      <c r="G12030" s="705">
        <v>74.490775807123867</v>
      </c>
    </row>
    <row r="12031" spans="2:7" ht="11.25" hidden="1" customHeight="1" outlineLevel="2" x14ac:dyDescent="0.25">
      <c r="B12031" s="704" t="s">
        <v>684</v>
      </c>
      <c r="C12031" s="704" t="s">
        <v>789</v>
      </c>
      <c r="D12031" s="704" t="s">
        <v>728</v>
      </c>
      <c r="E12031" s="704" t="s">
        <v>448</v>
      </c>
      <c r="F12031" s="705">
        <v>5.0174180879656687E-2</v>
      </c>
      <c r="G12031" s="705">
        <v>34.68778783790745</v>
      </c>
    </row>
    <row r="12032" spans="2:7" ht="11.25" hidden="1" customHeight="1" outlineLevel="2" x14ac:dyDescent="0.25">
      <c r="B12032" s="704" t="s">
        <v>684</v>
      </c>
      <c r="C12032" s="704" t="s">
        <v>790</v>
      </c>
      <c r="D12032" s="704" t="s">
        <v>728</v>
      </c>
      <c r="E12032" s="704" t="s">
        <v>448</v>
      </c>
      <c r="F12032" s="705">
        <v>0.53570644194286676</v>
      </c>
      <c r="G12032" s="705">
        <v>681.7885846632546</v>
      </c>
    </row>
    <row r="12033" spans="2:7" ht="11.25" hidden="1" customHeight="1" outlineLevel="2" x14ac:dyDescent="0.25">
      <c r="B12033" s="704" t="s">
        <v>684</v>
      </c>
      <c r="C12033" s="704" t="s">
        <v>791</v>
      </c>
      <c r="D12033" s="704" t="s">
        <v>728</v>
      </c>
      <c r="E12033" s="704" t="s">
        <v>448</v>
      </c>
      <c r="F12033" s="705">
        <v>0.62762888049849674</v>
      </c>
      <c r="G12033" s="705">
        <v>889.43679942306335</v>
      </c>
    </row>
    <row r="12034" spans="2:7" ht="11.25" hidden="1" customHeight="1" outlineLevel="2" x14ac:dyDescent="0.25">
      <c r="B12034" s="704" t="s">
        <v>684</v>
      </c>
      <c r="C12034" s="704" t="s">
        <v>792</v>
      </c>
      <c r="D12034" s="704" t="s">
        <v>728</v>
      </c>
      <c r="E12034" s="704" t="s">
        <v>448</v>
      </c>
      <c r="F12034" s="705">
        <v>7.0663275943811707E-2</v>
      </c>
      <c r="G12034" s="705">
        <v>148.91035375745594</v>
      </c>
    </row>
    <row r="12035" spans="2:7" ht="11.25" hidden="1" customHeight="1" outlineLevel="2" x14ac:dyDescent="0.25">
      <c r="B12035" s="704" t="s">
        <v>684</v>
      </c>
      <c r="C12035" s="704" t="s">
        <v>793</v>
      </c>
      <c r="D12035" s="704" t="s">
        <v>728</v>
      </c>
      <c r="E12035" s="704" t="s">
        <v>448</v>
      </c>
      <c r="F12035" s="705">
        <v>1.9655724865476574</v>
      </c>
      <c r="G12035" s="705">
        <v>2869.3802728110709</v>
      </c>
    </row>
    <row r="12036" spans="2:7" ht="11.25" hidden="1" customHeight="1" outlineLevel="2" x14ac:dyDescent="0.25">
      <c r="B12036" s="704" t="s">
        <v>684</v>
      </c>
      <c r="C12036" s="704" t="s">
        <v>794</v>
      </c>
      <c r="D12036" s="704" t="s">
        <v>728</v>
      </c>
      <c r="E12036" s="704" t="s">
        <v>448</v>
      </c>
      <c r="F12036" s="705">
        <v>3.0809297293550322E-2</v>
      </c>
      <c r="G12036" s="705">
        <v>24.149826207886115</v>
      </c>
    </row>
    <row r="12037" spans="2:7" ht="11.25" hidden="1" customHeight="1" outlineLevel="2" x14ac:dyDescent="0.25">
      <c r="B12037" s="704" t="s">
        <v>684</v>
      </c>
      <c r="C12037" s="704" t="s">
        <v>795</v>
      </c>
      <c r="D12037" s="704" t="s">
        <v>728</v>
      </c>
      <c r="E12037" s="704" t="s">
        <v>448</v>
      </c>
      <c r="F12037" s="705">
        <v>0.1119356299376375</v>
      </c>
      <c r="G12037" s="705">
        <v>87.916678724866927</v>
      </c>
    </row>
    <row r="12038" spans="2:7" ht="11.25" hidden="1" customHeight="1" outlineLevel="2" x14ac:dyDescent="0.25">
      <c r="B12038" s="704" t="s">
        <v>684</v>
      </c>
      <c r="C12038" s="704" t="s">
        <v>845</v>
      </c>
      <c r="D12038" s="704" t="s">
        <v>728</v>
      </c>
      <c r="E12038" s="704" t="s">
        <v>824</v>
      </c>
      <c r="F12038" s="705">
        <v>5.5376705961839787E-3</v>
      </c>
      <c r="G12038" s="705">
        <v>49.398333068900506</v>
      </c>
    </row>
    <row r="12039" spans="2:7" ht="11.25" hidden="1" customHeight="1" outlineLevel="2" x14ac:dyDescent="0.25">
      <c r="B12039" s="704" t="s">
        <v>684</v>
      </c>
      <c r="C12039" s="704" t="s">
        <v>894</v>
      </c>
      <c r="D12039" s="704" t="s">
        <v>728</v>
      </c>
      <c r="E12039" s="704" t="s">
        <v>861</v>
      </c>
      <c r="F12039" s="709"/>
      <c r="G12039" s="705">
        <v>7.6788212773714171E-2</v>
      </c>
    </row>
    <row r="12040" spans="2:7" ht="11.25" hidden="1" customHeight="1" outlineLevel="2" x14ac:dyDescent="0.25">
      <c r="B12040" s="704" t="s">
        <v>684</v>
      </c>
      <c r="C12040" s="704" t="s">
        <v>895</v>
      </c>
      <c r="D12040" s="704" t="s">
        <v>728</v>
      </c>
      <c r="E12040" s="704" t="s">
        <v>861</v>
      </c>
      <c r="F12040" s="709"/>
      <c r="G12040" s="705">
        <v>2.6021645822646068E-29</v>
      </c>
    </row>
    <row r="12041" spans="2:7" ht="11.25" hidden="1" customHeight="1" outlineLevel="2" x14ac:dyDescent="0.25">
      <c r="B12041" s="704" t="s">
        <v>684</v>
      </c>
      <c r="C12041" s="704" t="s">
        <v>896</v>
      </c>
      <c r="D12041" s="704" t="s">
        <v>728</v>
      </c>
      <c r="E12041" s="704" t="s">
        <v>861</v>
      </c>
      <c r="F12041" s="709"/>
      <c r="G12041" s="705">
        <v>536.96546391625645</v>
      </c>
    </row>
    <row r="12042" spans="2:7" ht="11.25" hidden="1" customHeight="1" outlineLevel="2" x14ac:dyDescent="0.25">
      <c r="B12042" s="704" t="s">
        <v>684</v>
      </c>
      <c r="C12042" s="704" t="s">
        <v>897</v>
      </c>
      <c r="D12042" s="704" t="s">
        <v>728</v>
      </c>
      <c r="E12042" s="704" t="s">
        <v>861</v>
      </c>
      <c r="F12042" s="709"/>
      <c r="G12042" s="705">
        <v>110.8115112461734</v>
      </c>
    </row>
    <row r="12043" spans="2:7" ht="11.25" hidden="1" customHeight="1" outlineLevel="2" x14ac:dyDescent="0.25">
      <c r="B12043" s="704" t="s">
        <v>684</v>
      </c>
      <c r="C12043" s="704" t="s">
        <v>898</v>
      </c>
      <c r="D12043" s="704" t="s">
        <v>728</v>
      </c>
      <c r="E12043" s="704" t="s">
        <v>861</v>
      </c>
      <c r="F12043" s="709"/>
      <c r="G12043" s="705">
        <v>731.06431952941193</v>
      </c>
    </row>
    <row r="12044" spans="2:7" ht="11.25" hidden="1" customHeight="1" outlineLevel="2" x14ac:dyDescent="0.25">
      <c r="B12044" s="704" t="s">
        <v>684</v>
      </c>
      <c r="C12044" s="704" t="s">
        <v>899</v>
      </c>
      <c r="D12044" s="704" t="s">
        <v>728</v>
      </c>
      <c r="E12044" s="704" t="s">
        <v>861</v>
      </c>
      <c r="F12044" s="709"/>
      <c r="G12044" s="705">
        <v>86.198779994437501</v>
      </c>
    </row>
    <row r="12045" spans="2:7" ht="11.25" hidden="1" customHeight="1" outlineLevel="2" x14ac:dyDescent="0.25">
      <c r="B12045" s="704" t="s">
        <v>684</v>
      </c>
      <c r="C12045" s="704" t="s">
        <v>900</v>
      </c>
      <c r="D12045" s="704" t="s">
        <v>728</v>
      </c>
      <c r="E12045" s="704" t="s">
        <v>861</v>
      </c>
      <c r="F12045" s="709"/>
      <c r="G12045" s="705">
        <v>2.0533084642688482</v>
      </c>
    </row>
    <row r="12046" spans="2:7" ht="11.25" hidden="1" customHeight="1" outlineLevel="2" x14ac:dyDescent="0.25">
      <c r="B12046" s="704" t="s">
        <v>684</v>
      </c>
      <c r="C12046" s="704" t="s">
        <v>744</v>
      </c>
      <c r="D12046" s="704" t="s">
        <v>745</v>
      </c>
      <c r="E12046" s="704" t="s">
        <v>448</v>
      </c>
      <c r="F12046" s="705">
        <v>4.7019428847847981E-2</v>
      </c>
      <c r="G12046" s="705">
        <v>27.189001094996215</v>
      </c>
    </row>
    <row r="12047" spans="2:7" ht="11.25" hidden="1" customHeight="1" outlineLevel="2" x14ac:dyDescent="0.25">
      <c r="B12047" s="704" t="s">
        <v>684</v>
      </c>
      <c r="C12047" s="704" t="s">
        <v>812</v>
      </c>
      <c r="D12047" s="704" t="s">
        <v>745</v>
      </c>
      <c r="E12047" s="704" t="s">
        <v>448</v>
      </c>
      <c r="F12047" s="705">
        <v>5.4966730400959472E-2</v>
      </c>
      <c r="G12047" s="705">
        <v>61.220242182149455</v>
      </c>
    </row>
    <row r="12048" spans="2:7" ht="11.25" hidden="1" customHeight="1" outlineLevel="2" x14ac:dyDescent="0.25">
      <c r="B12048" s="704" t="s">
        <v>684</v>
      </c>
      <c r="C12048" s="704" t="s">
        <v>813</v>
      </c>
      <c r="D12048" s="704" t="s">
        <v>745</v>
      </c>
      <c r="E12048" s="704" t="s">
        <v>448</v>
      </c>
      <c r="F12048" s="705">
        <v>5.6381861580635643E-4</v>
      </c>
      <c r="G12048" s="705">
        <v>0.71919917025353108</v>
      </c>
    </row>
    <row r="12049" spans="2:7" ht="11.25" hidden="1" customHeight="1" outlineLevel="2" x14ac:dyDescent="0.25">
      <c r="B12049" s="704" t="s">
        <v>684</v>
      </c>
      <c r="C12049" s="704" t="s">
        <v>917</v>
      </c>
      <c r="D12049" s="704" t="s">
        <v>745</v>
      </c>
      <c r="E12049" s="704" t="s">
        <v>861</v>
      </c>
      <c r="F12049" s="709"/>
      <c r="G12049" s="705">
        <v>814.71378933249014</v>
      </c>
    </row>
    <row r="12050" spans="2:7" ht="11.25" hidden="1" customHeight="1" outlineLevel="2" x14ac:dyDescent="0.25">
      <c r="B12050" s="704" t="s">
        <v>684</v>
      </c>
      <c r="C12050" s="704" t="s">
        <v>816</v>
      </c>
      <c r="D12050" s="704" t="s">
        <v>712</v>
      </c>
      <c r="E12050" s="704" t="s">
        <v>448</v>
      </c>
      <c r="F12050" s="705">
        <v>1.3847646596244949E-33</v>
      </c>
      <c r="G12050" s="705">
        <v>1.6437961088360134E-30</v>
      </c>
    </row>
    <row r="12051" spans="2:7" ht="11.25" hidden="1" customHeight="1" outlineLevel="2" x14ac:dyDescent="0.25">
      <c r="B12051" s="704" t="s">
        <v>684</v>
      </c>
      <c r="C12051" s="704" t="s">
        <v>711</v>
      </c>
      <c r="D12051" s="704" t="s">
        <v>712</v>
      </c>
      <c r="E12051" s="704" t="s">
        <v>676</v>
      </c>
      <c r="F12051" s="705">
        <v>3.136151520901011E-33</v>
      </c>
      <c r="G12051" s="705">
        <v>7.3601632656396319E-31</v>
      </c>
    </row>
    <row r="12052" spans="2:7" ht="11.25" hidden="1" customHeight="1" outlineLevel="2" x14ac:dyDescent="0.25">
      <c r="B12052" s="704" t="s">
        <v>684</v>
      </c>
      <c r="C12052" s="704" t="s">
        <v>921</v>
      </c>
      <c r="D12052" s="704" t="s">
        <v>712</v>
      </c>
      <c r="E12052" s="704" t="s">
        <v>861</v>
      </c>
      <c r="F12052" s="709"/>
      <c r="G12052" s="705">
        <v>7.9720101268876722E-32</v>
      </c>
    </row>
    <row r="12053" spans="2:7" ht="11.25" hidden="1" customHeight="1" outlineLevel="2" x14ac:dyDescent="0.25">
      <c r="B12053" s="704" t="s">
        <v>684</v>
      </c>
      <c r="C12053" s="704" t="s">
        <v>817</v>
      </c>
      <c r="D12053" s="704" t="s">
        <v>818</v>
      </c>
      <c r="E12053" s="704" t="s">
        <v>448</v>
      </c>
      <c r="F12053" s="705">
        <v>23.004115641085797</v>
      </c>
      <c r="G12053" s="705">
        <v>18903.113341444572</v>
      </c>
    </row>
    <row r="12054" spans="2:7" ht="11.25" hidden="1" customHeight="1" outlineLevel="2" x14ac:dyDescent="0.25">
      <c r="B12054" s="704" t="s">
        <v>684</v>
      </c>
      <c r="C12054" s="704" t="s">
        <v>819</v>
      </c>
      <c r="D12054" s="704" t="s">
        <v>818</v>
      </c>
      <c r="E12054" s="704" t="s">
        <v>448</v>
      </c>
      <c r="F12054" s="705">
        <v>10.017068120120912</v>
      </c>
      <c r="G12054" s="705">
        <v>7977.066758033774</v>
      </c>
    </row>
    <row r="12055" spans="2:7" ht="11.25" hidden="1" customHeight="1" outlineLevel="2" x14ac:dyDescent="0.25">
      <c r="B12055" s="704" t="s">
        <v>684</v>
      </c>
      <c r="C12055" s="704" t="s">
        <v>820</v>
      </c>
      <c r="D12055" s="704" t="s">
        <v>818</v>
      </c>
      <c r="E12055" s="704" t="s">
        <v>448</v>
      </c>
      <c r="F12055" s="705">
        <v>9.3601044426790345</v>
      </c>
      <c r="G12055" s="705">
        <v>14601.202317451567</v>
      </c>
    </row>
    <row r="12056" spans="2:7" ht="11.25" hidden="1" customHeight="1" outlineLevel="2" x14ac:dyDescent="0.25">
      <c r="B12056" s="704" t="s">
        <v>684</v>
      </c>
      <c r="C12056" s="704" t="s">
        <v>857</v>
      </c>
      <c r="D12056" s="704" t="s">
        <v>818</v>
      </c>
      <c r="E12056" s="704" t="s">
        <v>664</v>
      </c>
      <c r="F12056" s="709"/>
      <c r="G12056" s="705">
        <v>13000.404044962432</v>
      </c>
    </row>
    <row r="12057" spans="2:7" ht="11.25" hidden="1" customHeight="1" outlineLevel="2" x14ac:dyDescent="0.25">
      <c r="B12057" s="704" t="s">
        <v>684</v>
      </c>
      <c r="C12057" s="704" t="s">
        <v>858</v>
      </c>
      <c r="D12057" s="704" t="s">
        <v>818</v>
      </c>
      <c r="E12057" s="704" t="s">
        <v>664</v>
      </c>
      <c r="F12057" s="709"/>
      <c r="G12057" s="705">
        <v>44.269196335862809</v>
      </c>
    </row>
    <row r="12058" spans="2:7" ht="11.25" hidden="1" customHeight="1" outlineLevel="2" x14ac:dyDescent="0.25">
      <c r="B12058" s="704" t="s">
        <v>684</v>
      </c>
      <c r="C12058" s="704" t="s">
        <v>922</v>
      </c>
      <c r="D12058" s="704" t="s">
        <v>822</v>
      </c>
      <c r="E12058" s="704" t="s">
        <v>861</v>
      </c>
      <c r="F12058" s="709"/>
      <c r="G12058" s="705">
        <v>1.2436048323365563E-30</v>
      </c>
    </row>
    <row r="12059" spans="2:7" ht="11.25" hidden="1" customHeight="1" outlineLevel="2" x14ac:dyDescent="0.25">
      <c r="B12059" s="704" t="s">
        <v>684</v>
      </c>
      <c r="C12059" s="704" t="s">
        <v>821</v>
      </c>
      <c r="D12059" s="704" t="s">
        <v>822</v>
      </c>
      <c r="E12059" s="704" t="s">
        <v>448</v>
      </c>
      <c r="F12059" s="705">
        <v>1.4296641266448002E-35</v>
      </c>
      <c r="G12059" s="705">
        <v>1.9649166645629601E-32</v>
      </c>
    </row>
    <row r="12060" spans="2:7" ht="11.25" hidden="1" customHeight="1" outlineLevel="2" x14ac:dyDescent="0.25">
      <c r="B12060" s="704" t="s">
        <v>684</v>
      </c>
      <c r="C12060" s="704" t="s">
        <v>855</v>
      </c>
      <c r="D12060" s="704" t="s">
        <v>822</v>
      </c>
      <c r="E12060" s="704" t="s">
        <v>824</v>
      </c>
      <c r="F12060" s="705">
        <v>1.3212207888560816E-40</v>
      </c>
      <c r="G12060" s="705">
        <v>3.8274928299855921E-37</v>
      </c>
    </row>
    <row r="12061" spans="2:7" ht="11.25" hidden="1" customHeight="1" outlineLevel="2" x14ac:dyDescent="0.25">
      <c r="B12061" s="704" t="s">
        <v>684</v>
      </c>
      <c r="C12061" s="704" t="s">
        <v>714</v>
      </c>
      <c r="D12061" s="704" t="s">
        <v>715</v>
      </c>
      <c r="E12061" s="704" t="s">
        <v>448</v>
      </c>
      <c r="F12061" s="705">
        <v>0.47047698372110658</v>
      </c>
      <c r="G12061" s="705">
        <v>119.27879467744539</v>
      </c>
    </row>
    <row r="12062" spans="2:7" ht="11.25" hidden="1" customHeight="1" outlineLevel="2" x14ac:dyDescent="0.25">
      <c r="B12062" s="704" t="s">
        <v>684</v>
      </c>
      <c r="C12062" s="704" t="s">
        <v>716</v>
      </c>
      <c r="D12062" s="704" t="s">
        <v>715</v>
      </c>
      <c r="E12062" s="704" t="s">
        <v>448</v>
      </c>
      <c r="F12062" s="705">
        <v>1.3055530020460593E-33</v>
      </c>
      <c r="G12062" s="705">
        <v>1.5904447834644856E-30</v>
      </c>
    </row>
    <row r="12063" spans="2:7" ht="11.25" hidden="1" customHeight="1" outlineLevel="2" x14ac:dyDescent="0.25">
      <c r="B12063" s="704" t="s">
        <v>684</v>
      </c>
      <c r="C12063" s="704" t="s">
        <v>717</v>
      </c>
      <c r="D12063" s="704" t="s">
        <v>715</v>
      </c>
      <c r="E12063" s="704" t="s">
        <v>448</v>
      </c>
      <c r="F12063" s="705">
        <v>0.50394366596309903</v>
      </c>
      <c r="G12063" s="705">
        <v>137.72835295817683</v>
      </c>
    </row>
    <row r="12064" spans="2:7" ht="11.25" hidden="1" customHeight="1" outlineLevel="2" x14ac:dyDescent="0.25">
      <c r="B12064" s="704" t="s">
        <v>684</v>
      </c>
      <c r="C12064" s="704" t="s">
        <v>718</v>
      </c>
      <c r="D12064" s="704" t="s">
        <v>715</v>
      </c>
      <c r="E12064" s="704" t="s">
        <v>448</v>
      </c>
      <c r="F12064" s="705">
        <v>3.2270168844169445E-2</v>
      </c>
      <c r="G12064" s="705">
        <v>35.409863596027456</v>
      </c>
    </row>
    <row r="12065" spans="2:7" ht="11.25" hidden="1" customHeight="1" outlineLevel="2" x14ac:dyDescent="0.25">
      <c r="B12065" s="704" t="s">
        <v>684</v>
      </c>
      <c r="C12065" s="704" t="s">
        <v>746</v>
      </c>
      <c r="D12065" s="704" t="s">
        <v>715</v>
      </c>
      <c r="E12065" s="704" t="s">
        <v>448</v>
      </c>
      <c r="F12065" s="705">
        <v>8.2709384545418693E-2</v>
      </c>
      <c r="G12065" s="705">
        <v>57.636762957816472</v>
      </c>
    </row>
    <row r="12066" spans="2:7" ht="11.25" hidden="1" customHeight="1" outlineLevel="2" x14ac:dyDescent="0.25">
      <c r="B12066" s="704" t="s">
        <v>684</v>
      </c>
      <c r="C12066" s="704" t="s">
        <v>747</v>
      </c>
      <c r="D12066" s="704" t="s">
        <v>715</v>
      </c>
      <c r="E12066" s="704" t="s">
        <v>448</v>
      </c>
      <c r="F12066" s="705">
        <v>0.71613904397250361</v>
      </c>
      <c r="G12066" s="705">
        <v>614.33370561554136</v>
      </c>
    </row>
    <row r="12067" spans="2:7" ht="11.25" hidden="1" customHeight="1" outlineLevel="2" x14ac:dyDescent="0.25">
      <c r="B12067" s="704" t="s">
        <v>684</v>
      </c>
      <c r="C12067" s="704" t="s">
        <v>748</v>
      </c>
      <c r="D12067" s="704" t="s">
        <v>715</v>
      </c>
      <c r="E12067" s="704" t="s">
        <v>448</v>
      </c>
      <c r="F12067" s="705">
        <v>0.1326387723974263</v>
      </c>
      <c r="G12067" s="705">
        <v>172.66211907688304</v>
      </c>
    </row>
    <row r="12068" spans="2:7" ht="11.25" hidden="1" customHeight="1" outlineLevel="2" x14ac:dyDescent="0.25">
      <c r="B12068" s="704" t="s">
        <v>684</v>
      </c>
      <c r="C12068" s="704" t="s">
        <v>749</v>
      </c>
      <c r="D12068" s="704" t="s">
        <v>715</v>
      </c>
      <c r="E12068" s="704" t="s">
        <v>448</v>
      </c>
      <c r="F12068" s="705">
        <v>4.3738992516351945E-2</v>
      </c>
      <c r="G12068" s="705">
        <v>34.551876961557582</v>
      </c>
    </row>
    <row r="12069" spans="2:7" ht="11.25" hidden="1" customHeight="1" outlineLevel="2" x14ac:dyDescent="0.25">
      <c r="B12069" s="704" t="s">
        <v>684</v>
      </c>
      <c r="C12069" s="704" t="s">
        <v>823</v>
      </c>
      <c r="D12069" s="704" t="s">
        <v>715</v>
      </c>
      <c r="E12069" s="704" t="s">
        <v>824</v>
      </c>
      <c r="F12069" s="705">
        <v>1.4304042678230688E-3</v>
      </c>
      <c r="G12069" s="705">
        <v>2.389745619463544</v>
      </c>
    </row>
    <row r="12070" spans="2:7" ht="11.25" hidden="1" customHeight="1" outlineLevel="2" x14ac:dyDescent="0.25">
      <c r="B12070" s="704" t="s">
        <v>684</v>
      </c>
      <c r="C12070" s="704" t="s">
        <v>860</v>
      </c>
      <c r="D12070" s="704" t="s">
        <v>715</v>
      </c>
      <c r="E12070" s="704" t="s">
        <v>861</v>
      </c>
      <c r="F12070" s="709"/>
      <c r="G12070" s="705">
        <v>47.364569184419921</v>
      </c>
    </row>
    <row r="12071" spans="2:7" ht="11.25" hidden="1" customHeight="1" outlineLevel="2" x14ac:dyDescent="0.25">
      <c r="B12071" s="704" t="s">
        <v>684</v>
      </c>
      <c r="C12071" s="704" t="s">
        <v>919</v>
      </c>
      <c r="D12071" s="704" t="s">
        <v>920</v>
      </c>
      <c r="E12071" s="704" t="s">
        <v>861</v>
      </c>
      <c r="F12071" s="709"/>
      <c r="G12071" s="705">
        <v>3.0680674812669762E-29</v>
      </c>
    </row>
    <row r="12072" spans="2:7" ht="11.25" hidden="1" customHeight="1" outlineLevel="1" x14ac:dyDescent="0.25">
      <c r="B12072" s="707" t="s">
        <v>950</v>
      </c>
      <c r="C12072" s="704"/>
      <c r="D12072" s="704"/>
      <c r="E12072" s="704"/>
      <c r="F12072" s="709">
        <f t="shared" ref="F12072:G12072" si="35">SUBTOTAL(9,F11861:F12071)</f>
        <v>55.332190640562615</v>
      </c>
      <c r="G12072" s="705">
        <f t="shared" si="35"/>
        <v>93816.282525442832</v>
      </c>
    </row>
    <row r="12073" spans="2:7" ht="11.25" hidden="1" customHeight="1" outlineLevel="2" x14ac:dyDescent="0.25">
      <c r="B12073" s="704" t="s">
        <v>685</v>
      </c>
      <c r="C12073" s="704" t="s">
        <v>739</v>
      </c>
      <c r="D12073" s="704" t="s">
        <v>44</v>
      </c>
      <c r="E12073" s="704" t="s">
        <v>448</v>
      </c>
      <c r="F12073" s="705">
        <v>3.7617713225847867E-3</v>
      </c>
      <c r="G12073" s="705">
        <v>2.2941701573355466</v>
      </c>
    </row>
    <row r="12074" spans="2:7" ht="11.25" hidden="1" customHeight="1" outlineLevel="2" x14ac:dyDescent="0.25">
      <c r="B12074" s="704" t="s">
        <v>685</v>
      </c>
      <c r="C12074" s="704" t="s">
        <v>796</v>
      </c>
      <c r="D12074" s="704" t="s">
        <v>44</v>
      </c>
      <c r="E12074" s="704" t="s">
        <v>448</v>
      </c>
      <c r="F12074" s="705">
        <v>3.9491636078358879E-3</v>
      </c>
      <c r="G12074" s="705">
        <v>5.5653279925763899</v>
      </c>
    </row>
    <row r="12075" spans="2:7" ht="11.25" hidden="1" customHeight="1" outlineLevel="2" x14ac:dyDescent="0.25">
      <c r="B12075" s="704" t="s">
        <v>685</v>
      </c>
      <c r="C12075" s="704" t="s">
        <v>797</v>
      </c>
      <c r="D12075" s="704" t="s">
        <v>44</v>
      </c>
      <c r="E12075" s="704" t="s">
        <v>448</v>
      </c>
      <c r="F12075" s="705">
        <v>6.3102457595637538E-3</v>
      </c>
      <c r="G12075" s="705">
        <v>21.654365801222575</v>
      </c>
    </row>
    <row r="12076" spans="2:7" ht="11.25" hidden="1" customHeight="1" outlineLevel="2" x14ac:dyDescent="0.25">
      <c r="B12076" s="704" t="s">
        <v>685</v>
      </c>
      <c r="C12076" s="704" t="s">
        <v>798</v>
      </c>
      <c r="D12076" s="704" t="s">
        <v>44</v>
      </c>
      <c r="E12076" s="704" t="s">
        <v>448</v>
      </c>
      <c r="F12076" s="705">
        <v>1.0372797624424983E-4</v>
      </c>
      <c r="G12076" s="705">
        <v>0.13639168997419962</v>
      </c>
    </row>
    <row r="12077" spans="2:7" ht="11.25" hidden="1" customHeight="1" outlineLevel="2" x14ac:dyDescent="0.25">
      <c r="B12077" s="704" t="s">
        <v>685</v>
      </c>
      <c r="C12077" s="704" t="s">
        <v>799</v>
      </c>
      <c r="D12077" s="704" t="s">
        <v>44</v>
      </c>
      <c r="E12077" s="704" t="s">
        <v>448</v>
      </c>
      <c r="F12077" s="705">
        <v>1.1205801430358134E-2</v>
      </c>
      <c r="G12077" s="705">
        <v>14.723232600856754</v>
      </c>
    </row>
    <row r="12078" spans="2:7" ht="11.25" hidden="1" customHeight="1" outlineLevel="2" x14ac:dyDescent="0.25">
      <c r="B12078" s="704" t="s">
        <v>685</v>
      </c>
      <c r="C12078" s="704" t="s">
        <v>800</v>
      </c>
      <c r="D12078" s="704" t="s">
        <v>44</v>
      </c>
      <c r="E12078" s="704" t="s">
        <v>448</v>
      </c>
      <c r="F12078" s="705">
        <v>3.6880659413534686E-3</v>
      </c>
      <c r="G12078" s="705">
        <v>4.6119565112335579</v>
      </c>
    </row>
    <row r="12079" spans="2:7" ht="11.25" hidden="1" customHeight="1" outlineLevel="2" x14ac:dyDescent="0.25">
      <c r="B12079" s="704" t="s">
        <v>685</v>
      </c>
      <c r="C12079" s="704" t="s">
        <v>801</v>
      </c>
      <c r="D12079" s="704" t="s">
        <v>44</v>
      </c>
      <c r="E12079" s="704" t="s">
        <v>448</v>
      </c>
      <c r="F12079" s="705">
        <v>4.8119341281874339E-2</v>
      </c>
      <c r="G12079" s="705">
        <v>50.100572749177601</v>
      </c>
    </row>
    <row r="12080" spans="2:7" ht="11.25" hidden="1" customHeight="1" outlineLevel="2" x14ac:dyDescent="0.25">
      <c r="B12080" s="704" t="s">
        <v>685</v>
      </c>
      <c r="C12080" s="704" t="s">
        <v>802</v>
      </c>
      <c r="D12080" s="704" t="s">
        <v>44</v>
      </c>
      <c r="E12080" s="704" t="s">
        <v>448</v>
      </c>
      <c r="F12080" s="705">
        <v>0.15822353263029929</v>
      </c>
      <c r="G12080" s="705">
        <v>107.39060647665133</v>
      </c>
    </row>
    <row r="12081" spans="2:7" ht="11.25" hidden="1" customHeight="1" outlineLevel="2" x14ac:dyDescent="0.25">
      <c r="B12081" s="704" t="s">
        <v>685</v>
      </c>
      <c r="C12081" s="704" t="s">
        <v>803</v>
      </c>
      <c r="D12081" s="704" t="s">
        <v>44</v>
      </c>
      <c r="E12081" s="704" t="s">
        <v>448</v>
      </c>
      <c r="F12081" s="705">
        <v>1.7782416882123453E-2</v>
      </c>
      <c r="G12081" s="705">
        <v>23.364221528448127</v>
      </c>
    </row>
    <row r="12082" spans="2:7" ht="11.25" hidden="1" customHeight="1" outlineLevel="2" x14ac:dyDescent="0.25">
      <c r="B12082" s="704" t="s">
        <v>685</v>
      </c>
      <c r="C12082" s="704" t="s">
        <v>804</v>
      </c>
      <c r="D12082" s="704" t="s">
        <v>44</v>
      </c>
      <c r="E12082" s="704" t="s">
        <v>448</v>
      </c>
      <c r="F12082" s="705">
        <v>2.6472490329112645E-2</v>
      </c>
      <c r="G12082" s="705">
        <v>33.831321364383861</v>
      </c>
    </row>
    <row r="12083" spans="2:7" ht="11.25" hidden="1" customHeight="1" outlineLevel="2" x14ac:dyDescent="0.25">
      <c r="B12083" s="704" t="s">
        <v>685</v>
      </c>
      <c r="C12083" s="704" t="s">
        <v>805</v>
      </c>
      <c r="D12083" s="704" t="s">
        <v>44</v>
      </c>
      <c r="E12083" s="704" t="s">
        <v>448</v>
      </c>
      <c r="F12083" s="705">
        <v>5.3091400005009642E-3</v>
      </c>
      <c r="G12083" s="705">
        <v>37.530605524804635</v>
      </c>
    </row>
    <row r="12084" spans="2:7" ht="11.25" hidden="1" customHeight="1" outlineLevel="2" x14ac:dyDescent="0.25">
      <c r="B12084" s="704" t="s">
        <v>685</v>
      </c>
      <c r="C12084" s="704" t="s">
        <v>846</v>
      </c>
      <c r="D12084" s="704" t="s">
        <v>44</v>
      </c>
      <c r="E12084" s="704" t="s">
        <v>824</v>
      </c>
      <c r="F12084" s="705">
        <v>1.292732924574455E-4</v>
      </c>
      <c r="G12084" s="705">
        <v>0.20540928011448684</v>
      </c>
    </row>
    <row r="12085" spans="2:7" ht="11.25" hidden="1" customHeight="1" outlineLevel="2" x14ac:dyDescent="0.25">
      <c r="B12085" s="704" t="s">
        <v>685</v>
      </c>
      <c r="C12085" s="704" t="s">
        <v>847</v>
      </c>
      <c r="D12085" s="704" t="s">
        <v>44</v>
      </c>
      <c r="E12085" s="704" t="s">
        <v>824</v>
      </c>
      <c r="F12085" s="705">
        <v>2.6526633712871366E-5</v>
      </c>
      <c r="G12085" s="705">
        <v>0.27955997862242954</v>
      </c>
    </row>
    <row r="12086" spans="2:7" ht="11.25" hidden="1" customHeight="1" outlineLevel="2" x14ac:dyDescent="0.25">
      <c r="B12086" s="704" t="s">
        <v>685</v>
      </c>
      <c r="C12086" s="704" t="s">
        <v>705</v>
      </c>
      <c r="D12086" s="704" t="s">
        <v>44</v>
      </c>
      <c r="E12086" s="704" t="s">
        <v>676</v>
      </c>
      <c r="F12086" s="705">
        <v>5.1748950403822198E-3</v>
      </c>
      <c r="G12086" s="705">
        <v>5.4261097359322816E-2</v>
      </c>
    </row>
    <row r="12087" spans="2:7" ht="11.25" hidden="1" customHeight="1" outlineLevel="2" x14ac:dyDescent="0.25">
      <c r="B12087" s="704" t="s">
        <v>685</v>
      </c>
      <c r="C12087" s="704" t="s">
        <v>706</v>
      </c>
      <c r="D12087" s="704" t="s">
        <v>44</v>
      </c>
      <c r="E12087" s="704" t="s">
        <v>676</v>
      </c>
      <c r="F12087" s="705">
        <v>1.6425478012366643E-3</v>
      </c>
      <c r="G12087" s="705">
        <v>1.7217656209220562E-2</v>
      </c>
    </row>
    <row r="12088" spans="2:7" ht="11.25" hidden="1" customHeight="1" outlineLevel="2" x14ac:dyDescent="0.25">
      <c r="B12088" s="704" t="s">
        <v>685</v>
      </c>
      <c r="C12088" s="704" t="s">
        <v>901</v>
      </c>
      <c r="D12088" s="704" t="s">
        <v>44</v>
      </c>
      <c r="E12088" s="704" t="s">
        <v>861</v>
      </c>
      <c r="F12088" s="709"/>
      <c r="G12088" s="705">
        <v>0.40126335285226877</v>
      </c>
    </row>
    <row r="12089" spans="2:7" ht="11.25" hidden="1" customHeight="1" outlineLevel="2" x14ac:dyDescent="0.25">
      <c r="B12089" s="704" t="s">
        <v>685</v>
      </c>
      <c r="C12089" s="704" t="s">
        <v>902</v>
      </c>
      <c r="D12089" s="704" t="s">
        <v>44</v>
      </c>
      <c r="E12089" s="704" t="s">
        <v>861</v>
      </c>
      <c r="F12089" s="709"/>
      <c r="G12089" s="705">
        <v>17347.577280931982</v>
      </c>
    </row>
    <row r="12090" spans="2:7" ht="11.25" hidden="1" customHeight="1" outlineLevel="2" x14ac:dyDescent="0.25">
      <c r="B12090" s="704" t="s">
        <v>685</v>
      </c>
      <c r="C12090" s="704" t="s">
        <v>903</v>
      </c>
      <c r="D12090" s="704" t="s">
        <v>44</v>
      </c>
      <c r="E12090" s="704" t="s">
        <v>861</v>
      </c>
      <c r="F12090" s="709"/>
      <c r="G12090" s="705">
        <v>1556.6072194200224</v>
      </c>
    </row>
    <row r="12091" spans="2:7" ht="11.25" hidden="1" customHeight="1" outlineLevel="2" x14ac:dyDescent="0.25">
      <c r="B12091" s="704" t="s">
        <v>685</v>
      </c>
      <c r="C12091" s="704" t="s">
        <v>904</v>
      </c>
      <c r="D12091" s="704" t="s">
        <v>44</v>
      </c>
      <c r="E12091" s="704" t="s">
        <v>861</v>
      </c>
      <c r="F12091" s="709"/>
      <c r="G12091" s="705">
        <v>8.6526060550124022</v>
      </c>
    </row>
    <row r="12092" spans="2:7" ht="11.25" hidden="1" customHeight="1" outlineLevel="2" x14ac:dyDescent="0.25">
      <c r="B12092" s="704" t="s">
        <v>685</v>
      </c>
      <c r="C12092" s="704" t="s">
        <v>905</v>
      </c>
      <c r="D12092" s="704" t="s">
        <v>44</v>
      </c>
      <c r="E12092" s="704" t="s">
        <v>861</v>
      </c>
      <c r="F12092" s="709"/>
      <c r="G12092" s="705">
        <v>1.7759351343787664</v>
      </c>
    </row>
    <row r="12093" spans="2:7" ht="11.25" hidden="1" customHeight="1" outlineLevel="2" x14ac:dyDescent="0.25">
      <c r="B12093" s="704" t="s">
        <v>685</v>
      </c>
      <c r="C12093" s="704" t="s">
        <v>906</v>
      </c>
      <c r="D12093" s="704" t="s">
        <v>44</v>
      </c>
      <c r="E12093" s="704" t="s">
        <v>861</v>
      </c>
      <c r="F12093" s="709"/>
      <c r="G12093" s="705">
        <v>132.13713834145312</v>
      </c>
    </row>
    <row r="12094" spans="2:7" ht="11.25" hidden="1" customHeight="1" outlineLevel="2" x14ac:dyDescent="0.25">
      <c r="B12094" s="704" t="s">
        <v>685</v>
      </c>
      <c r="C12094" s="704" t="s">
        <v>907</v>
      </c>
      <c r="D12094" s="704" t="s">
        <v>44</v>
      </c>
      <c r="E12094" s="704" t="s">
        <v>861</v>
      </c>
      <c r="F12094" s="709"/>
      <c r="G12094" s="705">
        <v>0.3309550391823185</v>
      </c>
    </row>
    <row r="12095" spans="2:7" ht="11.25" hidden="1" customHeight="1" outlineLevel="2" x14ac:dyDescent="0.25">
      <c r="B12095" s="704" t="s">
        <v>685</v>
      </c>
      <c r="C12095" s="704" t="s">
        <v>908</v>
      </c>
      <c r="D12095" s="704" t="s">
        <v>44</v>
      </c>
      <c r="E12095" s="704" t="s">
        <v>861</v>
      </c>
      <c r="F12095" s="709"/>
      <c r="G12095" s="705">
        <v>122.13090888575901</v>
      </c>
    </row>
    <row r="12096" spans="2:7" ht="11.25" hidden="1" customHeight="1" outlineLevel="2" x14ac:dyDescent="0.25">
      <c r="B12096" s="704" t="s">
        <v>685</v>
      </c>
      <c r="C12096" s="704" t="s">
        <v>909</v>
      </c>
      <c r="D12096" s="704" t="s">
        <v>44</v>
      </c>
      <c r="E12096" s="704" t="s">
        <v>861</v>
      </c>
      <c r="F12096" s="709"/>
      <c r="G12096" s="705">
        <v>339.24754148615511</v>
      </c>
    </row>
    <row r="12097" spans="2:7" ht="11.25" hidden="1" customHeight="1" outlineLevel="2" x14ac:dyDescent="0.25">
      <c r="B12097" s="704" t="s">
        <v>685</v>
      </c>
      <c r="C12097" s="704" t="s">
        <v>910</v>
      </c>
      <c r="D12097" s="704" t="s">
        <v>44</v>
      </c>
      <c r="E12097" s="704" t="s">
        <v>861</v>
      </c>
      <c r="F12097" s="709"/>
      <c r="G12097" s="705">
        <v>249.41300317907019</v>
      </c>
    </row>
    <row r="12098" spans="2:7" ht="11.25" hidden="1" customHeight="1" outlineLevel="2" x14ac:dyDescent="0.25">
      <c r="B12098" s="704" t="s">
        <v>685</v>
      </c>
      <c r="C12098" s="704" t="s">
        <v>814</v>
      </c>
      <c r="D12098" s="704" t="s">
        <v>815</v>
      </c>
      <c r="E12098" s="704" t="s">
        <v>448</v>
      </c>
      <c r="F12098" s="705">
        <v>3.0242949543144318E-5</v>
      </c>
      <c r="G12098" s="705">
        <v>8.8241725961892573E-2</v>
      </c>
    </row>
    <row r="12099" spans="2:7" ht="11.25" hidden="1" customHeight="1" outlineLevel="2" x14ac:dyDescent="0.25">
      <c r="B12099" s="704" t="s">
        <v>685</v>
      </c>
      <c r="C12099" s="704" t="s">
        <v>854</v>
      </c>
      <c r="D12099" s="704" t="s">
        <v>815</v>
      </c>
      <c r="E12099" s="704" t="s">
        <v>824</v>
      </c>
      <c r="F12099" s="705">
        <v>8.7783771228476728E-6</v>
      </c>
      <c r="G12099" s="705">
        <v>8.0654710859250106E-2</v>
      </c>
    </row>
    <row r="12100" spans="2:7" ht="11.25" hidden="1" customHeight="1" outlineLevel="2" x14ac:dyDescent="0.25">
      <c r="B12100" s="704" t="s">
        <v>685</v>
      </c>
      <c r="C12100" s="704" t="s">
        <v>918</v>
      </c>
      <c r="D12100" s="704" t="s">
        <v>815</v>
      </c>
      <c r="E12100" s="704" t="s">
        <v>861</v>
      </c>
      <c r="F12100" s="709"/>
      <c r="G12100" s="705">
        <v>5.5460958861494731</v>
      </c>
    </row>
    <row r="12101" spans="2:7" ht="11.25" hidden="1" customHeight="1" outlineLevel="2" x14ac:dyDescent="0.25">
      <c r="B12101" s="704" t="s">
        <v>685</v>
      </c>
      <c r="C12101" s="704" t="s">
        <v>740</v>
      </c>
      <c r="D12101" s="704" t="s">
        <v>562</v>
      </c>
      <c r="E12101" s="704" t="s">
        <v>448</v>
      </c>
      <c r="F12101" s="705">
        <v>2.6530826814721863E-2</v>
      </c>
      <c r="G12101" s="705">
        <v>13.147799718327935</v>
      </c>
    </row>
    <row r="12102" spans="2:7" ht="11.25" hidden="1" customHeight="1" outlineLevel="2" x14ac:dyDescent="0.25">
      <c r="B12102" s="704" t="s">
        <v>685</v>
      </c>
      <c r="C12102" s="704" t="s">
        <v>741</v>
      </c>
      <c r="D12102" s="704" t="s">
        <v>562</v>
      </c>
      <c r="E12102" s="704" t="s">
        <v>448</v>
      </c>
      <c r="F12102" s="705">
        <v>0.16953059311605337</v>
      </c>
      <c r="G12102" s="705">
        <v>87.717933652295898</v>
      </c>
    </row>
    <row r="12103" spans="2:7" ht="11.25" hidden="1" customHeight="1" outlineLevel="2" x14ac:dyDescent="0.25">
      <c r="B12103" s="704" t="s">
        <v>685</v>
      </c>
      <c r="C12103" s="704" t="s">
        <v>742</v>
      </c>
      <c r="D12103" s="704" t="s">
        <v>562</v>
      </c>
      <c r="E12103" s="704" t="s">
        <v>448</v>
      </c>
      <c r="F12103" s="705">
        <v>7.5463544015662737E-5</v>
      </c>
      <c r="G12103" s="705">
        <v>3.3830153933795341E-2</v>
      </c>
    </row>
    <row r="12104" spans="2:7" ht="11.25" hidden="1" customHeight="1" outlineLevel="2" x14ac:dyDescent="0.25">
      <c r="B12104" s="704" t="s">
        <v>685</v>
      </c>
      <c r="C12104" s="704" t="s">
        <v>743</v>
      </c>
      <c r="D12104" s="704" t="s">
        <v>562</v>
      </c>
      <c r="E12104" s="704" t="s">
        <v>448</v>
      </c>
      <c r="F12104" s="705">
        <v>1.1874040040779851E-3</v>
      </c>
      <c r="G12104" s="705">
        <v>0.53231069499156025</v>
      </c>
    </row>
    <row r="12105" spans="2:7" ht="11.25" hidden="1" customHeight="1" outlineLevel="2" x14ac:dyDescent="0.25">
      <c r="B12105" s="704" t="s">
        <v>685</v>
      </c>
      <c r="C12105" s="704" t="s">
        <v>806</v>
      </c>
      <c r="D12105" s="704" t="s">
        <v>562</v>
      </c>
      <c r="E12105" s="704" t="s">
        <v>448</v>
      </c>
      <c r="F12105" s="705">
        <v>2.239856582100658</v>
      </c>
      <c r="G12105" s="705">
        <v>2706.4098410537913</v>
      </c>
    </row>
    <row r="12106" spans="2:7" ht="11.25" hidden="1" customHeight="1" outlineLevel="2" x14ac:dyDescent="0.25">
      <c r="B12106" s="704" t="s">
        <v>685</v>
      </c>
      <c r="C12106" s="704" t="s">
        <v>807</v>
      </c>
      <c r="D12106" s="704" t="s">
        <v>562</v>
      </c>
      <c r="E12106" s="704" t="s">
        <v>448</v>
      </c>
      <c r="F12106" s="705">
        <v>0.48214943366195656</v>
      </c>
      <c r="G12106" s="705">
        <v>677.25202512335488</v>
      </c>
    </row>
    <row r="12107" spans="2:7" ht="11.25" hidden="1" customHeight="1" outlineLevel="2" x14ac:dyDescent="0.25">
      <c r="B12107" s="704" t="s">
        <v>685</v>
      </c>
      <c r="C12107" s="704" t="s">
        <v>808</v>
      </c>
      <c r="D12107" s="704" t="s">
        <v>562</v>
      </c>
      <c r="E12107" s="704" t="s">
        <v>448</v>
      </c>
      <c r="F12107" s="705">
        <v>0.22256491920155413</v>
      </c>
      <c r="G12107" s="705">
        <v>359.14144837552897</v>
      </c>
    </row>
    <row r="12108" spans="2:7" ht="11.25" hidden="1" customHeight="1" outlineLevel="2" x14ac:dyDescent="0.25">
      <c r="B12108" s="704" t="s">
        <v>685</v>
      </c>
      <c r="C12108" s="704" t="s">
        <v>809</v>
      </c>
      <c r="D12108" s="704" t="s">
        <v>562</v>
      </c>
      <c r="E12108" s="704" t="s">
        <v>448</v>
      </c>
      <c r="F12108" s="705">
        <v>0.51283233404281592</v>
      </c>
      <c r="G12108" s="705">
        <v>770.58814050435888</v>
      </c>
    </row>
    <row r="12109" spans="2:7" ht="11.25" hidden="1" customHeight="1" outlineLevel="2" x14ac:dyDescent="0.25">
      <c r="B12109" s="704" t="s">
        <v>685</v>
      </c>
      <c r="C12109" s="704" t="s">
        <v>810</v>
      </c>
      <c r="D12109" s="704" t="s">
        <v>562</v>
      </c>
      <c r="E12109" s="704" t="s">
        <v>448</v>
      </c>
      <c r="F12109" s="705">
        <v>0.96853124357559817</v>
      </c>
      <c r="G12109" s="705">
        <v>1213.9942719704384</v>
      </c>
    </row>
    <row r="12110" spans="2:7" ht="11.25" hidden="1" customHeight="1" outlineLevel="2" x14ac:dyDescent="0.25">
      <c r="B12110" s="704" t="s">
        <v>685</v>
      </c>
      <c r="C12110" s="704" t="s">
        <v>811</v>
      </c>
      <c r="D12110" s="704" t="s">
        <v>562</v>
      </c>
      <c r="E12110" s="704" t="s">
        <v>448</v>
      </c>
      <c r="F12110" s="705">
        <v>4.1232440009336686E-2</v>
      </c>
      <c r="G12110" s="705">
        <v>57.099512826849697</v>
      </c>
    </row>
    <row r="12111" spans="2:7" ht="11.25" hidden="1" customHeight="1" outlineLevel="2" x14ac:dyDescent="0.25">
      <c r="B12111" s="704" t="s">
        <v>685</v>
      </c>
      <c r="C12111" s="704" t="s">
        <v>848</v>
      </c>
      <c r="D12111" s="704" t="s">
        <v>562</v>
      </c>
      <c r="E12111" s="704" t="s">
        <v>824</v>
      </c>
      <c r="F12111" s="705">
        <v>0.13098369234738819</v>
      </c>
      <c r="G12111" s="705">
        <v>360.10105081448398</v>
      </c>
    </row>
    <row r="12112" spans="2:7" ht="11.25" hidden="1" customHeight="1" outlineLevel="2" x14ac:dyDescent="0.25">
      <c r="B12112" s="704" t="s">
        <v>685</v>
      </c>
      <c r="C12112" s="704" t="s">
        <v>849</v>
      </c>
      <c r="D12112" s="704" t="s">
        <v>562</v>
      </c>
      <c r="E12112" s="704" t="s">
        <v>824</v>
      </c>
      <c r="F12112" s="705">
        <v>1.9017429874520476E-2</v>
      </c>
      <c r="G12112" s="705">
        <v>80.207008365566054</v>
      </c>
    </row>
    <row r="12113" spans="2:7" ht="11.25" hidden="1" customHeight="1" outlineLevel="2" x14ac:dyDescent="0.25">
      <c r="B12113" s="704" t="s">
        <v>685</v>
      </c>
      <c r="C12113" s="704" t="s">
        <v>850</v>
      </c>
      <c r="D12113" s="704" t="s">
        <v>562</v>
      </c>
      <c r="E12113" s="704" t="s">
        <v>824</v>
      </c>
      <c r="F12113" s="705">
        <v>1.4069465547469446E-2</v>
      </c>
      <c r="G12113" s="705">
        <v>94.016956601532954</v>
      </c>
    </row>
    <row r="12114" spans="2:7" ht="11.25" hidden="1" customHeight="1" outlineLevel="2" x14ac:dyDescent="0.25">
      <c r="B12114" s="704" t="s">
        <v>685</v>
      </c>
      <c r="C12114" s="704" t="s">
        <v>851</v>
      </c>
      <c r="D12114" s="704" t="s">
        <v>562</v>
      </c>
      <c r="E12114" s="704" t="s">
        <v>824</v>
      </c>
      <c r="F12114" s="705">
        <v>2.4644418818184098E-2</v>
      </c>
      <c r="G12114" s="705">
        <v>116.79278747660922</v>
      </c>
    </row>
    <row r="12115" spans="2:7" ht="11.25" hidden="1" customHeight="1" outlineLevel="2" x14ac:dyDescent="0.25">
      <c r="B12115" s="704" t="s">
        <v>685</v>
      </c>
      <c r="C12115" s="704" t="s">
        <v>852</v>
      </c>
      <c r="D12115" s="704" t="s">
        <v>562</v>
      </c>
      <c r="E12115" s="704" t="s">
        <v>824</v>
      </c>
      <c r="F12115" s="705">
        <v>6.153578796533755E-4</v>
      </c>
      <c r="G12115" s="705">
        <v>1.5787762698812735</v>
      </c>
    </row>
    <row r="12116" spans="2:7" ht="11.25" hidden="1" customHeight="1" outlineLevel="2" x14ac:dyDescent="0.25">
      <c r="B12116" s="704" t="s">
        <v>685</v>
      </c>
      <c r="C12116" s="704" t="s">
        <v>853</v>
      </c>
      <c r="D12116" s="704" t="s">
        <v>562</v>
      </c>
      <c r="E12116" s="704" t="s">
        <v>824</v>
      </c>
      <c r="F12116" s="705">
        <v>1.7953141964670663E-4</v>
      </c>
      <c r="G12116" s="705">
        <v>1.4664735264849904</v>
      </c>
    </row>
    <row r="12117" spans="2:7" ht="11.25" hidden="1" customHeight="1" outlineLevel="2" x14ac:dyDescent="0.25">
      <c r="B12117" s="704" t="s">
        <v>685</v>
      </c>
      <c r="C12117" s="704" t="s">
        <v>707</v>
      </c>
      <c r="D12117" s="704" t="s">
        <v>562</v>
      </c>
      <c r="E12117" s="704" t="s">
        <v>676</v>
      </c>
      <c r="F12117" s="705">
        <v>2.8940065278472278</v>
      </c>
      <c r="G12117" s="705">
        <v>80.363539269096719</v>
      </c>
    </row>
    <row r="12118" spans="2:7" ht="11.25" hidden="1" customHeight="1" outlineLevel="2" x14ac:dyDescent="0.25">
      <c r="B12118" s="704" t="s">
        <v>685</v>
      </c>
      <c r="C12118" s="704" t="s">
        <v>708</v>
      </c>
      <c r="D12118" s="704" t="s">
        <v>562</v>
      </c>
      <c r="E12118" s="704" t="s">
        <v>676</v>
      </c>
      <c r="F12118" s="705">
        <v>0.11095210001795748</v>
      </c>
      <c r="G12118" s="705">
        <v>4.0332771965903778</v>
      </c>
    </row>
    <row r="12119" spans="2:7" ht="11.25" hidden="1" customHeight="1" outlineLevel="2" x14ac:dyDescent="0.25">
      <c r="B12119" s="704" t="s">
        <v>685</v>
      </c>
      <c r="C12119" s="704" t="s">
        <v>709</v>
      </c>
      <c r="D12119" s="704" t="s">
        <v>562</v>
      </c>
      <c r="E12119" s="704" t="s">
        <v>676</v>
      </c>
      <c r="F12119" s="705">
        <v>7.9655401992502456E-2</v>
      </c>
      <c r="G12119" s="705">
        <v>5.5867712213196885</v>
      </c>
    </row>
    <row r="12120" spans="2:7" ht="11.25" hidden="1" customHeight="1" outlineLevel="2" x14ac:dyDescent="0.25">
      <c r="B12120" s="704" t="s">
        <v>685</v>
      </c>
      <c r="C12120" s="704" t="s">
        <v>710</v>
      </c>
      <c r="D12120" s="704" t="s">
        <v>562</v>
      </c>
      <c r="E12120" s="704" t="s">
        <v>676</v>
      </c>
      <c r="F12120" s="705">
        <v>0.93320323895943269</v>
      </c>
      <c r="G12120" s="705">
        <v>195.28737619111058</v>
      </c>
    </row>
    <row r="12121" spans="2:7" ht="11.25" hidden="1" customHeight="1" outlineLevel="2" x14ac:dyDescent="0.25">
      <c r="B12121" s="704" t="s">
        <v>685</v>
      </c>
      <c r="C12121" s="704" t="s">
        <v>911</v>
      </c>
      <c r="D12121" s="704" t="s">
        <v>562</v>
      </c>
      <c r="E12121" s="704" t="s">
        <v>861</v>
      </c>
      <c r="F12121" s="709"/>
      <c r="G12121" s="705">
        <v>2082.4869279698496</v>
      </c>
    </row>
    <row r="12122" spans="2:7" ht="11.25" hidden="1" customHeight="1" outlineLevel="2" x14ac:dyDescent="0.25">
      <c r="B12122" s="704" t="s">
        <v>685</v>
      </c>
      <c r="C12122" s="704" t="s">
        <v>912</v>
      </c>
      <c r="D12122" s="704" t="s">
        <v>562</v>
      </c>
      <c r="E12122" s="704" t="s">
        <v>861</v>
      </c>
      <c r="F12122" s="709"/>
      <c r="G12122" s="705">
        <v>491.3408042023928</v>
      </c>
    </row>
    <row r="12123" spans="2:7" ht="11.25" hidden="1" customHeight="1" outlineLevel="2" x14ac:dyDescent="0.25">
      <c r="B12123" s="704" t="s">
        <v>685</v>
      </c>
      <c r="C12123" s="704" t="s">
        <v>913</v>
      </c>
      <c r="D12123" s="704" t="s">
        <v>562</v>
      </c>
      <c r="E12123" s="704" t="s">
        <v>861</v>
      </c>
      <c r="F12123" s="709"/>
      <c r="G12123" s="705">
        <v>1363.280257736601</v>
      </c>
    </row>
    <row r="12124" spans="2:7" ht="11.25" hidden="1" customHeight="1" outlineLevel="2" x14ac:dyDescent="0.25">
      <c r="B12124" s="704" t="s">
        <v>685</v>
      </c>
      <c r="C12124" s="704" t="s">
        <v>914</v>
      </c>
      <c r="D12124" s="704" t="s">
        <v>562</v>
      </c>
      <c r="E12124" s="704" t="s">
        <v>861</v>
      </c>
      <c r="F12124" s="709"/>
      <c r="G12124" s="705">
        <v>692.22962385077051</v>
      </c>
    </row>
    <row r="12125" spans="2:7" ht="11.25" hidden="1" customHeight="1" outlineLevel="2" x14ac:dyDescent="0.25">
      <c r="B12125" s="704" t="s">
        <v>685</v>
      </c>
      <c r="C12125" s="704" t="s">
        <v>915</v>
      </c>
      <c r="D12125" s="704" t="s">
        <v>562</v>
      </c>
      <c r="E12125" s="704" t="s">
        <v>861</v>
      </c>
      <c r="F12125" s="709"/>
      <c r="G12125" s="705">
        <v>66.499899586583794</v>
      </c>
    </row>
    <row r="12126" spans="2:7" ht="11.25" hidden="1" customHeight="1" outlineLevel="2" x14ac:dyDescent="0.25">
      <c r="B12126" s="704" t="s">
        <v>685</v>
      </c>
      <c r="C12126" s="704" t="s">
        <v>916</v>
      </c>
      <c r="D12126" s="704" t="s">
        <v>562</v>
      </c>
      <c r="E12126" s="704" t="s">
        <v>861</v>
      </c>
      <c r="F12126" s="709"/>
      <c r="G12126" s="705">
        <v>59.000459302741575</v>
      </c>
    </row>
    <row r="12127" spans="2:7" ht="11.25" hidden="1" customHeight="1" outlineLevel="2" x14ac:dyDescent="0.25">
      <c r="B12127" s="704" t="s">
        <v>685</v>
      </c>
      <c r="C12127" s="704" t="s">
        <v>719</v>
      </c>
      <c r="D12127" s="704" t="s">
        <v>675</v>
      </c>
      <c r="E12127" s="704" t="s">
        <v>448</v>
      </c>
      <c r="F12127" s="705">
        <v>5.6432016791064001E-2</v>
      </c>
      <c r="G12127" s="705">
        <v>34.79579389867969</v>
      </c>
    </row>
    <row r="12128" spans="2:7" ht="11.25" hidden="1" customHeight="1" outlineLevel="2" x14ac:dyDescent="0.25">
      <c r="B12128" s="704" t="s">
        <v>685</v>
      </c>
      <c r="C12128" s="704" t="s">
        <v>720</v>
      </c>
      <c r="D12128" s="704" t="s">
        <v>675</v>
      </c>
      <c r="E12128" s="704" t="s">
        <v>448</v>
      </c>
      <c r="F12128" s="705">
        <v>4.6637487505090044E-3</v>
      </c>
      <c r="G12128" s="705">
        <v>2.2567726403499706</v>
      </c>
    </row>
    <row r="12129" spans="2:7" ht="11.25" hidden="1" customHeight="1" outlineLevel="2" x14ac:dyDescent="0.25">
      <c r="B12129" s="704" t="s">
        <v>685</v>
      </c>
      <c r="C12129" s="704" t="s">
        <v>721</v>
      </c>
      <c r="D12129" s="704" t="s">
        <v>675</v>
      </c>
      <c r="E12129" s="704" t="s">
        <v>448</v>
      </c>
      <c r="F12129" s="705">
        <v>5.6479332725819118E-3</v>
      </c>
      <c r="G12129" s="705">
        <v>2.6978405243683277</v>
      </c>
    </row>
    <row r="12130" spans="2:7" ht="11.25" hidden="1" customHeight="1" outlineLevel="2" x14ac:dyDescent="0.25">
      <c r="B12130" s="704" t="s">
        <v>685</v>
      </c>
      <c r="C12130" s="704" t="s">
        <v>722</v>
      </c>
      <c r="D12130" s="704" t="s">
        <v>675</v>
      </c>
      <c r="E12130" s="704" t="s">
        <v>448</v>
      </c>
      <c r="F12130" s="705">
        <v>4.5068812018824153E-5</v>
      </c>
      <c r="G12130" s="705">
        <v>2.0202845517011805E-2</v>
      </c>
    </row>
    <row r="12131" spans="2:7" ht="11.25" hidden="1" customHeight="1" outlineLevel="2" x14ac:dyDescent="0.25">
      <c r="B12131" s="704" t="s">
        <v>685</v>
      </c>
      <c r="C12131" s="704" t="s">
        <v>723</v>
      </c>
      <c r="D12131" s="704" t="s">
        <v>675</v>
      </c>
      <c r="E12131" s="704" t="s">
        <v>448</v>
      </c>
      <c r="F12131" s="705">
        <v>0.16077267047925806</v>
      </c>
      <c r="G12131" s="705">
        <v>89.917736403567531</v>
      </c>
    </row>
    <row r="12132" spans="2:7" ht="11.25" hidden="1" customHeight="1" outlineLevel="2" x14ac:dyDescent="0.25">
      <c r="B12132" s="704" t="s">
        <v>685</v>
      </c>
      <c r="C12132" s="704" t="s">
        <v>724</v>
      </c>
      <c r="D12132" s="704" t="s">
        <v>675</v>
      </c>
      <c r="E12132" s="704" t="s">
        <v>448</v>
      </c>
      <c r="F12132" s="705">
        <v>1.1735549565864952E-3</v>
      </c>
      <c r="G12132" s="705">
        <v>0.52606513456475912</v>
      </c>
    </row>
    <row r="12133" spans="2:7" ht="11.25" hidden="1" customHeight="1" outlineLevel="2" x14ac:dyDescent="0.25">
      <c r="B12133" s="704" t="s">
        <v>685</v>
      </c>
      <c r="C12133" s="704" t="s">
        <v>750</v>
      </c>
      <c r="D12133" s="704" t="s">
        <v>675</v>
      </c>
      <c r="E12133" s="704" t="s">
        <v>448</v>
      </c>
      <c r="F12133" s="705">
        <v>1.986003369175577E-2</v>
      </c>
      <c r="G12133" s="705">
        <v>30.932756537300893</v>
      </c>
    </row>
    <row r="12134" spans="2:7" ht="11.25" hidden="1" customHeight="1" outlineLevel="2" x14ac:dyDescent="0.25">
      <c r="B12134" s="704" t="s">
        <v>685</v>
      </c>
      <c r="C12134" s="704" t="s">
        <v>751</v>
      </c>
      <c r="D12134" s="704" t="s">
        <v>675</v>
      </c>
      <c r="E12134" s="704" t="s">
        <v>448</v>
      </c>
      <c r="F12134" s="705">
        <v>1.7590439120521558E-4</v>
      </c>
      <c r="G12134" s="705">
        <v>0.22858495217807082</v>
      </c>
    </row>
    <row r="12135" spans="2:7" ht="11.25" hidden="1" customHeight="1" outlineLevel="2" x14ac:dyDescent="0.25">
      <c r="B12135" s="704" t="s">
        <v>685</v>
      </c>
      <c r="C12135" s="704" t="s">
        <v>752</v>
      </c>
      <c r="D12135" s="704" t="s">
        <v>675</v>
      </c>
      <c r="E12135" s="704" t="s">
        <v>448</v>
      </c>
      <c r="F12135" s="705">
        <v>4.8386811525431665E-2</v>
      </c>
      <c r="G12135" s="705">
        <v>57.884366198126052</v>
      </c>
    </row>
    <row r="12136" spans="2:7" ht="11.25" hidden="1" customHeight="1" outlineLevel="2" x14ac:dyDescent="0.25">
      <c r="B12136" s="704" t="s">
        <v>685</v>
      </c>
      <c r="C12136" s="704" t="s">
        <v>753</v>
      </c>
      <c r="D12136" s="704" t="s">
        <v>675</v>
      </c>
      <c r="E12136" s="704" t="s">
        <v>448</v>
      </c>
      <c r="F12136" s="705">
        <v>3.465989307498922E-2</v>
      </c>
      <c r="G12136" s="705">
        <v>54.697172684154495</v>
      </c>
    </row>
    <row r="12137" spans="2:7" ht="11.25" hidden="1" customHeight="1" outlineLevel="2" x14ac:dyDescent="0.25">
      <c r="B12137" s="704" t="s">
        <v>685</v>
      </c>
      <c r="C12137" s="704" t="s">
        <v>754</v>
      </c>
      <c r="D12137" s="704" t="s">
        <v>675</v>
      </c>
      <c r="E12137" s="704" t="s">
        <v>448</v>
      </c>
      <c r="F12137" s="705">
        <v>8.5338891266215147E-2</v>
      </c>
      <c r="G12137" s="705">
        <v>108.86586558904753</v>
      </c>
    </row>
    <row r="12138" spans="2:7" ht="11.25" hidden="1" customHeight="1" outlineLevel="2" x14ac:dyDescent="0.25">
      <c r="B12138" s="704" t="s">
        <v>685</v>
      </c>
      <c r="C12138" s="704" t="s">
        <v>755</v>
      </c>
      <c r="D12138" s="704" t="s">
        <v>675</v>
      </c>
      <c r="E12138" s="704" t="s">
        <v>448</v>
      </c>
      <c r="F12138" s="705">
        <v>3.3379590943408637E-2</v>
      </c>
      <c r="G12138" s="705">
        <v>45.90875483761787</v>
      </c>
    </row>
    <row r="12139" spans="2:7" ht="11.25" hidden="1" customHeight="1" outlineLevel="2" x14ac:dyDescent="0.25">
      <c r="B12139" s="704" t="s">
        <v>685</v>
      </c>
      <c r="C12139" s="704" t="s">
        <v>756</v>
      </c>
      <c r="D12139" s="704" t="s">
        <v>675</v>
      </c>
      <c r="E12139" s="704" t="s">
        <v>448</v>
      </c>
      <c r="F12139" s="705">
        <v>1.7988174938507319E-3</v>
      </c>
      <c r="G12139" s="705">
        <v>2.3835522322157363</v>
      </c>
    </row>
    <row r="12140" spans="2:7" ht="11.25" hidden="1" customHeight="1" outlineLevel="2" x14ac:dyDescent="0.25">
      <c r="B12140" s="704" t="s">
        <v>685</v>
      </c>
      <c r="C12140" s="704" t="s">
        <v>757</v>
      </c>
      <c r="D12140" s="704" t="s">
        <v>675</v>
      </c>
      <c r="E12140" s="704" t="s">
        <v>448</v>
      </c>
      <c r="F12140" s="705">
        <v>6.3608655322207261E-2</v>
      </c>
      <c r="G12140" s="705">
        <v>96.108742032228008</v>
      </c>
    </row>
    <row r="12141" spans="2:7" ht="11.25" hidden="1" customHeight="1" outlineLevel="2" x14ac:dyDescent="0.25">
      <c r="B12141" s="704" t="s">
        <v>685</v>
      </c>
      <c r="C12141" s="704" t="s">
        <v>758</v>
      </c>
      <c r="D12141" s="704" t="s">
        <v>675</v>
      </c>
      <c r="E12141" s="704" t="s">
        <v>448</v>
      </c>
      <c r="F12141" s="705">
        <v>2.8639583510906463E-2</v>
      </c>
      <c r="G12141" s="705">
        <v>33.101394135101515</v>
      </c>
    </row>
    <row r="12142" spans="2:7" ht="11.25" hidden="1" customHeight="1" outlineLevel="2" x14ac:dyDescent="0.25">
      <c r="B12142" s="704" t="s">
        <v>685</v>
      </c>
      <c r="C12142" s="704" t="s">
        <v>759</v>
      </c>
      <c r="D12142" s="704" t="s">
        <v>675</v>
      </c>
      <c r="E12142" s="704" t="s">
        <v>448</v>
      </c>
      <c r="F12142" s="705">
        <v>0.14168732654455896</v>
      </c>
      <c r="G12142" s="705">
        <v>200.17553285541766</v>
      </c>
    </row>
    <row r="12143" spans="2:7" ht="11.25" hidden="1" customHeight="1" outlineLevel="2" x14ac:dyDescent="0.25">
      <c r="B12143" s="704" t="s">
        <v>685</v>
      </c>
      <c r="C12143" s="704" t="s">
        <v>760</v>
      </c>
      <c r="D12143" s="704" t="s">
        <v>675</v>
      </c>
      <c r="E12143" s="704" t="s">
        <v>448</v>
      </c>
      <c r="F12143" s="705">
        <v>9.5488532887982466E-2</v>
      </c>
      <c r="G12143" s="705">
        <v>95.894613702032757</v>
      </c>
    </row>
    <row r="12144" spans="2:7" ht="11.25" hidden="1" customHeight="1" outlineLevel="2" x14ac:dyDescent="0.25">
      <c r="B12144" s="704" t="s">
        <v>685</v>
      </c>
      <c r="C12144" s="704" t="s">
        <v>761</v>
      </c>
      <c r="D12144" s="704" t="s">
        <v>675</v>
      </c>
      <c r="E12144" s="704" t="s">
        <v>448</v>
      </c>
      <c r="F12144" s="705">
        <v>4.5408403373922261E-3</v>
      </c>
      <c r="G12144" s="705">
        <v>7.6443069678658704</v>
      </c>
    </row>
    <row r="12145" spans="2:7" ht="11.25" hidden="1" customHeight="1" outlineLevel="2" x14ac:dyDescent="0.25">
      <c r="B12145" s="704" t="s">
        <v>685</v>
      </c>
      <c r="C12145" s="704" t="s">
        <v>762</v>
      </c>
      <c r="D12145" s="704" t="s">
        <v>675</v>
      </c>
      <c r="E12145" s="704" t="s">
        <v>448</v>
      </c>
      <c r="F12145" s="705">
        <v>9.2271153617651605E-3</v>
      </c>
      <c r="G12145" s="705">
        <v>12.96198031772764</v>
      </c>
    </row>
    <row r="12146" spans="2:7" ht="11.25" hidden="1" customHeight="1" outlineLevel="2" x14ac:dyDescent="0.25">
      <c r="B12146" s="704" t="s">
        <v>685</v>
      </c>
      <c r="C12146" s="704" t="s">
        <v>763</v>
      </c>
      <c r="D12146" s="704" t="s">
        <v>675</v>
      </c>
      <c r="E12146" s="704" t="s">
        <v>448</v>
      </c>
      <c r="F12146" s="705">
        <v>4.1021840453118255E-3</v>
      </c>
      <c r="G12146" s="705">
        <v>11.61511280779415</v>
      </c>
    </row>
    <row r="12147" spans="2:7" ht="11.25" hidden="1" customHeight="1" outlineLevel="2" x14ac:dyDescent="0.25">
      <c r="B12147" s="704" t="s">
        <v>685</v>
      </c>
      <c r="C12147" s="704" t="s">
        <v>764</v>
      </c>
      <c r="D12147" s="704" t="s">
        <v>675</v>
      </c>
      <c r="E12147" s="704" t="s">
        <v>448</v>
      </c>
      <c r="F12147" s="705">
        <v>4.7777358822459421E-3</v>
      </c>
      <c r="G12147" s="705">
        <v>27.742011109926803</v>
      </c>
    </row>
    <row r="12148" spans="2:7" ht="11.25" hidden="1" customHeight="1" outlineLevel="2" x14ac:dyDescent="0.25">
      <c r="B12148" s="704" t="s">
        <v>685</v>
      </c>
      <c r="C12148" s="704" t="s">
        <v>765</v>
      </c>
      <c r="D12148" s="704" t="s">
        <v>675</v>
      </c>
      <c r="E12148" s="704" t="s">
        <v>448</v>
      </c>
      <c r="F12148" s="705">
        <v>4.5173201193825528E-2</v>
      </c>
      <c r="G12148" s="705">
        <v>65.74130502562582</v>
      </c>
    </row>
    <row r="12149" spans="2:7" ht="11.25" hidden="1" customHeight="1" outlineLevel="2" x14ac:dyDescent="0.25">
      <c r="B12149" s="704" t="s">
        <v>685</v>
      </c>
      <c r="C12149" s="704" t="s">
        <v>766</v>
      </c>
      <c r="D12149" s="704" t="s">
        <v>675</v>
      </c>
      <c r="E12149" s="704" t="s">
        <v>448</v>
      </c>
      <c r="F12149" s="705">
        <v>2.8031019134722203E-2</v>
      </c>
      <c r="G12149" s="705">
        <v>45.119141515557111</v>
      </c>
    </row>
    <row r="12150" spans="2:7" ht="11.25" hidden="1" customHeight="1" outlineLevel="2" x14ac:dyDescent="0.25">
      <c r="B12150" s="704" t="s">
        <v>685</v>
      </c>
      <c r="C12150" s="704" t="s">
        <v>767</v>
      </c>
      <c r="D12150" s="704" t="s">
        <v>675</v>
      </c>
      <c r="E12150" s="704" t="s">
        <v>448</v>
      </c>
      <c r="F12150" s="705">
        <v>1.4109939860902176E-2</v>
      </c>
      <c r="G12150" s="705">
        <v>14.866340683713981</v>
      </c>
    </row>
    <row r="12151" spans="2:7" ht="11.25" hidden="1" customHeight="1" outlineLevel="2" x14ac:dyDescent="0.25">
      <c r="B12151" s="704" t="s">
        <v>685</v>
      </c>
      <c r="C12151" s="704" t="s">
        <v>768</v>
      </c>
      <c r="D12151" s="704" t="s">
        <v>675</v>
      </c>
      <c r="E12151" s="704" t="s">
        <v>448</v>
      </c>
      <c r="F12151" s="705">
        <v>6.5869802633671554E-3</v>
      </c>
      <c r="G12151" s="705">
        <v>10.502063640684286</v>
      </c>
    </row>
    <row r="12152" spans="2:7" ht="11.25" hidden="1" customHeight="1" outlineLevel="2" x14ac:dyDescent="0.25">
      <c r="B12152" s="704" t="s">
        <v>685</v>
      </c>
      <c r="C12152" s="704" t="s">
        <v>825</v>
      </c>
      <c r="D12152" s="704" t="s">
        <v>675</v>
      </c>
      <c r="E12152" s="704" t="s">
        <v>824</v>
      </c>
      <c r="F12152" s="705">
        <v>1.2563388776244007E-3</v>
      </c>
      <c r="G12152" s="705">
        <v>5.9485304918367419</v>
      </c>
    </row>
    <row r="12153" spans="2:7" ht="11.25" hidden="1" customHeight="1" outlineLevel="2" x14ac:dyDescent="0.25">
      <c r="B12153" s="704" t="s">
        <v>685</v>
      </c>
      <c r="C12153" s="704" t="s">
        <v>826</v>
      </c>
      <c r="D12153" s="704" t="s">
        <v>675</v>
      </c>
      <c r="E12153" s="704" t="s">
        <v>824</v>
      </c>
      <c r="F12153" s="705">
        <v>9.3392202024349721E-4</v>
      </c>
      <c r="G12153" s="705">
        <v>9.9827509121441853</v>
      </c>
    </row>
    <row r="12154" spans="2:7" ht="11.25" hidden="1" customHeight="1" outlineLevel="2" x14ac:dyDescent="0.25">
      <c r="B12154" s="704" t="s">
        <v>685</v>
      </c>
      <c r="C12154" s="704" t="s">
        <v>827</v>
      </c>
      <c r="D12154" s="704" t="s">
        <v>675</v>
      </c>
      <c r="E12154" s="704" t="s">
        <v>824</v>
      </c>
      <c r="F12154" s="705">
        <v>6.9155352134421001E-4</v>
      </c>
      <c r="G12154" s="705">
        <v>1.6514472222388212</v>
      </c>
    </row>
    <row r="12155" spans="2:7" ht="11.25" hidden="1" customHeight="1" outlineLevel="2" x14ac:dyDescent="0.25">
      <c r="B12155" s="704" t="s">
        <v>685</v>
      </c>
      <c r="C12155" s="704" t="s">
        <v>828</v>
      </c>
      <c r="D12155" s="704" t="s">
        <v>675</v>
      </c>
      <c r="E12155" s="704" t="s">
        <v>824</v>
      </c>
      <c r="F12155" s="705">
        <v>1.8857181640860945E-4</v>
      </c>
      <c r="G12155" s="705">
        <v>1.0348336099008859</v>
      </c>
    </row>
    <row r="12156" spans="2:7" ht="11.25" hidden="1" customHeight="1" outlineLevel="2" x14ac:dyDescent="0.25">
      <c r="B12156" s="704" t="s">
        <v>685</v>
      </c>
      <c r="C12156" s="704" t="s">
        <v>829</v>
      </c>
      <c r="D12156" s="704" t="s">
        <v>675</v>
      </c>
      <c r="E12156" s="704" t="s">
        <v>824</v>
      </c>
      <c r="F12156" s="705">
        <v>4.0808233031935691E-3</v>
      </c>
      <c r="G12156" s="705">
        <v>18.313047344589354</v>
      </c>
    </row>
    <row r="12157" spans="2:7" ht="11.25" hidden="1" customHeight="1" outlineLevel="2" x14ac:dyDescent="0.25">
      <c r="B12157" s="704" t="s">
        <v>685</v>
      </c>
      <c r="C12157" s="704" t="s">
        <v>830</v>
      </c>
      <c r="D12157" s="704" t="s">
        <v>675</v>
      </c>
      <c r="E12157" s="704" t="s">
        <v>824</v>
      </c>
      <c r="F12157" s="705">
        <v>3.7022471679474221E-3</v>
      </c>
      <c r="G12157" s="705">
        <v>6.5937521591186243</v>
      </c>
    </row>
    <row r="12158" spans="2:7" ht="11.25" hidden="1" customHeight="1" outlineLevel="2" x14ac:dyDescent="0.25">
      <c r="B12158" s="704" t="s">
        <v>685</v>
      </c>
      <c r="C12158" s="704" t="s">
        <v>831</v>
      </c>
      <c r="D12158" s="704" t="s">
        <v>675</v>
      </c>
      <c r="E12158" s="704" t="s">
        <v>824</v>
      </c>
      <c r="F12158" s="705">
        <v>1.0272031955651021E-3</v>
      </c>
      <c r="G12158" s="705">
        <v>16.942511363142351</v>
      </c>
    </row>
    <row r="12159" spans="2:7" ht="11.25" hidden="1" customHeight="1" outlineLevel="2" x14ac:dyDescent="0.25">
      <c r="B12159" s="704" t="s">
        <v>685</v>
      </c>
      <c r="C12159" s="704" t="s">
        <v>832</v>
      </c>
      <c r="D12159" s="704" t="s">
        <v>675</v>
      </c>
      <c r="E12159" s="704" t="s">
        <v>824</v>
      </c>
      <c r="F12159" s="705">
        <v>2.8078241829473821E-3</v>
      </c>
      <c r="G12159" s="705">
        <v>6.7480209334450594</v>
      </c>
    </row>
    <row r="12160" spans="2:7" ht="11.25" hidden="1" customHeight="1" outlineLevel="2" x14ac:dyDescent="0.25">
      <c r="B12160" s="704" t="s">
        <v>685</v>
      </c>
      <c r="C12160" s="704" t="s">
        <v>833</v>
      </c>
      <c r="D12160" s="704" t="s">
        <v>675</v>
      </c>
      <c r="E12160" s="704" t="s">
        <v>824</v>
      </c>
      <c r="F12160" s="705">
        <v>4.2883166759629223E-4</v>
      </c>
      <c r="G12160" s="705">
        <v>1.0858552198073586</v>
      </c>
    </row>
    <row r="12161" spans="2:7" ht="11.25" hidden="1" customHeight="1" outlineLevel="2" x14ac:dyDescent="0.25">
      <c r="B12161" s="704" t="s">
        <v>685</v>
      </c>
      <c r="C12161" s="704" t="s">
        <v>834</v>
      </c>
      <c r="D12161" s="704" t="s">
        <v>675</v>
      </c>
      <c r="E12161" s="704" t="s">
        <v>824</v>
      </c>
      <c r="F12161" s="705">
        <v>3.106110388361053E-3</v>
      </c>
      <c r="G12161" s="705">
        <v>11.746587015665447</v>
      </c>
    </row>
    <row r="12162" spans="2:7" ht="11.25" hidden="1" customHeight="1" outlineLevel="2" x14ac:dyDescent="0.25">
      <c r="B12162" s="704" t="s">
        <v>685</v>
      </c>
      <c r="C12162" s="704" t="s">
        <v>835</v>
      </c>
      <c r="D12162" s="704" t="s">
        <v>675</v>
      </c>
      <c r="E12162" s="704" t="s">
        <v>824</v>
      </c>
      <c r="F12162" s="705">
        <v>3.8957360662861765E-3</v>
      </c>
      <c r="G12162" s="705">
        <v>28.603542226911873</v>
      </c>
    </row>
    <row r="12163" spans="2:7" ht="11.25" hidden="1" customHeight="1" outlineLevel="2" x14ac:dyDescent="0.25">
      <c r="B12163" s="704" t="s">
        <v>685</v>
      </c>
      <c r="C12163" s="704" t="s">
        <v>836</v>
      </c>
      <c r="D12163" s="704" t="s">
        <v>675</v>
      </c>
      <c r="E12163" s="704" t="s">
        <v>824</v>
      </c>
      <c r="F12163" s="705">
        <v>2.7182573988675305E-4</v>
      </c>
      <c r="G12163" s="705">
        <v>2.9879665168966354</v>
      </c>
    </row>
    <row r="12164" spans="2:7" ht="11.25" hidden="1" customHeight="1" outlineLevel="2" x14ac:dyDescent="0.25">
      <c r="B12164" s="704" t="s">
        <v>685</v>
      </c>
      <c r="C12164" s="704" t="s">
        <v>837</v>
      </c>
      <c r="D12164" s="704" t="s">
        <v>675</v>
      </c>
      <c r="E12164" s="704" t="s">
        <v>824</v>
      </c>
      <c r="F12164" s="705">
        <v>8.9645614501096867E-3</v>
      </c>
      <c r="G12164" s="705">
        <v>24.751223381194901</v>
      </c>
    </row>
    <row r="12165" spans="2:7" ht="11.25" hidden="1" customHeight="1" outlineLevel="2" x14ac:dyDescent="0.25">
      <c r="B12165" s="704" t="s">
        <v>685</v>
      </c>
      <c r="C12165" s="704" t="s">
        <v>838</v>
      </c>
      <c r="D12165" s="704" t="s">
        <v>675</v>
      </c>
      <c r="E12165" s="704" t="s">
        <v>824</v>
      </c>
      <c r="F12165" s="705">
        <v>4.6241793579882796E-3</v>
      </c>
      <c r="G12165" s="705">
        <v>10.235659276976234</v>
      </c>
    </row>
    <row r="12166" spans="2:7" ht="11.25" hidden="1" customHeight="1" outlineLevel="2" x14ac:dyDescent="0.25">
      <c r="B12166" s="704" t="s">
        <v>685</v>
      </c>
      <c r="C12166" s="704" t="s">
        <v>674</v>
      </c>
      <c r="D12166" s="704" t="s">
        <v>675</v>
      </c>
      <c r="E12166" s="704" t="s">
        <v>676</v>
      </c>
      <c r="F12166" s="705">
        <v>1.3113157268405772E-2</v>
      </c>
      <c r="G12166" s="705">
        <v>0.32452230721329678</v>
      </c>
    </row>
    <row r="12167" spans="2:7" ht="11.25" hidden="1" customHeight="1" outlineLevel="2" x14ac:dyDescent="0.25">
      <c r="B12167" s="704" t="s">
        <v>685</v>
      </c>
      <c r="C12167" s="704" t="s">
        <v>862</v>
      </c>
      <c r="D12167" s="704" t="s">
        <v>675</v>
      </c>
      <c r="E12167" s="704" t="s">
        <v>861</v>
      </c>
      <c r="F12167" s="709"/>
      <c r="G12167" s="705">
        <v>963.54446895641991</v>
      </c>
    </row>
    <row r="12168" spans="2:7" ht="11.25" hidden="1" customHeight="1" outlineLevel="2" x14ac:dyDescent="0.25">
      <c r="B12168" s="704" t="s">
        <v>685</v>
      </c>
      <c r="C12168" s="704" t="s">
        <v>863</v>
      </c>
      <c r="D12168" s="704" t="s">
        <v>675</v>
      </c>
      <c r="E12168" s="704" t="s">
        <v>861</v>
      </c>
      <c r="F12168" s="709"/>
      <c r="G12168" s="705">
        <v>1.5706431951414932</v>
      </c>
    </row>
    <row r="12169" spans="2:7" ht="11.25" hidden="1" customHeight="1" outlineLevel="2" x14ac:dyDescent="0.25">
      <c r="B12169" s="704" t="s">
        <v>685</v>
      </c>
      <c r="C12169" s="704" t="s">
        <v>864</v>
      </c>
      <c r="D12169" s="704" t="s">
        <v>675</v>
      </c>
      <c r="E12169" s="704" t="s">
        <v>861</v>
      </c>
      <c r="F12169" s="709"/>
      <c r="G12169" s="705">
        <v>25.875793057513835</v>
      </c>
    </row>
    <row r="12170" spans="2:7" ht="11.25" hidden="1" customHeight="1" outlineLevel="2" x14ac:dyDescent="0.25">
      <c r="B12170" s="704" t="s">
        <v>685</v>
      </c>
      <c r="C12170" s="704" t="s">
        <v>865</v>
      </c>
      <c r="D12170" s="704" t="s">
        <v>675</v>
      </c>
      <c r="E12170" s="704" t="s">
        <v>861</v>
      </c>
      <c r="F12170" s="709"/>
      <c r="G12170" s="705">
        <v>2411.8658127272233</v>
      </c>
    </row>
    <row r="12171" spans="2:7" ht="11.25" hidden="1" customHeight="1" outlineLevel="2" x14ac:dyDescent="0.25">
      <c r="B12171" s="704" t="s">
        <v>685</v>
      </c>
      <c r="C12171" s="704" t="s">
        <v>866</v>
      </c>
      <c r="D12171" s="704" t="s">
        <v>675</v>
      </c>
      <c r="E12171" s="704" t="s">
        <v>861</v>
      </c>
      <c r="F12171" s="709"/>
      <c r="G12171" s="705">
        <v>2623.6022907252782</v>
      </c>
    </row>
    <row r="12172" spans="2:7" ht="11.25" hidden="1" customHeight="1" outlineLevel="2" x14ac:dyDescent="0.25">
      <c r="B12172" s="704" t="s">
        <v>685</v>
      </c>
      <c r="C12172" s="704" t="s">
        <v>867</v>
      </c>
      <c r="D12172" s="704" t="s">
        <v>675</v>
      </c>
      <c r="E12172" s="704" t="s">
        <v>861</v>
      </c>
      <c r="F12172" s="709"/>
      <c r="G12172" s="705">
        <v>144.54318271372466</v>
      </c>
    </row>
    <row r="12173" spans="2:7" ht="11.25" hidden="1" customHeight="1" outlineLevel="2" x14ac:dyDescent="0.25">
      <c r="B12173" s="704" t="s">
        <v>685</v>
      </c>
      <c r="C12173" s="704" t="s">
        <v>868</v>
      </c>
      <c r="D12173" s="704" t="s">
        <v>675</v>
      </c>
      <c r="E12173" s="704" t="s">
        <v>861</v>
      </c>
      <c r="F12173" s="709"/>
      <c r="G12173" s="705">
        <v>89.216370446838951</v>
      </c>
    </row>
    <row r="12174" spans="2:7" ht="11.25" hidden="1" customHeight="1" outlineLevel="2" x14ac:dyDescent="0.25">
      <c r="B12174" s="704" t="s">
        <v>685</v>
      </c>
      <c r="C12174" s="704" t="s">
        <v>869</v>
      </c>
      <c r="D12174" s="704" t="s">
        <v>675</v>
      </c>
      <c r="E12174" s="704" t="s">
        <v>861</v>
      </c>
      <c r="F12174" s="709"/>
      <c r="G12174" s="705">
        <v>266.39555730348502</v>
      </c>
    </row>
    <row r="12175" spans="2:7" ht="11.25" hidden="1" customHeight="1" outlineLevel="2" x14ac:dyDescent="0.25">
      <c r="B12175" s="704" t="s">
        <v>685</v>
      </c>
      <c r="C12175" s="704" t="s">
        <v>870</v>
      </c>
      <c r="D12175" s="704" t="s">
        <v>675</v>
      </c>
      <c r="E12175" s="704" t="s">
        <v>861</v>
      </c>
      <c r="F12175" s="709"/>
      <c r="G12175" s="705">
        <v>1144.2207892246702</v>
      </c>
    </row>
    <row r="12176" spans="2:7" ht="11.25" hidden="1" customHeight="1" outlineLevel="2" x14ac:dyDescent="0.25">
      <c r="B12176" s="704" t="s">
        <v>685</v>
      </c>
      <c r="C12176" s="704" t="s">
        <v>871</v>
      </c>
      <c r="D12176" s="704" t="s">
        <v>675</v>
      </c>
      <c r="E12176" s="704" t="s">
        <v>861</v>
      </c>
      <c r="F12176" s="709"/>
      <c r="G12176" s="705">
        <v>983.89595584660606</v>
      </c>
    </row>
    <row r="12177" spans="2:7" ht="11.25" hidden="1" customHeight="1" outlineLevel="2" x14ac:dyDescent="0.25">
      <c r="B12177" s="704" t="s">
        <v>685</v>
      </c>
      <c r="C12177" s="704" t="s">
        <v>872</v>
      </c>
      <c r="D12177" s="704" t="s">
        <v>675</v>
      </c>
      <c r="E12177" s="704" t="s">
        <v>861</v>
      </c>
      <c r="F12177" s="709"/>
      <c r="G12177" s="705">
        <v>9774.3651755865849</v>
      </c>
    </row>
    <row r="12178" spans="2:7" ht="11.25" hidden="1" customHeight="1" outlineLevel="2" x14ac:dyDescent="0.25">
      <c r="B12178" s="704" t="s">
        <v>685</v>
      </c>
      <c r="C12178" s="704" t="s">
        <v>873</v>
      </c>
      <c r="D12178" s="704" t="s">
        <v>675</v>
      </c>
      <c r="E12178" s="704" t="s">
        <v>861</v>
      </c>
      <c r="F12178" s="709"/>
      <c r="G12178" s="705">
        <v>81.077906605157622</v>
      </c>
    </row>
    <row r="12179" spans="2:7" ht="11.25" hidden="1" customHeight="1" outlineLevel="2" x14ac:dyDescent="0.25">
      <c r="B12179" s="704" t="s">
        <v>685</v>
      </c>
      <c r="C12179" s="704" t="s">
        <v>874</v>
      </c>
      <c r="D12179" s="704" t="s">
        <v>675</v>
      </c>
      <c r="E12179" s="704" t="s">
        <v>861</v>
      </c>
      <c r="F12179" s="709"/>
      <c r="G12179" s="705">
        <v>38.296799701512882</v>
      </c>
    </row>
    <row r="12180" spans="2:7" ht="11.25" hidden="1" customHeight="1" outlineLevel="2" x14ac:dyDescent="0.25">
      <c r="B12180" s="704" t="s">
        <v>685</v>
      </c>
      <c r="C12180" s="704" t="s">
        <v>875</v>
      </c>
      <c r="D12180" s="704" t="s">
        <v>675</v>
      </c>
      <c r="E12180" s="704" t="s">
        <v>861</v>
      </c>
      <c r="F12180" s="709"/>
      <c r="G12180" s="705">
        <v>2232.3809065374803</v>
      </c>
    </row>
    <row r="12181" spans="2:7" ht="11.25" hidden="1" customHeight="1" outlineLevel="2" x14ac:dyDescent="0.25">
      <c r="B12181" s="704" t="s">
        <v>685</v>
      </c>
      <c r="C12181" s="704" t="s">
        <v>876</v>
      </c>
      <c r="D12181" s="704" t="s">
        <v>675</v>
      </c>
      <c r="E12181" s="704" t="s">
        <v>861</v>
      </c>
      <c r="F12181" s="709"/>
      <c r="G12181" s="705">
        <v>2431.8014225963807</v>
      </c>
    </row>
    <row r="12182" spans="2:7" ht="11.25" hidden="1" customHeight="1" outlineLevel="2" x14ac:dyDescent="0.25">
      <c r="B12182" s="704" t="s">
        <v>685</v>
      </c>
      <c r="C12182" s="704" t="s">
        <v>877</v>
      </c>
      <c r="D12182" s="704" t="s">
        <v>675</v>
      </c>
      <c r="E12182" s="704" t="s">
        <v>861</v>
      </c>
      <c r="F12182" s="709"/>
      <c r="G12182" s="705">
        <v>8359.9532351176986</v>
      </c>
    </row>
    <row r="12183" spans="2:7" ht="11.25" hidden="1" customHeight="1" outlineLevel="2" x14ac:dyDescent="0.25">
      <c r="B12183" s="704" t="s">
        <v>685</v>
      </c>
      <c r="C12183" s="704" t="s">
        <v>878</v>
      </c>
      <c r="D12183" s="704" t="s">
        <v>675</v>
      </c>
      <c r="E12183" s="704" t="s">
        <v>861</v>
      </c>
      <c r="F12183" s="709"/>
      <c r="G12183" s="705">
        <v>393.57501861418763</v>
      </c>
    </row>
    <row r="12184" spans="2:7" ht="11.25" hidden="1" customHeight="1" outlineLevel="2" x14ac:dyDescent="0.25">
      <c r="B12184" s="704" t="s">
        <v>685</v>
      </c>
      <c r="C12184" s="704" t="s">
        <v>879</v>
      </c>
      <c r="D12184" s="704" t="s">
        <v>675</v>
      </c>
      <c r="E12184" s="704" t="s">
        <v>861</v>
      </c>
      <c r="F12184" s="709"/>
      <c r="G12184" s="705">
        <v>3128.6573147968729</v>
      </c>
    </row>
    <row r="12185" spans="2:7" ht="11.25" hidden="1" customHeight="1" outlineLevel="2" x14ac:dyDescent="0.25">
      <c r="B12185" s="704" t="s">
        <v>685</v>
      </c>
      <c r="C12185" s="704" t="s">
        <v>880</v>
      </c>
      <c r="D12185" s="704" t="s">
        <v>675</v>
      </c>
      <c r="E12185" s="704" t="s">
        <v>861</v>
      </c>
      <c r="F12185" s="709"/>
      <c r="G12185" s="705">
        <v>10638.989753470927</v>
      </c>
    </row>
    <row r="12186" spans="2:7" ht="11.25" hidden="1" customHeight="1" outlineLevel="2" x14ac:dyDescent="0.25">
      <c r="B12186" s="704" t="s">
        <v>685</v>
      </c>
      <c r="C12186" s="704" t="s">
        <v>881</v>
      </c>
      <c r="D12186" s="704" t="s">
        <v>675</v>
      </c>
      <c r="E12186" s="704" t="s">
        <v>861</v>
      </c>
      <c r="F12186" s="709"/>
      <c r="G12186" s="705">
        <v>6451.902498893226</v>
      </c>
    </row>
    <row r="12187" spans="2:7" ht="11.25" hidden="1" customHeight="1" outlineLevel="2" x14ac:dyDescent="0.25">
      <c r="B12187" s="704" t="s">
        <v>685</v>
      </c>
      <c r="C12187" s="704" t="s">
        <v>882</v>
      </c>
      <c r="D12187" s="704" t="s">
        <v>675</v>
      </c>
      <c r="E12187" s="704" t="s">
        <v>861</v>
      </c>
      <c r="F12187" s="709"/>
      <c r="G12187" s="705">
        <v>9736.756087752241</v>
      </c>
    </row>
    <row r="12188" spans="2:7" ht="11.25" hidden="1" customHeight="1" outlineLevel="2" x14ac:dyDescent="0.25">
      <c r="B12188" s="704" t="s">
        <v>685</v>
      </c>
      <c r="C12188" s="704" t="s">
        <v>883</v>
      </c>
      <c r="D12188" s="704" t="s">
        <v>675</v>
      </c>
      <c r="E12188" s="704" t="s">
        <v>861</v>
      </c>
      <c r="F12188" s="709"/>
      <c r="G12188" s="705">
        <v>4424.0127053586548</v>
      </c>
    </row>
    <row r="12189" spans="2:7" ht="11.25" hidden="1" customHeight="1" outlineLevel="2" x14ac:dyDescent="0.25">
      <c r="B12189" s="704" t="s">
        <v>685</v>
      </c>
      <c r="C12189" s="704" t="s">
        <v>884</v>
      </c>
      <c r="D12189" s="704" t="s">
        <v>675</v>
      </c>
      <c r="E12189" s="704" t="s">
        <v>861</v>
      </c>
      <c r="F12189" s="709"/>
      <c r="G12189" s="705">
        <v>1047.3039033366958</v>
      </c>
    </row>
    <row r="12190" spans="2:7" ht="11.25" hidden="1" customHeight="1" outlineLevel="2" x14ac:dyDescent="0.25">
      <c r="B12190" s="704" t="s">
        <v>685</v>
      </c>
      <c r="C12190" s="704" t="s">
        <v>885</v>
      </c>
      <c r="D12190" s="704" t="s">
        <v>675</v>
      </c>
      <c r="E12190" s="704" t="s">
        <v>861</v>
      </c>
      <c r="F12190" s="709"/>
      <c r="G12190" s="705">
        <v>13.630717413467906</v>
      </c>
    </row>
    <row r="12191" spans="2:7" ht="11.25" hidden="1" customHeight="1" outlineLevel="2" x14ac:dyDescent="0.25">
      <c r="B12191" s="704" t="s">
        <v>685</v>
      </c>
      <c r="C12191" s="704" t="s">
        <v>886</v>
      </c>
      <c r="D12191" s="704" t="s">
        <v>675</v>
      </c>
      <c r="E12191" s="704" t="s">
        <v>861</v>
      </c>
      <c r="F12191" s="709"/>
      <c r="G12191" s="705">
        <v>1003.5664325977467</v>
      </c>
    </row>
    <row r="12192" spans="2:7" ht="11.25" hidden="1" customHeight="1" outlineLevel="2" x14ac:dyDescent="0.25">
      <c r="B12192" s="704" t="s">
        <v>685</v>
      </c>
      <c r="C12192" s="704" t="s">
        <v>725</v>
      </c>
      <c r="D12192" s="704" t="s">
        <v>563</v>
      </c>
      <c r="E12192" s="704" t="s">
        <v>448</v>
      </c>
      <c r="F12192" s="705">
        <v>7.7318718026721852E-4</v>
      </c>
      <c r="G12192" s="705">
        <v>0.34661795878326984</v>
      </c>
    </row>
    <row r="12193" spans="2:7" ht="11.25" hidden="1" customHeight="1" outlineLevel="2" x14ac:dyDescent="0.25">
      <c r="B12193" s="704" t="s">
        <v>685</v>
      </c>
      <c r="C12193" s="704" t="s">
        <v>726</v>
      </c>
      <c r="D12193" s="704" t="s">
        <v>563</v>
      </c>
      <c r="E12193" s="704" t="s">
        <v>448</v>
      </c>
      <c r="F12193" s="705">
        <v>6.0895253519162761E-5</v>
      </c>
      <c r="G12193" s="705">
        <v>2.7299226367133687E-2</v>
      </c>
    </row>
    <row r="12194" spans="2:7" ht="11.25" hidden="1" customHeight="1" outlineLevel="2" x14ac:dyDescent="0.25">
      <c r="B12194" s="704" t="s">
        <v>685</v>
      </c>
      <c r="C12194" s="704" t="s">
        <v>769</v>
      </c>
      <c r="D12194" s="704" t="s">
        <v>563</v>
      </c>
      <c r="E12194" s="704" t="s">
        <v>448</v>
      </c>
      <c r="F12194" s="705">
        <v>3.9477167613563027E-2</v>
      </c>
      <c r="G12194" s="705">
        <v>42.160711308315491</v>
      </c>
    </row>
    <row r="12195" spans="2:7" ht="11.25" hidden="1" customHeight="1" outlineLevel="2" x14ac:dyDescent="0.25">
      <c r="B12195" s="704" t="s">
        <v>685</v>
      </c>
      <c r="C12195" s="704" t="s">
        <v>770</v>
      </c>
      <c r="D12195" s="704" t="s">
        <v>563</v>
      </c>
      <c r="E12195" s="704" t="s">
        <v>448</v>
      </c>
      <c r="F12195" s="705">
        <v>3.5889180268609953E-2</v>
      </c>
      <c r="G12195" s="705">
        <v>124.84930689731237</v>
      </c>
    </row>
    <row r="12196" spans="2:7" ht="11.25" hidden="1" customHeight="1" outlineLevel="2" x14ac:dyDescent="0.25">
      <c r="B12196" s="704" t="s">
        <v>685</v>
      </c>
      <c r="C12196" s="704" t="s">
        <v>771</v>
      </c>
      <c r="D12196" s="704" t="s">
        <v>563</v>
      </c>
      <c r="E12196" s="704" t="s">
        <v>448</v>
      </c>
      <c r="F12196" s="705">
        <v>1.3418562802643193E-2</v>
      </c>
      <c r="G12196" s="705">
        <v>31.530962023474466</v>
      </c>
    </row>
    <row r="12197" spans="2:7" ht="11.25" hidden="1" customHeight="1" outlineLevel="2" x14ac:dyDescent="0.25">
      <c r="B12197" s="704" t="s">
        <v>685</v>
      </c>
      <c r="C12197" s="704" t="s">
        <v>772</v>
      </c>
      <c r="D12197" s="704" t="s">
        <v>563</v>
      </c>
      <c r="E12197" s="704" t="s">
        <v>448</v>
      </c>
      <c r="F12197" s="705">
        <v>4.5014687786055219E-2</v>
      </c>
      <c r="G12197" s="705">
        <v>58.772315563183156</v>
      </c>
    </row>
    <row r="12198" spans="2:7" ht="11.25" hidden="1" customHeight="1" outlineLevel="2" x14ac:dyDescent="0.25">
      <c r="B12198" s="704" t="s">
        <v>685</v>
      </c>
      <c r="C12198" s="704" t="s">
        <v>773</v>
      </c>
      <c r="D12198" s="704" t="s">
        <v>563</v>
      </c>
      <c r="E12198" s="704" t="s">
        <v>448</v>
      </c>
      <c r="F12198" s="705">
        <v>2.5217348310018865E-3</v>
      </c>
      <c r="G12198" s="705">
        <v>2.8876427350069234</v>
      </c>
    </row>
    <row r="12199" spans="2:7" ht="11.25" hidden="1" customHeight="1" outlineLevel="2" x14ac:dyDescent="0.25">
      <c r="B12199" s="704" t="s">
        <v>685</v>
      </c>
      <c r="C12199" s="704" t="s">
        <v>774</v>
      </c>
      <c r="D12199" s="704" t="s">
        <v>563</v>
      </c>
      <c r="E12199" s="704" t="s">
        <v>448</v>
      </c>
      <c r="F12199" s="705">
        <v>1.0565435987852298E-3</v>
      </c>
      <c r="G12199" s="705">
        <v>1.4302329961680744</v>
      </c>
    </row>
    <row r="12200" spans="2:7" ht="11.25" hidden="1" customHeight="1" outlineLevel="2" x14ac:dyDescent="0.25">
      <c r="B12200" s="704" t="s">
        <v>685</v>
      </c>
      <c r="C12200" s="704" t="s">
        <v>775</v>
      </c>
      <c r="D12200" s="704" t="s">
        <v>563</v>
      </c>
      <c r="E12200" s="704" t="s">
        <v>448</v>
      </c>
      <c r="F12200" s="705">
        <v>9.9003711282573403E-4</v>
      </c>
      <c r="G12200" s="705">
        <v>12.730700426417775</v>
      </c>
    </row>
    <row r="12201" spans="2:7" ht="11.25" hidden="1" customHeight="1" outlineLevel="2" x14ac:dyDescent="0.25">
      <c r="B12201" s="704" t="s">
        <v>685</v>
      </c>
      <c r="C12201" s="704" t="s">
        <v>839</v>
      </c>
      <c r="D12201" s="704" t="s">
        <v>563</v>
      </c>
      <c r="E12201" s="704" t="s">
        <v>824</v>
      </c>
      <c r="F12201" s="705">
        <v>4.4013011623678155E-2</v>
      </c>
      <c r="G12201" s="705">
        <v>106.80496310097892</v>
      </c>
    </row>
    <row r="12202" spans="2:7" ht="11.25" hidden="1" customHeight="1" outlineLevel="2" x14ac:dyDescent="0.25">
      <c r="B12202" s="704" t="s">
        <v>685</v>
      </c>
      <c r="C12202" s="704" t="s">
        <v>840</v>
      </c>
      <c r="D12202" s="704" t="s">
        <v>563</v>
      </c>
      <c r="E12202" s="704" t="s">
        <v>824</v>
      </c>
      <c r="F12202" s="705">
        <v>1.2826429374488209</v>
      </c>
      <c r="G12202" s="705">
        <v>9443.204891356505</v>
      </c>
    </row>
    <row r="12203" spans="2:7" ht="11.25" hidden="1" customHeight="1" outlineLevel="2" x14ac:dyDescent="0.25">
      <c r="B12203" s="704" t="s">
        <v>685</v>
      </c>
      <c r="C12203" s="704" t="s">
        <v>841</v>
      </c>
      <c r="D12203" s="704" t="s">
        <v>563</v>
      </c>
      <c r="E12203" s="704" t="s">
        <v>824</v>
      </c>
      <c r="F12203" s="705">
        <v>6.2387013173175561E-3</v>
      </c>
      <c r="G12203" s="705">
        <v>71.390835777169869</v>
      </c>
    </row>
    <row r="12204" spans="2:7" ht="11.25" hidden="1" customHeight="1" outlineLevel="2" x14ac:dyDescent="0.25">
      <c r="B12204" s="704" t="s">
        <v>685</v>
      </c>
      <c r="C12204" s="704" t="s">
        <v>842</v>
      </c>
      <c r="D12204" s="704" t="s">
        <v>563</v>
      </c>
      <c r="E12204" s="704" t="s">
        <v>824</v>
      </c>
      <c r="F12204" s="705">
        <v>2.2607525413261232E-3</v>
      </c>
      <c r="G12204" s="705">
        <v>22.127855621367129</v>
      </c>
    </row>
    <row r="12205" spans="2:7" ht="11.25" hidden="1" customHeight="1" outlineLevel="2" x14ac:dyDescent="0.25">
      <c r="B12205" s="704" t="s">
        <v>685</v>
      </c>
      <c r="C12205" s="704" t="s">
        <v>843</v>
      </c>
      <c r="D12205" s="704" t="s">
        <v>563</v>
      </c>
      <c r="E12205" s="704" t="s">
        <v>824</v>
      </c>
      <c r="F12205" s="705">
        <v>2.1851440458377238E-3</v>
      </c>
      <c r="G12205" s="705">
        <v>5.7093725881125676</v>
      </c>
    </row>
    <row r="12206" spans="2:7" ht="11.25" hidden="1" customHeight="1" outlineLevel="2" x14ac:dyDescent="0.25">
      <c r="B12206" s="704" t="s">
        <v>685</v>
      </c>
      <c r="C12206" s="704" t="s">
        <v>844</v>
      </c>
      <c r="D12206" s="704" t="s">
        <v>563</v>
      </c>
      <c r="E12206" s="704" t="s">
        <v>824</v>
      </c>
      <c r="F12206" s="705">
        <v>2.1852365845793603E-3</v>
      </c>
      <c r="G12206" s="705">
        <v>43.426483639736063</v>
      </c>
    </row>
    <row r="12207" spans="2:7" ht="11.25" hidden="1" customHeight="1" outlineLevel="2" x14ac:dyDescent="0.25">
      <c r="B12207" s="704" t="s">
        <v>685</v>
      </c>
      <c r="C12207" s="704" t="s">
        <v>700</v>
      </c>
      <c r="D12207" s="704" t="s">
        <v>563</v>
      </c>
      <c r="E12207" s="704" t="s">
        <v>676</v>
      </c>
      <c r="F12207" s="705">
        <v>6.6242104081908568</v>
      </c>
      <c r="G12207" s="705">
        <v>557.46516693808098</v>
      </c>
    </row>
    <row r="12208" spans="2:7" ht="11.25" hidden="1" customHeight="1" outlineLevel="2" x14ac:dyDescent="0.25">
      <c r="B12208" s="704" t="s">
        <v>685</v>
      </c>
      <c r="C12208" s="704" t="s">
        <v>701</v>
      </c>
      <c r="D12208" s="704" t="s">
        <v>563</v>
      </c>
      <c r="E12208" s="704" t="s">
        <v>676</v>
      </c>
      <c r="F12208" s="705">
        <v>7.2353318277866771E-3</v>
      </c>
      <c r="G12208" s="705">
        <v>0.6335799022069778</v>
      </c>
    </row>
    <row r="12209" spans="2:7" ht="11.25" hidden="1" customHeight="1" outlineLevel="2" x14ac:dyDescent="0.25">
      <c r="B12209" s="704" t="s">
        <v>685</v>
      </c>
      <c r="C12209" s="704" t="s">
        <v>702</v>
      </c>
      <c r="D12209" s="704" t="s">
        <v>563</v>
      </c>
      <c r="E12209" s="704" t="s">
        <v>676</v>
      </c>
      <c r="F12209" s="705">
        <v>3.3759997027468227E-3</v>
      </c>
      <c r="G12209" s="705">
        <v>0.34600521616470009</v>
      </c>
    </row>
    <row r="12210" spans="2:7" ht="11.25" hidden="1" customHeight="1" outlineLevel="2" x14ac:dyDescent="0.25">
      <c r="B12210" s="704" t="s">
        <v>685</v>
      </c>
      <c r="C12210" s="704" t="s">
        <v>703</v>
      </c>
      <c r="D12210" s="704" t="s">
        <v>563</v>
      </c>
      <c r="E12210" s="704" t="s">
        <v>676</v>
      </c>
      <c r="F12210" s="705">
        <v>1.37106111878736E-2</v>
      </c>
      <c r="G12210" s="705">
        <v>1.350138312110257</v>
      </c>
    </row>
    <row r="12211" spans="2:7" ht="11.25" hidden="1" customHeight="1" outlineLevel="2" x14ac:dyDescent="0.25">
      <c r="B12211" s="704" t="s">
        <v>685</v>
      </c>
      <c r="C12211" s="704" t="s">
        <v>704</v>
      </c>
      <c r="D12211" s="704" t="s">
        <v>563</v>
      </c>
      <c r="E12211" s="704" t="s">
        <v>676</v>
      </c>
      <c r="F12211" s="705">
        <v>1.1496760275128923E-2</v>
      </c>
      <c r="G12211" s="705">
        <v>2.5853714809949087</v>
      </c>
    </row>
    <row r="12212" spans="2:7" ht="11.25" hidden="1" customHeight="1" outlineLevel="2" x14ac:dyDescent="0.25">
      <c r="B12212" s="704" t="s">
        <v>685</v>
      </c>
      <c r="C12212" s="704" t="s">
        <v>887</v>
      </c>
      <c r="D12212" s="704" t="s">
        <v>563</v>
      </c>
      <c r="E12212" s="704" t="s">
        <v>861</v>
      </c>
      <c r="F12212" s="709"/>
      <c r="G12212" s="705">
        <v>173.76750183652769</v>
      </c>
    </row>
    <row r="12213" spans="2:7" ht="11.25" hidden="1" customHeight="1" outlineLevel="2" x14ac:dyDescent="0.25">
      <c r="B12213" s="704" t="s">
        <v>685</v>
      </c>
      <c r="C12213" s="704" t="s">
        <v>888</v>
      </c>
      <c r="D12213" s="704" t="s">
        <v>563</v>
      </c>
      <c r="E12213" s="704" t="s">
        <v>861</v>
      </c>
      <c r="F12213" s="709"/>
      <c r="G12213" s="705">
        <v>2521.4658784254534</v>
      </c>
    </row>
    <row r="12214" spans="2:7" ht="11.25" hidden="1" customHeight="1" outlineLevel="2" x14ac:dyDescent="0.25">
      <c r="B12214" s="704" t="s">
        <v>685</v>
      </c>
      <c r="C12214" s="704" t="s">
        <v>889</v>
      </c>
      <c r="D12214" s="704" t="s">
        <v>563</v>
      </c>
      <c r="E12214" s="704" t="s">
        <v>861</v>
      </c>
      <c r="F12214" s="709"/>
      <c r="G12214" s="705">
        <v>1100.5367875009249</v>
      </c>
    </row>
    <row r="12215" spans="2:7" ht="11.25" hidden="1" customHeight="1" outlineLevel="2" x14ac:dyDescent="0.25">
      <c r="B12215" s="704" t="s">
        <v>685</v>
      </c>
      <c r="C12215" s="704" t="s">
        <v>890</v>
      </c>
      <c r="D12215" s="704" t="s">
        <v>563</v>
      </c>
      <c r="E12215" s="704" t="s">
        <v>861</v>
      </c>
      <c r="F12215" s="709"/>
      <c r="G12215" s="705">
        <v>1117.0329701713424</v>
      </c>
    </row>
    <row r="12216" spans="2:7" ht="11.25" hidden="1" customHeight="1" outlineLevel="2" x14ac:dyDescent="0.25">
      <c r="B12216" s="704" t="s">
        <v>685</v>
      </c>
      <c r="C12216" s="704" t="s">
        <v>891</v>
      </c>
      <c r="D12216" s="704" t="s">
        <v>563</v>
      </c>
      <c r="E12216" s="704" t="s">
        <v>861</v>
      </c>
      <c r="F12216" s="709"/>
      <c r="G12216" s="705">
        <v>42.942735560875029</v>
      </c>
    </row>
    <row r="12217" spans="2:7" ht="11.25" hidden="1" customHeight="1" outlineLevel="2" x14ac:dyDescent="0.25">
      <c r="B12217" s="704" t="s">
        <v>685</v>
      </c>
      <c r="C12217" s="704" t="s">
        <v>892</v>
      </c>
      <c r="D12217" s="704" t="s">
        <v>563</v>
      </c>
      <c r="E12217" s="704" t="s">
        <v>861</v>
      </c>
      <c r="F12217" s="709"/>
      <c r="G12217" s="705">
        <v>3927.2117245516311</v>
      </c>
    </row>
    <row r="12218" spans="2:7" ht="11.25" hidden="1" customHeight="1" outlineLevel="2" x14ac:dyDescent="0.25">
      <c r="B12218" s="704" t="s">
        <v>685</v>
      </c>
      <c r="C12218" s="704" t="s">
        <v>893</v>
      </c>
      <c r="D12218" s="704" t="s">
        <v>563</v>
      </c>
      <c r="E12218" s="704" t="s">
        <v>861</v>
      </c>
      <c r="F12218" s="709"/>
      <c r="G12218" s="705">
        <v>1587.4564197371226</v>
      </c>
    </row>
    <row r="12219" spans="2:7" ht="11.25" hidden="1" customHeight="1" outlineLevel="2" x14ac:dyDescent="0.25">
      <c r="B12219" s="704" t="s">
        <v>685</v>
      </c>
      <c r="C12219" s="704" t="s">
        <v>727</v>
      </c>
      <c r="D12219" s="704" t="s">
        <v>728</v>
      </c>
      <c r="E12219" s="704" t="s">
        <v>448</v>
      </c>
      <c r="F12219" s="705">
        <v>1.4336148526013288E-2</v>
      </c>
      <c r="G12219" s="705">
        <v>7.8512138076507441</v>
      </c>
    </row>
    <row r="12220" spans="2:7" ht="11.25" hidden="1" customHeight="1" outlineLevel="2" x14ac:dyDescent="0.25">
      <c r="B12220" s="704" t="s">
        <v>685</v>
      </c>
      <c r="C12220" s="704" t="s">
        <v>729</v>
      </c>
      <c r="D12220" s="704" t="s">
        <v>728</v>
      </c>
      <c r="E12220" s="704" t="s">
        <v>448</v>
      </c>
      <c r="F12220" s="705">
        <v>0.18297514716162203</v>
      </c>
      <c r="G12220" s="705">
        <v>98.74655625194616</v>
      </c>
    </row>
    <row r="12221" spans="2:7" ht="11.25" hidden="1" customHeight="1" outlineLevel="2" x14ac:dyDescent="0.25">
      <c r="B12221" s="704" t="s">
        <v>685</v>
      </c>
      <c r="C12221" s="704" t="s">
        <v>730</v>
      </c>
      <c r="D12221" s="704" t="s">
        <v>728</v>
      </c>
      <c r="E12221" s="704" t="s">
        <v>448</v>
      </c>
      <c r="F12221" s="705">
        <v>0.20569284316595038</v>
      </c>
      <c r="G12221" s="705">
        <v>107.25392952876894</v>
      </c>
    </row>
    <row r="12222" spans="2:7" ht="11.25" hidden="1" customHeight="1" outlineLevel="2" x14ac:dyDescent="0.25">
      <c r="B12222" s="704" t="s">
        <v>685</v>
      </c>
      <c r="C12222" s="704" t="s">
        <v>731</v>
      </c>
      <c r="D12222" s="704" t="s">
        <v>728</v>
      </c>
      <c r="E12222" s="704" t="s">
        <v>448</v>
      </c>
      <c r="F12222" s="705">
        <v>2.0041899857860717</v>
      </c>
      <c r="G12222" s="705">
        <v>1098.9435032258195</v>
      </c>
    </row>
    <row r="12223" spans="2:7" ht="11.25" hidden="1" customHeight="1" outlineLevel="2" x14ac:dyDescent="0.25">
      <c r="B12223" s="704" t="s">
        <v>685</v>
      </c>
      <c r="C12223" s="704" t="s">
        <v>732</v>
      </c>
      <c r="D12223" s="704" t="s">
        <v>728</v>
      </c>
      <c r="E12223" s="704" t="s">
        <v>448</v>
      </c>
      <c r="F12223" s="705">
        <v>0.25362937591336115</v>
      </c>
      <c r="G12223" s="705">
        <v>149.46369545743215</v>
      </c>
    </row>
    <row r="12224" spans="2:7" ht="11.25" hidden="1" customHeight="1" outlineLevel="2" x14ac:dyDescent="0.25">
      <c r="B12224" s="704" t="s">
        <v>685</v>
      </c>
      <c r="C12224" s="704" t="s">
        <v>733</v>
      </c>
      <c r="D12224" s="704" t="s">
        <v>728</v>
      </c>
      <c r="E12224" s="704" t="s">
        <v>448</v>
      </c>
      <c r="F12224" s="705">
        <v>1.8925941612634065</v>
      </c>
      <c r="G12224" s="705">
        <v>958.25978614907149</v>
      </c>
    </row>
    <row r="12225" spans="2:7" ht="11.25" hidden="1" customHeight="1" outlineLevel="2" x14ac:dyDescent="0.25">
      <c r="B12225" s="704" t="s">
        <v>685</v>
      </c>
      <c r="C12225" s="704" t="s">
        <v>734</v>
      </c>
      <c r="D12225" s="704" t="s">
        <v>728</v>
      </c>
      <c r="E12225" s="704" t="s">
        <v>448</v>
      </c>
      <c r="F12225" s="705">
        <v>0.17877393350564746</v>
      </c>
      <c r="G12225" s="705">
        <v>96.194494516443513</v>
      </c>
    </row>
    <row r="12226" spans="2:7" ht="11.25" hidden="1" customHeight="1" outlineLevel="2" x14ac:dyDescent="0.25">
      <c r="B12226" s="704" t="s">
        <v>685</v>
      </c>
      <c r="C12226" s="704" t="s">
        <v>735</v>
      </c>
      <c r="D12226" s="704" t="s">
        <v>728</v>
      </c>
      <c r="E12226" s="704" t="s">
        <v>448</v>
      </c>
      <c r="F12226" s="705">
        <v>1.6704233816576537</v>
      </c>
      <c r="G12226" s="705">
        <v>894.78594013127713</v>
      </c>
    </row>
    <row r="12227" spans="2:7" ht="11.25" hidden="1" customHeight="1" outlineLevel="2" x14ac:dyDescent="0.25">
      <c r="B12227" s="704" t="s">
        <v>685</v>
      </c>
      <c r="C12227" s="704" t="s">
        <v>736</v>
      </c>
      <c r="D12227" s="704" t="s">
        <v>728</v>
      </c>
      <c r="E12227" s="704" t="s">
        <v>448</v>
      </c>
      <c r="F12227" s="705">
        <v>0.31103717630931699</v>
      </c>
      <c r="G12227" s="705">
        <v>45.783072881988964</v>
      </c>
    </row>
    <row r="12228" spans="2:7" ht="11.25" hidden="1" customHeight="1" outlineLevel="2" x14ac:dyDescent="0.25">
      <c r="B12228" s="704" t="s">
        <v>685</v>
      </c>
      <c r="C12228" s="704" t="s">
        <v>737</v>
      </c>
      <c r="D12228" s="704" t="s">
        <v>728</v>
      </c>
      <c r="E12228" s="704" t="s">
        <v>448</v>
      </c>
      <c r="F12228" s="705">
        <v>1.9424922564786755</v>
      </c>
      <c r="G12228" s="705">
        <v>285.92764987247313</v>
      </c>
    </row>
    <row r="12229" spans="2:7" ht="11.25" hidden="1" customHeight="1" outlineLevel="2" x14ac:dyDescent="0.25">
      <c r="B12229" s="704" t="s">
        <v>685</v>
      </c>
      <c r="C12229" s="704" t="s">
        <v>738</v>
      </c>
      <c r="D12229" s="704" t="s">
        <v>728</v>
      </c>
      <c r="E12229" s="704" t="s">
        <v>448</v>
      </c>
      <c r="F12229" s="705">
        <v>8.1834464093759839E-4</v>
      </c>
      <c r="G12229" s="705">
        <v>0.40899306828313209</v>
      </c>
    </row>
    <row r="12230" spans="2:7" ht="11.25" hidden="1" customHeight="1" outlineLevel="2" x14ac:dyDescent="0.25">
      <c r="B12230" s="704" t="s">
        <v>685</v>
      </c>
      <c r="C12230" s="704" t="s">
        <v>776</v>
      </c>
      <c r="D12230" s="704" t="s">
        <v>728</v>
      </c>
      <c r="E12230" s="704" t="s">
        <v>448</v>
      </c>
      <c r="F12230" s="705">
        <v>2.1578966875864363</v>
      </c>
      <c r="G12230" s="705">
        <v>1339.9273685202074</v>
      </c>
    </row>
    <row r="12231" spans="2:7" ht="11.25" hidden="1" customHeight="1" outlineLevel="2" x14ac:dyDescent="0.25">
      <c r="B12231" s="704" t="s">
        <v>685</v>
      </c>
      <c r="C12231" s="704" t="s">
        <v>777</v>
      </c>
      <c r="D12231" s="704" t="s">
        <v>728</v>
      </c>
      <c r="E12231" s="704" t="s">
        <v>448</v>
      </c>
      <c r="F12231" s="705">
        <v>2.3416497467892468</v>
      </c>
      <c r="G12231" s="705">
        <v>2793.3113830240013</v>
      </c>
    </row>
    <row r="12232" spans="2:7" ht="11.25" hidden="1" customHeight="1" outlineLevel="2" x14ac:dyDescent="0.25">
      <c r="B12232" s="704" t="s">
        <v>685</v>
      </c>
      <c r="C12232" s="704" t="s">
        <v>778</v>
      </c>
      <c r="D12232" s="704" t="s">
        <v>728</v>
      </c>
      <c r="E12232" s="704" t="s">
        <v>448</v>
      </c>
      <c r="F12232" s="705">
        <v>0.18241840558724184</v>
      </c>
      <c r="G12232" s="705">
        <v>112.35472646643153</v>
      </c>
    </row>
    <row r="12233" spans="2:7" ht="11.25" hidden="1" customHeight="1" outlineLevel="2" x14ac:dyDescent="0.25">
      <c r="B12233" s="704" t="s">
        <v>685</v>
      </c>
      <c r="C12233" s="704" t="s">
        <v>779</v>
      </c>
      <c r="D12233" s="704" t="s">
        <v>728</v>
      </c>
      <c r="E12233" s="704" t="s">
        <v>448</v>
      </c>
      <c r="F12233" s="705">
        <v>1.8980596209081346</v>
      </c>
      <c r="G12233" s="705">
        <v>1421.8207519742837</v>
      </c>
    </row>
    <row r="12234" spans="2:7" ht="11.25" hidden="1" customHeight="1" outlineLevel="2" x14ac:dyDescent="0.25">
      <c r="B12234" s="704" t="s">
        <v>685</v>
      </c>
      <c r="C12234" s="704" t="s">
        <v>780</v>
      </c>
      <c r="D12234" s="704" t="s">
        <v>728</v>
      </c>
      <c r="E12234" s="704" t="s">
        <v>448</v>
      </c>
      <c r="F12234" s="705">
        <v>9.8873205812754043E-3</v>
      </c>
      <c r="G12234" s="705">
        <v>7.4593548632208346</v>
      </c>
    </row>
    <row r="12235" spans="2:7" ht="11.25" hidden="1" customHeight="1" outlineLevel="2" x14ac:dyDescent="0.25">
      <c r="B12235" s="704" t="s">
        <v>685</v>
      </c>
      <c r="C12235" s="704" t="s">
        <v>781</v>
      </c>
      <c r="D12235" s="704" t="s">
        <v>728</v>
      </c>
      <c r="E12235" s="704" t="s">
        <v>448</v>
      </c>
      <c r="F12235" s="705">
        <v>5.2036749005345335E-2</v>
      </c>
      <c r="G12235" s="705">
        <v>64.70670103121563</v>
      </c>
    </row>
    <row r="12236" spans="2:7" ht="11.25" hidden="1" customHeight="1" outlineLevel="2" x14ac:dyDescent="0.25">
      <c r="B12236" s="704" t="s">
        <v>685</v>
      </c>
      <c r="C12236" s="704" t="s">
        <v>782</v>
      </c>
      <c r="D12236" s="704" t="s">
        <v>728</v>
      </c>
      <c r="E12236" s="704" t="s">
        <v>448</v>
      </c>
      <c r="F12236" s="705">
        <v>1.8818128543833797E-2</v>
      </c>
      <c r="G12236" s="705">
        <v>14.231125342373938</v>
      </c>
    </row>
    <row r="12237" spans="2:7" ht="11.25" hidden="1" customHeight="1" outlineLevel="2" x14ac:dyDescent="0.25">
      <c r="B12237" s="704" t="s">
        <v>685</v>
      </c>
      <c r="C12237" s="704" t="s">
        <v>783</v>
      </c>
      <c r="D12237" s="704" t="s">
        <v>728</v>
      </c>
      <c r="E12237" s="704" t="s">
        <v>448</v>
      </c>
      <c r="F12237" s="705">
        <v>1.7083959673845046</v>
      </c>
      <c r="G12237" s="705">
        <v>2669.4845263913116</v>
      </c>
    </row>
    <row r="12238" spans="2:7" ht="11.25" hidden="1" customHeight="1" outlineLevel="2" x14ac:dyDescent="0.25">
      <c r="B12238" s="704" t="s">
        <v>685</v>
      </c>
      <c r="C12238" s="704" t="s">
        <v>784</v>
      </c>
      <c r="D12238" s="704" t="s">
        <v>728</v>
      </c>
      <c r="E12238" s="704" t="s">
        <v>448</v>
      </c>
      <c r="F12238" s="705">
        <v>0.26918847484459324</v>
      </c>
      <c r="G12238" s="705">
        <v>147.91797758700082</v>
      </c>
    </row>
    <row r="12239" spans="2:7" ht="11.25" hidden="1" customHeight="1" outlineLevel="2" x14ac:dyDescent="0.25">
      <c r="B12239" s="704" t="s">
        <v>685</v>
      </c>
      <c r="C12239" s="704" t="s">
        <v>785</v>
      </c>
      <c r="D12239" s="704" t="s">
        <v>728</v>
      </c>
      <c r="E12239" s="704" t="s">
        <v>448</v>
      </c>
      <c r="F12239" s="705">
        <v>1.6814036878707881</v>
      </c>
      <c r="G12239" s="705">
        <v>923.78734075693308</v>
      </c>
    </row>
    <row r="12240" spans="2:7" ht="11.25" hidden="1" customHeight="1" outlineLevel="2" x14ac:dyDescent="0.25">
      <c r="B12240" s="704" t="s">
        <v>685</v>
      </c>
      <c r="C12240" s="704" t="s">
        <v>786</v>
      </c>
      <c r="D12240" s="704" t="s">
        <v>728</v>
      </c>
      <c r="E12240" s="704" t="s">
        <v>448</v>
      </c>
      <c r="F12240" s="705">
        <v>0.21225980786290205</v>
      </c>
      <c r="G12240" s="705">
        <v>268.85142034310883</v>
      </c>
    </row>
    <row r="12241" spans="2:7" ht="11.25" hidden="1" customHeight="1" outlineLevel="2" x14ac:dyDescent="0.25">
      <c r="B12241" s="704" t="s">
        <v>685</v>
      </c>
      <c r="C12241" s="704" t="s">
        <v>787</v>
      </c>
      <c r="D12241" s="704" t="s">
        <v>728</v>
      </c>
      <c r="E12241" s="704" t="s">
        <v>448</v>
      </c>
      <c r="F12241" s="705">
        <v>0.2181918792529248</v>
      </c>
      <c r="G12241" s="705">
        <v>308.41335729708044</v>
      </c>
    </row>
    <row r="12242" spans="2:7" ht="11.25" hidden="1" customHeight="1" outlineLevel="2" x14ac:dyDescent="0.25">
      <c r="B12242" s="704" t="s">
        <v>685</v>
      </c>
      <c r="C12242" s="704" t="s">
        <v>788</v>
      </c>
      <c r="D12242" s="704" t="s">
        <v>728</v>
      </c>
      <c r="E12242" s="704" t="s">
        <v>448</v>
      </c>
      <c r="F12242" s="705">
        <v>0.30753758794839586</v>
      </c>
      <c r="G12242" s="705">
        <v>351.03778338959728</v>
      </c>
    </row>
    <row r="12243" spans="2:7" ht="11.25" hidden="1" customHeight="1" outlineLevel="2" x14ac:dyDescent="0.25">
      <c r="B12243" s="704" t="s">
        <v>685</v>
      </c>
      <c r="C12243" s="704" t="s">
        <v>789</v>
      </c>
      <c r="D12243" s="704" t="s">
        <v>728</v>
      </c>
      <c r="E12243" s="704" t="s">
        <v>448</v>
      </c>
      <c r="F12243" s="705">
        <v>0.23700582270768891</v>
      </c>
      <c r="G12243" s="705">
        <v>163.46629571107277</v>
      </c>
    </row>
    <row r="12244" spans="2:7" ht="11.25" hidden="1" customHeight="1" outlineLevel="2" x14ac:dyDescent="0.25">
      <c r="B12244" s="704" t="s">
        <v>685</v>
      </c>
      <c r="C12244" s="704" t="s">
        <v>790</v>
      </c>
      <c r="D12244" s="704" t="s">
        <v>728</v>
      </c>
      <c r="E12244" s="704" t="s">
        <v>448</v>
      </c>
      <c r="F12244" s="705">
        <v>2.8383300247772962</v>
      </c>
      <c r="G12244" s="705">
        <v>3603.7668443362363</v>
      </c>
    </row>
    <row r="12245" spans="2:7" ht="11.25" hidden="1" customHeight="1" outlineLevel="2" x14ac:dyDescent="0.25">
      <c r="B12245" s="704" t="s">
        <v>685</v>
      </c>
      <c r="C12245" s="704" t="s">
        <v>791</v>
      </c>
      <c r="D12245" s="704" t="s">
        <v>728</v>
      </c>
      <c r="E12245" s="704" t="s">
        <v>448</v>
      </c>
      <c r="F12245" s="705">
        <v>2.9647062438839535</v>
      </c>
      <c r="G12245" s="705">
        <v>4191.4732417448495</v>
      </c>
    </row>
    <row r="12246" spans="2:7" ht="11.25" hidden="1" customHeight="1" outlineLevel="2" x14ac:dyDescent="0.25">
      <c r="B12246" s="704" t="s">
        <v>685</v>
      </c>
      <c r="C12246" s="704" t="s">
        <v>792</v>
      </c>
      <c r="D12246" s="704" t="s">
        <v>728</v>
      </c>
      <c r="E12246" s="704" t="s">
        <v>448</v>
      </c>
      <c r="F12246" s="705">
        <v>0.33377839603271947</v>
      </c>
      <c r="G12246" s="705">
        <v>701.73982459826391</v>
      </c>
    </row>
    <row r="12247" spans="2:7" ht="11.25" hidden="1" customHeight="1" outlineLevel="2" x14ac:dyDescent="0.25">
      <c r="B12247" s="704" t="s">
        <v>685</v>
      </c>
      <c r="C12247" s="704" t="s">
        <v>793</v>
      </c>
      <c r="D12247" s="704" t="s">
        <v>728</v>
      </c>
      <c r="E12247" s="704" t="s">
        <v>448</v>
      </c>
      <c r="F12247" s="705">
        <v>9.2846954933479999</v>
      </c>
      <c r="G12247" s="705">
        <v>13521.951504251236</v>
      </c>
    </row>
    <row r="12248" spans="2:7" ht="11.25" hidden="1" customHeight="1" outlineLevel="2" x14ac:dyDescent="0.25">
      <c r="B12248" s="704" t="s">
        <v>685</v>
      </c>
      <c r="C12248" s="704" t="s">
        <v>794</v>
      </c>
      <c r="D12248" s="704" t="s">
        <v>728</v>
      </c>
      <c r="E12248" s="704" t="s">
        <v>448</v>
      </c>
      <c r="F12248" s="705">
        <v>0.16323620283234916</v>
      </c>
      <c r="G12248" s="705">
        <v>127.64991021435769</v>
      </c>
    </row>
    <row r="12249" spans="2:7" ht="11.25" hidden="1" customHeight="1" outlineLevel="2" x14ac:dyDescent="0.25">
      <c r="B12249" s="704" t="s">
        <v>685</v>
      </c>
      <c r="C12249" s="704" t="s">
        <v>795</v>
      </c>
      <c r="D12249" s="704" t="s">
        <v>728</v>
      </c>
      <c r="E12249" s="704" t="s">
        <v>448</v>
      </c>
      <c r="F12249" s="705">
        <v>0.52874358683701306</v>
      </c>
      <c r="G12249" s="705">
        <v>414.30732598064066</v>
      </c>
    </row>
    <row r="12250" spans="2:7" ht="11.25" hidden="1" customHeight="1" outlineLevel="2" x14ac:dyDescent="0.25">
      <c r="B12250" s="704" t="s">
        <v>685</v>
      </c>
      <c r="C12250" s="704" t="s">
        <v>845</v>
      </c>
      <c r="D12250" s="704" t="s">
        <v>728</v>
      </c>
      <c r="E12250" s="704" t="s">
        <v>824</v>
      </c>
      <c r="F12250" s="705">
        <v>2.6096272259928648E-2</v>
      </c>
      <c r="G12250" s="705">
        <v>232.78971354233801</v>
      </c>
    </row>
    <row r="12251" spans="2:7" ht="11.25" hidden="1" customHeight="1" outlineLevel="2" x14ac:dyDescent="0.25">
      <c r="B12251" s="704" t="s">
        <v>685</v>
      </c>
      <c r="C12251" s="704" t="s">
        <v>894</v>
      </c>
      <c r="D12251" s="704" t="s">
        <v>728</v>
      </c>
      <c r="E12251" s="704" t="s">
        <v>861</v>
      </c>
      <c r="F12251" s="709"/>
      <c r="G12251" s="705">
        <v>0.36186459385038555</v>
      </c>
    </row>
    <row r="12252" spans="2:7" ht="11.25" hidden="1" customHeight="1" outlineLevel="2" x14ac:dyDescent="0.25">
      <c r="B12252" s="704" t="s">
        <v>685</v>
      </c>
      <c r="C12252" s="704" t="s">
        <v>895</v>
      </c>
      <c r="D12252" s="704" t="s">
        <v>728</v>
      </c>
      <c r="E12252" s="704" t="s">
        <v>861</v>
      </c>
      <c r="F12252" s="709"/>
      <c r="G12252" s="705">
        <v>96.705362551070351</v>
      </c>
    </row>
    <row r="12253" spans="2:7" ht="11.25" hidden="1" customHeight="1" outlineLevel="2" x14ac:dyDescent="0.25">
      <c r="B12253" s="704" t="s">
        <v>685</v>
      </c>
      <c r="C12253" s="704" t="s">
        <v>896</v>
      </c>
      <c r="D12253" s="704" t="s">
        <v>728</v>
      </c>
      <c r="E12253" s="704" t="s">
        <v>861</v>
      </c>
      <c r="F12253" s="709"/>
      <c r="G12253" s="705">
        <v>2530.4496440769017</v>
      </c>
    </row>
    <row r="12254" spans="2:7" ht="11.25" hidden="1" customHeight="1" outlineLevel="2" x14ac:dyDescent="0.25">
      <c r="B12254" s="704" t="s">
        <v>685</v>
      </c>
      <c r="C12254" s="704" t="s">
        <v>897</v>
      </c>
      <c r="D12254" s="704" t="s">
        <v>728</v>
      </c>
      <c r="E12254" s="704" t="s">
        <v>861</v>
      </c>
      <c r="F12254" s="709"/>
      <c r="G12254" s="705">
        <v>522.19909663467911</v>
      </c>
    </row>
    <row r="12255" spans="2:7" ht="11.25" hidden="1" customHeight="1" outlineLevel="2" x14ac:dyDescent="0.25">
      <c r="B12255" s="704" t="s">
        <v>685</v>
      </c>
      <c r="C12255" s="704" t="s">
        <v>898</v>
      </c>
      <c r="D12255" s="704" t="s">
        <v>728</v>
      </c>
      <c r="E12255" s="704" t="s">
        <v>861</v>
      </c>
      <c r="F12255" s="709"/>
      <c r="G12255" s="705">
        <v>3445.1403425478238</v>
      </c>
    </row>
    <row r="12256" spans="2:7" ht="11.25" hidden="1" customHeight="1" outlineLevel="2" x14ac:dyDescent="0.25">
      <c r="B12256" s="704" t="s">
        <v>685</v>
      </c>
      <c r="C12256" s="704" t="s">
        <v>899</v>
      </c>
      <c r="D12256" s="704" t="s">
        <v>728</v>
      </c>
      <c r="E12256" s="704" t="s">
        <v>861</v>
      </c>
      <c r="F12256" s="709"/>
      <c r="G12256" s="705">
        <v>406.2117401866999</v>
      </c>
    </row>
    <row r="12257" spans="2:7" ht="11.25" hidden="1" customHeight="1" outlineLevel="2" x14ac:dyDescent="0.25">
      <c r="B12257" s="704" t="s">
        <v>685</v>
      </c>
      <c r="C12257" s="704" t="s">
        <v>900</v>
      </c>
      <c r="D12257" s="704" t="s">
        <v>728</v>
      </c>
      <c r="E12257" s="704" t="s">
        <v>861</v>
      </c>
      <c r="F12257" s="709"/>
      <c r="G12257" s="705">
        <v>9.67621731830301</v>
      </c>
    </row>
    <row r="12258" spans="2:7" ht="11.25" hidden="1" customHeight="1" outlineLevel="2" x14ac:dyDescent="0.25">
      <c r="B12258" s="704" t="s">
        <v>685</v>
      </c>
      <c r="C12258" s="704" t="s">
        <v>744</v>
      </c>
      <c r="D12258" s="704" t="s">
        <v>745</v>
      </c>
      <c r="E12258" s="704" t="s">
        <v>448</v>
      </c>
      <c r="F12258" s="705">
        <v>8.0103692061474704E-3</v>
      </c>
      <c r="G12258" s="705">
        <v>4.6323745468273385</v>
      </c>
    </row>
    <row r="12259" spans="2:7" ht="11.25" hidden="1" customHeight="1" outlineLevel="2" x14ac:dyDescent="0.25">
      <c r="B12259" s="704" t="s">
        <v>685</v>
      </c>
      <c r="C12259" s="704" t="s">
        <v>812</v>
      </c>
      <c r="D12259" s="704" t="s">
        <v>745</v>
      </c>
      <c r="E12259" s="704" t="s">
        <v>448</v>
      </c>
      <c r="F12259" s="705">
        <v>9.3750397099323906E-3</v>
      </c>
      <c r="G12259" s="705">
        <v>10.430526808111262</v>
      </c>
    </row>
    <row r="12260" spans="2:7" ht="11.25" hidden="1" customHeight="1" outlineLevel="2" x14ac:dyDescent="0.25">
      <c r="B12260" s="704" t="s">
        <v>685</v>
      </c>
      <c r="C12260" s="704" t="s">
        <v>813</v>
      </c>
      <c r="D12260" s="704" t="s">
        <v>745</v>
      </c>
      <c r="E12260" s="704" t="s">
        <v>448</v>
      </c>
      <c r="F12260" s="705">
        <v>9.6164850911426304E-5</v>
      </c>
      <c r="G12260" s="705">
        <v>0.12253502307584513</v>
      </c>
    </row>
    <row r="12261" spans="2:7" ht="11.25" hidden="1" customHeight="1" outlineLevel="2" x14ac:dyDescent="0.25">
      <c r="B12261" s="704" t="s">
        <v>685</v>
      </c>
      <c r="C12261" s="704" t="s">
        <v>917</v>
      </c>
      <c r="D12261" s="704" t="s">
        <v>745</v>
      </c>
      <c r="E12261" s="704" t="s">
        <v>861</v>
      </c>
      <c r="F12261" s="709"/>
      <c r="G12261" s="705">
        <v>138.8085835261833</v>
      </c>
    </row>
    <row r="12262" spans="2:7" ht="11.25" hidden="1" customHeight="1" outlineLevel="2" x14ac:dyDescent="0.25">
      <c r="B12262" s="704" t="s">
        <v>685</v>
      </c>
      <c r="C12262" s="704" t="s">
        <v>816</v>
      </c>
      <c r="D12262" s="704" t="s">
        <v>712</v>
      </c>
      <c r="E12262" s="704" t="s">
        <v>448</v>
      </c>
      <c r="F12262" s="705">
        <v>8.5993545433003732E-35</v>
      </c>
      <c r="G12262" s="705">
        <v>1.0190821488480301E-31</v>
      </c>
    </row>
    <row r="12263" spans="2:7" ht="11.25" hidden="1" customHeight="1" outlineLevel="2" x14ac:dyDescent="0.25">
      <c r="B12263" s="704" t="s">
        <v>685</v>
      </c>
      <c r="C12263" s="704" t="s">
        <v>711</v>
      </c>
      <c r="D12263" s="704" t="s">
        <v>712</v>
      </c>
      <c r="E12263" s="704" t="s">
        <v>676</v>
      </c>
      <c r="F12263" s="705">
        <v>3.136151520901011E-33</v>
      </c>
      <c r="G12263" s="705">
        <v>7.3601632656396319E-31</v>
      </c>
    </row>
    <row r="12264" spans="2:7" ht="11.25" hidden="1" customHeight="1" outlineLevel="2" x14ac:dyDescent="0.25">
      <c r="B12264" s="704" t="s">
        <v>685</v>
      </c>
      <c r="C12264" s="704" t="s">
        <v>921</v>
      </c>
      <c r="D12264" s="704" t="s">
        <v>712</v>
      </c>
      <c r="E12264" s="704" t="s">
        <v>861</v>
      </c>
      <c r="F12264" s="709"/>
      <c r="G12264" s="705">
        <v>7.9720101268876722E-32</v>
      </c>
    </row>
    <row r="12265" spans="2:7" ht="11.25" hidden="1" customHeight="1" outlineLevel="2" x14ac:dyDescent="0.25">
      <c r="B12265" s="704" t="s">
        <v>685</v>
      </c>
      <c r="C12265" s="704" t="s">
        <v>817</v>
      </c>
      <c r="D12265" s="704" t="s">
        <v>818</v>
      </c>
      <c r="E12265" s="704" t="s">
        <v>448</v>
      </c>
      <c r="F12265" s="705">
        <v>0.87929188289685734</v>
      </c>
      <c r="G12265" s="705">
        <v>722.41218389483186</v>
      </c>
    </row>
    <row r="12266" spans="2:7" ht="11.25" hidden="1" customHeight="1" outlineLevel="2" x14ac:dyDescent="0.25">
      <c r="B12266" s="704" t="s">
        <v>685</v>
      </c>
      <c r="C12266" s="704" t="s">
        <v>819</v>
      </c>
      <c r="D12266" s="704" t="s">
        <v>818</v>
      </c>
      <c r="E12266" s="704" t="s">
        <v>448</v>
      </c>
      <c r="F12266" s="705">
        <v>0.38288492219890946</v>
      </c>
      <c r="G12266" s="705">
        <v>304.85604972604676</v>
      </c>
    </row>
    <row r="12267" spans="2:7" ht="11.25" hidden="1" customHeight="1" outlineLevel="2" x14ac:dyDescent="0.25">
      <c r="B12267" s="704" t="s">
        <v>685</v>
      </c>
      <c r="C12267" s="704" t="s">
        <v>820</v>
      </c>
      <c r="D12267" s="704" t="s">
        <v>818</v>
      </c>
      <c r="E12267" s="704" t="s">
        <v>448</v>
      </c>
      <c r="F12267" s="705">
        <v>0.14625669141683662</v>
      </c>
      <c r="G12267" s="705">
        <v>227.55128585916324</v>
      </c>
    </row>
    <row r="12268" spans="2:7" ht="11.25" hidden="1" customHeight="1" outlineLevel="2" x14ac:dyDescent="0.25">
      <c r="B12268" s="704" t="s">
        <v>685</v>
      </c>
      <c r="C12268" s="704" t="s">
        <v>857</v>
      </c>
      <c r="D12268" s="704" t="s">
        <v>818</v>
      </c>
      <c r="E12268" s="704" t="s">
        <v>664</v>
      </c>
      <c r="F12268" s="709"/>
      <c r="G12268" s="705">
        <v>202.60371446705682</v>
      </c>
    </row>
    <row r="12269" spans="2:7" ht="11.25" hidden="1" customHeight="1" outlineLevel="2" x14ac:dyDescent="0.25">
      <c r="B12269" s="704" t="s">
        <v>685</v>
      </c>
      <c r="C12269" s="704" t="s">
        <v>858</v>
      </c>
      <c r="D12269" s="704" t="s">
        <v>818</v>
      </c>
      <c r="E12269" s="704" t="s">
        <v>664</v>
      </c>
      <c r="F12269" s="709"/>
      <c r="G12269" s="705">
        <v>1.6918163883910575</v>
      </c>
    </row>
    <row r="12270" spans="2:7" ht="11.25" hidden="1" customHeight="1" outlineLevel="2" x14ac:dyDescent="0.25">
      <c r="B12270" s="704" t="s">
        <v>685</v>
      </c>
      <c r="C12270" s="704" t="s">
        <v>922</v>
      </c>
      <c r="D12270" s="704" t="s">
        <v>822</v>
      </c>
      <c r="E12270" s="704" t="s">
        <v>861</v>
      </c>
      <c r="F12270" s="709"/>
      <c r="G12270" s="705">
        <v>363.24167628879417</v>
      </c>
    </row>
    <row r="12271" spans="2:7" ht="11.25" hidden="1" customHeight="1" outlineLevel="2" x14ac:dyDescent="0.25">
      <c r="B12271" s="704" t="s">
        <v>685</v>
      </c>
      <c r="C12271" s="704" t="s">
        <v>821</v>
      </c>
      <c r="D12271" s="704" t="s">
        <v>822</v>
      </c>
      <c r="E12271" s="704" t="s">
        <v>448</v>
      </c>
      <c r="F12271" s="705">
        <v>1.1461768754320322E-2</v>
      </c>
      <c r="G12271" s="705">
        <v>15.557212689125251</v>
      </c>
    </row>
    <row r="12272" spans="2:7" ht="11.25" hidden="1" customHeight="1" outlineLevel="2" x14ac:dyDescent="0.25">
      <c r="B12272" s="704" t="s">
        <v>685</v>
      </c>
      <c r="C12272" s="704" t="s">
        <v>855</v>
      </c>
      <c r="D12272" s="704" t="s">
        <v>822</v>
      </c>
      <c r="E12272" s="704" t="s">
        <v>824</v>
      </c>
      <c r="F12272" s="705">
        <v>1.8290120817266112E-4</v>
      </c>
      <c r="G12272" s="705">
        <v>0.52942731005747823</v>
      </c>
    </row>
    <row r="12273" spans="2:7" ht="11.25" hidden="1" customHeight="1" outlineLevel="2" x14ac:dyDescent="0.25">
      <c r="B12273" s="704" t="s">
        <v>685</v>
      </c>
      <c r="C12273" s="704" t="s">
        <v>714</v>
      </c>
      <c r="D12273" s="704" t="s">
        <v>715</v>
      </c>
      <c r="E12273" s="704" t="s">
        <v>448</v>
      </c>
      <c r="F12273" s="705">
        <v>1.4115162662922598</v>
      </c>
      <c r="G12273" s="705">
        <v>357.83638726176002</v>
      </c>
    </row>
    <row r="12274" spans="2:7" ht="11.25" hidden="1" customHeight="1" outlineLevel="2" x14ac:dyDescent="0.25">
      <c r="B12274" s="704" t="s">
        <v>685</v>
      </c>
      <c r="C12274" s="704" t="s">
        <v>716</v>
      </c>
      <c r="D12274" s="704" t="s">
        <v>715</v>
      </c>
      <c r="E12274" s="704" t="s">
        <v>448</v>
      </c>
      <c r="F12274" s="705">
        <v>1.220677049326443E-33</v>
      </c>
      <c r="G12274" s="705">
        <v>1.4883506685854614E-30</v>
      </c>
    </row>
    <row r="12275" spans="2:7" ht="11.25" hidden="1" customHeight="1" outlineLevel="2" x14ac:dyDescent="0.25">
      <c r="B12275" s="704" t="s">
        <v>685</v>
      </c>
      <c r="C12275" s="704" t="s">
        <v>717</v>
      </c>
      <c r="D12275" s="704" t="s">
        <v>715</v>
      </c>
      <c r="E12275" s="704" t="s">
        <v>448</v>
      </c>
      <c r="F12275" s="705">
        <v>1.5119219198278302</v>
      </c>
      <c r="G12275" s="705">
        <v>413.18481786908904</v>
      </c>
    </row>
    <row r="12276" spans="2:7" ht="11.25" hidden="1" customHeight="1" outlineLevel="2" x14ac:dyDescent="0.25">
      <c r="B12276" s="704" t="s">
        <v>685</v>
      </c>
      <c r="C12276" s="704" t="s">
        <v>718</v>
      </c>
      <c r="D12276" s="704" t="s">
        <v>715</v>
      </c>
      <c r="E12276" s="704" t="s">
        <v>448</v>
      </c>
      <c r="F12276" s="705">
        <v>9.6816320427786207E-2</v>
      </c>
      <c r="G12276" s="705">
        <v>106.22956157076491</v>
      </c>
    </row>
    <row r="12277" spans="2:7" ht="11.25" hidden="1" customHeight="1" outlineLevel="2" x14ac:dyDescent="0.25">
      <c r="B12277" s="704" t="s">
        <v>685</v>
      </c>
      <c r="C12277" s="704" t="s">
        <v>746</v>
      </c>
      <c r="D12277" s="704" t="s">
        <v>715</v>
      </c>
      <c r="E12277" s="704" t="s">
        <v>448</v>
      </c>
      <c r="F12277" s="705">
        <v>0.24859778283539105</v>
      </c>
      <c r="G12277" s="705">
        <v>172.91043026300696</v>
      </c>
    </row>
    <row r="12278" spans="2:7" ht="11.25" hidden="1" customHeight="1" outlineLevel="2" x14ac:dyDescent="0.25">
      <c r="B12278" s="704" t="s">
        <v>685</v>
      </c>
      <c r="C12278" s="704" t="s">
        <v>747</v>
      </c>
      <c r="D12278" s="704" t="s">
        <v>715</v>
      </c>
      <c r="E12278" s="704" t="s">
        <v>448</v>
      </c>
      <c r="F12278" s="705">
        <v>2.1524488958734298</v>
      </c>
      <c r="G12278" s="705">
        <v>1843.0009775508097</v>
      </c>
    </row>
    <row r="12279" spans="2:7" ht="11.25" hidden="1" customHeight="1" outlineLevel="2" x14ac:dyDescent="0.25">
      <c r="B12279" s="704" t="s">
        <v>685</v>
      </c>
      <c r="C12279" s="704" t="s">
        <v>748</v>
      </c>
      <c r="D12279" s="704" t="s">
        <v>715</v>
      </c>
      <c r="E12279" s="704" t="s">
        <v>448</v>
      </c>
      <c r="F12279" s="705">
        <v>0.86382521715261185</v>
      </c>
      <c r="G12279" s="705">
        <v>1122.3022796764401</v>
      </c>
    </row>
    <row r="12280" spans="2:7" ht="11.25" hidden="1" customHeight="1" outlineLevel="2" x14ac:dyDescent="0.25">
      <c r="B12280" s="704" t="s">
        <v>685</v>
      </c>
      <c r="C12280" s="704" t="s">
        <v>749</v>
      </c>
      <c r="D12280" s="704" t="s">
        <v>715</v>
      </c>
      <c r="E12280" s="704" t="s">
        <v>448</v>
      </c>
      <c r="F12280" s="705">
        <v>0.1314425563978556</v>
      </c>
      <c r="G12280" s="705">
        <v>103.65559872668655</v>
      </c>
    </row>
    <row r="12281" spans="2:7" ht="11.25" hidden="1" customHeight="1" outlineLevel="2" x14ac:dyDescent="0.25">
      <c r="B12281" s="704" t="s">
        <v>685</v>
      </c>
      <c r="C12281" s="704" t="s">
        <v>823</v>
      </c>
      <c r="D12281" s="704" t="s">
        <v>715</v>
      </c>
      <c r="E12281" s="704" t="s">
        <v>824</v>
      </c>
      <c r="F12281" s="705">
        <v>4.2912131950305875E-3</v>
      </c>
      <c r="G12281" s="705">
        <v>7.1692385698538557</v>
      </c>
    </row>
    <row r="12282" spans="2:7" ht="11.25" hidden="1" customHeight="1" outlineLevel="2" x14ac:dyDescent="0.25">
      <c r="B12282" s="704" t="s">
        <v>685</v>
      </c>
      <c r="C12282" s="704" t="s">
        <v>860</v>
      </c>
      <c r="D12282" s="704" t="s">
        <v>715</v>
      </c>
      <c r="E12282" s="704" t="s">
        <v>861</v>
      </c>
      <c r="F12282" s="709"/>
      <c r="G12282" s="705">
        <v>142.09373670000505</v>
      </c>
    </row>
    <row r="12283" spans="2:7" ht="11.25" hidden="1" customHeight="1" outlineLevel="2" x14ac:dyDescent="0.25">
      <c r="B12283" s="704" t="s">
        <v>685</v>
      </c>
      <c r="C12283" s="704" t="s">
        <v>919</v>
      </c>
      <c r="D12283" s="704" t="s">
        <v>920</v>
      </c>
      <c r="E12283" s="704" t="s">
        <v>861</v>
      </c>
      <c r="F12283" s="709"/>
      <c r="G12283" s="705">
        <v>1.3149400217429464E-31</v>
      </c>
    </row>
    <row r="12284" spans="2:7" ht="11.25" hidden="1" customHeight="1" outlineLevel="1" x14ac:dyDescent="0.25">
      <c r="B12284" s="707" t="s">
        <v>951</v>
      </c>
      <c r="C12284" s="704"/>
      <c r="D12284" s="704"/>
      <c r="E12284" s="704"/>
      <c r="F12284" s="709">
        <f t="shared" ref="F12284:G12284" si="36">SUBTOTAL(9,F12073:F12283)</f>
        <v>62.199632966539774</v>
      </c>
      <c r="G12284" s="705">
        <f t="shared" si="36"/>
        <v>172652.30263577614</v>
      </c>
    </row>
    <row r="12285" spans="2:7" ht="11.25" hidden="1" customHeight="1" outlineLevel="2" x14ac:dyDescent="0.25">
      <c r="B12285" s="704" t="s">
        <v>686</v>
      </c>
      <c r="C12285" s="704" t="s">
        <v>739</v>
      </c>
      <c r="D12285" s="704" t="s">
        <v>44</v>
      </c>
      <c r="E12285" s="704" t="s">
        <v>448</v>
      </c>
      <c r="F12285" s="705">
        <v>1.1504759885282523E-3</v>
      </c>
      <c r="G12285" s="705">
        <v>0.70171731050919905</v>
      </c>
    </row>
    <row r="12286" spans="2:7" ht="11.25" hidden="1" customHeight="1" outlineLevel="2" x14ac:dyDescent="0.25">
      <c r="B12286" s="704" t="s">
        <v>686</v>
      </c>
      <c r="C12286" s="704" t="s">
        <v>796</v>
      </c>
      <c r="D12286" s="704" t="s">
        <v>44</v>
      </c>
      <c r="E12286" s="704" t="s">
        <v>448</v>
      </c>
      <c r="F12286" s="705">
        <v>1.213250737124487E-3</v>
      </c>
      <c r="G12286" s="705">
        <v>1.7022669932022918</v>
      </c>
    </row>
    <row r="12287" spans="2:7" ht="11.25" hidden="1" customHeight="1" outlineLevel="2" x14ac:dyDescent="0.25">
      <c r="B12287" s="704" t="s">
        <v>686</v>
      </c>
      <c r="C12287" s="704" t="s">
        <v>797</v>
      </c>
      <c r="D12287" s="704" t="s">
        <v>44</v>
      </c>
      <c r="E12287" s="704" t="s">
        <v>448</v>
      </c>
      <c r="F12287" s="705">
        <v>1.9380152422837592E-3</v>
      </c>
      <c r="G12287" s="705">
        <v>6.6234241203993509</v>
      </c>
    </row>
    <row r="12288" spans="2:7" ht="11.25" hidden="1" customHeight="1" outlineLevel="2" x14ac:dyDescent="0.25">
      <c r="B12288" s="704" t="s">
        <v>686</v>
      </c>
      <c r="C12288" s="704" t="s">
        <v>798</v>
      </c>
      <c r="D12288" s="704" t="s">
        <v>44</v>
      </c>
      <c r="E12288" s="704" t="s">
        <v>448</v>
      </c>
      <c r="F12288" s="705">
        <v>3.182996479893862E-5</v>
      </c>
      <c r="G12288" s="705">
        <v>4.1718125737179965E-2</v>
      </c>
    </row>
    <row r="12289" spans="2:7" ht="11.25" hidden="1" customHeight="1" outlineLevel="2" x14ac:dyDescent="0.25">
      <c r="B12289" s="704" t="s">
        <v>686</v>
      </c>
      <c r="C12289" s="704" t="s">
        <v>799</v>
      </c>
      <c r="D12289" s="704" t="s">
        <v>44</v>
      </c>
      <c r="E12289" s="704" t="s">
        <v>448</v>
      </c>
      <c r="F12289" s="705">
        <v>3.4386115687616583E-3</v>
      </c>
      <c r="G12289" s="705">
        <v>4.5033994958714061</v>
      </c>
    </row>
    <row r="12290" spans="2:7" ht="11.25" hidden="1" customHeight="1" outlineLevel="2" x14ac:dyDescent="0.25">
      <c r="B12290" s="704" t="s">
        <v>686</v>
      </c>
      <c r="C12290" s="704" t="s">
        <v>800</v>
      </c>
      <c r="D12290" s="704" t="s">
        <v>44</v>
      </c>
      <c r="E12290" s="704" t="s">
        <v>448</v>
      </c>
      <c r="F12290" s="705">
        <v>1.1330365830021247E-3</v>
      </c>
      <c r="G12290" s="705">
        <v>1.4106599890349791</v>
      </c>
    </row>
    <row r="12291" spans="2:7" ht="11.25" hidden="1" customHeight="1" outlineLevel="2" x14ac:dyDescent="0.25">
      <c r="B12291" s="704" t="s">
        <v>686</v>
      </c>
      <c r="C12291" s="704" t="s">
        <v>801</v>
      </c>
      <c r="D12291" s="704" t="s">
        <v>44</v>
      </c>
      <c r="E12291" s="704" t="s">
        <v>448</v>
      </c>
      <c r="F12291" s="705">
        <v>1.4778583799093805E-2</v>
      </c>
      <c r="G12291" s="705">
        <v>15.324270609494237</v>
      </c>
    </row>
    <row r="12292" spans="2:7" ht="11.25" hidden="1" customHeight="1" outlineLevel="2" x14ac:dyDescent="0.25">
      <c r="B12292" s="704" t="s">
        <v>686</v>
      </c>
      <c r="C12292" s="704" t="s">
        <v>802</v>
      </c>
      <c r="D12292" s="704" t="s">
        <v>44</v>
      </c>
      <c r="E12292" s="704" t="s">
        <v>448</v>
      </c>
      <c r="F12292" s="705">
        <v>4.857477310507187E-2</v>
      </c>
      <c r="G12292" s="705">
        <v>32.847597261163898</v>
      </c>
    </row>
    <row r="12293" spans="2:7" ht="11.25" hidden="1" customHeight="1" outlineLevel="2" x14ac:dyDescent="0.25">
      <c r="B12293" s="704" t="s">
        <v>686</v>
      </c>
      <c r="C12293" s="704" t="s">
        <v>803</v>
      </c>
      <c r="D12293" s="704" t="s">
        <v>44</v>
      </c>
      <c r="E12293" s="704" t="s">
        <v>448</v>
      </c>
      <c r="F12293" s="705">
        <v>5.4567147002255326E-3</v>
      </c>
      <c r="G12293" s="705">
        <v>7.1464210982750052</v>
      </c>
    </row>
    <row r="12294" spans="2:7" ht="11.25" hidden="1" customHeight="1" outlineLevel="2" x14ac:dyDescent="0.25">
      <c r="B12294" s="704" t="s">
        <v>686</v>
      </c>
      <c r="C12294" s="704" t="s">
        <v>804</v>
      </c>
      <c r="D12294" s="704" t="s">
        <v>44</v>
      </c>
      <c r="E12294" s="704" t="s">
        <v>448</v>
      </c>
      <c r="F12294" s="705">
        <v>8.1259207032454359E-3</v>
      </c>
      <c r="G12294" s="705">
        <v>10.347987776003336</v>
      </c>
    </row>
    <row r="12295" spans="2:7" ht="11.25" hidden="1" customHeight="1" outlineLevel="2" x14ac:dyDescent="0.25">
      <c r="B12295" s="704" t="s">
        <v>686</v>
      </c>
      <c r="C12295" s="704" t="s">
        <v>805</v>
      </c>
      <c r="D12295" s="704" t="s">
        <v>44</v>
      </c>
      <c r="E12295" s="704" t="s">
        <v>448</v>
      </c>
      <c r="F12295" s="705">
        <v>1.6306349034603403E-3</v>
      </c>
      <c r="G12295" s="705">
        <v>11.479493797516158</v>
      </c>
    </row>
    <row r="12296" spans="2:7" ht="11.25" hidden="1" customHeight="1" outlineLevel="2" x14ac:dyDescent="0.25">
      <c r="B12296" s="704" t="s">
        <v>686</v>
      </c>
      <c r="C12296" s="704" t="s">
        <v>846</v>
      </c>
      <c r="D12296" s="704" t="s">
        <v>44</v>
      </c>
      <c r="E12296" s="704" t="s">
        <v>824</v>
      </c>
      <c r="F12296" s="705">
        <v>3.9540837300622429E-5</v>
      </c>
      <c r="G12296" s="705">
        <v>6.282856885325952E-2</v>
      </c>
    </row>
    <row r="12297" spans="2:7" ht="11.25" hidden="1" customHeight="1" outlineLevel="2" x14ac:dyDescent="0.25">
      <c r="B12297" s="704" t="s">
        <v>686</v>
      </c>
      <c r="C12297" s="704" t="s">
        <v>847</v>
      </c>
      <c r="D12297" s="704" t="s">
        <v>44</v>
      </c>
      <c r="E12297" s="704" t="s">
        <v>824</v>
      </c>
      <c r="F12297" s="705">
        <v>8.1137048188707239E-6</v>
      </c>
      <c r="G12297" s="705">
        <v>8.5508910053561121E-2</v>
      </c>
    </row>
    <row r="12298" spans="2:7" ht="11.25" hidden="1" customHeight="1" outlineLevel="2" x14ac:dyDescent="0.25">
      <c r="B12298" s="704" t="s">
        <v>686</v>
      </c>
      <c r="C12298" s="704" t="s">
        <v>705</v>
      </c>
      <c r="D12298" s="704" t="s">
        <v>44</v>
      </c>
      <c r="E12298" s="704" t="s">
        <v>676</v>
      </c>
      <c r="F12298" s="705">
        <v>1.5828463196395886E-3</v>
      </c>
      <c r="G12298" s="705">
        <v>1.6596837648040048E-2</v>
      </c>
    </row>
    <row r="12299" spans="2:7" ht="11.25" hidden="1" customHeight="1" outlineLevel="2" x14ac:dyDescent="0.25">
      <c r="B12299" s="704" t="s">
        <v>686</v>
      </c>
      <c r="C12299" s="704" t="s">
        <v>706</v>
      </c>
      <c r="D12299" s="704" t="s">
        <v>44</v>
      </c>
      <c r="E12299" s="704" t="s">
        <v>676</v>
      </c>
      <c r="F12299" s="705">
        <v>5.0240652197165985E-4</v>
      </c>
      <c r="G12299" s="705">
        <v>5.2663669447277871E-3</v>
      </c>
    </row>
    <row r="12300" spans="2:7" ht="11.25" hidden="1" customHeight="1" outlineLevel="2" x14ac:dyDescent="0.25">
      <c r="B12300" s="704" t="s">
        <v>686</v>
      </c>
      <c r="C12300" s="704" t="s">
        <v>901</v>
      </c>
      <c r="D12300" s="704" t="s">
        <v>44</v>
      </c>
      <c r="E12300" s="704" t="s">
        <v>861</v>
      </c>
      <c r="F12300" s="709"/>
      <c r="G12300" s="705">
        <v>0.12273453443120345</v>
      </c>
    </row>
    <row r="12301" spans="2:7" ht="11.25" hidden="1" customHeight="1" outlineLevel="2" x14ac:dyDescent="0.25">
      <c r="B12301" s="704" t="s">
        <v>686</v>
      </c>
      <c r="C12301" s="704" t="s">
        <v>902</v>
      </c>
      <c r="D12301" s="704" t="s">
        <v>44</v>
      </c>
      <c r="E12301" s="704" t="s">
        <v>861</v>
      </c>
      <c r="F12301" s="709"/>
      <c r="G12301" s="705">
        <v>5306.1047393930148</v>
      </c>
    </row>
    <row r="12302" spans="2:7" ht="11.25" hidden="1" customHeight="1" outlineLevel="2" x14ac:dyDescent="0.25">
      <c r="B12302" s="704" t="s">
        <v>686</v>
      </c>
      <c r="C12302" s="704" t="s">
        <v>903</v>
      </c>
      <c r="D12302" s="704" t="s">
        <v>44</v>
      </c>
      <c r="E12302" s="704" t="s">
        <v>861</v>
      </c>
      <c r="F12302" s="709"/>
      <c r="G12302" s="705">
        <v>476.11956555469538</v>
      </c>
    </row>
    <row r="12303" spans="2:7" ht="11.25" hidden="1" customHeight="1" outlineLevel="2" x14ac:dyDescent="0.25">
      <c r="B12303" s="704" t="s">
        <v>686</v>
      </c>
      <c r="C12303" s="704" t="s">
        <v>904</v>
      </c>
      <c r="D12303" s="704" t="s">
        <v>44</v>
      </c>
      <c r="E12303" s="704" t="s">
        <v>861</v>
      </c>
      <c r="F12303" s="709"/>
      <c r="G12303" s="705">
        <v>2.6465752012736274</v>
      </c>
    </row>
    <row r="12304" spans="2:7" ht="11.25" hidden="1" customHeight="1" outlineLevel="2" x14ac:dyDescent="0.25">
      <c r="B12304" s="704" t="s">
        <v>686</v>
      </c>
      <c r="C12304" s="704" t="s">
        <v>905</v>
      </c>
      <c r="D12304" s="704" t="s">
        <v>44</v>
      </c>
      <c r="E12304" s="704" t="s">
        <v>861</v>
      </c>
      <c r="F12304" s="709"/>
      <c r="G12304" s="705">
        <v>0.54320566562483918</v>
      </c>
    </row>
    <row r="12305" spans="2:7" ht="11.25" hidden="1" customHeight="1" outlineLevel="2" x14ac:dyDescent="0.25">
      <c r="B12305" s="704" t="s">
        <v>686</v>
      </c>
      <c r="C12305" s="704" t="s">
        <v>906</v>
      </c>
      <c r="D12305" s="704" t="s">
        <v>44</v>
      </c>
      <c r="E12305" s="704" t="s">
        <v>861</v>
      </c>
      <c r="F12305" s="709"/>
      <c r="G12305" s="705">
        <v>40.416800485362387</v>
      </c>
    </row>
    <row r="12306" spans="2:7" ht="11.25" hidden="1" customHeight="1" outlineLevel="2" x14ac:dyDescent="0.25">
      <c r="B12306" s="704" t="s">
        <v>686</v>
      </c>
      <c r="C12306" s="704" t="s">
        <v>907</v>
      </c>
      <c r="D12306" s="704" t="s">
        <v>44</v>
      </c>
      <c r="E12306" s="704" t="s">
        <v>861</v>
      </c>
      <c r="F12306" s="709"/>
      <c r="G12306" s="705">
        <v>0.1012292817848494</v>
      </c>
    </row>
    <row r="12307" spans="2:7" ht="11.25" hidden="1" customHeight="1" outlineLevel="2" x14ac:dyDescent="0.25">
      <c r="B12307" s="704" t="s">
        <v>686</v>
      </c>
      <c r="C12307" s="704" t="s">
        <v>908</v>
      </c>
      <c r="D12307" s="704" t="s">
        <v>44</v>
      </c>
      <c r="E12307" s="704" t="s">
        <v>861</v>
      </c>
      <c r="F12307" s="709"/>
      <c r="G12307" s="705">
        <v>37.356185970564724</v>
      </c>
    </row>
    <row r="12308" spans="2:7" ht="11.25" hidden="1" customHeight="1" outlineLevel="2" x14ac:dyDescent="0.25">
      <c r="B12308" s="704" t="s">
        <v>686</v>
      </c>
      <c r="C12308" s="704" t="s">
        <v>909</v>
      </c>
      <c r="D12308" s="704" t="s">
        <v>44</v>
      </c>
      <c r="E12308" s="704" t="s">
        <v>861</v>
      </c>
      <c r="F12308" s="709"/>
      <c r="G12308" s="705">
        <v>103.76568813498633</v>
      </c>
    </row>
    <row r="12309" spans="2:7" ht="11.25" hidden="1" customHeight="1" outlineLevel="2" x14ac:dyDescent="0.25">
      <c r="B12309" s="704" t="s">
        <v>686</v>
      </c>
      <c r="C12309" s="704" t="s">
        <v>910</v>
      </c>
      <c r="D12309" s="704" t="s">
        <v>44</v>
      </c>
      <c r="E12309" s="704" t="s">
        <v>861</v>
      </c>
      <c r="F12309" s="709"/>
      <c r="G12309" s="705">
        <v>76.287978081635359</v>
      </c>
    </row>
    <row r="12310" spans="2:7" ht="11.25" hidden="1" customHeight="1" outlineLevel="2" x14ac:dyDescent="0.25">
      <c r="B12310" s="704" t="s">
        <v>686</v>
      </c>
      <c r="C12310" s="704" t="s">
        <v>814</v>
      </c>
      <c r="D12310" s="704" t="s">
        <v>815</v>
      </c>
      <c r="E12310" s="704" t="s">
        <v>448</v>
      </c>
      <c r="F12310" s="705">
        <v>1.7957041227941505E-6</v>
      </c>
      <c r="G12310" s="705">
        <v>5.190695610299445E-3</v>
      </c>
    </row>
    <row r="12311" spans="2:7" ht="11.25" hidden="1" customHeight="1" outlineLevel="2" x14ac:dyDescent="0.25">
      <c r="B12311" s="704" t="s">
        <v>686</v>
      </c>
      <c r="C12311" s="704" t="s">
        <v>854</v>
      </c>
      <c r="D12311" s="704" t="s">
        <v>815</v>
      </c>
      <c r="E12311" s="704" t="s">
        <v>824</v>
      </c>
      <c r="F12311" s="705">
        <v>5.16374994401465E-7</v>
      </c>
      <c r="G12311" s="705">
        <v>4.7443911325303094E-3</v>
      </c>
    </row>
    <row r="12312" spans="2:7" ht="11.25" hidden="1" customHeight="1" outlineLevel="2" x14ac:dyDescent="0.25">
      <c r="B12312" s="704" t="s">
        <v>686</v>
      </c>
      <c r="C12312" s="704" t="s">
        <v>918</v>
      </c>
      <c r="D12312" s="704" t="s">
        <v>815</v>
      </c>
      <c r="E12312" s="704" t="s">
        <v>861</v>
      </c>
      <c r="F12312" s="709"/>
      <c r="G12312" s="705">
        <v>0.32624110103422671</v>
      </c>
    </row>
    <row r="12313" spans="2:7" ht="11.25" hidden="1" customHeight="1" outlineLevel="2" x14ac:dyDescent="0.25">
      <c r="B12313" s="704" t="s">
        <v>686</v>
      </c>
      <c r="C12313" s="704" t="s">
        <v>740</v>
      </c>
      <c r="D12313" s="704" t="s">
        <v>562</v>
      </c>
      <c r="E12313" s="704" t="s">
        <v>448</v>
      </c>
      <c r="F12313" s="705">
        <v>3.9686179640344233E-3</v>
      </c>
      <c r="G12313" s="705">
        <v>1.9665525247125553</v>
      </c>
    </row>
    <row r="12314" spans="2:7" ht="11.25" hidden="1" customHeight="1" outlineLevel="2" x14ac:dyDescent="0.25">
      <c r="B12314" s="704" t="s">
        <v>686</v>
      </c>
      <c r="C12314" s="704" t="s">
        <v>741</v>
      </c>
      <c r="D12314" s="704" t="s">
        <v>562</v>
      </c>
      <c r="E12314" s="704" t="s">
        <v>448</v>
      </c>
      <c r="F12314" s="705">
        <v>2.5359284373134679E-2</v>
      </c>
      <c r="G12314" s="705">
        <v>13.120213711142764</v>
      </c>
    </row>
    <row r="12315" spans="2:7" ht="11.25" hidden="1" customHeight="1" outlineLevel="2" x14ac:dyDescent="0.25">
      <c r="B12315" s="704" t="s">
        <v>686</v>
      </c>
      <c r="C12315" s="704" t="s">
        <v>742</v>
      </c>
      <c r="D12315" s="704" t="s">
        <v>562</v>
      </c>
      <c r="E12315" s="704" t="s">
        <v>448</v>
      </c>
      <c r="F12315" s="705">
        <v>1.1288222090369281E-5</v>
      </c>
      <c r="G12315" s="705">
        <v>5.0600634642477124E-3</v>
      </c>
    </row>
    <row r="12316" spans="2:7" ht="11.25" hidden="1" customHeight="1" outlineLevel="2" x14ac:dyDescent="0.25">
      <c r="B12316" s="704" t="s">
        <v>686</v>
      </c>
      <c r="C12316" s="704" t="s">
        <v>743</v>
      </c>
      <c r="D12316" s="704" t="s">
        <v>562</v>
      </c>
      <c r="E12316" s="704" t="s">
        <v>448</v>
      </c>
      <c r="F12316" s="705">
        <v>1.7761805677803837E-4</v>
      </c>
      <c r="G12316" s="705">
        <v>7.9619164738370565E-2</v>
      </c>
    </row>
    <row r="12317" spans="2:7" ht="11.25" hidden="1" customHeight="1" outlineLevel="2" x14ac:dyDescent="0.25">
      <c r="B12317" s="704" t="s">
        <v>686</v>
      </c>
      <c r="C12317" s="704" t="s">
        <v>806</v>
      </c>
      <c r="D12317" s="704" t="s">
        <v>562</v>
      </c>
      <c r="E12317" s="704" t="s">
        <v>448</v>
      </c>
      <c r="F12317" s="705">
        <v>0.33828954759941277</v>
      </c>
      <c r="G12317" s="705">
        <v>404.80491708942435</v>
      </c>
    </row>
    <row r="12318" spans="2:7" ht="11.25" hidden="1" customHeight="1" outlineLevel="2" x14ac:dyDescent="0.25">
      <c r="B12318" s="704" t="s">
        <v>686</v>
      </c>
      <c r="C12318" s="704" t="s">
        <v>807</v>
      </c>
      <c r="D12318" s="704" t="s">
        <v>562</v>
      </c>
      <c r="E12318" s="704" t="s">
        <v>448</v>
      </c>
      <c r="F12318" s="705">
        <v>7.2811237666009221E-2</v>
      </c>
      <c r="G12318" s="705">
        <v>101.29843723796694</v>
      </c>
    </row>
    <row r="12319" spans="2:7" ht="11.25" hidden="1" customHeight="1" outlineLevel="2" x14ac:dyDescent="0.25">
      <c r="B12319" s="704" t="s">
        <v>686</v>
      </c>
      <c r="C12319" s="704" t="s">
        <v>808</v>
      </c>
      <c r="D12319" s="704" t="s">
        <v>562</v>
      </c>
      <c r="E12319" s="704" t="s">
        <v>448</v>
      </c>
      <c r="F12319" s="705">
        <v>3.3609021293821942E-2</v>
      </c>
      <c r="G12319" s="705">
        <v>53.717778350960415</v>
      </c>
    </row>
    <row r="12320" spans="2:7" ht="11.25" hidden="1" customHeight="1" outlineLevel="2" x14ac:dyDescent="0.25">
      <c r="B12320" s="704" t="s">
        <v>686</v>
      </c>
      <c r="C12320" s="704" t="s">
        <v>809</v>
      </c>
      <c r="D12320" s="704" t="s">
        <v>562</v>
      </c>
      <c r="E12320" s="704" t="s">
        <v>448</v>
      </c>
      <c r="F12320" s="705">
        <v>7.7447056589120711E-2</v>
      </c>
      <c r="G12320" s="705">
        <v>115.2589278892364</v>
      </c>
    </row>
    <row r="12321" spans="2:7" ht="11.25" hidden="1" customHeight="1" outlineLevel="2" x14ac:dyDescent="0.25">
      <c r="B12321" s="704" t="s">
        <v>686</v>
      </c>
      <c r="C12321" s="704" t="s">
        <v>810</v>
      </c>
      <c r="D12321" s="704" t="s">
        <v>562</v>
      </c>
      <c r="E12321" s="704" t="s">
        <v>448</v>
      </c>
      <c r="F12321" s="705">
        <v>0.14627938465953266</v>
      </c>
      <c r="G12321" s="705">
        <v>181.5803948812293</v>
      </c>
    </row>
    <row r="12322" spans="2:7" ht="11.25" hidden="1" customHeight="1" outlineLevel="2" x14ac:dyDescent="0.25">
      <c r="B12322" s="704" t="s">
        <v>686</v>
      </c>
      <c r="C12322" s="704" t="s">
        <v>811</v>
      </c>
      <c r="D12322" s="704" t="s">
        <v>562</v>
      </c>
      <c r="E12322" s="704" t="s">
        <v>448</v>
      </c>
      <c r="F12322" s="705">
        <v>6.2273813898424974E-3</v>
      </c>
      <c r="G12322" s="705">
        <v>8.5405242930944851</v>
      </c>
    </row>
    <row r="12323" spans="2:7" ht="11.25" hidden="1" customHeight="1" outlineLevel="2" x14ac:dyDescent="0.25">
      <c r="B12323" s="704" t="s">
        <v>686</v>
      </c>
      <c r="C12323" s="704" t="s">
        <v>848</v>
      </c>
      <c r="D12323" s="704" t="s">
        <v>562</v>
      </c>
      <c r="E12323" s="704" t="s">
        <v>824</v>
      </c>
      <c r="F12323" s="705">
        <v>1.9591568265605448E-2</v>
      </c>
      <c r="G12323" s="705">
        <v>53.861272720595693</v>
      </c>
    </row>
    <row r="12324" spans="2:7" ht="11.25" hidden="1" customHeight="1" outlineLevel="2" x14ac:dyDescent="0.25">
      <c r="B12324" s="704" t="s">
        <v>686</v>
      </c>
      <c r="C12324" s="704" t="s">
        <v>849</v>
      </c>
      <c r="D12324" s="704" t="s">
        <v>562</v>
      </c>
      <c r="E12324" s="704" t="s">
        <v>824</v>
      </c>
      <c r="F12324" s="705">
        <v>2.8444862441340305E-3</v>
      </c>
      <c r="G12324" s="705">
        <v>11.996764677313619</v>
      </c>
    </row>
    <row r="12325" spans="2:7" ht="11.25" hidden="1" customHeight="1" outlineLevel="2" x14ac:dyDescent="0.25">
      <c r="B12325" s="704" t="s">
        <v>686</v>
      </c>
      <c r="C12325" s="704" t="s">
        <v>850</v>
      </c>
      <c r="D12325" s="704" t="s">
        <v>562</v>
      </c>
      <c r="E12325" s="704" t="s">
        <v>824</v>
      </c>
      <c r="F12325" s="705">
        <v>2.1044068912638215E-3</v>
      </c>
      <c r="G12325" s="705">
        <v>14.062372371045388</v>
      </c>
    </row>
    <row r="12326" spans="2:7" ht="11.25" hidden="1" customHeight="1" outlineLevel="2" x14ac:dyDescent="0.25">
      <c r="B12326" s="704" t="s">
        <v>686</v>
      </c>
      <c r="C12326" s="704" t="s">
        <v>851</v>
      </c>
      <c r="D12326" s="704" t="s">
        <v>562</v>
      </c>
      <c r="E12326" s="704" t="s">
        <v>824</v>
      </c>
      <c r="F12326" s="705">
        <v>3.6861342594498594E-3</v>
      </c>
      <c r="G12326" s="705">
        <v>17.468984397627455</v>
      </c>
    </row>
    <row r="12327" spans="2:7" ht="11.25" hidden="1" customHeight="1" outlineLevel="2" x14ac:dyDescent="0.25">
      <c r="B12327" s="704" t="s">
        <v>686</v>
      </c>
      <c r="C12327" s="704" t="s">
        <v>852</v>
      </c>
      <c r="D12327" s="704" t="s">
        <v>562</v>
      </c>
      <c r="E12327" s="704" t="s">
        <v>824</v>
      </c>
      <c r="F12327" s="705">
        <v>9.2040668484160272E-5</v>
      </c>
      <c r="G12327" s="705">
        <v>0.23614155974119244</v>
      </c>
    </row>
    <row r="12328" spans="2:7" ht="11.25" hidden="1" customHeight="1" outlineLevel="2" x14ac:dyDescent="0.25">
      <c r="B12328" s="704" t="s">
        <v>686</v>
      </c>
      <c r="C12328" s="704" t="s">
        <v>853</v>
      </c>
      <c r="D12328" s="704" t="s">
        <v>562</v>
      </c>
      <c r="E12328" s="704" t="s">
        <v>824</v>
      </c>
      <c r="F12328" s="705">
        <v>2.6852991774017796E-5</v>
      </c>
      <c r="G12328" s="705">
        <v>0.21934441288145931</v>
      </c>
    </row>
    <row r="12329" spans="2:7" ht="11.25" hidden="1" customHeight="1" outlineLevel="2" x14ac:dyDescent="0.25">
      <c r="B12329" s="704" t="s">
        <v>686</v>
      </c>
      <c r="C12329" s="704" t="s">
        <v>707</v>
      </c>
      <c r="D12329" s="704" t="s">
        <v>562</v>
      </c>
      <c r="E12329" s="704" t="s">
        <v>676</v>
      </c>
      <c r="F12329" s="705">
        <v>0.43286396927672166</v>
      </c>
      <c r="G12329" s="705">
        <v>12.020187405879009</v>
      </c>
    </row>
    <row r="12330" spans="2:7" ht="11.25" hidden="1" customHeight="1" outlineLevel="2" x14ac:dyDescent="0.25">
      <c r="B12330" s="704" t="s">
        <v>686</v>
      </c>
      <c r="C12330" s="704" t="s">
        <v>708</v>
      </c>
      <c r="D12330" s="704" t="s">
        <v>562</v>
      </c>
      <c r="E12330" s="704" t="s">
        <v>676</v>
      </c>
      <c r="F12330" s="705">
        <v>1.65953890168536E-2</v>
      </c>
      <c r="G12330" s="705">
        <v>0.60326811648002643</v>
      </c>
    </row>
    <row r="12331" spans="2:7" ht="11.25" hidden="1" customHeight="1" outlineLevel="2" x14ac:dyDescent="0.25">
      <c r="B12331" s="704" t="s">
        <v>686</v>
      </c>
      <c r="C12331" s="704" t="s">
        <v>709</v>
      </c>
      <c r="D12331" s="704" t="s">
        <v>562</v>
      </c>
      <c r="E12331" s="704" t="s">
        <v>676</v>
      </c>
      <c r="F12331" s="705">
        <v>1.1914278289997571E-2</v>
      </c>
      <c r="G12331" s="705">
        <v>0.83562722800012534</v>
      </c>
    </row>
    <row r="12332" spans="2:7" ht="11.25" hidden="1" customHeight="1" outlineLevel="2" x14ac:dyDescent="0.25">
      <c r="B12332" s="704" t="s">
        <v>686</v>
      </c>
      <c r="C12332" s="704" t="s">
        <v>710</v>
      </c>
      <c r="D12332" s="704" t="s">
        <v>562</v>
      </c>
      <c r="E12332" s="704" t="s">
        <v>676</v>
      </c>
      <c r="F12332" s="705">
        <v>0.13958170785634988</v>
      </c>
      <c r="G12332" s="705">
        <v>29.209630368554183</v>
      </c>
    </row>
    <row r="12333" spans="2:7" ht="11.25" hidden="1" customHeight="1" outlineLevel="2" x14ac:dyDescent="0.25">
      <c r="B12333" s="704" t="s">
        <v>686</v>
      </c>
      <c r="C12333" s="704" t="s">
        <v>911</v>
      </c>
      <c r="D12333" s="704" t="s">
        <v>562</v>
      </c>
      <c r="E12333" s="704" t="s">
        <v>861</v>
      </c>
      <c r="F12333" s="709"/>
      <c r="G12333" s="705">
        <v>311.48317081668608</v>
      </c>
    </row>
    <row r="12334" spans="2:7" ht="11.25" hidden="1" customHeight="1" outlineLevel="2" x14ac:dyDescent="0.25">
      <c r="B12334" s="704" t="s">
        <v>686</v>
      </c>
      <c r="C12334" s="704" t="s">
        <v>912</v>
      </c>
      <c r="D12334" s="704" t="s">
        <v>562</v>
      </c>
      <c r="E12334" s="704" t="s">
        <v>861</v>
      </c>
      <c r="F12334" s="709"/>
      <c r="G12334" s="705">
        <v>73.491148968531419</v>
      </c>
    </row>
    <row r="12335" spans="2:7" ht="11.25" hidden="1" customHeight="1" outlineLevel="2" x14ac:dyDescent="0.25">
      <c r="B12335" s="704" t="s">
        <v>686</v>
      </c>
      <c r="C12335" s="704" t="s">
        <v>913</v>
      </c>
      <c r="D12335" s="704" t="s">
        <v>562</v>
      </c>
      <c r="E12335" s="704" t="s">
        <v>861</v>
      </c>
      <c r="F12335" s="709"/>
      <c r="G12335" s="705">
        <v>203.90948627354223</v>
      </c>
    </row>
    <row r="12336" spans="2:7" ht="11.25" hidden="1" customHeight="1" outlineLevel="2" x14ac:dyDescent="0.25">
      <c r="B12336" s="704" t="s">
        <v>686</v>
      </c>
      <c r="C12336" s="704" t="s">
        <v>914</v>
      </c>
      <c r="D12336" s="704" t="s">
        <v>562</v>
      </c>
      <c r="E12336" s="704" t="s">
        <v>861</v>
      </c>
      <c r="F12336" s="709"/>
      <c r="G12336" s="705">
        <v>103.53859250606941</v>
      </c>
    </row>
    <row r="12337" spans="2:7" ht="11.25" hidden="1" customHeight="1" outlineLevel="2" x14ac:dyDescent="0.25">
      <c r="B12337" s="704" t="s">
        <v>686</v>
      </c>
      <c r="C12337" s="704" t="s">
        <v>915</v>
      </c>
      <c r="D12337" s="704" t="s">
        <v>562</v>
      </c>
      <c r="E12337" s="704" t="s">
        <v>861</v>
      </c>
      <c r="F12337" s="709"/>
      <c r="G12337" s="705">
        <v>9.9465641343640279</v>
      </c>
    </row>
    <row r="12338" spans="2:7" ht="11.25" hidden="1" customHeight="1" outlineLevel="2" x14ac:dyDescent="0.25">
      <c r="B12338" s="704" t="s">
        <v>686</v>
      </c>
      <c r="C12338" s="704" t="s">
        <v>916</v>
      </c>
      <c r="D12338" s="704" t="s">
        <v>562</v>
      </c>
      <c r="E12338" s="704" t="s">
        <v>861</v>
      </c>
      <c r="F12338" s="709"/>
      <c r="G12338" s="705">
        <v>8.8248573131628305</v>
      </c>
    </row>
    <row r="12339" spans="2:7" ht="11.25" hidden="1" customHeight="1" outlineLevel="2" x14ac:dyDescent="0.25">
      <c r="B12339" s="704" t="s">
        <v>686</v>
      </c>
      <c r="C12339" s="704" t="s">
        <v>719</v>
      </c>
      <c r="D12339" s="704" t="s">
        <v>675</v>
      </c>
      <c r="E12339" s="704" t="s">
        <v>448</v>
      </c>
      <c r="F12339" s="705">
        <v>1.32682386388562E-2</v>
      </c>
      <c r="G12339" s="705">
        <v>8.1807958750023744</v>
      </c>
    </row>
    <row r="12340" spans="2:7" ht="11.25" hidden="1" customHeight="1" outlineLevel="2" x14ac:dyDescent="0.25">
      <c r="B12340" s="704" t="s">
        <v>686</v>
      </c>
      <c r="C12340" s="704" t="s">
        <v>720</v>
      </c>
      <c r="D12340" s="704" t="s">
        <v>675</v>
      </c>
      <c r="E12340" s="704" t="s">
        <v>448</v>
      </c>
      <c r="F12340" s="705">
        <v>1.0965351104998881E-3</v>
      </c>
      <c r="G12340" s="705">
        <v>0.5305870703047566</v>
      </c>
    </row>
    <row r="12341" spans="2:7" ht="11.25" hidden="1" customHeight="1" outlineLevel="2" x14ac:dyDescent="0.25">
      <c r="B12341" s="704" t="s">
        <v>686</v>
      </c>
      <c r="C12341" s="704" t="s">
        <v>721</v>
      </c>
      <c r="D12341" s="704" t="s">
        <v>675</v>
      </c>
      <c r="E12341" s="704" t="s">
        <v>448</v>
      </c>
      <c r="F12341" s="705">
        <v>1.3279353571128522E-3</v>
      </c>
      <c r="G12341" s="705">
        <v>0.63428543019629435</v>
      </c>
    </row>
    <row r="12342" spans="2:7" ht="11.25" hidden="1" customHeight="1" outlineLevel="2" x14ac:dyDescent="0.25">
      <c r="B12342" s="704" t="s">
        <v>686</v>
      </c>
      <c r="C12342" s="704" t="s">
        <v>722</v>
      </c>
      <c r="D12342" s="704" t="s">
        <v>675</v>
      </c>
      <c r="E12342" s="704" t="s">
        <v>448</v>
      </c>
      <c r="F12342" s="705">
        <v>1.0596524500070237E-5</v>
      </c>
      <c r="G12342" s="705">
        <v>4.7498633042904817E-3</v>
      </c>
    </row>
    <row r="12343" spans="2:7" ht="11.25" hidden="1" customHeight="1" outlineLevel="2" x14ac:dyDescent="0.25">
      <c r="B12343" s="704" t="s">
        <v>686</v>
      </c>
      <c r="C12343" s="704" t="s">
        <v>723</v>
      </c>
      <c r="D12343" s="704" t="s">
        <v>675</v>
      </c>
      <c r="E12343" s="704" t="s">
        <v>448</v>
      </c>
      <c r="F12343" s="705">
        <v>3.7800699208375324E-2</v>
      </c>
      <c r="G12343" s="705">
        <v>21.140434039674268</v>
      </c>
    </row>
    <row r="12344" spans="2:7" ht="11.25" hidden="1" customHeight="1" outlineLevel="2" x14ac:dyDescent="0.25">
      <c r="B12344" s="704" t="s">
        <v>686</v>
      </c>
      <c r="C12344" s="704" t="s">
        <v>724</v>
      </c>
      <c r="D12344" s="704" t="s">
        <v>675</v>
      </c>
      <c r="E12344" s="704" t="s">
        <v>448</v>
      </c>
      <c r="F12344" s="705">
        <v>2.75924848458388E-4</v>
      </c>
      <c r="G12344" s="705">
        <v>0.12368264548977599</v>
      </c>
    </row>
    <row r="12345" spans="2:7" ht="11.25" hidden="1" customHeight="1" outlineLevel="2" x14ac:dyDescent="0.25">
      <c r="B12345" s="704" t="s">
        <v>686</v>
      </c>
      <c r="C12345" s="704" t="s">
        <v>750</v>
      </c>
      <c r="D12345" s="704" t="s">
        <v>675</v>
      </c>
      <c r="E12345" s="704" t="s">
        <v>448</v>
      </c>
      <c r="F12345" s="705">
        <v>4.708324519139797E-3</v>
      </c>
      <c r="G12345" s="705">
        <v>7.2725589261660737</v>
      </c>
    </row>
    <row r="12346" spans="2:7" ht="11.25" hidden="1" customHeight="1" outlineLevel="2" x14ac:dyDescent="0.25">
      <c r="B12346" s="704" t="s">
        <v>686</v>
      </c>
      <c r="C12346" s="704" t="s">
        <v>751</v>
      </c>
      <c r="D12346" s="704" t="s">
        <v>675</v>
      </c>
      <c r="E12346" s="704" t="s">
        <v>448</v>
      </c>
      <c r="F12346" s="705">
        <v>4.1708009499922951E-5</v>
      </c>
      <c r="G12346" s="705">
        <v>5.3742322782852493E-2</v>
      </c>
    </row>
    <row r="12347" spans="2:7" ht="11.25" hidden="1" customHeight="1" outlineLevel="2" x14ac:dyDescent="0.25">
      <c r="B12347" s="704" t="s">
        <v>686</v>
      </c>
      <c r="C12347" s="704" t="s">
        <v>752</v>
      </c>
      <c r="D12347" s="704" t="s">
        <v>675</v>
      </c>
      <c r="E12347" s="704" t="s">
        <v>448</v>
      </c>
      <c r="F12347" s="705">
        <v>1.1472813796787384E-2</v>
      </c>
      <c r="G12347" s="705">
        <v>13.609107124397132</v>
      </c>
    </row>
    <row r="12348" spans="2:7" ht="11.25" hidden="1" customHeight="1" outlineLevel="2" x14ac:dyDescent="0.25">
      <c r="B12348" s="704" t="s">
        <v>686</v>
      </c>
      <c r="C12348" s="704" t="s">
        <v>753</v>
      </c>
      <c r="D12348" s="704" t="s">
        <v>675</v>
      </c>
      <c r="E12348" s="704" t="s">
        <v>448</v>
      </c>
      <c r="F12348" s="705">
        <v>8.2178360258584066E-3</v>
      </c>
      <c r="G12348" s="705">
        <v>12.859775460473136</v>
      </c>
    </row>
    <row r="12349" spans="2:7" ht="11.25" hidden="1" customHeight="1" outlineLevel="2" x14ac:dyDescent="0.25">
      <c r="B12349" s="704" t="s">
        <v>686</v>
      </c>
      <c r="C12349" s="704" t="s">
        <v>754</v>
      </c>
      <c r="D12349" s="704" t="s">
        <v>675</v>
      </c>
      <c r="E12349" s="704" t="s">
        <v>448</v>
      </c>
      <c r="F12349" s="705">
        <v>2.0233915421044916E-2</v>
      </c>
      <c r="G12349" s="705">
        <v>25.59530263978786</v>
      </c>
    </row>
    <row r="12350" spans="2:7" ht="11.25" hidden="1" customHeight="1" outlineLevel="2" x14ac:dyDescent="0.25">
      <c r="B12350" s="704" t="s">
        <v>686</v>
      </c>
      <c r="C12350" s="704" t="s">
        <v>755</v>
      </c>
      <c r="D12350" s="704" t="s">
        <v>675</v>
      </c>
      <c r="E12350" s="704" t="s">
        <v>448</v>
      </c>
      <c r="F12350" s="705">
        <v>7.9144158356947731E-3</v>
      </c>
      <c r="G12350" s="705">
        <v>10.793553862974365</v>
      </c>
    </row>
    <row r="12351" spans="2:7" ht="11.25" hidden="1" customHeight="1" outlineLevel="2" x14ac:dyDescent="0.25">
      <c r="B12351" s="704" t="s">
        <v>686</v>
      </c>
      <c r="C12351" s="704" t="s">
        <v>756</v>
      </c>
      <c r="D12351" s="704" t="s">
        <v>675</v>
      </c>
      <c r="E12351" s="704" t="s">
        <v>448</v>
      </c>
      <c r="F12351" s="705">
        <v>4.2651075606968056E-4</v>
      </c>
      <c r="G12351" s="705">
        <v>0.56039386362490407</v>
      </c>
    </row>
    <row r="12352" spans="2:7" ht="11.25" hidden="1" customHeight="1" outlineLevel="2" x14ac:dyDescent="0.25">
      <c r="B12352" s="704" t="s">
        <v>686</v>
      </c>
      <c r="C12352" s="704" t="s">
        <v>757</v>
      </c>
      <c r="D12352" s="704" t="s">
        <v>675</v>
      </c>
      <c r="E12352" s="704" t="s">
        <v>448</v>
      </c>
      <c r="F12352" s="705">
        <v>1.5080007604084037E-2</v>
      </c>
      <c r="G12352" s="705">
        <v>22.595998245146657</v>
      </c>
    </row>
    <row r="12353" spans="2:7" ht="11.25" hidden="1" customHeight="1" outlineLevel="2" x14ac:dyDescent="0.25">
      <c r="B12353" s="704" t="s">
        <v>686</v>
      </c>
      <c r="C12353" s="704" t="s">
        <v>758</v>
      </c>
      <c r="D12353" s="704" t="s">
        <v>675</v>
      </c>
      <c r="E12353" s="704" t="s">
        <v>448</v>
      </c>
      <c r="F12353" s="705">
        <v>6.7879412410316456E-3</v>
      </c>
      <c r="G12353" s="705">
        <v>7.7824231388208034</v>
      </c>
    </row>
    <row r="12354" spans="2:7" ht="11.25" hidden="1" customHeight="1" outlineLevel="2" x14ac:dyDescent="0.25">
      <c r="B12354" s="704" t="s">
        <v>686</v>
      </c>
      <c r="C12354" s="704" t="s">
        <v>759</v>
      </c>
      <c r="D12354" s="704" t="s">
        <v>675</v>
      </c>
      <c r="E12354" s="704" t="s">
        <v>448</v>
      </c>
      <c r="F12354" s="705">
        <v>3.3594857959301214E-2</v>
      </c>
      <c r="G12354" s="705">
        <v>47.063000818418864</v>
      </c>
    </row>
    <row r="12355" spans="2:7" ht="11.25" hidden="1" customHeight="1" outlineLevel="2" x14ac:dyDescent="0.25">
      <c r="B12355" s="704" t="s">
        <v>686</v>
      </c>
      <c r="C12355" s="704" t="s">
        <v>760</v>
      </c>
      <c r="D12355" s="704" t="s">
        <v>675</v>
      </c>
      <c r="E12355" s="704" t="s">
        <v>448</v>
      </c>
      <c r="F12355" s="705">
        <v>2.2640437548126838E-2</v>
      </c>
      <c r="G12355" s="705">
        <v>22.545640257950499</v>
      </c>
    </row>
    <row r="12356" spans="2:7" ht="11.25" hidden="1" customHeight="1" outlineLevel="2" x14ac:dyDescent="0.25">
      <c r="B12356" s="704" t="s">
        <v>686</v>
      </c>
      <c r="C12356" s="704" t="s">
        <v>761</v>
      </c>
      <c r="D12356" s="704" t="s">
        <v>675</v>
      </c>
      <c r="E12356" s="704" t="s">
        <v>448</v>
      </c>
      <c r="F12356" s="705">
        <v>1.0748136184895712E-3</v>
      </c>
      <c r="G12356" s="705">
        <v>1.7972425642460244</v>
      </c>
    </row>
    <row r="12357" spans="2:7" ht="11.25" hidden="1" customHeight="1" outlineLevel="2" x14ac:dyDescent="0.25">
      <c r="B12357" s="704" t="s">
        <v>686</v>
      </c>
      <c r="C12357" s="704" t="s">
        <v>762</v>
      </c>
      <c r="D12357" s="704" t="s">
        <v>675</v>
      </c>
      <c r="E12357" s="704" t="s">
        <v>448</v>
      </c>
      <c r="F12357" s="705">
        <v>2.1875304683466519E-3</v>
      </c>
      <c r="G12357" s="705">
        <v>3.0474743407191718</v>
      </c>
    </row>
    <row r="12358" spans="2:7" ht="11.25" hidden="1" customHeight="1" outlineLevel="2" x14ac:dyDescent="0.25">
      <c r="B12358" s="704" t="s">
        <v>686</v>
      </c>
      <c r="C12358" s="704" t="s">
        <v>763</v>
      </c>
      <c r="D12358" s="704" t="s">
        <v>675</v>
      </c>
      <c r="E12358" s="704" t="s">
        <v>448</v>
      </c>
      <c r="F12358" s="705">
        <v>9.7102902920359363E-4</v>
      </c>
      <c r="G12358" s="705">
        <v>2.7308114339759579</v>
      </c>
    </row>
    <row r="12359" spans="2:7" ht="11.25" hidden="1" customHeight="1" outlineLevel="2" x14ac:dyDescent="0.25">
      <c r="B12359" s="704" t="s">
        <v>686</v>
      </c>
      <c r="C12359" s="704" t="s">
        <v>764</v>
      </c>
      <c r="D12359" s="704" t="s">
        <v>675</v>
      </c>
      <c r="E12359" s="704" t="s">
        <v>448</v>
      </c>
      <c r="F12359" s="705">
        <v>1.1315780640607921E-3</v>
      </c>
      <c r="G12359" s="705">
        <v>6.5223846203098654</v>
      </c>
    </row>
    <row r="12360" spans="2:7" ht="11.25" hidden="1" customHeight="1" outlineLevel="2" x14ac:dyDescent="0.25">
      <c r="B12360" s="704" t="s">
        <v>686</v>
      </c>
      <c r="C12360" s="704" t="s">
        <v>765</v>
      </c>
      <c r="D12360" s="704" t="s">
        <v>675</v>
      </c>
      <c r="E12360" s="704" t="s">
        <v>448</v>
      </c>
      <c r="F12360" s="705">
        <v>1.0710773256576338E-2</v>
      </c>
      <c r="G12360" s="705">
        <v>15.456357520948826</v>
      </c>
    </row>
    <row r="12361" spans="2:7" ht="11.25" hidden="1" customHeight="1" outlineLevel="2" x14ac:dyDescent="0.25">
      <c r="B12361" s="704" t="s">
        <v>686</v>
      </c>
      <c r="C12361" s="704" t="s">
        <v>766</v>
      </c>
      <c r="D12361" s="704" t="s">
        <v>675</v>
      </c>
      <c r="E12361" s="704" t="s">
        <v>448</v>
      </c>
      <c r="F12361" s="705">
        <v>6.6406083486204841E-3</v>
      </c>
      <c r="G12361" s="705">
        <v>10.607896345828177</v>
      </c>
    </row>
    <row r="12362" spans="2:7" ht="11.25" hidden="1" customHeight="1" outlineLevel="2" x14ac:dyDescent="0.25">
      <c r="B12362" s="704" t="s">
        <v>686</v>
      </c>
      <c r="C12362" s="704" t="s">
        <v>767</v>
      </c>
      <c r="D12362" s="704" t="s">
        <v>675</v>
      </c>
      <c r="E12362" s="704" t="s">
        <v>448</v>
      </c>
      <c r="F12362" s="705">
        <v>3.3450330753355428E-3</v>
      </c>
      <c r="G12362" s="705">
        <v>3.4952073605644891</v>
      </c>
    </row>
    <row r="12363" spans="2:7" ht="11.25" hidden="1" customHeight="1" outlineLevel="2" x14ac:dyDescent="0.25">
      <c r="B12363" s="704" t="s">
        <v>686</v>
      </c>
      <c r="C12363" s="704" t="s">
        <v>768</v>
      </c>
      <c r="D12363" s="704" t="s">
        <v>675</v>
      </c>
      <c r="E12363" s="704" t="s">
        <v>448</v>
      </c>
      <c r="F12363" s="705">
        <v>1.5585316636509891E-3</v>
      </c>
      <c r="G12363" s="705">
        <v>2.4691239449128535</v>
      </c>
    </row>
    <row r="12364" spans="2:7" ht="11.25" hidden="1" customHeight="1" outlineLevel="2" x14ac:dyDescent="0.25">
      <c r="B12364" s="704" t="s">
        <v>686</v>
      </c>
      <c r="C12364" s="704" t="s">
        <v>825</v>
      </c>
      <c r="D12364" s="704" t="s">
        <v>675</v>
      </c>
      <c r="E12364" s="704" t="s">
        <v>824</v>
      </c>
      <c r="F12364" s="705">
        <v>2.9537619237653725E-4</v>
      </c>
      <c r="G12364" s="705">
        <v>1.3985514635914611</v>
      </c>
    </row>
    <row r="12365" spans="2:7" ht="11.25" hidden="1" customHeight="1" outlineLevel="2" x14ac:dyDescent="0.25">
      <c r="B12365" s="704" t="s">
        <v>686</v>
      </c>
      <c r="C12365" s="704" t="s">
        <v>826</v>
      </c>
      <c r="D12365" s="704" t="s">
        <v>675</v>
      </c>
      <c r="E12365" s="704" t="s">
        <v>824</v>
      </c>
      <c r="F12365" s="705">
        <v>2.195731276639831E-4</v>
      </c>
      <c r="G12365" s="705">
        <v>2.3470318924262781</v>
      </c>
    </row>
    <row r="12366" spans="2:7" ht="11.25" hidden="1" customHeight="1" outlineLevel="2" x14ac:dyDescent="0.25">
      <c r="B12366" s="704" t="s">
        <v>686</v>
      </c>
      <c r="C12366" s="704" t="s">
        <v>827</v>
      </c>
      <c r="D12366" s="704" t="s">
        <v>675</v>
      </c>
      <c r="E12366" s="704" t="s">
        <v>824</v>
      </c>
      <c r="F12366" s="705">
        <v>1.6259025144889448E-4</v>
      </c>
      <c r="G12366" s="705">
        <v>0.3882694257251329</v>
      </c>
    </row>
    <row r="12367" spans="2:7" ht="11.25" hidden="1" customHeight="1" outlineLevel="2" x14ac:dyDescent="0.25">
      <c r="B12367" s="704" t="s">
        <v>686</v>
      </c>
      <c r="C12367" s="704" t="s">
        <v>828</v>
      </c>
      <c r="D12367" s="704" t="s">
        <v>675</v>
      </c>
      <c r="E12367" s="704" t="s">
        <v>824</v>
      </c>
      <c r="F12367" s="705">
        <v>4.433486884162038E-5</v>
      </c>
      <c r="G12367" s="705">
        <v>0.24329823428661518</v>
      </c>
    </row>
    <row r="12368" spans="2:7" ht="11.25" hidden="1" customHeight="1" outlineLevel="2" x14ac:dyDescent="0.25">
      <c r="B12368" s="704" t="s">
        <v>686</v>
      </c>
      <c r="C12368" s="704" t="s">
        <v>829</v>
      </c>
      <c r="D12368" s="704" t="s">
        <v>675</v>
      </c>
      <c r="E12368" s="704" t="s">
        <v>824</v>
      </c>
      <c r="F12368" s="705">
        <v>9.5943685812261694E-4</v>
      </c>
      <c r="G12368" s="705">
        <v>4.3055558079881671</v>
      </c>
    </row>
    <row r="12369" spans="2:7" ht="11.25" hidden="1" customHeight="1" outlineLevel="2" x14ac:dyDescent="0.25">
      <c r="B12369" s="704" t="s">
        <v>686</v>
      </c>
      <c r="C12369" s="704" t="s">
        <v>830</v>
      </c>
      <c r="D12369" s="704" t="s">
        <v>675</v>
      </c>
      <c r="E12369" s="704" t="s">
        <v>824</v>
      </c>
      <c r="F12369" s="705">
        <v>8.7043106745456999E-4</v>
      </c>
      <c r="G12369" s="705">
        <v>1.5502490137128364</v>
      </c>
    </row>
    <row r="12370" spans="2:7" ht="11.25" hidden="1" customHeight="1" outlineLevel="2" x14ac:dyDescent="0.25">
      <c r="B12370" s="704" t="s">
        <v>686</v>
      </c>
      <c r="C12370" s="704" t="s">
        <v>831</v>
      </c>
      <c r="D12370" s="704" t="s">
        <v>675</v>
      </c>
      <c r="E12370" s="704" t="s">
        <v>824</v>
      </c>
      <c r="F12370" s="705">
        <v>2.4150436061693724E-4</v>
      </c>
      <c r="G12370" s="705">
        <v>3.9833312563131358</v>
      </c>
    </row>
    <row r="12371" spans="2:7" ht="11.25" hidden="1" customHeight="1" outlineLevel="2" x14ac:dyDescent="0.25">
      <c r="B12371" s="704" t="s">
        <v>686</v>
      </c>
      <c r="C12371" s="704" t="s">
        <v>832</v>
      </c>
      <c r="D12371" s="704" t="s">
        <v>675</v>
      </c>
      <c r="E12371" s="704" t="s">
        <v>824</v>
      </c>
      <c r="F12371" s="705">
        <v>6.6014365236063922E-4</v>
      </c>
      <c r="G12371" s="705">
        <v>1.5865184614993781</v>
      </c>
    </row>
    <row r="12372" spans="2:7" ht="11.25" hidden="1" customHeight="1" outlineLevel="2" x14ac:dyDescent="0.25">
      <c r="B12372" s="704" t="s">
        <v>686</v>
      </c>
      <c r="C12372" s="704" t="s">
        <v>833</v>
      </c>
      <c r="D12372" s="704" t="s">
        <v>675</v>
      </c>
      <c r="E12372" s="704" t="s">
        <v>824</v>
      </c>
      <c r="F12372" s="705">
        <v>1.0082198689260377E-4</v>
      </c>
      <c r="G12372" s="705">
        <v>0.25529393872532447</v>
      </c>
    </row>
    <row r="12373" spans="2:7" ht="11.25" hidden="1" customHeight="1" outlineLevel="2" x14ac:dyDescent="0.25">
      <c r="B12373" s="704" t="s">
        <v>686</v>
      </c>
      <c r="C12373" s="704" t="s">
        <v>834</v>
      </c>
      <c r="D12373" s="704" t="s">
        <v>675</v>
      </c>
      <c r="E12373" s="704" t="s">
        <v>824</v>
      </c>
      <c r="F12373" s="705">
        <v>7.3027389725954979E-4</v>
      </c>
      <c r="G12373" s="705">
        <v>2.7617234846437051</v>
      </c>
    </row>
    <row r="12374" spans="2:7" ht="11.25" hidden="1" customHeight="1" outlineLevel="2" x14ac:dyDescent="0.25">
      <c r="B12374" s="704" t="s">
        <v>686</v>
      </c>
      <c r="C12374" s="704" t="s">
        <v>835</v>
      </c>
      <c r="D12374" s="704" t="s">
        <v>675</v>
      </c>
      <c r="E12374" s="704" t="s">
        <v>824</v>
      </c>
      <c r="F12374" s="705">
        <v>9.1592141229117493E-4</v>
      </c>
      <c r="G12374" s="705">
        <v>6.7249405773358175</v>
      </c>
    </row>
    <row r="12375" spans="2:7" ht="11.25" hidden="1" customHeight="1" outlineLevel="2" x14ac:dyDescent="0.25">
      <c r="B12375" s="704" t="s">
        <v>686</v>
      </c>
      <c r="C12375" s="704" t="s">
        <v>836</v>
      </c>
      <c r="D12375" s="704" t="s">
        <v>675</v>
      </c>
      <c r="E12375" s="704" t="s">
        <v>824</v>
      </c>
      <c r="F12375" s="705">
        <v>6.3908601644696789E-5</v>
      </c>
      <c r="G12375" s="705">
        <v>0.70249692597257596</v>
      </c>
    </row>
    <row r="12376" spans="2:7" ht="11.25" hidden="1" customHeight="1" outlineLevel="2" x14ac:dyDescent="0.25">
      <c r="B12376" s="704" t="s">
        <v>686</v>
      </c>
      <c r="C12376" s="704" t="s">
        <v>837</v>
      </c>
      <c r="D12376" s="704" t="s">
        <v>675</v>
      </c>
      <c r="E12376" s="704" t="s">
        <v>824</v>
      </c>
      <c r="F12376" s="705">
        <v>2.1076457417873347E-3</v>
      </c>
      <c r="G12376" s="705">
        <v>5.8192276201211088</v>
      </c>
    </row>
    <row r="12377" spans="2:7" ht="11.25" hidden="1" customHeight="1" outlineLevel="2" x14ac:dyDescent="0.25">
      <c r="B12377" s="704" t="s">
        <v>686</v>
      </c>
      <c r="C12377" s="704" t="s">
        <v>838</v>
      </c>
      <c r="D12377" s="704" t="s">
        <v>675</v>
      </c>
      <c r="E12377" s="704" t="s">
        <v>824</v>
      </c>
      <c r="F12377" s="705">
        <v>1.0871847357242694E-3</v>
      </c>
      <c r="G12377" s="705">
        <v>2.406493336467733</v>
      </c>
    </row>
    <row r="12378" spans="2:7" ht="11.25" hidden="1" customHeight="1" outlineLevel="2" x14ac:dyDescent="0.25">
      <c r="B12378" s="704" t="s">
        <v>686</v>
      </c>
      <c r="C12378" s="704" t="s">
        <v>674</v>
      </c>
      <c r="D12378" s="704" t="s">
        <v>675</v>
      </c>
      <c r="E12378" s="704" t="s">
        <v>676</v>
      </c>
      <c r="F12378" s="705">
        <v>3.0830178309566867E-3</v>
      </c>
      <c r="G12378" s="705">
        <v>7.6298037165207291E-2</v>
      </c>
    </row>
    <row r="12379" spans="2:7" ht="11.25" hidden="1" customHeight="1" outlineLevel="2" x14ac:dyDescent="0.25">
      <c r="B12379" s="704" t="s">
        <v>686</v>
      </c>
      <c r="C12379" s="704" t="s">
        <v>862</v>
      </c>
      <c r="D12379" s="704" t="s">
        <v>675</v>
      </c>
      <c r="E12379" s="704" t="s">
        <v>861</v>
      </c>
      <c r="F12379" s="709"/>
      <c r="G12379" s="705">
        <v>226.53770376503471</v>
      </c>
    </row>
    <row r="12380" spans="2:7" ht="11.25" hidden="1" customHeight="1" outlineLevel="2" x14ac:dyDescent="0.25">
      <c r="B12380" s="704" t="s">
        <v>686</v>
      </c>
      <c r="C12380" s="704" t="s">
        <v>863</v>
      </c>
      <c r="D12380" s="704" t="s">
        <v>675</v>
      </c>
      <c r="E12380" s="704" t="s">
        <v>861</v>
      </c>
      <c r="F12380" s="709"/>
      <c r="G12380" s="705">
        <v>0.36927186949696766</v>
      </c>
    </row>
    <row r="12381" spans="2:7" ht="11.25" hidden="1" customHeight="1" outlineLevel="2" x14ac:dyDescent="0.25">
      <c r="B12381" s="704" t="s">
        <v>686</v>
      </c>
      <c r="C12381" s="704" t="s">
        <v>864</v>
      </c>
      <c r="D12381" s="704" t="s">
        <v>675</v>
      </c>
      <c r="E12381" s="704" t="s">
        <v>861</v>
      </c>
      <c r="F12381" s="709"/>
      <c r="G12381" s="705">
        <v>6.0836219398820734</v>
      </c>
    </row>
    <row r="12382" spans="2:7" ht="11.25" hidden="1" customHeight="1" outlineLevel="2" x14ac:dyDescent="0.25">
      <c r="B12382" s="704" t="s">
        <v>686</v>
      </c>
      <c r="C12382" s="704" t="s">
        <v>865</v>
      </c>
      <c r="D12382" s="704" t="s">
        <v>675</v>
      </c>
      <c r="E12382" s="704" t="s">
        <v>861</v>
      </c>
      <c r="F12382" s="709"/>
      <c r="G12382" s="705">
        <v>567.05042575436164</v>
      </c>
    </row>
    <row r="12383" spans="2:7" ht="11.25" hidden="1" customHeight="1" outlineLevel="2" x14ac:dyDescent="0.25">
      <c r="B12383" s="704" t="s">
        <v>686</v>
      </c>
      <c r="C12383" s="704" t="s">
        <v>866</v>
      </c>
      <c r="D12383" s="704" t="s">
        <v>675</v>
      </c>
      <c r="E12383" s="704" t="s">
        <v>861</v>
      </c>
      <c r="F12383" s="709"/>
      <c r="G12383" s="705">
        <v>616.8317315608117</v>
      </c>
    </row>
    <row r="12384" spans="2:7" ht="11.25" hidden="1" customHeight="1" outlineLevel="2" x14ac:dyDescent="0.25">
      <c r="B12384" s="704" t="s">
        <v>686</v>
      </c>
      <c r="C12384" s="704" t="s">
        <v>867</v>
      </c>
      <c r="D12384" s="704" t="s">
        <v>675</v>
      </c>
      <c r="E12384" s="704" t="s">
        <v>861</v>
      </c>
      <c r="F12384" s="709"/>
      <c r="G12384" s="705">
        <v>33.983356105972206</v>
      </c>
    </row>
    <row r="12385" spans="2:7" ht="11.25" hidden="1" customHeight="1" outlineLevel="2" x14ac:dyDescent="0.25">
      <c r="B12385" s="704" t="s">
        <v>686</v>
      </c>
      <c r="C12385" s="704" t="s">
        <v>868</v>
      </c>
      <c r="D12385" s="704" t="s">
        <v>675</v>
      </c>
      <c r="E12385" s="704" t="s">
        <v>861</v>
      </c>
      <c r="F12385" s="709"/>
      <c r="G12385" s="705">
        <v>20.975539936122637</v>
      </c>
    </row>
    <row r="12386" spans="2:7" ht="11.25" hidden="1" customHeight="1" outlineLevel="2" x14ac:dyDescent="0.25">
      <c r="B12386" s="704" t="s">
        <v>686</v>
      </c>
      <c r="C12386" s="704" t="s">
        <v>869</v>
      </c>
      <c r="D12386" s="704" t="s">
        <v>675</v>
      </c>
      <c r="E12386" s="704" t="s">
        <v>861</v>
      </c>
      <c r="F12386" s="709"/>
      <c r="G12386" s="705">
        <v>62.631890164390526</v>
      </c>
    </row>
    <row r="12387" spans="2:7" ht="11.25" hidden="1" customHeight="1" outlineLevel="2" x14ac:dyDescent="0.25">
      <c r="B12387" s="704" t="s">
        <v>686</v>
      </c>
      <c r="C12387" s="704" t="s">
        <v>870</v>
      </c>
      <c r="D12387" s="704" t="s">
        <v>675</v>
      </c>
      <c r="E12387" s="704" t="s">
        <v>861</v>
      </c>
      <c r="F12387" s="709"/>
      <c r="G12387" s="705">
        <v>269.01621623863792</v>
      </c>
    </row>
    <row r="12388" spans="2:7" ht="11.25" hidden="1" customHeight="1" outlineLevel="2" x14ac:dyDescent="0.25">
      <c r="B12388" s="704" t="s">
        <v>686</v>
      </c>
      <c r="C12388" s="704" t="s">
        <v>871</v>
      </c>
      <c r="D12388" s="704" t="s">
        <v>675</v>
      </c>
      <c r="E12388" s="704" t="s">
        <v>861</v>
      </c>
      <c r="F12388" s="709"/>
      <c r="G12388" s="705">
        <v>231.32246617037765</v>
      </c>
    </row>
    <row r="12389" spans="2:7" ht="11.25" hidden="1" customHeight="1" outlineLevel="2" x14ac:dyDescent="0.25">
      <c r="B12389" s="704" t="s">
        <v>686</v>
      </c>
      <c r="C12389" s="704" t="s">
        <v>872</v>
      </c>
      <c r="D12389" s="704" t="s">
        <v>675</v>
      </c>
      <c r="E12389" s="704" t="s">
        <v>861</v>
      </c>
      <c r="F12389" s="709"/>
      <c r="G12389" s="705">
        <v>2298.0382541926901</v>
      </c>
    </row>
    <row r="12390" spans="2:7" ht="11.25" hidden="1" customHeight="1" outlineLevel="2" x14ac:dyDescent="0.25">
      <c r="B12390" s="704" t="s">
        <v>686</v>
      </c>
      <c r="C12390" s="704" t="s">
        <v>873</v>
      </c>
      <c r="D12390" s="704" t="s">
        <v>675</v>
      </c>
      <c r="E12390" s="704" t="s">
        <v>861</v>
      </c>
      <c r="F12390" s="709"/>
      <c r="G12390" s="705">
        <v>19.062123356059161</v>
      </c>
    </row>
    <row r="12391" spans="2:7" ht="11.25" hidden="1" customHeight="1" outlineLevel="2" x14ac:dyDescent="0.25">
      <c r="B12391" s="704" t="s">
        <v>686</v>
      </c>
      <c r="C12391" s="704" t="s">
        <v>874</v>
      </c>
      <c r="D12391" s="704" t="s">
        <v>675</v>
      </c>
      <c r="E12391" s="704" t="s">
        <v>861</v>
      </c>
      <c r="F12391" s="709"/>
      <c r="G12391" s="705">
        <v>9.0039094704240874</v>
      </c>
    </row>
    <row r="12392" spans="2:7" ht="11.25" hidden="1" customHeight="1" outlineLevel="2" x14ac:dyDescent="0.25">
      <c r="B12392" s="704" t="s">
        <v>686</v>
      </c>
      <c r="C12392" s="704" t="s">
        <v>875</v>
      </c>
      <c r="D12392" s="704" t="s">
        <v>675</v>
      </c>
      <c r="E12392" s="704" t="s">
        <v>861</v>
      </c>
      <c r="F12392" s="709"/>
      <c r="G12392" s="705">
        <v>524.85214111391281</v>
      </c>
    </row>
    <row r="12393" spans="2:7" ht="11.25" hidden="1" customHeight="1" outlineLevel="2" x14ac:dyDescent="0.25">
      <c r="B12393" s="704" t="s">
        <v>686</v>
      </c>
      <c r="C12393" s="704" t="s">
        <v>876</v>
      </c>
      <c r="D12393" s="704" t="s">
        <v>675</v>
      </c>
      <c r="E12393" s="704" t="s">
        <v>861</v>
      </c>
      <c r="F12393" s="709"/>
      <c r="G12393" s="705">
        <v>571.73751750604401</v>
      </c>
    </row>
    <row r="12394" spans="2:7" ht="11.25" hidden="1" customHeight="1" outlineLevel="2" x14ac:dyDescent="0.25">
      <c r="B12394" s="704" t="s">
        <v>686</v>
      </c>
      <c r="C12394" s="704" t="s">
        <v>877</v>
      </c>
      <c r="D12394" s="704" t="s">
        <v>675</v>
      </c>
      <c r="E12394" s="704" t="s">
        <v>861</v>
      </c>
      <c r="F12394" s="709"/>
      <c r="G12394" s="705">
        <v>1965.4972484286566</v>
      </c>
    </row>
    <row r="12395" spans="2:7" ht="11.25" hidden="1" customHeight="1" outlineLevel="2" x14ac:dyDescent="0.25">
      <c r="B12395" s="704" t="s">
        <v>686</v>
      </c>
      <c r="C12395" s="704" t="s">
        <v>878</v>
      </c>
      <c r="D12395" s="704" t="s">
        <v>675</v>
      </c>
      <c r="E12395" s="704" t="s">
        <v>861</v>
      </c>
      <c r="F12395" s="709"/>
      <c r="G12395" s="705">
        <v>92.532917147203321</v>
      </c>
    </row>
    <row r="12396" spans="2:7" ht="11.25" hidden="1" customHeight="1" outlineLevel="2" x14ac:dyDescent="0.25">
      <c r="B12396" s="704" t="s">
        <v>686</v>
      </c>
      <c r="C12396" s="704" t="s">
        <v>879</v>
      </c>
      <c r="D12396" s="704" t="s">
        <v>675</v>
      </c>
      <c r="E12396" s="704" t="s">
        <v>861</v>
      </c>
      <c r="F12396" s="709"/>
      <c r="G12396" s="705">
        <v>735.57449620109674</v>
      </c>
    </row>
    <row r="12397" spans="2:7" ht="11.25" hidden="1" customHeight="1" outlineLevel="2" x14ac:dyDescent="0.25">
      <c r="B12397" s="704" t="s">
        <v>686</v>
      </c>
      <c r="C12397" s="704" t="s">
        <v>880</v>
      </c>
      <c r="D12397" s="704" t="s">
        <v>675</v>
      </c>
      <c r="E12397" s="704" t="s">
        <v>861</v>
      </c>
      <c r="F12397" s="709"/>
      <c r="G12397" s="705">
        <v>2501.318714545032</v>
      </c>
    </row>
    <row r="12398" spans="2:7" ht="11.25" hidden="1" customHeight="1" outlineLevel="2" x14ac:dyDescent="0.25">
      <c r="B12398" s="704" t="s">
        <v>686</v>
      </c>
      <c r="C12398" s="704" t="s">
        <v>881</v>
      </c>
      <c r="D12398" s="704" t="s">
        <v>675</v>
      </c>
      <c r="E12398" s="704" t="s">
        <v>861</v>
      </c>
      <c r="F12398" s="709"/>
      <c r="G12398" s="705">
        <v>1516.8980036245698</v>
      </c>
    </row>
    <row r="12399" spans="2:7" ht="11.25" hidden="1" customHeight="1" outlineLevel="2" x14ac:dyDescent="0.25">
      <c r="B12399" s="704" t="s">
        <v>686</v>
      </c>
      <c r="C12399" s="704" t="s">
        <v>882</v>
      </c>
      <c r="D12399" s="704" t="s">
        <v>675</v>
      </c>
      <c r="E12399" s="704" t="s">
        <v>861</v>
      </c>
      <c r="F12399" s="709"/>
      <c r="G12399" s="705">
        <v>2289.1958027329906</v>
      </c>
    </row>
    <row r="12400" spans="2:7" ht="11.25" hidden="1" customHeight="1" outlineLevel="2" x14ac:dyDescent="0.25">
      <c r="B12400" s="704" t="s">
        <v>686</v>
      </c>
      <c r="C12400" s="704" t="s">
        <v>883</v>
      </c>
      <c r="D12400" s="704" t="s">
        <v>675</v>
      </c>
      <c r="E12400" s="704" t="s">
        <v>861</v>
      </c>
      <c r="F12400" s="709"/>
      <c r="G12400" s="705">
        <v>1040.1237123150113</v>
      </c>
    </row>
    <row r="12401" spans="2:7" ht="11.25" hidden="1" customHeight="1" outlineLevel="2" x14ac:dyDescent="0.25">
      <c r="B12401" s="704" t="s">
        <v>686</v>
      </c>
      <c r="C12401" s="704" t="s">
        <v>884</v>
      </c>
      <c r="D12401" s="704" t="s">
        <v>675</v>
      </c>
      <c r="E12401" s="704" t="s">
        <v>861</v>
      </c>
      <c r="F12401" s="709"/>
      <c r="G12401" s="705">
        <v>246.23028477909577</v>
      </c>
    </row>
    <row r="12402" spans="2:7" ht="11.25" hidden="1" customHeight="1" outlineLevel="2" x14ac:dyDescent="0.25">
      <c r="B12402" s="704" t="s">
        <v>686</v>
      </c>
      <c r="C12402" s="704" t="s">
        <v>885</v>
      </c>
      <c r="D12402" s="704" t="s">
        <v>675</v>
      </c>
      <c r="E12402" s="704" t="s">
        <v>861</v>
      </c>
      <c r="F12402" s="709"/>
      <c r="G12402" s="705">
        <v>3.2046997148982777</v>
      </c>
    </row>
    <row r="12403" spans="2:7" ht="11.25" hidden="1" customHeight="1" outlineLevel="2" x14ac:dyDescent="0.25">
      <c r="B12403" s="704" t="s">
        <v>686</v>
      </c>
      <c r="C12403" s="704" t="s">
        <v>886</v>
      </c>
      <c r="D12403" s="704" t="s">
        <v>675</v>
      </c>
      <c r="E12403" s="704" t="s">
        <v>861</v>
      </c>
      <c r="F12403" s="709"/>
      <c r="G12403" s="705">
        <v>235.94708598026583</v>
      </c>
    </row>
    <row r="12404" spans="2:7" ht="11.25" hidden="1" customHeight="1" outlineLevel="2" x14ac:dyDescent="0.25">
      <c r="B12404" s="704" t="s">
        <v>686</v>
      </c>
      <c r="C12404" s="704" t="s">
        <v>725</v>
      </c>
      <c r="D12404" s="704" t="s">
        <v>563</v>
      </c>
      <c r="E12404" s="704" t="s">
        <v>448</v>
      </c>
      <c r="F12404" s="705">
        <v>7.5991805414344333E-5</v>
      </c>
      <c r="G12404" s="705">
        <v>3.4064119873605872E-2</v>
      </c>
    </row>
    <row r="12405" spans="2:7" ht="11.25" hidden="1" customHeight="1" outlineLevel="2" x14ac:dyDescent="0.25">
      <c r="B12405" s="704" t="s">
        <v>686</v>
      </c>
      <c r="C12405" s="704" t="s">
        <v>726</v>
      </c>
      <c r="D12405" s="704" t="s">
        <v>563</v>
      </c>
      <c r="E12405" s="704" t="s">
        <v>448</v>
      </c>
      <c r="F12405" s="705">
        <v>5.9850298343740954E-6</v>
      </c>
      <c r="G12405" s="705">
        <v>2.6828521999823812E-3</v>
      </c>
    </row>
    <row r="12406" spans="2:7" ht="11.25" hidden="1" customHeight="1" outlineLevel="2" x14ac:dyDescent="0.25">
      <c r="B12406" s="704" t="s">
        <v>686</v>
      </c>
      <c r="C12406" s="704" t="s">
        <v>769</v>
      </c>
      <c r="D12406" s="704" t="s">
        <v>563</v>
      </c>
      <c r="E12406" s="704" t="s">
        <v>448</v>
      </c>
      <c r="F12406" s="705">
        <v>3.9099877627100724E-3</v>
      </c>
      <c r="G12406" s="705">
        <v>4.143372622936031</v>
      </c>
    </row>
    <row r="12407" spans="2:7" ht="11.25" hidden="1" customHeight="1" outlineLevel="2" x14ac:dyDescent="0.25">
      <c r="B12407" s="704" t="s">
        <v>686</v>
      </c>
      <c r="C12407" s="704" t="s">
        <v>770</v>
      </c>
      <c r="D12407" s="704" t="s">
        <v>563</v>
      </c>
      <c r="E12407" s="704" t="s">
        <v>448</v>
      </c>
      <c r="F12407" s="705">
        <v>3.5554288136190855E-3</v>
      </c>
      <c r="G12407" s="705">
        <v>12.269647567082133</v>
      </c>
    </row>
    <row r="12408" spans="2:7" ht="11.25" hidden="1" customHeight="1" outlineLevel="2" x14ac:dyDescent="0.25">
      <c r="B12408" s="704" t="s">
        <v>686</v>
      </c>
      <c r="C12408" s="704" t="s">
        <v>771</v>
      </c>
      <c r="D12408" s="704" t="s">
        <v>563</v>
      </c>
      <c r="E12408" s="704" t="s">
        <v>448</v>
      </c>
      <c r="F12408" s="705">
        <v>1.3311976172046759E-3</v>
      </c>
      <c r="G12408" s="705">
        <v>3.0987280323529909</v>
      </c>
    </row>
    <row r="12409" spans="2:7" ht="11.25" hidden="1" customHeight="1" outlineLevel="2" x14ac:dyDescent="0.25">
      <c r="B12409" s="704" t="s">
        <v>686</v>
      </c>
      <c r="C12409" s="704" t="s">
        <v>772</v>
      </c>
      <c r="D12409" s="704" t="s">
        <v>563</v>
      </c>
      <c r="E12409" s="704" t="s">
        <v>448</v>
      </c>
      <c r="F12409" s="705">
        <v>4.4668432620313938E-3</v>
      </c>
      <c r="G12409" s="705">
        <v>5.7758866780994964</v>
      </c>
    </row>
    <row r="12410" spans="2:7" ht="11.25" hidden="1" customHeight="1" outlineLevel="2" x14ac:dyDescent="0.25">
      <c r="B12410" s="704" t="s">
        <v>686</v>
      </c>
      <c r="C12410" s="704" t="s">
        <v>773</v>
      </c>
      <c r="D12410" s="704" t="s">
        <v>563</v>
      </c>
      <c r="E12410" s="704" t="s">
        <v>448</v>
      </c>
      <c r="F12410" s="705">
        <v>2.4981884992341578E-4</v>
      </c>
      <c r="G12410" s="705">
        <v>0.28378500069178342</v>
      </c>
    </row>
    <row r="12411" spans="2:7" ht="11.25" hidden="1" customHeight="1" outlineLevel="2" x14ac:dyDescent="0.25">
      <c r="B12411" s="704" t="s">
        <v>686</v>
      </c>
      <c r="C12411" s="704" t="s">
        <v>774</v>
      </c>
      <c r="D12411" s="704" t="s">
        <v>563</v>
      </c>
      <c r="E12411" s="704" t="s">
        <v>448</v>
      </c>
      <c r="F12411" s="705">
        <v>1.5262594972066825E-4</v>
      </c>
      <c r="G12411" s="705">
        <v>0.20461396624474662</v>
      </c>
    </row>
    <row r="12412" spans="2:7" ht="11.25" hidden="1" customHeight="1" outlineLevel="2" x14ac:dyDescent="0.25">
      <c r="B12412" s="704" t="s">
        <v>686</v>
      </c>
      <c r="C12412" s="704" t="s">
        <v>775</v>
      </c>
      <c r="D12412" s="704" t="s">
        <v>563</v>
      </c>
      <c r="E12412" s="704" t="s">
        <v>448</v>
      </c>
      <c r="F12412" s="705">
        <v>9.824621602482957E-5</v>
      </c>
      <c r="G12412" s="705">
        <v>1.2511181936089173</v>
      </c>
    </row>
    <row r="12413" spans="2:7" ht="11.25" hidden="1" customHeight="1" outlineLevel="2" x14ac:dyDescent="0.25">
      <c r="B12413" s="704" t="s">
        <v>686</v>
      </c>
      <c r="C12413" s="704" t="s">
        <v>839</v>
      </c>
      <c r="D12413" s="704" t="s">
        <v>563</v>
      </c>
      <c r="E12413" s="704" t="s">
        <v>824</v>
      </c>
      <c r="F12413" s="705">
        <v>4.3254081799267013E-3</v>
      </c>
      <c r="G12413" s="705">
        <v>10.496336026259673</v>
      </c>
    </row>
    <row r="12414" spans="2:7" ht="11.25" hidden="1" customHeight="1" outlineLevel="2" x14ac:dyDescent="0.25">
      <c r="B12414" s="704" t="s">
        <v>686</v>
      </c>
      <c r="C12414" s="704" t="s">
        <v>840</v>
      </c>
      <c r="D12414" s="704" t="s">
        <v>563</v>
      </c>
      <c r="E12414" s="704" t="s">
        <v>824</v>
      </c>
      <c r="F12414" s="705">
        <v>0.12605253904340688</v>
      </c>
      <c r="G12414" s="705">
        <v>928.03727143853496</v>
      </c>
    </row>
    <row r="12415" spans="2:7" ht="11.25" hidden="1" customHeight="1" outlineLevel="2" x14ac:dyDescent="0.25">
      <c r="B12415" s="704" t="s">
        <v>686</v>
      </c>
      <c r="C12415" s="704" t="s">
        <v>841</v>
      </c>
      <c r="D12415" s="704" t="s">
        <v>563</v>
      </c>
      <c r="E12415" s="704" t="s">
        <v>824</v>
      </c>
      <c r="F12415" s="705">
        <v>6.1311264292078331E-4</v>
      </c>
      <c r="G12415" s="705">
        <v>7.0159816734079632</v>
      </c>
    </row>
    <row r="12416" spans="2:7" ht="11.25" hidden="1" customHeight="1" outlineLevel="2" x14ac:dyDescent="0.25">
      <c r="B12416" s="704" t="s">
        <v>686</v>
      </c>
      <c r="C12416" s="704" t="s">
        <v>842</v>
      </c>
      <c r="D12416" s="704" t="s">
        <v>563</v>
      </c>
      <c r="E12416" s="704" t="s">
        <v>824</v>
      </c>
      <c r="F12416" s="705">
        <v>2.2217695737063707E-4</v>
      </c>
      <c r="G12416" s="705">
        <v>2.1746295248166079</v>
      </c>
    </row>
    <row r="12417" spans="2:7" ht="11.25" hidden="1" customHeight="1" outlineLevel="2" x14ac:dyDescent="0.25">
      <c r="B12417" s="704" t="s">
        <v>686</v>
      </c>
      <c r="C12417" s="704" t="s">
        <v>843</v>
      </c>
      <c r="D12417" s="704" t="s">
        <v>563</v>
      </c>
      <c r="E12417" s="704" t="s">
        <v>824</v>
      </c>
      <c r="F12417" s="705">
        <v>2.147465100487325E-4</v>
      </c>
      <c r="G12417" s="705">
        <v>0.56109197482939177</v>
      </c>
    </row>
    <row r="12418" spans="2:7" ht="11.25" hidden="1" customHeight="1" outlineLevel="2" x14ac:dyDescent="0.25">
      <c r="B12418" s="704" t="s">
        <v>686</v>
      </c>
      <c r="C12418" s="704" t="s">
        <v>844</v>
      </c>
      <c r="D12418" s="704" t="s">
        <v>563</v>
      </c>
      <c r="E12418" s="704" t="s">
        <v>824</v>
      </c>
      <c r="F12418" s="705">
        <v>2.1475557877762697E-4</v>
      </c>
      <c r="G12418" s="705">
        <v>4.2677682937306862</v>
      </c>
    </row>
    <row r="12419" spans="2:7" ht="11.25" hidden="1" customHeight="1" outlineLevel="2" x14ac:dyDescent="0.25">
      <c r="B12419" s="704" t="s">
        <v>686</v>
      </c>
      <c r="C12419" s="704" t="s">
        <v>700</v>
      </c>
      <c r="D12419" s="704" t="s">
        <v>563</v>
      </c>
      <c r="E12419" s="704" t="s">
        <v>676</v>
      </c>
      <c r="F12419" s="705">
        <v>0.65099898777861498</v>
      </c>
      <c r="G12419" s="705">
        <v>54.785345111895403</v>
      </c>
    </row>
    <row r="12420" spans="2:7" ht="11.25" hidden="1" customHeight="1" outlineLevel="2" x14ac:dyDescent="0.25">
      <c r="B12420" s="704" t="s">
        <v>686</v>
      </c>
      <c r="C12420" s="704" t="s">
        <v>701</v>
      </c>
      <c r="D12420" s="704" t="s">
        <v>563</v>
      </c>
      <c r="E12420" s="704" t="s">
        <v>676</v>
      </c>
      <c r="F12420" s="705">
        <v>7.110573162100941E-4</v>
      </c>
      <c r="G12420" s="705">
        <v>6.2265501264602507E-2</v>
      </c>
    </row>
    <row r="12421" spans="2:7" ht="11.25" hidden="1" customHeight="1" outlineLevel="2" x14ac:dyDescent="0.25">
      <c r="B12421" s="704" t="s">
        <v>686</v>
      </c>
      <c r="C12421" s="704" t="s">
        <v>702</v>
      </c>
      <c r="D12421" s="704" t="s">
        <v>563</v>
      </c>
      <c r="E12421" s="704" t="s">
        <v>676</v>
      </c>
      <c r="F12421" s="705">
        <v>3.3177862541556262E-4</v>
      </c>
      <c r="G12421" s="705">
        <v>3.4003886235259705E-2</v>
      </c>
    </row>
    <row r="12422" spans="2:7" ht="11.25" hidden="1" customHeight="1" outlineLevel="2" x14ac:dyDescent="0.25">
      <c r="B12422" s="704" t="s">
        <v>686</v>
      </c>
      <c r="C12422" s="704" t="s">
        <v>703</v>
      </c>
      <c r="D12422" s="704" t="s">
        <v>563</v>
      </c>
      <c r="E12422" s="704" t="s">
        <v>676</v>
      </c>
      <c r="F12422" s="705">
        <v>1.9614883757351816E-3</v>
      </c>
      <c r="G12422" s="705">
        <v>0.19315559212488764</v>
      </c>
    </row>
    <row r="12423" spans="2:7" ht="11.25" hidden="1" customHeight="1" outlineLevel="2" x14ac:dyDescent="0.25">
      <c r="B12423" s="704" t="s">
        <v>686</v>
      </c>
      <c r="C12423" s="704" t="s">
        <v>704</v>
      </c>
      <c r="D12423" s="704" t="s">
        <v>563</v>
      </c>
      <c r="E12423" s="704" t="s">
        <v>676</v>
      </c>
      <c r="F12423" s="705">
        <v>1.1298534715402395E-3</v>
      </c>
      <c r="G12423" s="705">
        <v>0.25407949195764584</v>
      </c>
    </row>
    <row r="12424" spans="2:7" ht="11.25" hidden="1" customHeight="1" outlineLevel="2" x14ac:dyDescent="0.25">
      <c r="B12424" s="704" t="s">
        <v>686</v>
      </c>
      <c r="C12424" s="704" t="s">
        <v>887</v>
      </c>
      <c r="D12424" s="704" t="s">
        <v>563</v>
      </c>
      <c r="E12424" s="704" t="s">
        <v>861</v>
      </c>
      <c r="F12424" s="709"/>
      <c r="G12424" s="705">
        <v>17.077114647904835</v>
      </c>
    </row>
    <row r="12425" spans="2:7" ht="11.25" hidden="1" customHeight="1" outlineLevel="2" x14ac:dyDescent="0.25">
      <c r="B12425" s="704" t="s">
        <v>686</v>
      </c>
      <c r="C12425" s="704" t="s">
        <v>888</v>
      </c>
      <c r="D12425" s="704" t="s">
        <v>563</v>
      </c>
      <c r="E12425" s="704" t="s">
        <v>861</v>
      </c>
      <c r="F12425" s="709"/>
      <c r="G12425" s="705">
        <v>247.7989172770869</v>
      </c>
    </row>
    <row r="12426" spans="2:7" ht="11.25" hidden="1" customHeight="1" outlineLevel="2" x14ac:dyDescent="0.25">
      <c r="B12426" s="704" t="s">
        <v>686</v>
      </c>
      <c r="C12426" s="704" t="s">
        <v>889</v>
      </c>
      <c r="D12426" s="704" t="s">
        <v>563</v>
      </c>
      <c r="E12426" s="704" t="s">
        <v>861</v>
      </c>
      <c r="F12426" s="709"/>
      <c r="G12426" s="705">
        <v>108.15597380165377</v>
      </c>
    </row>
    <row r="12427" spans="2:7" ht="11.25" hidden="1" customHeight="1" outlineLevel="2" x14ac:dyDescent="0.25">
      <c r="B12427" s="704" t="s">
        <v>686</v>
      </c>
      <c r="C12427" s="704" t="s">
        <v>890</v>
      </c>
      <c r="D12427" s="704" t="s">
        <v>563</v>
      </c>
      <c r="E12427" s="704" t="s">
        <v>861</v>
      </c>
      <c r="F12427" s="709"/>
      <c r="G12427" s="705">
        <v>109.77711108783986</v>
      </c>
    </row>
    <row r="12428" spans="2:7" ht="11.25" hidden="1" customHeight="1" outlineLevel="2" x14ac:dyDescent="0.25">
      <c r="B12428" s="704" t="s">
        <v>686</v>
      </c>
      <c r="C12428" s="704" t="s">
        <v>891</v>
      </c>
      <c r="D12428" s="704" t="s">
        <v>563</v>
      </c>
      <c r="E12428" s="704" t="s">
        <v>861</v>
      </c>
      <c r="F12428" s="709"/>
      <c r="G12428" s="705">
        <v>4.2202248348910976</v>
      </c>
    </row>
    <row r="12429" spans="2:7" ht="11.25" hidden="1" customHeight="1" outlineLevel="2" x14ac:dyDescent="0.25">
      <c r="B12429" s="704" t="s">
        <v>686</v>
      </c>
      <c r="C12429" s="704" t="s">
        <v>892</v>
      </c>
      <c r="D12429" s="704" t="s">
        <v>563</v>
      </c>
      <c r="E12429" s="704" t="s">
        <v>861</v>
      </c>
      <c r="F12429" s="709"/>
      <c r="G12429" s="705">
        <v>561.84073363483833</v>
      </c>
    </row>
    <row r="12430" spans="2:7" ht="11.25" hidden="1" customHeight="1" outlineLevel="2" x14ac:dyDescent="0.25">
      <c r="B12430" s="704" t="s">
        <v>686</v>
      </c>
      <c r="C12430" s="704" t="s">
        <v>893</v>
      </c>
      <c r="D12430" s="704" t="s">
        <v>563</v>
      </c>
      <c r="E12430" s="704" t="s">
        <v>861</v>
      </c>
      <c r="F12430" s="709"/>
      <c r="G12430" s="705">
        <v>156.00837594152705</v>
      </c>
    </row>
    <row r="12431" spans="2:7" ht="11.25" hidden="1" customHeight="1" outlineLevel="2" x14ac:dyDescent="0.25">
      <c r="B12431" s="704" t="s">
        <v>686</v>
      </c>
      <c r="C12431" s="704" t="s">
        <v>727</v>
      </c>
      <c r="D12431" s="704" t="s">
        <v>728</v>
      </c>
      <c r="E12431" s="704" t="s">
        <v>448</v>
      </c>
      <c r="F12431" s="705">
        <v>3.1499634864433552E-3</v>
      </c>
      <c r="G12431" s="705">
        <v>1.7252874328141172</v>
      </c>
    </row>
    <row r="12432" spans="2:7" ht="11.25" hidden="1" customHeight="1" outlineLevel="2" x14ac:dyDescent="0.25">
      <c r="B12432" s="704" t="s">
        <v>686</v>
      </c>
      <c r="C12432" s="704" t="s">
        <v>729</v>
      </c>
      <c r="D12432" s="704" t="s">
        <v>728</v>
      </c>
      <c r="E12432" s="704" t="s">
        <v>448</v>
      </c>
      <c r="F12432" s="705">
        <v>3.9065624016866592E-2</v>
      </c>
      <c r="G12432" s="705">
        <v>21.085133820802639</v>
      </c>
    </row>
    <row r="12433" spans="2:7" ht="11.25" hidden="1" customHeight="1" outlineLevel="2" x14ac:dyDescent="0.25">
      <c r="B12433" s="704" t="s">
        <v>686</v>
      </c>
      <c r="C12433" s="704" t="s">
        <v>730</v>
      </c>
      <c r="D12433" s="704" t="s">
        <v>728</v>
      </c>
      <c r="E12433" s="704" t="s">
        <v>448</v>
      </c>
      <c r="F12433" s="705">
        <v>4.5204497572062102E-2</v>
      </c>
      <c r="G12433" s="705">
        <v>23.568847667500346</v>
      </c>
    </row>
    <row r="12434" spans="2:7" ht="11.25" hidden="1" customHeight="1" outlineLevel="2" x14ac:dyDescent="0.25">
      <c r="B12434" s="704" t="s">
        <v>686</v>
      </c>
      <c r="C12434" s="704" t="s">
        <v>731</v>
      </c>
      <c r="D12434" s="704" t="s">
        <v>728</v>
      </c>
      <c r="E12434" s="704" t="s">
        <v>448</v>
      </c>
      <c r="F12434" s="705">
        <v>0.42798640112190539</v>
      </c>
      <c r="G12434" s="705">
        <v>234.65493805739698</v>
      </c>
    </row>
    <row r="12435" spans="2:7" ht="11.25" hidden="1" customHeight="1" outlineLevel="2" x14ac:dyDescent="0.25">
      <c r="B12435" s="704" t="s">
        <v>686</v>
      </c>
      <c r="C12435" s="704" t="s">
        <v>732</v>
      </c>
      <c r="D12435" s="704" t="s">
        <v>728</v>
      </c>
      <c r="E12435" s="704" t="s">
        <v>448</v>
      </c>
      <c r="F12435" s="705">
        <v>5.5727905760071986E-2</v>
      </c>
      <c r="G12435" s="705">
        <v>32.844324334965805</v>
      </c>
    </row>
    <row r="12436" spans="2:7" ht="11.25" hidden="1" customHeight="1" outlineLevel="2" x14ac:dyDescent="0.25">
      <c r="B12436" s="704" t="s">
        <v>686</v>
      </c>
      <c r="C12436" s="704" t="s">
        <v>733</v>
      </c>
      <c r="D12436" s="704" t="s">
        <v>728</v>
      </c>
      <c r="E12436" s="704" t="s">
        <v>448</v>
      </c>
      <c r="F12436" s="705">
        <v>0.40407305556923873</v>
      </c>
      <c r="G12436" s="705">
        <v>204.61511726444061</v>
      </c>
    </row>
    <row r="12437" spans="2:7" ht="11.25" hidden="1" customHeight="1" outlineLevel="2" x14ac:dyDescent="0.25">
      <c r="B12437" s="704" t="s">
        <v>686</v>
      </c>
      <c r="C12437" s="704" t="s">
        <v>734</v>
      </c>
      <c r="D12437" s="704" t="s">
        <v>728</v>
      </c>
      <c r="E12437" s="704" t="s">
        <v>448</v>
      </c>
      <c r="F12437" s="705">
        <v>3.9280523714084803E-2</v>
      </c>
      <c r="G12437" s="705">
        <v>21.13854605479051</v>
      </c>
    </row>
    <row r="12438" spans="2:7" ht="11.25" hidden="1" customHeight="1" outlineLevel="2" x14ac:dyDescent="0.25">
      <c r="B12438" s="704" t="s">
        <v>686</v>
      </c>
      <c r="C12438" s="704" t="s">
        <v>735</v>
      </c>
      <c r="D12438" s="704" t="s">
        <v>728</v>
      </c>
      <c r="E12438" s="704" t="s">
        <v>448</v>
      </c>
      <c r="F12438" s="705">
        <v>0.35663897917856452</v>
      </c>
      <c r="G12438" s="705">
        <v>191.06180248909658</v>
      </c>
    </row>
    <row r="12439" spans="2:7" ht="11.25" hidden="1" customHeight="1" outlineLevel="2" x14ac:dyDescent="0.25">
      <c r="B12439" s="704" t="s">
        <v>686</v>
      </c>
      <c r="C12439" s="704" t="s">
        <v>736</v>
      </c>
      <c r="D12439" s="704" t="s">
        <v>728</v>
      </c>
      <c r="E12439" s="704" t="s">
        <v>448</v>
      </c>
      <c r="F12439" s="705">
        <v>6.8409625214587377E-2</v>
      </c>
      <c r="G12439" s="705">
        <v>10.060733253109849</v>
      </c>
    </row>
    <row r="12440" spans="2:7" ht="11.25" hidden="1" customHeight="1" outlineLevel="2" x14ac:dyDescent="0.25">
      <c r="B12440" s="704" t="s">
        <v>686</v>
      </c>
      <c r="C12440" s="704" t="s">
        <v>737</v>
      </c>
      <c r="D12440" s="704" t="s">
        <v>728</v>
      </c>
      <c r="E12440" s="704" t="s">
        <v>448</v>
      </c>
      <c r="F12440" s="705">
        <v>0.31456917153550812</v>
      </c>
      <c r="G12440" s="705">
        <v>46.264150599182017</v>
      </c>
    </row>
    <row r="12441" spans="2:7" ht="11.25" hidden="1" customHeight="1" outlineLevel="2" x14ac:dyDescent="0.25">
      <c r="B12441" s="704" t="s">
        <v>686</v>
      </c>
      <c r="C12441" s="704" t="s">
        <v>738</v>
      </c>
      <c r="D12441" s="704" t="s">
        <v>728</v>
      </c>
      <c r="E12441" s="704" t="s">
        <v>448</v>
      </c>
      <c r="F12441" s="705">
        <v>1.7471834919243742E-4</v>
      </c>
      <c r="G12441" s="705">
        <v>8.7331409108793806E-2</v>
      </c>
    </row>
    <row r="12442" spans="2:7" ht="11.25" hidden="1" customHeight="1" outlineLevel="2" x14ac:dyDescent="0.25">
      <c r="B12442" s="704" t="s">
        <v>686</v>
      </c>
      <c r="C12442" s="704" t="s">
        <v>776</v>
      </c>
      <c r="D12442" s="704" t="s">
        <v>728</v>
      </c>
      <c r="E12442" s="704" t="s">
        <v>448</v>
      </c>
      <c r="F12442" s="705">
        <v>0.47626977056805614</v>
      </c>
      <c r="G12442" s="705">
        <v>294.44627041435342</v>
      </c>
    </row>
    <row r="12443" spans="2:7" ht="11.25" hidden="1" customHeight="1" outlineLevel="2" x14ac:dyDescent="0.25">
      <c r="B12443" s="704" t="s">
        <v>686</v>
      </c>
      <c r="C12443" s="704" t="s">
        <v>777</v>
      </c>
      <c r="D12443" s="704" t="s">
        <v>728</v>
      </c>
      <c r="E12443" s="704" t="s">
        <v>448</v>
      </c>
      <c r="F12443" s="705">
        <v>0.50220790528260972</v>
      </c>
      <c r="G12443" s="705">
        <v>596.45022914984884</v>
      </c>
    </row>
    <row r="12444" spans="2:7" ht="11.25" hidden="1" customHeight="1" outlineLevel="2" x14ac:dyDescent="0.25">
      <c r="B12444" s="704" t="s">
        <v>686</v>
      </c>
      <c r="C12444" s="704" t="s">
        <v>778</v>
      </c>
      <c r="D12444" s="704" t="s">
        <v>728</v>
      </c>
      <c r="E12444" s="704" t="s">
        <v>448</v>
      </c>
      <c r="F12444" s="705">
        <v>4.0261590493761511E-2</v>
      </c>
      <c r="G12444" s="705">
        <v>24.689717185154581</v>
      </c>
    </row>
    <row r="12445" spans="2:7" ht="11.25" hidden="1" customHeight="1" outlineLevel="2" x14ac:dyDescent="0.25">
      <c r="B12445" s="704" t="s">
        <v>686</v>
      </c>
      <c r="C12445" s="704" t="s">
        <v>779</v>
      </c>
      <c r="D12445" s="704" t="s">
        <v>728</v>
      </c>
      <c r="E12445" s="704" t="s">
        <v>448</v>
      </c>
      <c r="F12445" s="705">
        <v>0.40707215265289987</v>
      </c>
      <c r="G12445" s="705">
        <v>303.59851290387462</v>
      </c>
    </row>
    <row r="12446" spans="2:7" ht="11.25" hidden="1" customHeight="1" outlineLevel="2" x14ac:dyDescent="0.25">
      <c r="B12446" s="704" t="s">
        <v>686</v>
      </c>
      <c r="C12446" s="704" t="s">
        <v>780</v>
      </c>
      <c r="D12446" s="704" t="s">
        <v>728</v>
      </c>
      <c r="E12446" s="704" t="s">
        <v>448</v>
      </c>
      <c r="F12446" s="705">
        <v>2.1822313280790984E-3</v>
      </c>
      <c r="G12446" s="705">
        <v>1.6391783187954665</v>
      </c>
    </row>
    <row r="12447" spans="2:7" ht="11.25" hidden="1" customHeight="1" outlineLevel="2" x14ac:dyDescent="0.25">
      <c r="B12447" s="704" t="s">
        <v>686</v>
      </c>
      <c r="C12447" s="704" t="s">
        <v>781</v>
      </c>
      <c r="D12447" s="704" t="s">
        <v>728</v>
      </c>
      <c r="E12447" s="704" t="s">
        <v>448</v>
      </c>
      <c r="F12447" s="705">
        <v>1.1160194965785405E-2</v>
      </c>
      <c r="G12447" s="705">
        <v>13.816686375781579</v>
      </c>
    </row>
    <row r="12448" spans="2:7" ht="11.25" hidden="1" customHeight="1" outlineLevel="2" x14ac:dyDescent="0.25">
      <c r="B12448" s="704" t="s">
        <v>686</v>
      </c>
      <c r="C12448" s="704" t="s">
        <v>782</v>
      </c>
      <c r="D12448" s="704" t="s">
        <v>728</v>
      </c>
      <c r="E12448" s="704" t="s">
        <v>448</v>
      </c>
      <c r="F12448" s="705">
        <v>4.1533536899511217E-3</v>
      </c>
      <c r="G12448" s="705">
        <v>3.127259386108395</v>
      </c>
    </row>
    <row r="12449" spans="2:7" ht="11.25" hidden="1" customHeight="1" outlineLevel="2" x14ac:dyDescent="0.25">
      <c r="B12449" s="704" t="s">
        <v>686</v>
      </c>
      <c r="C12449" s="704" t="s">
        <v>783</v>
      </c>
      <c r="D12449" s="704" t="s">
        <v>728</v>
      </c>
      <c r="E12449" s="704" t="s">
        <v>448</v>
      </c>
      <c r="F12449" s="705">
        <v>0.36636593179894078</v>
      </c>
      <c r="G12449" s="705">
        <v>570.00982972123791</v>
      </c>
    </row>
    <row r="12450" spans="2:7" ht="11.25" hidden="1" customHeight="1" outlineLevel="2" x14ac:dyDescent="0.25">
      <c r="B12450" s="704" t="s">
        <v>686</v>
      </c>
      <c r="C12450" s="704" t="s">
        <v>784</v>
      </c>
      <c r="D12450" s="704" t="s">
        <v>728</v>
      </c>
      <c r="E12450" s="704" t="s">
        <v>448</v>
      </c>
      <c r="F12450" s="705">
        <v>6.0479441619014168E-2</v>
      </c>
      <c r="G12450" s="705">
        <v>32.504665878505016</v>
      </c>
    </row>
    <row r="12451" spans="2:7" ht="11.25" hidden="1" customHeight="1" outlineLevel="2" x14ac:dyDescent="0.25">
      <c r="B12451" s="704" t="s">
        <v>686</v>
      </c>
      <c r="C12451" s="704" t="s">
        <v>785</v>
      </c>
      <c r="D12451" s="704" t="s">
        <v>728</v>
      </c>
      <c r="E12451" s="704" t="s">
        <v>448</v>
      </c>
      <c r="F12451" s="705">
        <v>0.27808848736790559</v>
      </c>
      <c r="G12451" s="705">
        <v>149.47205772964566</v>
      </c>
    </row>
    <row r="12452" spans="2:7" ht="11.25" hidden="1" customHeight="1" outlineLevel="2" x14ac:dyDescent="0.25">
      <c r="B12452" s="704" t="s">
        <v>686</v>
      </c>
      <c r="C12452" s="704" t="s">
        <v>786</v>
      </c>
      <c r="D12452" s="704" t="s">
        <v>728</v>
      </c>
      <c r="E12452" s="704" t="s">
        <v>448</v>
      </c>
      <c r="F12452" s="705">
        <v>4.6847838437631295E-2</v>
      </c>
      <c r="G12452" s="705">
        <v>59.079533733075046</v>
      </c>
    </row>
    <row r="12453" spans="2:7" ht="11.25" hidden="1" customHeight="1" outlineLevel="2" x14ac:dyDescent="0.25">
      <c r="B12453" s="704" t="s">
        <v>686</v>
      </c>
      <c r="C12453" s="704" t="s">
        <v>787</v>
      </c>
      <c r="D12453" s="704" t="s">
        <v>728</v>
      </c>
      <c r="E12453" s="704" t="s">
        <v>448</v>
      </c>
      <c r="F12453" s="705">
        <v>4.6795073879666998E-2</v>
      </c>
      <c r="G12453" s="705">
        <v>65.854844090840189</v>
      </c>
    </row>
    <row r="12454" spans="2:7" ht="11.25" hidden="1" customHeight="1" outlineLevel="2" x14ac:dyDescent="0.25">
      <c r="B12454" s="704" t="s">
        <v>686</v>
      </c>
      <c r="C12454" s="704" t="s">
        <v>788</v>
      </c>
      <c r="D12454" s="704" t="s">
        <v>728</v>
      </c>
      <c r="E12454" s="704" t="s">
        <v>448</v>
      </c>
      <c r="F12454" s="705">
        <v>6.5955597108701317E-2</v>
      </c>
      <c r="G12454" s="705">
        <v>74.956371908910569</v>
      </c>
    </row>
    <row r="12455" spans="2:7" ht="11.25" hidden="1" customHeight="1" outlineLevel="2" x14ac:dyDescent="0.25">
      <c r="B12455" s="704" t="s">
        <v>686</v>
      </c>
      <c r="C12455" s="704" t="s">
        <v>789</v>
      </c>
      <c r="D12455" s="704" t="s">
        <v>728</v>
      </c>
      <c r="E12455" s="704" t="s">
        <v>448</v>
      </c>
      <c r="F12455" s="705">
        <v>5.0830057737976247E-2</v>
      </c>
      <c r="G12455" s="705">
        <v>34.904591492195131</v>
      </c>
    </row>
    <row r="12456" spans="2:7" ht="11.25" hidden="1" customHeight="1" outlineLevel="2" x14ac:dyDescent="0.25">
      <c r="B12456" s="704" t="s">
        <v>686</v>
      </c>
      <c r="C12456" s="704" t="s">
        <v>790</v>
      </c>
      <c r="D12456" s="704" t="s">
        <v>728</v>
      </c>
      <c r="E12456" s="704" t="s">
        <v>448</v>
      </c>
      <c r="F12456" s="705">
        <v>0.62644835476493144</v>
      </c>
      <c r="G12456" s="705">
        <v>791.92024624533917</v>
      </c>
    </row>
    <row r="12457" spans="2:7" ht="11.25" hidden="1" customHeight="1" outlineLevel="2" x14ac:dyDescent="0.25">
      <c r="B12457" s="704" t="s">
        <v>686</v>
      </c>
      <c r="C12457" s="704" t="s">
        <v>791</v>
      </c>
      <c r="D12457" s="704" t="s">
        <v>728</v>
      </c>
      <c r="E12457" s="704" t="s">
        <v>448</v>
      </c>
      <c r="F12457" s="705">
        <v>0.63583311339246396</v>
      </c>
      <c r="G12457" s="705">
        <v>894.99592647328836</v>
      </c>
    </row>
    <row r="12458" spans="2:7" ht="11.25" hidden="1" customHeight="1" outlineLevel="2" x14ac:dyDescent="0.25">
      <c r="B12458" s="704" t="s">
        <v>686</v>
      </c>
      <c r="C12458" s="704" t="s">
        <v>792</v>
      </c>
      <c r="D12458" s="704" t="s">
        <v>728</v>
      </c>
      <c r="E12458" s="704" t="s">
        <v>448</v>
      </c>
      <c r="F12458" s="705">
        <v>7.1580345296223938E-2</v>
      </c>
      <c r="G12458" s="705">
        <v>149.84093283548589</v>
      </c>
    </row>
    <row r="12459" spans="2:7" ht="11.25" hidden="1" customHeight="1" outlineLevel="2" x14ac:dyDescent="0.25">
      <c r="B12459" s="704" t="s">
        <v>686</v>
      </c>
      <c r="C12459" s="704" t="s">
        <v>793</v>
      </c>
      <c r="D12459" s="704" t="s">
        <v>728</v>
      </c>
      <c r="E12459" s="704" t="s">
        <v>448</v>
      </c>
      <c r="F12459" s="705">
        <v>1.9912658343330922</v>
      </c>
      <c r="G12459" s="705">
        <v>2887.3139194418413</v>
      </c>
    </row>
    <row r="12460" spans="2:7" ht="11.25" hidden="1" customHeight="1" outlineLevel="2" x14ac:dyDescent="0.25">
      <c r="B12460" s="704" t="s">
        <v>686</v>
      </c>
      <c r="C12460" s="704" t="s">
        <v>794</v>
      </c>
      <c r="D12460" s="704" t="s">
        <v>728</v>
      </c>
      <c r="E12460" s="704" t="s">
        <v>448</v>
      </c>
      <c r="F12460" s="705">
        <v>3.6027682897020401E-2</v>
      </c>
      <c r="G12460" s="705">
        <v>28.050810472310857</v>
      </c>
    </row>
    <row r="12461" spans="2:7" ht="11.25" hidden="1" customHeight="1" outlineLevel="2" x14ac:dyDescent="0.25">
      <c r="B12461" s="704" t="s">
        <v>686</v>
      </c>
      <c r="C12461" s="704" t="s">
        <v>795</v>
      </c>
      <c r="D12461" s="704" t="s">
        <v>728</v>
      </c>
      <c r="E12461" s="704" t="s">
        <v>448</v>
      </c>
      <c r="F12461" s="705">
        <v>0.11339734447697494</v>
      </c>
      <c r="G12461" s="705">
        <v>88.466132832786045</v>
      </c>
    </row>
    <row r="12462" spans="2:7" ht="11.25" hidden="1" customHeight="1" outlineLevel="2" x14ac:dyDescent="0.25">
      <c r="B12462" s="704" t="s">
        <v>686</v>
      </c>
      <c r="C12462" s="704" t="s">
        <v>845</v>
      </c>
      <c r="D12462" s="704" t="s">
        <v>728</v>
      </c>
      <c r="E12462" s="704" t="s">
        <v>824</v>
      </c>
      <c r="F12462" s="705">
        <v>5.5722816769299107E-3</v>
      </c>
      <c r="G12462" s="705">
        <v>49.707055612193848</v>
      </c>
    </row>
    <row r="12463" spans="2:7" ht="11.25" hidden="1" customHeight="1" outlineLevel="2" x14ac:dyDescent="0.25">
      <c r="B12463" s="704" t="s">
        <v>686</v>
      </c>
      <c r="C12463" s="704" t="s">
        <v>894</v>
      </c>
      <c r="D12463" s="704" t="s">
        <v>728</v>
      </c>
      <c r="E12463" s="704" t="s">
        <v>861</v>
      </c>
      <c r="F12463" s="709"/>
      <c r="G12463" s="705">
        <v>7.7268149244829012E-2</v>
      </c>
    </row>
    <row r="12464" spans="2:7" ht="11.25" hidden="1" customHeight="1" outlineLevel="2" x14ac:dyDescent="0.25">
      <c r="B12464" s="704" t="s">
        <v>686</v>
      </c>
      <c r="C12464" s="704" t="s">
        <v>895</v>
      </c>
      <c r="D12464" s="704" t="s">
        <v>728</v>
      </c>
      <c r="E12464" s="704" t="s">
        <v>861</v>
      </c>
      <c r="F12464" s="709"/>
      <c r="G12464" s="705">
        <v>15.647293957154277</v>
      </c>
    </row>
    <row r="12465" spans="2:7" ht="11.25" hidden="1" customHeight="1" outlineLevel="2" x14ac:dyDescent="0.25">
      <c r="B12465" s="704" t="s">
        <v>686</v>
      </c>
      <c r="C12465" s="704" t="s">
        <v>896</v>
      </c>
      <c r="D12465" s="704" t="s">
        <v>728</v>
      </c>
      <c r="E12465" s="704" t="s">
        <v>861</v>
      </c>
      <c r="F12465" s="709"/>
      <c r="G12465" s="705">
        <v>540.32149599598881</v>
      </c>
    </row>
    <row r="12466" spans="2:7" ht="11.25" hidden="1" customHeight="1" outlineLevel="2" x14ac:dyDescent="0.25">
      <c r="B12466" s="704" t="s">
        <v>686</v>
      </c>
      <c r="C12466" s="704" t="s">
        <v>897</v>
      </c>
      <c r="D12466" s="704" t="s">
        <v>728</v>
      </c>
      <c r="E12466" s="704" t="s">
        <v>861</v>
      </c>
      <c r="F12466" s="709"/>
      <c r="G12466" s="705">
        <v>111.50406737889084</v>
      </c>
    </row>
    <row r="12467" spans="2:7" ht="11.25" hidden="1" customHeight="1" outlineLevel="2" x14ac:dyDescent="0.25">
      <c r="B12467" s="704" t="s">
        <v>686</v>
      </c>
      <c r="C12467" s="704" t="s">
        <v>898</v>
      </c>
      <c r="D12467" s="704" t="s">
        <v>728</v>
      </c>
      <c r="E12467" s="704" t="s">
        <v>861</v>
      </c>
      <c r="F12467" s="709"/>
      <c r="G12467" s="705">
        <v>735.63337552939686</v>
      </c>
    </row>
    <row r="12468" spans="2:7" ht="11.25" hidden="1" customHeight="1" outlineLevel="2" x14ac:dyDescent="0.25">
      <c r="B12468" s="704" t="s">
        <v>686</v>
      </c>
      <c r="C12468" s="704" t="s">
        <v>899</v>
      </c>
      <c r="D12468" s="704" t="s">
        <v>728</v>
      </c>
      <c r="E12468" s="704" t="s">
        <v>861</v>
      </c>
      <c r="F12468" s="709"/>
      <c r="G12468" s="705">
        <v>86.737528034707111</v>
      </c>
    </row>
    <row r="12469" spans="2:7" ht="11.25" hidden="1" customHeight="1" outlineLevel="2" x14ac:dyDescent="0.25">
      <c r="B12469" s="704" t="s">
        <v>686</v>
      </c>
      <c r="C12469" s="704" t="s">
        <v>900</v>
      </c>
      <c r="D12469" s="704" t="s">
        <v>728</v>
      </c>
      <c r="E12469" s="704" t="s">
        <v>861</v>
      </c>
      <c r="F12469" s="709"/>
      <c r="G12469" s="705">
        <v>2.0661424734008036</v>
      </c>
    </row>
    <row r="12470" spans="2:7" ht="11.25" hidden="1" customHeight="1" outlineLevel="2" x14ac:dyDescent="0.25">
      <c r="B12470" s="704" t="s">
        <v>686</v>
      </c>
      <c r="C12470" s="704" t="s">
        <v>744</v>
      </c>
      <c r="D12470" s="704" t="s">
        <v>745</v>
      </c>
      <c r="E12470" s="704" t="s">
        <v>448</v>
      </c>
      <c r="F12470" s="705">
        <v>8.1448494848124386E-2</v>
      </c>
      <c r="G12470" s="705">
        <v>47.0974543975289</v>
      </c>
    </row>
    <row r="12471" spans="2:7" ht="11.25" hidden="1" customHeight="1" outlineLevel="2" x14ac:dyDescent="0.25">
      <c r="B12471" s="704" t="s">
        <v>686</v>
      </c>
      <c r="C12471" s="704" t="s">
        <v>812</v>
      </c>
      <c r="D12471" s="704" t="s">
        <v>745</v>
      </c>
      <c r="E12471" s="704" t="s">
        <v>448</v>
      </c>
      <c r="F12471" s="705">
        <v>9.6239845148255843E-2</v>
      </c>
      <c r="G12471" s="705">
        <v>106.04759075359736</v>
      </c>
    </row>
    <row r="12472" spans="2:7" ht="11.25" hidden="1" customHeight="1" outlineLevel="2" x14ac:dyDescent="0.25">
      <c r="B12472" s="704" t="s">
        <v>686</v>
      </c>
      <c r="C12472" s="704" t="s">
        <v>813</v>
      </c>
      <c r="D12472" s="704" t="s">
        <v>745</v>
      </c>
      <c r="E12472" s="704" t="s">
        <v>448</v>
      </c>
      <c r="F12472" s="705">
        <v>9.8725345452104906E-4</v>
      </c>
      <c r="G12472" s="705">
        <v>1.2458187384261799</v>
      </c>
    </row>
    <row r="12473" spans="2:7" ht="11.25" hidden="1" customHeight="1" outlineLevel="2" x14ac:dyDescent="0.25">
      <c r="B12473" s="704" t="s">
        <v>686</v>
      </c>
      <c r="C12473" s="704" t="s">
        <v>917</v>
      </c>
      <c r="D12473" s="704" t="s">
        <v>745</v>
      </c>
      <c r="E12473" s="704" t="s">
        <v>861</v>
      </c>
      <c r="F12473" s="709"/>
      <c r="G12473" s="705">
        <v>1411.2711801671114</v>
      </c>
    </row>
    <row r="12474" spans="2:7" ht="11.25" hidden="1" customHeight="1" outlineLevel="2" x14ac:dyDescent="0.25">
      <c r="B12474" s="704" t="s">
        <v>686</v>
      </c>
      <c r="C12474" s="704" t="s">
        <v>816</v>
      </c>
      <c r="D12474" s="704" t="s">
        <v>712</v>
      </c>
      <c r="E12474" s="704" t="s">
        <v>448</v>
      </c>
      <c r="F12474" s="705">
        <v>6.406622441749647E-37</v>
      </c>
      <c r="G12474" s="705">
        <v>7.6822854802757556E-34</v>
      </c>
    </row>
    <row r="12475" spans="2:7" ht="11.25" hidden="1" customHeight="1" outlineLevel="2" x14ac:dyDescent="0.25">
      <c r="B12475" s="704" t="s">
        <v>686</v>
      </c>
      <c r="C12475" s="704" t="s">
        <v>711</v>
      </c>
      <c r="D12475" s="704" t="s">
        <v>712</v>
      </c>
      <c r="E12475" s="704" t="s">
        <v>676</v>
      </c>
      <c r="F12475" s="705">
        <v>3.136151520901011E-33</v>
      </c>
      <c r="G12475" s="705">
        <v>7.3601632656396319E-31</v>
      </c>
    </row>
    <row r="12476" spans="2:7" ht="11.25" hidden="1" customHeight="1" outlineLevel="2" x14ac:dyDescent="0.25">
      <c r="B12476" s="704" t="s">
        <v>686</v>
      </c>
      <c r="C12476" s="704" t="s">
        <v>921</v>
      </c>
      <c r="D12476" s="704" t="s">
        <v>712</v>
      </c>
      <c r="E12476" s="704" t="s">
        <v>861</v>
      </c>
      <c r="F12476" s="709"/>
      <c r="G12476" s="705">
        <v>7.9720101268876722E-32</v>
      </c>
    </row>
    <row r="12477" spans="2:7" ht="11.25" hidden="1" customHeight="1" outlineLevel="2" x14ac:dyDescent="0.25">
      <c r="B12477" s="704" t="s">
        <v>686</v>
      </c>
      <c r="C12477" s="704" t="s">
        <v>817</v>
      </c>
      <c r="D12477" s="704" t="s">
        <v>818</v>
      </c>
      <c r="E12477" s="704" t="s">
        <v>448</v>
      </c>
      <c r="F12477" s="705">
        <v>1.5384917242285603</v>
      </c>
      <c r="G12477" s="705">
        <v>1264.221425508676</v>
      </c>
    </row>
    <row r="12478" spans="2:7" ht="11.25" hidden="1" customHeight="1" outlineLevel="2" x14ac:dyDescent="0.25">
      <c r="B12478" s="704" t="s">
        <v>686</v>
      </c>
      <c r="C12478" s="704" t="s">
        <v>819</v>
      </c>
      <c r="D12478" s="704" t="s">
        <v>818</v>
      </c>
      <c r="E12478" s="704" t="s">
        <v>448</v>
      </c>
      <c r="F12478" s="705">
        <v>0.66993133104476443</v>
      </c>
      <c r="G12478" s="705">
        <v>533.49793345347916</v>
      </c>
    </row>
    <row r="12479" spans="2:7" ht="11.25" hidden="1" customHeight="1" outlineLevel="2" x14ac:dyDescent="0.25">
      <c r="B12479" s="704" t="s">
        <v>686</v>
      </c>
      <c r="C12479" s="704" t="s">
        <v>820</v>
      </c>
      <c r="D12479" s="704" t="s">
        <v>818</v>
      </c>
      <c r="E12479" s="704" t="s">
        <v>448</v>
      </c>
      <c r="F12479" s="705">
        <v>0.25612021791110795</v>
      </c>
      <c r="G12479" s="705">
        <v>398.21466700189478</v>
      </c>
    </row>
    <row r="12480" spans="2:7" ht="11.25" hidden="1" customHeight="1" outlineLevel="2" x14ac:dyDescent="0.25">
      <c r="B12480" s="704" t="s">
        <v>686</v>
      </c>
      <c r="C12480" s="704" t="s">
        <v>857</v>
      </c>
      <c r="D12480" s="704" t="s">
        <v>818</v>
      </c>
      <c r="E12480" s="704" t="s">
        <v>664</v>
      </c>
      <c r="F12480" s="709"/>
      <c r="G12480" s="705">
        <v>354.55638444842185</v>
      </c>
    </row>
    <row r="12481" spans="2:7" ht="11.25" hidden="1" customHeight="1" outlineLevel="2" x14ac:dyDescent="0.25">
      <c r="B12481" s="704" t="s">
        <v>686</v>
      </c>
      <c r="C12481" s="704" t="s">
        <v>858</v>
      </c>
      <c r="D12481" s="704" t="s">
        <v>818</v>
      </c>
      <c r="E12481" s="704" t="s">
        <v>664</v>
      </c>
      <c r="F12481" s="709"/>
      <c r="G12481" s="705">
        <v>2.9606800407310416</v>
      </c>
    </row>
    <row r="12482" spans="2:7" ht="11.25" hidden="1" customHeight="1" outlineLevel="2" x14ac:dyDescent="0.25">
      <c r="B12482" s="704" t="s">
        <v>686</v>
      </c>
      <c r="C12482" s="704" t="s">
        <v>922</v>
      </c>
      <c r="D12482" s="704" t="s">
        <v>822</v>
      </c>
      <c r="E12482" s="704" t="s">
        <v>861</v>
      </c>
      <c r="F12482" s="709"/>
      <c r="G12482" s="705">
        <v>19.584352636609502</v>
      </c>
    </row>
    <row r="12483" spans="2:7" ht="11.25" hidden="1" customHeight="1" outlineLevel="2" x14ac:dyDescent="0.25">
      <c r="B12483" s="704" t="s">
        <v>686</v>
      </c>
      <c r="C12483" s="704" t="s">
        <v>821</v>
      </c>
      <c r="D12483" s="704" t="s">
        <v>822</v>
      </c>
      <c r="E12483" s="704" t="s">
        <v>448</v>
      </c>
      <c r="F12483" s="705">
        <v>6.2397171240423572E-4</v>
      </c>
      <c r="G12483" s="705">
        <v>0.83877504476520182</v>
      </c>
    </row>
    <row r="12484" spans="2:7" ht="11.25" hidden="1" customHeight="1" outlineLevel="2" x14ac:dyDescent="0.25">
      <c r="B12484" s="704" t="s">
        <v>686</v>
      </c>
      <c r="C12484" s="704" t="s">
        <v>855</v>
      </c>
      <c r="D12484" s="704" t="s">
        <v>822</v>
      </c>
      <c r="E12484" s="704" t="s">
        <v>824</v>
      </c>
      <c r="F12484" s="705">
        <v>9.8612117992862046E-6</v>
      </c>
      <c r="G12484" s="705">
        <v>2.8544329065728707E-2</v>
      </c>
    </row>
    <row r="12485" spans="2:7" ht="11.25" hidden="1" customHeight="1" outlineLevel="2" x14ac:dyDescent="0.25">
      <c r="B12485" s="704" t="s">
        <v>686</v>
      </c>
      <c r="C12485" s="704" t="s">
        <v>714</v>
      </c>
      <c r="D12485" s="704" t="s">
        <v>715</v>
      </c>
      <c r="E12485" s="704" t="s">
        <v>448</v>
      </c>
      <c r="F12485" s="705">
        <v>1.411431061829955</v>
      </c>
      <c r="G12485" s="705">
        <v>357.83638726176002</v>
      </c>
    </row>
    <row r="12486" spans="2:7" ht="11.25" hidden="1" customHeight="1" outlineLevel="2" x14ac:dyDescent="0.25">
      <c r="B12486" s="704" t="s">
        <v>686</v>
      </c>
      <c r="C12486" s="704" t="s">
        <v>716</v>
      </c>
      <c r="D12486" s="704" t="s">
        <v>715</v>
      </c>
      <c r="E12486" s="704" t="s">
        <v>448</v>
      </c>
      <c r="F12486" s="705">
        <v>0.71736616966103828</v>
      </c>
      <c r="G12486" s="705">
        <v>873.90651490484379</v>
      </c>
    </row>
    <row r="12487" spans="2:7" ht="11.25" hidden="1" customHeight="1" outlineLevel="2" x14ac:dyDescent="0.25">
      <c r="B12487" s="704" t="s">
        <v>686</v>
      </c>
      <c r="C12487" s="704" t="s">
        <v>717</v>
      </c>
      <c r="D12487" s="704" t="s">
        <v>715</v>
      </c>
      <c r="E12487" s="704" t="s">
        <v>448</v>
      </c>
      <c r="F12487" s="705">
        <v>1.5118312018812359</v>
      </c>
      <c r="G12487" s="705">
        <v>413.18481786908904</v>
      </c>
    </row>
    <row r="12488" spans="2:7" ht="11.25" hidden="1" customHeight="1" outlineLevel="2" x14ac:dyDescent="0.25">
      <c r="B12488" s="704" t="s">
        <v>686</v>
      </c>
      <c r="C12488" s="704" t="s">
        <v>718</v>
      </c>
      <c r="D12488" s="704" t="s">
        <v>715</v>
      </c>
      <c r="E12488" s="704" t="s">
        <v>448</v>
      </c>
      <c r="F12488" s="705">
        <v>9.6810498399260481E-2</v>
      </c>
      <c r="G12488" s="705">
        <v>106.22956157076491</v>
      </c>
    </row>
    <row r="12489" spans="2:7" ht="11.25" hidden="1" customHeight="1" outlineLevel="2" x14ac:dyDescent="0.25">
      <c r="B12489" s="704" t="s">
        <v>686</v>
      </c>
      <c r="C12489" s="704" t="s">
        <v>746</v>
      </c>
      <c r="D12489" s="704" t="s">
        <v>715</v>
      </c>
      <c r="E12489" s="704" t="s">
        <v>448</v>
      </c>
      <c r="F12489" s="705">
        <v>0.24980878770086723</v>
      </c>
      <c r="G12489" s="705">
        <v>172.91043026300696</v>
      </c>
    </row>
    <row r="12490" spans="2:7" ht="11.25" hidden="1" customHeight="1" outlineLevel="2" x14ac:dyDescent="0.25">
      <c r="B12490" s="704" t="s">
        <v>686</v>
      </c>
      <c r="C12490" s="704" t="s">
        <v>747</v>
      </c>
      <c r="D12490" s="704" t="s">
        <v>715</v>
      </c>
      <c r="E12490" s="704" t="s">
        <v>448</v>
      </c>
      <c r="F12490" s="705">
        <v>2.1628506190706775</v>
      </c>
      <c r="G12490" s="705">
        <v>1843.0009775508097</v>
      </c>
    </row>
    <row r="12491" spans="2:7" ht="11.25" hidden="1" customHeight="1" outlineLevel="2" x14ac:dyDescent="0.25">
      <c r="B12491" s="704" t="s">
        <v>686</v>
      </c>
      <c r="C12491" s="704" t="s">
        <v>748</v>
      </c>
      <c r="D12491" s="704" t="s">
        <v>715</v>
      </c>
      <c r="E12491" s="704" t="s">
        <v>448</v>
      </c>
      <c r="F12491" s="705">
        <v>6.678011246689064E-2</v>
      </c>
      <c r="G12491" s="705">
        <v>86.330920114526606</v>
      </c>
    </row>
    <row r="12492" spans="2:7" ht="11.25" hidden="1" customHeight="1" outlineLevel="2" x14ac:dyDescent="0.25">
      <c r="B12492" s="704" t="s">
        <v>686</v>
      </c>
      <c r="C12492" s="704" t="s">
        <v>749</v>
      </c>
      <c r="D12492" s="704" t="s">
        <v>715</v>
      </c>
      <c r="E12492" s="704" t="s">
        <v>448</v>
      </c>
      <c r="F12492" s="705">
        <v>0.1320244259675516</v>
      </c>
      <c r="G12492" s="705">
        <v>103.65559872668655</v>
      </c>
    </row>
    <row r="12493" spans="2:7" ht="11.25" hidden="1" customHeight="1" outlineLevel="2" x14ac:dyDescent="0.25">
      <c r="B12493" s="704" t="s">
        <v>686</v>
      </c>
      <c r="C12493" s="704" t="s">
        <v>823</v>
      </c>
      <c r="D12493" s="704" t="s">
        <v>715</v>
      </c>
      <c r="E12493" s="704" t="s">
        <v>824</v>
      </c>
      <c r="F12493" s="705">
        <v>4.2912131950305875E-3</v>
      </c>
      <c r="G12493" s="705">
        <v>7.1692385698538557</v>
      </c>
    </row>
    <row r="12494" spans="2:7" ht="11.25" hidden="1" customHeight="1" outlineLevel="2" x14ac:dyDescent="0.25">
      <c r="B12494" s="704" t="s">
        <v>686</v>
      </c>
      <c r="C12494" s="704" t="s">
        <v>860</v>
      </c>
      <c r="D12494" s="704" t="s">
        <v>715</v>
      </c>
      <c r="E12494" s="704" t="s">
        <v>861</v>
      </c>
      <c r="F12494" s="709"/>
      <c r="G12494" s="705">
        <v>142.09373670000505</v>
      </c>
    </row>
    <row r="12495" spans="2:7" ht="11.25" hidden="1" customHeight="1" outlineLevel="2" x14ac:dyDescent="0.25">
      <c r="B12495" s="704" t="s">
        <v>686</v>
      </c>
      <c r="C12495" s="704" t="s">
        <v>919</v>
      </c>
      <c r="D12495" s="704" t="s">
        <v>920</v>
      </c>
      <c r="E12495" s="704" t="s">
        <v>861</v>
      </c>
      <c r="F12495" s="709"/>
      <c r="G12495" s="705">
        <v>3129.9053258562585</v>
      </c>
    </row>
    <row r="12496" spans="2:7" ht="11.25" hidden="1" customHeight="1" outlineLevel="1" x14ac:dyDescent="0.25">
      <c r="B12496" s="707" t="s">
        <v>952</v>
      </c>
      <c r="C12496" s="704"/>
      <c r="D12496" s="704"/>
      <c r="E12496" s="704"/>
      <c r="F12496" s="709">
        <f t="shared" ref="F12496:G12496" si="37">SUBTOTAL(9,F12285:F12495)</f>
        <v>19.03789296765266</v>
      </c>
      <c r="G12496" s="705">
        <f t="shared" si="37"/>
        <v>47243.771568818695</v>
      </c>
    </row>
    <row r="12497" spans="2:7" ht="11.25" hidden="1" customHeight="1" outlineLevel="2" x14ac:dyDescent="0.25">
      <c r="B12497" s="704" t="s">
        <v>687</v>
      </c>
      <c r="C12497" s="704" t="s">
        <v>739</v>
      </c>
      <c r="D12497" s="704" t="s">
        <v>44</v>
      </c>
      <c r="E12497" s="704" t="s">
        <v>448</v>
      </c>
      <c r="F12497" s="705">
        <v>1.4084296352669344E-3</v>
      </c>
      <c r="G12497" s="705">
        <v>0.85895051878247175</v>
      </c>
    </row>
    <row r="12498" spans="2:7" ht="11.25" hidden="1" customHeight="1" outlineLevel="2" x14ac:dyDescent="0.25">
      <c r="B12498" s="704" t="s">
        <v>687</v>
      </c>
      <c r="C12498" s="704" t="s">
        <v>796</v>
      </c>
      <c r="D12498" s="704" t="s">
        <v>44</v>
      </c>
      <c r="E12498" s="704" t="s">
        <v>448</v>
      </c>
      <c r="F12498" s="705">
        <v>1.4831093445569496E-3</v>
      </c>
      <c r="G12498" s="705">
        <v>2.0836912360586655</v>
      </c>
    </row>
    <row r="12499" spans="2:7" ht="11.25" hidden="1" customHeight="1" outlineLevel="2" x14ac:dyDescent="0.25">
      <c r="B12499" s="704" t="s">
        <v>687</v>
      </c>
      <c r="C12499" s="704" t="s">
        <v>797</v>
      </c>
      <c r="D12499" s="704" t="s">
        <v>44</v>
      </c>
      <c r="E12499" s="704" t="s">
        <v>448</v>
      </c>
      <c r="F12499" s="705">
        <v>2.3693045376474648E-3</v>
      </c>
      <c r="G12499" s="705">
        <v>8.1075292361021845</v>
      </c>
    </row>
    <row r="12500" spans="2:7" ht="11.25" hidden="1" customHeight="1" outlineLevel="2" x14ac:dyDescent="0.25">
      <c r="B12500" s="704" t="s">
        <v>687</v>
      </c>
      <c r="C12500" s="704" t="s">
        <v>798</v>
      </c>
      <c r="D12500" s="704" t="s">
        <v>44</v>
      </c>
      <c r="E12500" s="704" t="s">
        <v>448</v>
      </c>
      <c r="F12500" s="705">
        <v>3.8923610385818956E-5</v>
      </c>
      <c r="G12500" s="705">
        <v>5.1065834882100439E-2</v>
      </c>
    </row>
    <row r="12501" spans="2:7" ht="11.25" hidden="1" customHeight="1" outlineLevel="2" x14ac:dyDescent="0.25">
      <c r="B12501" s="704" t="s">
        <v>687</v>
      </c>
      <c r="C12501" s="704" t="s">
        <v>799</v>
      </c>
      <c r="D12501" s="704" t="s">
        <v>44</v>
      </c>
      <c r="E12501" s="704" t="s">
        <v>448</v>
      </c>
      <c r="F12501" s="705">
        <v>4.2049426131352593E-3</v>
      </c>
      <c r="G12501" s="705">
        <v>5.5124692555893899</v>
      </c>
    </row>
    <row r="12502" spans="2:7" ht="11.25" hidden="1" customHeight="1" outlineLevel="2" x14ac:dyDescent="0.25">
      <c r="B12502" s="704" t="s">
        <v>687</v>
      </c>
      <c r="C12502" s="704" t="s">
        <v>800</v>
      </c>
      <c r="D12502" s="704" t="s">
        <v>44</v>
      </c>
      <c r="E12502" s="704" t="s">
        <v>448</v>
      </c>
      <c r="F12502" s="705">
        <v>1.3850541045637521E-3</v>
      </c>
      <c r="G12502" s="705">
        <v>1.7267445394132335</v>
      </c>
    </row>
    <row r="12503" spans="2:7" ht="11.25" hidden="1" customHeight="1" outlineLevel="2" x14ac:dyDescent="0.25">
      <c r="B12503" s="704" t="s">
        <v>687</v>
      </c>
      <c r="C12503" s="704" t="s">
        <v>801</v>
      </c>
      <c r="D12503" s="704" t="s">
        <v>44</v>
      </c>
      <c r="E12503" s="704" t="s">
        <v>448</v>
      </c>
      <c r="F12503" s="705">
        <v>1.8067410270553891E-2</v>
      </c>
      <c r="G12503" s="705">
        <v>18.757949143869368</v>
      </c>
    </row>
    <row r="12504" spans="2:7" ht="11.25" hidden="1" customHeight="1" outlineLevel="2" x14ac:dyDescent="0.25">
      <c r="B12504" s="704" t="s">
        <v>687</v>
      </c>
      <c r="C12504" s="704" t="s">
        <v>802</v>
      </c>
      <c r="D12504" s="704" t="s">
        <v>44</v>
      </c>
      <c r="E12504" s="704" t="s">
        <v>448</v>
      </c>
      <c r="F12504" s="705">
        <v>5.9391841985835227E-2</v>
      </c>
      <c r="G12504" s="705">
        <v>40.207691991214887</v>
      </c>
    </row>
    <row r="12505" spans="2:7" ht="11.25" hidden="1" customHeight="1" outlineLevel="2" x14ac:dyDescent="0.25">
      <c r="B12505" s="704" t="s">
        <v>687</v>
      </c>
      <c r="C12505" s="704" t="s">
        <v>803</v>
      </c>
      <c r="D12505" s="704" t="s">
        <v>44</v>
      </c>
      <c r="E12505" s="704" t="s">
        <v>448</v>
      </c>
      <c r="F12505" s="705">
        <v>6.6727953699173021E-3</v>
      </c>
      <c r="G12505" s="705">
        <v>8.7477080344205067</v>
      </c>
    </row>
    <row r="12506" spans="2:7" ht="11.25" hidden="1" customHeight="1" outlineLevel="2" x14ac:dyDescent="0.25">
      <c r="B12506" s="704" t="s">
        <v>687</v>
      </c>
      <c r="C12506" s="704" t="s">
        <v>804</v>
      </c>
      <c r="D12506" s="704" t="s">
        <v>44</v>
      </c>
      <c r="E12506" s="704" t="s">
        <v>448</v>
      </c>
      <c r="F12506" s="705">
        <v>9.9359073527342783E-3</v>
      </c>
      <c r="G12506" s="705">
        <v>12.666645351755795</v>
      </c>
    </row>
    <row r="12507" spans="2:7" ht="11.25" hidden="1" customHeight="1" outlineLevel="2" x14ac:dyDescent="0.25">
      <c r="B12507" s="704" t="s">
        <v>687</v>
      </c>
      <c r="C12507" s="704" t="s">
        <v>805</v>
      </c>
      <c r="D12507" s="704" t="s">
        <v>44</v>
      </c>
      <c r="E12507" s="704" t="s">
        <v>448</v>
      </c>
      <c r="F12507" s="705">
        <v>1.9934896140208127E-3</v>
      </c>
      <c r="G12507" s="705">
        <v>14.051677346743503</v>
      </c>
    </row>
    <row r="12508" spans="2:7" ht="11.25" hidden="1" customHeight="1" outlineLevel="2" x14ac:dyDescent="0.25">
      <c r="B12508" s="704" t="s">
        <v>687</v>
      </c>
      <c r="C12508" s="704" t="s">
        <v>846</v>
      </c>
      <c r="D12508" s="704" t="s">
        <v>44</v>
      </c>
      <c r="E12508" s="704" t="s">
        <v>824</v>
      </c>
      <c r="F12508" s="705">
        <v>4.8400662451561153E-5</v>
      </c>
      <c r="G12508" s="705">
        <v>7.690645260499239E-2</v>
      </c>
    </row>
    <row r="12509" spans="2:7" ht="11.25" hidden="1" customHeight="1" outlineLevel="2" x14ac:dyDescent="0.25">
      <c r="B12509" s="704" t="s">
        <v>687</v>
      </c>
      <c r="C12509" s="704" t="s">
        <v>847</v>
      </c>
      <c r="D12509" s="704" t="s">
        <v>44</v>
      </c>
      <c r="E12509" s="704" t="s">
        <v>824</v>
      </c>
      <c r="F12509" s="705">
        <v>9.9317332196545104E-6</v>
      </c>
      <c r="G12509" s="705">
        <v>0.10466876257594039</v>
      </c>
    </row>
    <row r="12510" spans="2:7" ht="11.25" hidden="1" customHeight="1" outlineLevel="2" x14ac:dyDescent="0.25">
      <c r="B12510" s="704" t="s">
        <v>687</v>
      </c>
      <c r="C12510" s="704" t="s">
        <v>705</v>
      </c>
      <c r="D12510" s="704" t="s">
        <v>44</v>
      </c>
      <c r="E12510" s="704" t="s">
        <v>676</v>
      </c>
      <c r="F12510" s="705">
        <v>1.9375120688498867E-3</v>
      </c>
      <c r="G12510" s="705">
        <v>2.0315657061078053E-2</v>
      </c>
    </row>
    <row r="12511" spans="2:7" ht="11.25" hidden="1" customHeight="1" outlineLevel="2" x14ac:dyDescent="0.25">
      <c r="B12511" s="704" t="s">
        <v>687</v>
      </c>
      <c r="C12511" s="704" t="s">
        <v>706</v>
      </c>
      <c r="D12511" s="704" t="s">
        <v>44</v>
      </c>
      <c r="E12511" s="704" t="s">
        <v>676</v>
      </c>
      <c r="F12511" s="705">
        <v>6.149799093528519E-4</v>
      </c>
      <c r="G12511" s="705">
        <v>6.4463958634388314E-3</v>
      </c>
    </row>
    <row r="12512" spans="2:7" ht="11.25" hidden="1" customHeight="1" outlineLevel="2" x14ac:dyDescent="0.25">
      <c r="B12512" s="704" t="s">
        <v>687</v>
      </c>
      <c r="C12512" s="704" t="s">
        <v>901</v>
      </c>
      <c r="D12512" s="704" t="s">
        <v>44</v>
      </c>
      <c r="E12512" s="704" t="s">
        <v>861</v>
      </c>
      <c r="F12512" s="709"/>
      <c r="G12512" s="705">
        <v>0.1502354616987146</v>
      </c>
    </row>
    <row r="12513" spans="2:7" ht="11.25" hidden="1" customHeight="1" outlineLevel="2" x14ac:dyDescent="0.25">
      <c r="B12513" s="704" t="s">
        <v>687</v>
      </c>
      <c r="C12513" s="704" t="s">
        <v>902</v>
      </c>
      <c r="D12513" s="704" t="s">
        <v>44</v>
      </c>
      <c r="E12513" s="704" t="s">
        <v>861</v>
      </c>
      <c r="F12513" s="709"/>
      <c r="G12513" s="705">
        <v>6495.0351823221745</v>
      </c>
    </row>
    <row r="12514" spans="2:7" ht="11.25" hidden="1" customHeight="1" outlineLevel="2" x14ac:dyDescent="0.25">
      <c r="B12514" s="704" t="s">
        <v>687</v>
      </c>
      <c r="C12514" s="704" t="s">
        <v>903</v>
      </c>
      <c r="D12514" s="704" t="s">
        <v>44</v>
      </c>
      <c r="E12514" s="704" t="s">
        <v>861</v>
      </c>
      <c r="F12514" s="709"/>
      <c r="G12514" s="705">
        <v>582.80278300850466</v>
      </c>
    </row>
    <row r="12515" spans="2:7" ht="11.25" hidden="1" customHeight="1" outlineLevel="2" x14ac:dyDescent="0.25">
      <c r="B12515" s="704" t="s">
        <v>687</v>
      </c>
      <c r="C12515" s="704" t="s">
        <v>904</v>
      </c>
      <c r="D12515" s="704" t="s">
        <v>44</v>
      </c>
      <c r="E12515" s="704" t="s">
        <v>861</v>
      </c>
      <c r="F12515" s="709"/>
      <c r="G12515" s="705">
        <v>3.239588224031074</v>
      </c>
    </row>
    <row r="12516" spans="2:7" ht="11.25" hidden="1" customHeight="1" outlineLevel="2" x14ac:dyDescent="0.25">
      <c r="B12516" s="704" t="s">
        <v>687</v>
      </c>
      <c r="C12516" s="704" t="s">
        <v>905</v>
      </c>
      <c r="D12516" s="704" t="s">
        <v>44</v>
      </c>
      <c r="E12516" s="704" t="s">
        <v>861</v>
      </c>
      <c r="F12516" s="709"/>
      <c r="G12516" s="705">
        <v>0.66492070588807461</v>
      </c>
    </row>
    <row r="12517" spans="2:7" ht="11.25" hidden="1" customHeight="1" outlineLevel="2" x14ac:dyDescent="0.25">
      <c r="B12517" s="704" t="s">
        <v>687</v>
      </c>
      <c r="C12517" s="704" t="s">
        <v>906</v>
      </c>
      <c r="D12517" s="704" t="s">
        <v>44</v>
      </c>
      <c r="E12517" s="704" t="s">
        <v>861</v>
      </c>
      <c r="F12517" s="709"/>
      <c r="G12517" s="705">
        <v>49.472926876175698</v>
      </c>
    </row>
    <row r="12518" spans="2:7" ht="11.25" hidden="1" customHeight="1" outlineLevel="2" x14ac:dyDescent="0.25">
      <c r="B12518" s="704" t="s">
        <v>687</v>
      </c>
      <c r="C12518" s="704" t="s">
        <v>907</v>
      </c>
      <c r="D12518" s="704" t="s">
        <v>44</v>
      </c>
      <c r="E12518" s="704" t="s">
        <v>861</v>
      </c>
      <c r="F12518" s="709"/>
      <c r="G12518" s="705">
        <v>0.12391157534506413</v>
      </c>
    </row>
    <row r="12519" spans="2:7" ht="11.25" hidden="1" customHeight="1" outlineLevel="2" x14ac:dyDescent="0.25">
      <c r="B12519" s="704" t="s">
        <v>687</v>
      </c>
      <c r="C12519" s="704" t="s">
        <v>908</v>
      </c>
      <c r="D12519" s="704" t="s">
        <v>44</v>
      </c>
      <c r="E12519" s="704" t="s">
        <v>861</v>
      </c>
      <c r="F12519" s="709"/>
      <c r="G12519" s="705">
        <v>45.726534127736457</v>
      </c>
    </row>
    <row r="12520" spans="2:7" ht="11.25" hidden="1" customHeight="1" outlineLevel="2" x14ac:dyDescent="0.25">
      <c r="B12520" s="704" t="s">
        <v>687</v>
      </c>
      <c r="C12520" s="704" t="s">
        <v>909</v>
      </c>
      <c r="D12520" s="704" t="s">
        <v>44</v>
      </c>
      <c r="E12520" s="704" t="s">
        <v>861</v>
      </c>
      <c r="F12520" s="709"/>
      <c r="G12520" s="705">
        <v>127.01629420824636</v>
      </c>
    </row>
    <row r="12521" spans="2:7" ht="11.25" hidden="1" customHeight="1" outlineLevel="2" x14ac:dyDescent="0.25">
      <c r="B12521" s="704" t="s">
        <v>687</v>
      </c>
      <c r="C12521" s="704" t="s">
        <v>910</v>
      </c>
      <c r="D12521" s="704" t="s">
        <v>44</v>
      </c>
      <c r="E12521" s="704" t="s">
        <v>861</v>
      </c>
      <c r="F12521" s="709"/>
      <c r="G12521" s="705">
        <v>93.381703617299223</v>
      </c>
    </row>
    <row r="12522" spans="2:7" ht="11.25" hidden="1" customHeight="1" outlineLevel="2" x14ac:dyDescent="0.25">
      <c r="B12522" s="704" t="s">
        <v>687</v>
      </c>
      <c r="C12522" s="704" t="s">
        <v>814</v>
      </c>
      <c r="D12522" s="704" t="s">
        <v>815</v>
      </c>
      <c r="E12522" s="704" t="s">
        <v>448</v>
      </c>
      <c r="F12522" s="705">
        <v>9.7425381139052297E-34</v>
      </c>
      <c r="G12522" s="705">
        <v>6.5488706385837996E-30</v>
      </c>
    </row>
    <row r="12523" spans="2:7" ht="11.25" hidden="1" customHeight="1" outlineLevel="2" x14ac:dyDescent="0.25">
      <c r="B12523" s="704" t="s">
        <v>687</v>
      </c>
      <c r="C12523" s="704" t="s">
        <v>854</v>
      </c>
      <c r="D12523" s="704" t="s">
        <v>815</v>
      </c>
      <c r="E12523" s="704" t="s">
        <v>824</v>
      </c>
      <c r="F12523" s="705">
        <v>1.6645027218787266E-36</v>
      </c>
      <c r="G12523" s="705">
        <v>2.4044512537756401E-32</v>
      </c>
    </row>
    <row r="12524" spans="2:7" ht="11.25" hidden="1" customHeight="1" outlineLevel="2" x14ac:dyDescent="0.25">
      <c r="B12524" s="704" t="s">
        <v>687</v>
      </c>
      <c r="C12524" s="704" t="s">
        <v>918</v>
      </c>
      <c r="D12524" s="704" t="s">
        <v>815</v>
      </c>
      <c r="E12524" s="704" t="s">
        <v>861</v>
      </c>
      <c r="F12524" s="709"/>
      <c r="G12524" s="705">
        <v>2.6166589767479464E-28</v>
      </c>
    </row>
    <row r="12525" spans="2:7" ht="11.25" hidden="1" customHeight="1" outlineLevel="2" x14ac:dyDescent="0.25">
      <c r="B12525" s="704" t="s">
        <v>687</v>
      </c>
      <c r="C12525" s="704" t="s">
        <v>740</v>
      </c>
      <c r="D12525" s="704" t="s">
        <v>562</v>
      </c>
      <c r="E12525" s="704" t="s">
        <v>448</v>
      </c>
      <c r="F12525" s="705">
        <v>2.5510404275937572E-2</v>
      </c>
      <c r="G12525" s="705">
        <v>12.642120976729831</v>
      </c>
    </row>
    <row r="12526" spans="2:7" ht="11.25" hidden="1" customHeight="1" outlineLevel="2" x14ac:dyDescent="0.25">
      <c r="B12526" s="704" t="s">
        <v>687</v>
      </c>
      <c r="C12526" s="704" t="s">
        <v>741</v>
      </c>
      <c r="D12526" s="704" t="s">
        <v>562</v>
      </c>
      <c r="E12526" s="704" t="s">
        <v>448</v>
      </c>
      <c r="F12526" s="705">
        <v>0.16301022934064394</v>
      </c>
      <c r="G12526" s="705">
        <v>84.344238214335633</v>
      </c>
    </row>
    <row r="12527" spans="2:7" ht="11.25" hidden="1" customHeight="1" outlineLevel="2" x14ac:dyDescent="0.25">
      <c r="B12527" s="704" t="s">
        <v>687</v>
      </c>
      <c r="C12527" s="704" t="s">
        <v>742</v>
      </c>
      <c r="D12527" s="704" t="s">
        <v>562</v>
      </c>
      <c r="E12527" s="704" t="s">
        <v>448</v>
      </c>
      <c r="F12527" s="705">
        <v>7.2561067701919861E-5</v>
      </c>
      <c r="G12527" s="705">
        <v>3.2528965415809977E-2</v>
      </c>
    </row>
    <row r="12528" spans="2:7" ht="11.25" hidden="1" customHeight="1" outlineLevel="2" x14ac:dyDescent="0.25">
      <c r="B12528" s="704" t="s">
        <v>687</v>
      </c>
      <c r="C12528" s="704" t="s">
        <v>743</v>
      </c>
      <c r="D12528" s="704" t="s">
        <v>562</v>
      </c>
      <c r="E12528" s="704" t="s">
        <v>448</v>
      </c>
      <c r="F12528" s="705">
        <v>1.1417342750837532E-3</v>
      </c>
      <c r="G12528" s="705">
        <v>0.51183748470087342</v>
      </c>
    </row>
    <row r="12529" spans="2:7" ht="11.25" hidden="1" customHeight="1" outlineLevel="2" x14ac:dyDescent="0.25">
      <c r="B12529" s="704" t="s">
        <v>687</v>
      </c>
      <c r="C12529" s="704" t="s">
        <v>806</v>
      </c>
      <c r="D12529" s="704" t="s">
        <v>562</v>
      </c>
      <c r="E12529" s="704" t="s">
        <v>448</v>
      </c>
      <c r="F12529" s="705">
        <v>2.1644044118430013</v>
      </c>
      <c r="G12529" s="705">
        <v>2602.3189237116594</v>
      </c>
    </row>
    <row r="12530" spans="2:7" ht="11.25" hidden="1" customHeight="1" outlineLevel="2" x14ac:dyDescent="0.25">
      <c r="B12530" s="704" t="s">
        <v>687</v>
      </c>
      <c r="C12530" s="704" t="s">
        <v>807</v>
      </c>
      <c r="D12530" s="704" t="s">
        <v>562</v>
      </c>
      <c r="E12530" s="704" t="s">
        <v>448</v>
      </c>
      <c r="F12530" s="705">
        <v>0.46587932309584934</v>
      </c>
      <c r="G12530" s="705">
        <v>651.20414578015641</v>
      </c>
    </row>
    <row r="12531" spans="2:7" ht="11.25" hidden="1" customHeight="1" outlineLevel="2" x14ac:dyDescent="0.25">
      <c r="B12531" s="704" t="s">
        <v>687</v>
      </c>
      <c r="C12531" s="704" t="s">
        <v>808</v>
      </c>
      <c r="D12531" s="704" t="s">
        <v>562</v>
      </c>
      <c r="E12531" s="704" t="s">
        <v>448</v>
      </c>
      <c r="F12531" s="705">
        <v>0.21505005314771897</v>
      </c>
      <c r="G12531" s="705">
        <v>345.32852670924314</v>
      </c>
    </row>
    <row r="12532" spans="2:7" ht="11.25" hidden="1" customHeight="1" outlineLevel="2" x14ac:dyDescent="0.25">
      <c r="B12532" s="704" t="s">
        <v>687</v>
      </c>
      <c r="C12532" s="704" t="s">
        <v>809</v>
      </c>
      <c r="D12532" s="704" t="s">
        <v>562</v>
      </c>
      <c r="E12532" s="704" t="s">
        <v>448</v>
      </c>
      <c r="F12532" s="705">
        <v>0.49553419167077961</v>
      </c>
      <c r="G12532" s="705">
        <v>740.94993506092646</v>
      </c>
    </row>
    <row r="12533" spans="2:7" ht="11.25" hidden="1" customHeight="1" outlineLevel="2" x14ac:dyDescent="0.25">
      <c r="B12533" s="704" t="s">
        <v>687</v>
      </c>
      <c r="C12533" s="704" t="s">
        <v>810</v>
      </c>
      <c r="D12533" s="704" t="s">
        <v>562</v>
      </c>
      <c r="E12533" s="704" t="s">
        <v>448</v>
      </c>
      <c r="F12533" s="705">
        <v>0.93590642091496123</v>
      </c>
      <c r="G12533" s="705">
        <v>1167.3019448411928</v>
      </c>
    </row>
    <row r="12534" spans="2:7" ht="11.25" hidden="1" customHeight="1" outlineLevel="2" x14ac:dyDescent="0.25">
      <c r="B12534" s="704" t="s">
        <v>687</v>
      </c>
      <c r="C12534" s="704" t="s">
        <v>811</v>
      </c>
      <c r="D12534" s="704" t="s">
        <v>562</v>
      </c>
      <c r="E12534" s="704" t="s">
        <v>448</v>
      </c>
      <c r="F12534" s="705">
        <v>3.9843379563300828E-2</v>
      </c>
      <c r="G12534" s="705">
        <v>54.903380383993714</v>
      </c>
    </row>
    <row r="12535" spans="2:7" ht="11.25" hidden="1" customHeight="1" outlineLevel="2" x14ac:dyDescent="0.25">
      <c r="B12535" s="704" t="s">
        <v>687</v>
      </c>
      <c r="C12535" s="704" t="s">
        <v>848</v>
      </c>
      <c r="D12535" s="704" t="s">
        <v>562</v>
      </c>
      <c r="E12535" s="704" t="s">
        <v>824</v>
      </c>
      <c r="F12535" s="705">
        <v>0.12594586760984561</v>
      </c>
      <c r="G12535" s="705">
        <v>346.25099284528926</v>
      </c>
    </row>
    <row r="12536" spans="2:7" ht="11.25" hidden="1" customHeight="1" outlineLevel="2" x14ac:dyDescent="0.25">
      <c r="B12536" s="704" t="s">
        <v>687</v>
      </c>
      <c r="C12536" s="704" t="s">
        <v>849</v>
      </c>
      <c r="D12536" s="704" t="s">
        <v>562</v>
      </c>
      <c r="E12536" s="704" t="s">
        <v>824</v>
      </c>
      <c r="F12536" s="705">
        <v>1.8285988177867463E-2</v>
      </c>
      <c r="G12536" s="705">
        <v>77.12215228113547</v>
      </c>
    </row>
    <row r="12537" spans="2:7" ht="11.25" hidden="1" customHeight="1" outlineLevel="2" x14ac:dyDescent="0.25">
      <c r="B12537" s="704" t="s">
        <v>687</v>
      </c>
      <c r="C12537" s="704" t="s">
        <v>850</v>
      </c>
      <c r="D12537" s="704" t="s">
        <v>562</v>
      </c>
      <c r="E12537" s="704" t="s">
        <v>824</v>
      </c>
      <c r="F12537" s="705">
        <v>1.3528335643395643E-2</v>
      </c>
      <c r="G12537" s="705">
        <v>90.401026543620958</v>
      </c>
    </row>
    <row r="12538" spans="2:7" ht="11.25" hidden="1" customHeight="1" outlineLevel="2" x14ac:dyDescent="0.25">
      <c r="B12538" s="704" t="s">
        <v>687</v>
      </c>
      <c r="C12538" s="704" t="s">
        <v>851</v>
      </c>
      <c r="D12538" s="704" t="s">
        <v>562</v>
      </c>
      <c r="E12538" s="704" t="s">
        <v>824</v>
      </c>
      <c r="F12538" s="705">
        <v>2.3696574642381348E-2</v>
      </c>
      <c r="G12538" s="705">
        <v>112.30064206016809</v>
      </c>
    </row>
    <row r="12539" spans="2:7" ht="11.25" hidden="1" customHeight="1" outlineLevel="2" x14ac:dyDescent="0.25">
      <c r="B12539" s="704" t="s">
        <v>687</v>
      </c>
      <c r="C12539" s="704" t="s">
        <v>852</v>
      </c>
      <c r="D12539" s="704" t="s">
        <v>562</v>
      </c>
      <c r="E12539" s="704" t="s">
        <v>824</v>
      </c>
      <c r="F12539" s="705">
        <v>5.9169028018920666E-4</v>
      </c>
      <c r="G12539" s="705">
        <v>1.518051074964208</v>
      </c>
    </row>
    <row r="12540" spans="2:7" ht="11.25" hidden="1" customHeight="1" outlineLevel="2" x14ac:dyDescent="0.25">
      <c r="B12540" s="704" t="s">
        <v>687</v>
      </c>
      <c r="C12540" s="704" t="s">
        <v>853</v>
      </c>
      <c r="D12540" s="704" t="s">
        <v>562</v>
      </c>
      <c r="E12540" s="704" t="s">
        <v>824</v>
      </c>
      <c r="F12540" s="705">
        <v>1.7262627052776994E-4</v>
      </c>
      <c r="G12540" s="705">
        <v>1.410071292642699</v>
      </c>
    </row>
    <row r="12541" spans="2:7" ht="11.25" hidden="1" customHeight="1" outlineLevel="2" x14ac:dyDescent="0.25">
      <c r="B12541" s="704" t="s">
        <v>687</v>
      </c>
      <c r="C12541" s="704" t="s">
        <v>707</v>
      </c>
      <c r="D12541" s="704" t="s">
        <v>562</v>
      </c>
      <c r="E12541" s="704" t="s">
        <v>676</v>
      </c>
      <c r="F12541" s="705">
        <v>2.7826968199379243</v>
      </c>
      <c r="G12541" s="705">
        <v>77.272648231711429</v>
      </c>
    </row>
    <row r="12542" spans="2:7" ht="11.25" hidden="1" customHeight="1" outlineLevel="2" x14ac:dyDescent="0.25">
      <c r="B12542" s="704" t="s">
        <v>687</v>
      </c>
      <c r="C12542" s="704" t="s">
        <v>708</v>
      </c>
      <c r="D12542" s="704" t="s">
        <v>562</v>
      </c>
      <c r="E12542" s="704" t="s">
        <v>676</v>
      </c>
      <c r="F12542" s="705">
        <v>0.10668472970592245</v>
      </c>
      <c r="G12542" s="705">
        <v>3.8781524742745832</v>
      </c>
    </row>
    <row r="12543" spans="2:7" ht="11.25" hidden="1" customHeight="1" outlineLevel="2" x14ac:dyDescent="0.25">
      <c r="B12543" s="704" t="s">
        <v>687</v>
      </c>
      <c r="C12543" s="704" t="s">
        <v>709</v>
      </c>
      <c r="D12543" s="704" t="s">
        <v>562</v>
      </c>
      <c r="E12543" s="704" t="s">
        <v>676</v>
      </c>
      <c r="F12543" s="705">
        <v>7.6591716168153481E-2</v>
      </c>
      <c r="G12543" s="705">
        <v>5.3718982900224015</v>
      </c>
    </row>
    <row r="12544" spans="2:7" ht="11.25" hidden="1" customHeight="1" outlineLevel="2" x14ac:dyDescent="0.25">
      <c r="B12544" s="704" t="s">
        <v>687</v>
      </c>
      <c r="C12544" s="704" t="s">
        <v>710</v>
      </c>
      <c r="D12544" s="704" t="s">
        <v>562</v>
      </c>
      <c r="E12544" s="704" t="s">
        <v>676</v>
      </c>
      <c r="F12544" s="705">
        <v>0.89731112300669391</v>
      </c>
      <c r="G12544" s="705">
        <v>187.77625373243035</v>
      </c>
    </row>
    <row r="12545" spans="2:7" ht="11.25" hidden="1" customHeight="1" outlineLevel="2" x14ac:dyDescent="0.25">
      <c r="B12545" s="704" t="s">
        <v>687</v>
      </c>
      <c r="C12545" s="704" t="s">
        <v>911</v>
      </c>
      <c r="D12545" s="704" t="s">
        <v>562</v>
      </c>
      <c r="E12545" s="704" t="s">
        <v>861</v>
      </c>
      <c r="F12545" s="709"/>
      <c r="G12545" s="705">
        <v>2002.3915727239646</v>
      </c>
    </row>
    <row r="12546" spans="2:7" ht="11.25" hidden="1" customHeight="1" outlineLevel="2" x14ac:dyDescent="0.25">
      <c r="B12546" s="704" t="s">
        <v>687</v>
      </c>
      <c r="C12546" s="704" t="s">
        <v>912</v>
      </c>
      <c r="D12546" s="704" t="s">
        <v>562</v>
      </c>
      <c r="E12546" s="704" t="s">
        <v>861</v>
      </c>
      <c r="F12546" s="709"/>
      <c r="G12546" s="705">
        <v>472.44289235975748</v>
      </c>
    </row>
    <row r="12547" spans="2:7" ht="11.25" hidden="1" customHeight="1" outlineLevel="2" x14ac:dyDescent="0.25">
      <c r="B12547" s="704" t="s">
        <v>687</v>
      </c>
      <c r="C12547" s="704" t="s">
        <v>913</v>
      </c>
      <c r="D12547" s="704" t="s">
        <v>562</v>
      </c>
      <c r="E12547" s="704" t="s">
        <v>861</v>
      </c>
      <c r="F12547" s="709"/>
      <c r="G12547" s="705">
        <v>1310.846653498279</v>
      </c>
    </row>
    <row r="12548" spans="2:7" ht="11.25" hidden="1" customHeight="1" outlineLevel="2" x14ac:dyDescent="0.25">
      <c r="B12548" s="704" t="s">
        <v>687</v>
      </c>
      <c r="C12548" s="704" t="s">
        <v>914</v>
      </c>
      <c r="D12548" s="704" t="s">
        <v>562</v>
      </c>
      <c r="E12548" s="704" t="s">
        <v>861</v>
      </c>
      <c r="F12548" s="709"/>
      <c r="G12548" s="705">
        <v>665.60550651228209</v>
      </c>
    </row>
    <row r="12549" spans="2:7" ht="11.25" hidden="1" customHeight="1" outlineLevel="2" x14ac:dyDescent="0.25">
      <c r="B12549" s="704" t="s">
        <v>687</v>
      </c>
      <c r="C12549" s="704" t="s">
        <v>915</v>
      </c>
      <c r="D12549" s="704" t="s">
        <v>562</v>
      </c>
      <c r="E12549" s="704" t="s">
        <v>861</v>
      </c>
      <c r="F12549" s="709"/>
      <c r="G12549" s="705">
        <v>63.942195893677592</v>
      </c>
    </row>
    <row r="12550" spans="2:7" ht="11.25" hidden="1" customHeight="1" outlineLevel="2" x14ac:dyDescent="0.25">
      <c r="B12550" s="704" t="s">
        <v>687</v>
      </c>
      <c r="C12550" s="704" t="s">
        <v>916</v>
      </c>
      <c r="D12550" s="704" t="s">
        <v>562</v>
      </c>
      <c r="E12550" s="704" t="s">
        <v>861</v>
      </c>
      <c r="F12550" s="709"/>
      <c r="G12550" s="705">
        <v>56.731206658947208</v>
      </c>
    </row>
    <row r="12551" spans="2:7" ht="11.25" hidden="1" customHeight="1" outlineLevel="2" x14ac:dyDescent="0.25">
      <c r="B12551" s="704" t="s">
        <v>687</v>
      </c>
      <c r="C12551" s="704" t="s">
        <v>719</v>
      </c>
      <c r="D12551" s="704" t="s">
        <v>675</v>
      </c>
      <c r="E12551" s="704" t="s">
        <v>448</v>
      </c>
      <c r="F12551" s="705">
        <v>6.7961842942288839E-2</v>
      </c>
      <c r="G12551" s="705">
        <v>41.904982176211163</v>
      </c>
    </row>
    <row r="12552" spans="2:7" ht="11.25" hidden="1" customHeight="1" outlineLevel="2" x14ac:dyDescent="0.25">
      <c r="B12552" s="704" t="s">
        <v>687</v>
      </c>
      <c r="C12552" s="704" t="s">
        <v>720</v>
      </c>
      <c r="D12552" s="704" t="s">
        <v>675</v>
      </c>
      <c r="E12552" s="704" t="s">
        <v>448</v>
      </c>
      <c r="F12552" s="705">
        <v>5.6166115686636583E-3</v>
      </c>
      <c r="G12552" s="705">
        <v>2.7178603956773437</v>
      </c>
    </row>
    <row r="12553" spans="2:7" ht="11.25" hidden="1" customHeight="1" outlineLevel="2" x14ac:dyDescent="0.25">
      <c r="B12553" s="704" t="s">
        <v>687</v>
      </c>
      <c r="C12553" s="704" t="s">
        <v>721</v>
      </c>
      <c r="D12553" s="704" t="s">
        <v>675</v>
      </c>
      <c r="E12553" s="704" t="s">
        <v>448</v>
      </c>
      <c r="F12553" s="705">
        <v>6.8018803120296276E-3</v>
      </c>
      <c r="G12553" s="705">
        <v>3.2490445916957351</v>
      </c>
    </row>
    <row r="12554" spans="2:7" ht="11.25" hidden="1" customHeight="1" outlineLevel="2" x14ac:dyDescent="0.25">
      <c r="B12554" s="704" t="s">
        <v>687</v>
      </c>
      <c r="C12554" s="704" t="s">
        <v>722</v>
      </c>
      <c r="D12554" s="704" t="s">
        <v>675</v>
      </c>
      <c r="E12554" s="704" t="s">
        <v>448</v>
      </c>
      <c r="F12554" s="705">
        <v>5.4276949246530487E-5</v>
      </c>
      <c r="G12554" s="705">
        <v>2.4330548023878712E-2</v>
      </c>
    </row>
    <row r="12555" spans="2:7" ht="11.25" hidden="1" customHeight="1" outlineLevel="2" x14ac:dyDescent="0.25">
      <c r="B12555" s="704" t="s">
        <v>687</v>
      </c>
      <c r="C12555" s="704" t="s">
        <v>723</v>
      </c>
      <c r="D12555" s="704" t="s">
        <v>675</v>
      </c>
      <c r="E12555" s="704" t="s">
        <v>448</v>
      </c>
      <c r="F12555" s="705">
        <v>0.19362058970817891</v>
      </c>
      <c r="G12555" s="705">
        <v>108.2890947054308</v>
      </c>
    </row>
    <row r="12556" spans="2:7" ht="11.25" hidden="1" customHeight="1" outlineLevel="2" x14ac:dyDescent="0.25">
      <c r="B12556" s="704" t="s">
        <v>687</v>
      </c>
      <c r="C12556" s="704" t="s">
        <v>724</v>
      </c>
      <c r="D12556" s="704" t="s">
        <v>675</v>
      </c>
      <c r="E12556" s="704" t="s">
        <v>448</v>
      </c>
      <c r="F12556" s="705">
        <v>1.4133277522784698E-3</v>
      </c>
      <c r="G12556" s="705">
        <v>0.63354736748174578</v>
      </c>
    </row>
    <row r="12557" spans="2:7" ht="11.25" hidden="1" customHeight="1" outlineLevel="2" x14ac:dyDescent="0.25">
      <c r="B12557" s="704" t="s">
        <v>687</v>
      </c>
      <c r="C12557" s="704" t="s">
        <v>750</v>
      </c>
      <c r="D12557" s="704" t="s">
        <v>675</v>
      </c>
      <c r="E12557" s="704" t="s">
        <v>448</v>
      </c>
      <c r="F12557" s="705">
        <v>2.4022709963786602E-2</v>
      </c>
      <c r="G12557" s="705">
        <v>37.252715297635433</v>
      </c>
    </row>
    <row r="12558" spans="2:7" ht="11.25" hidden="1" customHeight="1" outlineLevel="2" x14ac:dyDescent="0.25">
      <c r="B12558" s="704" t="s">
        <v>687</v>
      </c>
      <c r="C12558" s="704" t="s">
        <v>751</v>
      </c>
      <c r="D12558" s="704" t="s">
        <v>675</v>
      </c>
      <c r="E12558" s="704" t="s">
        <v>448</v>
      </c>
      <c r="F12558" s="705">
        <v>2.127886342053579E-4</v>
      </c>
      <c r="G12558" s="705">
        <v>0.27528774813832041</v>
      </c>
    </row>
    <row r="12559" spans="2:7" ht="11.25" hidden="1" customHeight="1" outlineLevel="2" x14ac:dyDescent="0.25">
      <c r="B12559" s="704" t="s">
        <v>687</v>
      </c>
      <c r="C12559" s="704" t="s">
        <v>752</v>
      </c>
      <c r="D12559" s="704" t="s">
        <v>675</v>
      </c>
      <c r="E12559" s="704" t="s">
        <v>448</v>
      </c>
      <c r="F12559" s="705">
        <v>5.853274717683845E-2</v>
      </c>
      <c r="G12559" s="705">
        <v>69.710886573539142</v>
      </c>
    </row>
    <row r="12560" spans="2:7" ht="11.25" hidden="1" customHeight="1" outlineLevel="2" x14ac:dyDescent="0.25">
      <c r="B12560" s="704" t="s">
        <v>687</v>
      </c>
      <c r="C12560" s="704" t="s">
        <v>753</v>
      </c>
      <c r="D12560" s="704" t="s">
        <v>675</v>
      </c>
      <c r="E12560" s="704" t="s">
        <v>448</v>
      </c>
      <c r="F12560" s="705">
        <v>4.1926859331536594E-2</v>
      </c>
      <c r="G12560" s="705">
        <v>65.872507198967327</v>
      </c>
    </row>
    <row r="12561" spans="2:7" ht="11.25" hidden="1" customHeight="1" outlineLevel="2" x14ac:dyDescent="0.25">
      <c r="B12561" s="704" t="s">
        <v>687</v>
      </c>
      <c r="C12561" s="704" t="s">
        <v>754</v>
      </c>
      <c r="D12561" s="704" t="s">
        <v>675</v>
      </c>
      <c r="E12561" s="704" t="s">
        <v>448</v>
      </c>
      <c r="F12561" s="705">
        <v>0.10323182860594592</v>
      </c>
      <c r="G12561" s="705">
        <v>131.10856538658672</v>
      </c>
    </row>
    <row r="12562" spans="2:7" ht="11.25" hidden="1" customHeight="1" outlineLevel="2" x14ac:dyDescent="0.25">
      <c r="B12562" s="704" t="s">
        <v>687</v>
      </c>
      <c r="C12562" s="704" t="s">
        <v>755</v>
      </c>
      <c r="D12562" s="704" t="s">
        <v>675</v>
      </c>
      <c r="E12562" s="704" t="s">
        <v>448</v>
      </c>
      <c r="F12562" s="705">
        <v>4.0378498797049113E-2</v>
      </c>
      <c r="G12562" s="705">
        <v>55.288508255864208</v>
      </c>
    </row>
    <row r="12563" spans="2:7" ht="11.25" hidden="1" customHeight="1" outlineLevel="2" x14ac:dyDescent="0.25">
      <c r="B12563" s="704" t="s">
        <v>687</v>
      </c>
      <c r="C12563" s="704" t="s">
        <v>756</v>
      </c>
      <c r="D12563" s="704" t="s">
        <v>675</v>
      </c>
      <c r="E12563" s="704" t="s">
        <v>448</v>
      </c>
      <c r="F12563" s="705">
        <v>2.1760004173757433E-3</v>
      </c>
      <c r="G12563" s="705">
        <v>2.8705424742670442</v>
      </c>
    </row>
    <row r="12564" spans="2:7" ht="11.25" hidden="1" customHeight="1" outlineLevel="2" x14ac:dyDescent="0.25">
      <c r="B12564" s="704" t="s">
        <v>687</v>
      </c>
      <c r="C12564" s="704" t="s">
        <v>757</v>
      </c>
      <c r="D12564" s="704" t="s">
        <v>675</v>
      </c>
      <c r="E12564" s="704" t="s">
        <v>448</v>
      </c>
      <c r="F12564" s="705">
        <v>7.6940981517430382E-2</v>
      </c>
      <c r="G12564" s="705">
        <v>115.74499382138103</v>
      </c>
    </row>
    <row r="12565" spans="2:7" ht="11.25" hidden="1" customHeight="1" outlineLevel="2" x14ac:dyDescent="0.25">
      <c r="B12565" s="704" t="s">
        <v>687</v>
      </c>
      <c r="C12565" s="704" t="s">
        <v>758</v>
      </c>
      <c r="D12565" s="704" t="s">
        <v>675</v>
      </c>
      <c r="E12565" s="704" t="s">
        <v>448</v>
      </c>
      <c r="F12565" s="705">
        <v>3.4637629925918852E-2</v>
      </c>
      <c r="G12565" s="705">
        <v>39.864429912580718</v>
      </c>
    </row>
    <row r="12566" spans="2:7" ht="11.25" hidden="1" customHeight="1" outlineLevel="2" x14ac:dyDescent="0.25">
      <c r="B12566" s="704" t="s">
        <v>687</v>
      </c>
      <c r="C12566" s="704" t="s">
        <v>759</v>
      </c>
      <c r="D12566" s="704" t="s">
        <v>675</v>
      </c>
      <c r="E12566" s="704" t="s">
        <v>448</v>
      </c>
      <c r="F12566" s="705">
        <v>0.17139657414471449</v>
      </c>
      <c r="G12566" s="705">
        <v>241.07398724205689</v>
      </c>
    </row>
    <row r="12567" spans="2:7" ht="11.25" hidden="1" customHeight="1" outlineLevel="2" x14ac:dyDescent="0.25">
      <c r="B12567" s="704" t="s">
        <v>687</v>
      </c>
      <c r="C12567" s="704" t="s">
        <v>760</v>
      </c>
      <c r="D12567" s="704" t="s">
        <v>675</v>
      </c>
      <c r="E12567" s="704" t="s">
        <v>448</v>
      </c>
      <c r="F12567" s="705">
        <v>0.1155095778696419</v>
      </c>
      <c r="G12567" s="705">
        <v>115.48711905502971</v>
      </c>
    </row>
    <row r="12568" spans="2:7" ht="11.25" hidden="1" customHeight="1" outlineLevel="2" x14ac:dyDescent="0.25">
      <c r="B12568" s="704" t="s">
        <v>687</v>
      </c>
      <c r="C12568" s="704" t="s">
        <v>761</v>
      </c>
      <c r="D12568" s="704" t="s">
        <v>675</v>
      </c>
      <c r="E12568" s="704" t="s">
        <v>448</v>
      </c>
      <c r="F12568" s="705">
        <v>5.4880132209896033E-3</v>
      </c>
      <c r="G12568" s="705">
        <v>9.2061378740414863</v>
      </c>
    </row>
    <row r="12569" spans="2:7" ht="11.25" hidden="1" customHeight="1" outlineLevel="2" x14ac:dyDescent="0.25">
      <c r="B12569" s="704" t="s">
        <v>687</v>
      </c>
      <c r="C12569" s="704" t="s">
        <v>762</v>
      </c>
      <c r="D12569" s="704" t="s">
        <v>675</v>
      </c>
      <c r="E12569" s="704" t="s">
        <v>448</v>
      </c>
      <c r="F12569" s="705">
        <v>1.1161146858374897E-2</v>
      </c>
      <c r="G12569" s="705">
        <v>15.610280952334666</v>
      </c>
    </row>
    <row r="12570" spans="2:7" ht="11.25" hidden="1" customHeight="1" outlineLevel="2" x14ac:dyDescent="0.25">
      <c r="B12570" s="704" t="s">
        <v>687</v>
      </c>
      <c r="C12570" s="704" t="s">
        <v>763</v>
      </c>
      <c r="D12570" s="704" t="s">
        <v>675</v>
      </c>
      <c r="E12570" s="704" t="s">
        <v>448</v>
      </c>
      <c r="F12570" s="705">
        <v>4.9579801850298836E-3</v>
      </c>
      <c r="G12570" s="705">
        <v>13.988222920148392</v>
      </c>
    </row>
    <row r="12571" spans="2:7" ht="11.25" hidden="1" customHeight="1" outlineLevel="2" x14ac:dyDescent="0.25">
      <c r="B12571" s="704" t="s">
        <v>687</v>
      </c>
      <c r="C12571" s="704" t="s">
        <v>764</v>
      </c>
      <c r="D12571" s="704" t="s">
        <v>675</v>
      </c>
      <c r="E12571" s="704" t="s">
        <v>448</v>
      </c>
      <c r="F12571" s="705">
        <v>5.7761812455473299E-3</v>
      </c>
      <c r="G12571" s="705">
        <v>33.41005399229411</v>
      </c>
    </row>
    <row r="12572" spans="2:7" ht="11.25" hidden="1" customHeight="1" outlineLevel="2" x14ac:dyDescent="0.25">
      <c r="B12572" s="704" t="s">
        <v>687</v>
      </c>
      <c r="C12572" s="704" t="s">
        <v>765</v>
      </c>
      <c r="D12572" s="704" t="s">
        <v>675</v>
      </c>
      <c r="E12572" s="704" t="s">
        <v>448</v>
      </c>
      <c r="F12572" s="705">
        <v>5.4645117107831986E-2</v>
      </c>
      <c r="G12572" s="705">
        <v>79.173203367900669</v>
      </c>
    </row>
    <row r="12573" spans="2:7" ht="11.25" hidden="1" customHeight="1" outlineLevel="2" x14ac:dyDescent="0.25">
      <c r="B12573" s="704" t="s">
        <v>687</v>
      </c>
      <c r="C12573" s="704" t="s">
        <v>766</v>
      </c>
      <c r="D12573" s="704" t="s">
        <v>675</v>
      </c>
      <c r="E12573" s="704" t="s">
        <v>448</v>
      </c>
      <c r="F12573" s="705">
        <v>3.3893286407440375E-2</v>
      </c>
      <c r="G12573" s="705">
        <v>54.337547976930551</v>
      </c>
    </row>
    <row r="12574" spans="2:7" ht="11.25" hidden="1" customHeight="1" outlineLevel="2" x14ac:dyDescent="0.25">
      <c r="B12574" s="704" t="s">
        <v>687</v>
      </c>
      <c r="C12574" s="704" t="s">
        <v>767</v>
      </c>
      <c r="D12574" s="704" t="s">
        <v>675</v>
      </c>
      <c r="E12574" s="704" t="s">
        <v>448</v>
      </c>
      <c r="F12574" s="705">
        <v>1.7067163441156136E-2</v>
      </c>
      <c r="G12574" s="705">
        <v>17.903729312556393</v>
      </c>
    </row>
    <row r="12575" spans="2:7" ht="11.25" hidden="1" customHeight="1" outlineLevel="2" x14ac:dyDescent="0.25">
      <c r="B12575" s="704" t="s">
        <v>687</v>
      </c>
      <c r="C12575" s="704" t="s">
        <v>768</v>
      </c>
      <c r="D12575" s="704" t="s">
        <v>675</v>
      </c>
      <c r="E12575" s="704" t="s">
        <v>448</v>
      </c>
      <c r="F12575" s="705">
        <v>7.9593406719046036E-3</v>
      </c>
      <c r="G12575" s="705">
        <v>12.647765756651916</v>
      </c>
    </row>
    <row r="12576" spans="2:7" ht="11.25" hidden="1" customHeight="1" outlineLevel="2" x14ac:dyDescent="0.25">
      <c r="B12576" s="704" t="s">
        <v>687</v>
      </c>
      <c r="C12576" s="704" t="s">
        <v>825</v>
      </c>
      <c r="D12576" s="704" t="s">
        <v>675</v>
      </c>
      <c r="E12576" s="704" t="s">
        <v>824</v>
      </c>
      <c r="F12576" s="705">
        <v>1.5130262354407058E-3</v>
      </c>
      <c r="G12576" s="705">
        <v>7.1638924642857136</v>
      </c>
    </row>
    <row r="12577" spans="2:7" ht="11.25" hidden="1" customHeight="1" outlineLevel="2" x14ac:dyDescent="0.25">
      <c r="B12577" s="704" t="s">
        <v>687</v>
      </c>
      <c r="C12577" s="704" t="s">
        <v>826</v>
      </c>
      <c r="D12577" s="704" t="s">
        <v>675</v>
      </c>
      <c r="E12577" s="704" t="s">
        <v>824</v>
      </c>
      <c r="F12577" s="705">
        <v>1.1247343896218461E-3</v>
      </c>
      <c r="G12577" s="705">
        <v>12.022362132269512</v>
      </c>
    </row>
    <row r="12578" spans="2:7" ht="11.25" hidden="1" customHeight="1" outlineLevel="2" x14ac:dyDescent="0.25">
      <c r="B12578" s="704" t="s">
        <v>687</v>
      </c>
      <c r="C12578" s="704" t="s">
        <v>827</v>
      </c>
      <c r="D12578" s="704" t="s">
        <v>675</v>
      </c>
      <c r="E12578" s="704" t="s">
        <v>824</v>
      </c>
      <c r="F12578" s="705">
        <v>8.3284729768302803E-4</v>
      </c>
      <c r="G12578" s="705">
        <v>1.9888586877675323</v>
      </c>
    </row>
    <row r="12579" spans="2:7" ht="11.25" hidden="1" customHeight="1" outlineLevel="2" x14ac:dyDescent="0.25">
      <c r="B12579" s="704" t="s">
        <v>687</v>
      </c>
      <c r="C12579" s="704" t="s">
        <v>828</v>
      </c>
      <c r="D12579" s="704" t="s">
        <v>675</v>
      </c>
      <c r="E12579" s="704" t="s">
        <v>824</v>
      </c>
      <c r="F12579" s="705">
        <v>2.2709946775811602E-4</v>
      </c>
      <c r="G12579" s="705">
        <v>1.2462636425712066</v>
      </c>
    </row>
    <row r="12580" spans="2:7" ht="11.25" hidden="1" customHeight="1" outlineLevel="2" x14ac:dyDescent="0.25">
      <c r="B12580" s="704" t="s">
        <v>687</v>
      </c>
      <c r="C12580" s="704" t="s">
        <v>829</v>
      </c>
      <c r="D12580" s="704" t="s">
        <v>675</v>
      </c>
      <c r="E12580" s="704" t="s">
        <v>824</v>
      </c>
      <c r="F12580" s="705">
        <v>4.9145871474715348E-3</v>
      </c>
      <c r="G12580" s="705">
        <v>22.054640761238225</v>
      </c>
    </row>
    <row r="12581" spans="2:7" ht="11.25" hidden="1" customHeight="1" outlineLevel="2" x14ac:dyDescent="0.25">
      <c r="B12581" s="704" t="s">
        <v>687</v>
      </c>
      <c r="C12581" s="704" t="s">
        <v>830</v>
      </c>
      <c r="D12581" s="704" t="s">
        <v>675</v>
      </c>
      <c r="E12581" s="704" t="s">
        <v>824</v>
      </c>
      <c r="F12581" s="705">
        <v>4.4586651636066652E-3</v>
      </c>
      <c r="G12581" s="705">
        <v>7.9409400726807311</v>
      </c>
    </row>
    <row r="12582" spans="2:7" ht="11.25" hidden="1" customHeight="1" outlineLevel="2" x14ac:dyDescent="0.25">
      <c r="B12582" s="704" t="s">
        <v>687</v>
      </c>
      <c r="C12582" s="704" t="s">
        <v>831</v>
      </c>
      <c r="D12582" s="704" t="s">
        <v>675</v>
      </c>
      <c r="E12582" s="704" t="s">
        <v>824</v>
      </c>
      <c r="F12582" s="705">
        <v>1.2370740350387294E-3</v>
      </c>
      <c r="G12582" s="705">
        <v>20.404074122770382</v>
      </c>
    </row>
    <row r="12583" spans="2:7" ht="11.25" hidden="1" customHeight="1" outlineLevel="2" x14ac:dyDescent="0.25">
      <c r="B12583" s="704" t="s">
        <v>687</v>
      </c>
      <c r="C12583" s="704" t="s">
        <v>832</v>
      </c>
      <c r="D12583" s="704" t="s">
        <v>675</v>
      </c>
      <c r="E12583" s="704" t="s">
        <v>824</v>
      </c>
      <c r="F12583" s="705">
        <v>3.3814995732835158E-3</v>
      </c>
      <c r="G12583" s="705">
        <v>8.1267285344898497</v>
      </c>
    </row>
    <row r="12584" spans="2:7" ht="11.25" hidden="1" customHeight="1" outlineLevel="2" x14ac:dyDescent="0.25">
      <c r="B12584" s="704" t="s">
        <v>687</v>
      </c>
      <c r="C12584" s="704" t="s">
        <v>833</v>
      </c>
      <c r="D12584" s="704" t="s">
        <v>675</v>
      </c>
      <c r="E12584" s="704" t="s">
        <v>824</v>
      </c>
      <c r="F12584" s="705">
        <v>5.1644756675154897E-4</v>
      </c>
      <c r="G12584" s="705">
        <v>1.307709499402848</v>
      </c>
    </row>
    <row r="12585" spans="2:7" ht="11.25" hidden="1" customHeight="1" outlineLevel="2" x14ac:dyDescent="0.25">
      <c r="B12585" s="704" t="s">
        <v>687</v>
      </c>
      <c r="C12585" s="704" t="s">
        <v>834</v>
      </c>
      <c r="D12585" s="704" t="s">
        <v>675</v>
      </c>
      <c r="E12585" s="704" t="s">
        <v>824</v>
      </c>
      <c r="F12585" s="705">
        <v>3.7407303370075124E-3</v>
      </c>
      <c r="G12585" s="705">
        <v>14.146565452900001</v>
      </c>
    </row>
    <row r="12586" spans="2:7" ht="11.25" hidden="1" customHeight="1" outlineLevel="2" x14ac:dyDescent="0.25">
      <c r="B12586" s="704" t="s">
        <v>687</v>
      </c>
      <c r="C12586" s="704" t="s">
        <v>835</v>
      </c>
      <c r="D12586" s="704" t="s">
        <v>675</v>
      </c>
      <c r="E12586" s="704" t="s">
        <v>824</v>
      </c>
      <c r="F12586" s="705">
        <v>4.6916856699225134E-3</v>
      </c>
      <c r="G12586" s="705">
        <v>34.447614323168551</v>
      </c>
    </row>
    <row r="12587" spans="2:7" ht="11.25" hidden="1" customHeight="1" outlineLevel="2" x14ac:dyDescent="0.25">
      <c r="B12587" s="704" t="s">
        <v>687</v>
      </c>
      <c r="C12587" s="704" t="s">
        <v>836</v>
      </c>
      <c r="D12587" s="704" t="s">
        <v>675</v>
      </c>
      <c r="E12587" s="704" t="s">
        <v>824</v>
      </c>
      <c r="F12587" s="705">
        <v>3.2736315883036997E-4</v>
      </c>
      <c r="G12587" s="705">
        <v>3.5984452966113158</v>
      </c>
    </row>
    <row r="12588" spans="2:7" ht="11.25" hidden="1" customHeight="1" outlineLevel="2" x14ac:dyDescent="0.25">
      <c r="B12588" s="704" t="s">
        <v>687</v>
      </c>
      <c r="C12588" s="704" t="s">
        <v>837</v>
      </c>
      <c r="D12588" s="704" t="s">
        <v>675</v>
      </c>
      <c r="E12588" s="704" t="s">
        <v>824</v>
      </c>
      <c r="F12588" s="705">
        <v>1.0796137447477575E-2</v>
      </c>
      <c r="G12588" s="705">
        <v>29.808220795102628</v>
      </c>
    </row>
    <row r="12589" spans="2:7" ht="11.25" hidden="1" customHeight="1" outlineLevel="2" x14ac:dyDescent="0.25">
      <c r="B12589" s="704" t="s">
        <v>687</v>
      </c>
      <c r="C12589" s="704" t="s">
        <v>838</v>
      </c>
      <c r="D12589" s="704" t="s">
        <v>675</v>
      </c>
      <c r="E12589" s="704" t="s">
        <v>824</v>
      </c>
      <c r="F12589" s="705">
        <v>5.5689581247559423E-3</v>
      </c>
      <c r="G12589" s="705">
        <v>12.326947350576637</v>
      </c>
    </row>
    <row r="12590" spans="2:7" ht="11.25" hidden="1" customHeight="1" outlineLevel="2" x14ac:dyDescent="0.25">
      <c r="B12590" s="704" t="s">
        <v>687</v>
      </c>
      <c r="C12590" s="704" t="s">
        <v>674</v>
      </c>
      <c r="D12590" s="704" t="s">
        <v>675</v>
      </c>
      <c r="E12590" s="704" t="s">
        <v>676</v>
      </c>
      <c r="F12590" s="705">
        <v>1.5792349637501455E-2</v>
      </c>
      <c r="G12590" s="705">
        <v>0.39082648490303912</v>
      </c>
    </row>
    <row r="12591" spans="2:7" ht="11.25" hidden="1" customHeight="1" outlineLevel="2" x14ac:dyDescent="0.25">
      <c r="B12591" s="704" t="s">
        <v>687</v>
      </c>
      <c r="C12591" s="704" t="s">
        <v>862</v>
      </c>
      <c r="D12591" s="704" t="s">
        <v>675</v>
      </c>
      <c r="E12591" s="704" t="s">
        <v>861</v>
      </c>
      <c r="F12591" s="709"/>
      <c r="G12591" s="705">
        <v>1160.40916776105</v>
      </c>
    </row>
    <row r="12592" spans="2:7" ht="11.25" hidden="1" customHeight="1" outlineLevel="2" x14ac:dyDescent="0.25">
      <c r="B12592" s="704" t="s">
        <v>687</v>
      </c>
      <c r="C12592" s="704" t="s">
        <v>863</v>
      </c>
      <c r="D12592" s="704" t="s">
        <v>675</v>
      </c>
      <c r="E12592" s="704" t="s">
        <v>861</v>
      </c>
      <c r="F12592" s="709"/>
      <c r="G12592" s="705">
        <v>1.8915456825712469</v>
      </c>
    </row>
    <row r="12593" spans="2:7" ht="11.25" hidden="1" customHeight="1" outlineLevel="2" x14ac:dyDescent="0.25">
      <c r="B12593" s="704" t="s">
        <v>687</v>
      </c>
      <c r="C12593" s="704" t="s">
        <v>864</v>
      </c>
      <c r="D12593" s="704" t="s">
        <v>675</v>
      </c>
      <c r="E12593" s="704" t="s">
        <v>861</v>
      </c>
      <c r="F12593" s="709"/>
      <c r="G12593" s="705">
        <v>31.162552686777417</v>
      </c>
    </row>
    <row r="12594" spans="2:7" ht="11.25" hidden="1" customHeight="1" outlineLevel="2" x14ac:dyDescent="0.25">
      <c r="B12594" s="704" t="s">
        <v>687</v>
      </c>
      <c r="C12594" s="704" t="s">
        <v>865</v>
      </c>
      <c r="D12594" s="704" t="s">
        <v>675</v>
      </c>
      <c r="E12594" s="704" t="s">
        <v>861</v>
      </c>
      <c r="F12594" s="709"/>
      <c r="G12594" s="705">
        <v>2904.640285784425</v>
      </c>
    </row>
    <row r="12595" spans="2:7" ht="11.25" hidden="1" customHeight="1" outlineLevel="2" x14ac:dyDescent="0.25">
      <c r="B12595" s="704" t="s">
        <v>687</v>
      </c>
      <c r="C12595" s="704" t="s">
        <v>866</v>
      </c>
      <c r="D12595" s="704" t="s">
        <v>675</v>
      </c>
      <c r="E12595" s="704" t="s">
        <v>861</v>
      </c>
      <c r="F12595" s="709"/>
      <c r="G12595" s="705">
        <v>3159.6383806230751</v>
      </c>
    </row>
    <row r="12596" spans="2:7" ht="11.25" hidden="1" customHeight="1" outlineLevel="2" x14ac:dyDescent="0.25">
      <c r="B12596" s="704" t="s">
        <v>687</v>
      </c>
      <c r="C12596" s="704" t="s">
        <v>867</v>
      </c>
      <c r="D12596" s="704" t="s">
        <v>675</v>
      </c>
      <c r="E12596" s="704" t="s">
        <v>861</v>
      </c>
      <c r="F12596" s="709"/>
      <c r="G12596" s="705">
        <v>174.07522543603619</v>
      </c>
    </row>
    <row r="12597" spans="2:7" ht="11.25" hidden="1" customHeight="1" outlineLevel="2" x14ac:dyDescent="0.25">
      <c r="B12597" s="704" t="s">
        <v>687</v>
      </c>
      <c r="C12597" s="704" t="s">
        <v>868</v>
      </c>
      <c r="D12597" s="704" t="s">
        <v>675</v>
      </c>
      <c r="E12597" s="704" t="s">
        <v>861</v>
      </c>
      <c r="F12597" s="709"/>
      <c r="G12597" s="705">
        <v>107.44442346760717</v>
      </c>
    </row>
    <row r="12598" spans="2:7" ht="11.25" hidden="1" customHeight="1" outlineLevel="2" x14ac:dyDescent="0.25">
      <c r="B12598" s="704" t="s">
        <v>687</v>
      </c>
      <c r="C12598" s="704" t="s">
        <v>869</v>
      </c>
      <c r="D12598" s="704" t="s">
        <v>675</v>
      </c>
      <c r="E12598" s="704" t="s">
        <v>861</v>
      </c>
      <c r="F12598" s="709"/>
      <c r="G12598" s="705">
        <v>320.82367647194184</v>
      </c>
    </row>
    <row r="12599" spans="2:7" ht="11.25" hidden="1" customHeight="1" outlineLevel="2" x14ac:dyDescent="0.25">
      <c r="B12599" s="704" t="s">
        <v>687</v>
      </c>
      <c r="C12599" s="704" t="s">
        <v>870</v>
      </c>
      <c r="D12599" s="704" t="s">
        <v>675</v>
      </c>
      <c r="E12599" s="704" t="s">
        <v>861</v>
      </c>
      <c r="F12599" s="709"/>
      <c r="G12599" s="705">
        <v>1377.9998850884388</v>
      </c>
    </row>
    <row r="12600" spans="2:7" ht="11.25" hidden="1" customHeight="1" outlineLevel="2" x14ac:dyDescent="0.25">
      <c r="B12600" s="704" t="s">
        <v>687</v>
      </c>
      <c r="C12600" s="704" t="s">
        <v>871</v>
      </c>
      <c r="D12600" s="704" t="s">
        <v>675</v>
      </c>
      <c r="E12600" s="704" t="s">
        <v>861</v>
      </c>
      <c r="F12600" s="709"/>
      <c r="G12600" s="705">
        <v>1184.9186179475223</v>
      </c>
    </row>
    <row r="12601" spans="2:7" ht="11.25" hidden="1" customHeight="1" outlineLevel="2" x14ac:dyDescent="0.25">
      <c r="B12601" s="704" t="s">
        <v>687</v>
      </c>
      <c r="C12601" s="704" t="s">
        <v>872</v>
      </c>
      <c r="D12601" s="704" t="s">
        <v>675</v>
      </c>
      <c r="E12601" s="704" t="s">
        <v>861</v>
      </c>
      <c r="F12601" s="709"/>
      <c r="G12601" s="705">
        <v>11771.397969823965</v>
      </c>
    </row>
    <row r="12602" spans="2:7" ht="11.25" hidden="1" customHeight="1" outlineLevel="2" x14ac:dyDescent="0.25">
      <c r="B12602" s="704" t="s">
        <v>687</v>
      </c>
      <c r="C12602" s="704" t="s">
        <v>873</v>
      </c>
      <c r="D12602" s="704" t="s">
        <v>675</v>
      </c>
      <c r="E12602" s="704" t="s">
        <v>861</v>
      </c>
      <c r="F12602" s="709"/>
      <c r="G12602" s="705">
        <v>97.643179566578894</v>
      </c>
    </row>
    <row r="12603" spans="2:7" ht="11.25" hidden="1" customHeight="1" outlineLevel="2" x14ac:dyDescent="0.25">
      <c r="B12603" s="704" t="s">
        <v>687</v>
      </c>
      <c r="C12603" s="704" t="s">
        <v>874</v>
      </c>
      <c r="D12603" s="704" t="s">
        <v>675</v>
      </c>
      <c r="E12603" s="704" t="s">
        <v>861</v>
      </c>
      <c r="F12603" s="709"/>
      <c r="G12603" s="705">
        <v>46.121336151582284</v>
      </c>
    </row>
    <row r="12604" spans="2:7" ht="11.25" hidden="1" customHeight="1" outlineLevel="2" x14ac:dyDescent="0.25">
      <c r="B12604" s="704" t="s">
        <v>687</v>
      </c>
      <c r="C12604" s="704" t="s">
        <v>875</v>
      </c>
      <c r="D12604" s="704" t="s">
        <v>675</v>
      </c>
      <c r="E12604" s="704" t="s">
        <v>861</v>
      </c>
      <c r="F12604" s="709"/>
      <c r="G12604" s="705">
        <v>2688.4852431611257</v>
      </c>
    </row>
    <row r="12605" spans="2:7" ht="11.25" hidden="1" customHeight="1" outlineLevel="2" x14ac:dyDescent="0.25">
      <c r="B12605" s="704" t="s">
        <v>687</v>
      </c>
      <c r="C12605" s="704" t="s">
        <v>876</v>
      </c>
      <c r="D12605" s="704" t="s">
        <v>675</v>
      </c>
      <c r="E12605" s="704" t="s">
        <v>861</v>
      </c>
      <c r="F12605" s="709"/>
      <c r="G12605" s="705">
        <v>2928.6491964408356</v>
      </c>
    </row>
    <row r="12606" spans="2:7" ht="11.25" hidden="1" customHeight="1" outlineLevel="2" x14ac:dyDescent="0.25">
      <c r="B12606" s="704" t="s">
        <v>687</v>
      </c>
      <c r="C12606" s="704" t="s">
        <v>877</v>
      </c>
      <c r="D12606" s="704" t="s">
        <v>675</v>
      </c>
      <c r="E12606" s="704" t="s">
        <v>861</v>
      </c>
      <c r="F12606" s="709"/>
      <c r="G12606" s="705">
        <v>10068.000191282936</v>
      </c>
    </row>
    <row r="12607" spans="2:7" ht="11.25" hidden="1" customHeight="1" outlineLevel="2" x14ac:dyDescent="0.25">
      <c r="B12607" s="704" t="s">
        <v>687</v>
      </c>
      <c r="C12607" s="704" t="s">
        <v>878</v>
      </c>
      <c r="D12607" s="704" t="s">
        <v>675</v>
      </c>
      <c r="E12607" s="704" t="s">
        <v>861</v>
      </c>
      <c r="F12607" s="709"/>
      <c r="G12607" s="705">
        <v>473.98756264287744</v>
      </c>
    </row>
    <row r="12608" spans="2:7" ht="11.25" hidden="1" customHeight="1" outlineLevel="2" x14ac:dyDescent="0.25">
      <c r="B12608" s="704" t="s">
        <v>687</v>
      </c>
      <c r="C12608" s="704" t="s">
        <v>879</v>
      </c>
      <c r="D12608" s="704" t="s">
        <v>675</v>
      </c>
      <c r="E12608" s="704" t="s">
        <v>861</v>
      </c>
      <c r="F12608" s="709"/>
      <c r="G12608" s="705">
        <v>3767.8820646535496</v>
      </c>
    </row>
    <row r="12609" spans="2:7" ht="11.25" hidden="1" customHeight="1" outlineLevel="2" x14ac:dyDescent="0.25">
      <c r="B12609" s="704" t="s">
        <v>687</v>
      </c>
      <c r="C12609" s="704" t="s">
        <v>880</v>
      </c>
      <c r="D12609" s="704" t="s">
        <v>675</v>
      </c>
      <c r="E12609" s="704" t="s">
        <v>861</v>
      </c>
      <c r="F12609" s="709"/>
      <c r="G12609" s="705">
        <v>12812.673110270667</v>
      </c>
    </row>
    <row r="12610" spans="2:7" ht="11.25" hidden="1" customHeight="1" outlineLevel="2" x14ac:dyDescent="0.25">
      <c r="B12610" s="704" t="s">
        <v>687</v>
      </c>
      <c r="C12610" s="704" t="s">
        <v>881</v>
      </c>
      <c r="D12610" s="704" t="s">
        <v>675</v>
      </c>
      <c r="E12610" s="704" t="s">
        <v>861</v>
      </c>
      <c r="F12610" s="709"/>
      <c r="G12610" s="705">
        <v>7770.1093539595249</v>
      </c>
    </row>
    <row r="12611" spans="2:7" ht="11.25" hidden="1" customHeight="1" outlineLevel="2" x14ac:dyDescent="0.25">
      <c r="B12611" s="704" t="s">
        <v>687</v>
      </c>
      <c r="C12611" s="704" t="s">
        <v>882</v>
      </c>
      <c r="D12611" s="704" t="s">
        <v>675</v>
      </c>
      <c r="E12611" s="704" t="s">
        <v>861</v>
      </c>
      <c r="F12611" s="709"/>
      <c r="G12611" s="705">
        <v>11726.100566564326</v>
      </c>
    </row>
    <row r="12612" spans="2:7" ht="11.25" hidden="1" customHeight="1" outlineLevel="2" x14ac:dyDescent="0.25">
      <c r="B12612" s="704" t="s">
        <v>687</v>
      </c>
      <c r="C12612" s="704" t="s">
        <v>883</v>
      </c>
      <c r="D12612" s="704" t="s">
        <v>675</v>
      </c>
      <c r="E12612" s="704" t="s">
        <v>861</v>
      </c>
      <c r="F12612" s="709"/>
      <c r="G12612" s="705">
        <v>5327.8942050405531</v>
      </c>
    </row>
    <row r="12613" spans="2:7" ht="11.25" hidden="1" customHeight="1" outlineLevel="2" x14ac:dyDescent="0.25">
      <c r="B12613" s="704" t="s">
        <v>687</v>
      </c>
      <c r="C12613" s="704" t="s">
        <v>884</v>
      </c>
      <c r="D12613" s="704" t="s">
        <v>675</v>
      </c>
      <c r="E12613" s="704" t="s">
        <v>861</v>
      </c>
      <c r="F12613" s="709"/>
      <c r="G12613" s="705">
        <v>1261.2818437877168</v>
      </c>
    </row>
    <row r="12614" spans="2:7" ht="11.25" hidden="1" customHeight="1" outlineLevel="2" x14ac:dyDescent="0.25">
      <c r="B12614" s="704" t="s">
        <v>687</v>
      </c>
      <c r="C12614" s="704" t="s">
        <v>885</v>
      </c>
      <c r="D12614" s="704" t="s">
        <v>675</v>
      </c>
      <c r="E12614" s="704" t="s">
        <v>861</v>
      </c>
      <c r="F12614" s="709"/>
      <c r="G12614" s="705">
        <v>16.415649059560497</v>
      </c>
    </row>
    <row r="12615" spans="2:7" ht="11.25" hidden="1" customHeight="1" outlineLevel="2" x14ac:dyDescent="0.25">
      <c r="B12615" s="704" t="s">
        <v>687</v>
      </c>
      <c r="C12615" s="704" t="s">
        <v>886</v>
      </c>
      <c r="D12615" s="704" t="s">
        <v>675</v>
      </c>
      <c r="E12615" s="704" t="s">
        <v>861</v>
      </c>
      <c r="F12615" s="709"/>
      <c r="G12615" s="705">
        <v>1208.607596974706</v>
      </c>
    </row>
    <row r="12616" spans="2:7" ht="11.25" hidden="1" customHeight="1" outlineLevel="2" x14ac:dyDescent="0.25">
      <c r="B12616" s="704" t="s">
        <v>687</v>
      </c>
      <c r="C12616" s="704" t="s">
        <v>725</v>
      </c>
      <c r="D12616" s="704" t="s">
        <v>563</v>
      </c>
      <c r="E12616" s="704" t="s">
        <v>448</v>
      </c>
      <c r="F12616" s="705">
        <v>5.1599826808181363E-4</v>
      </c>
      <c r="G12616" s="705">
        <v>0.23132099884656371</v>
      </c>
    </row>
    <row r="12617" spans="2:7" ht="11.25" hidden="1" customHeight="1" outlineLevel="2" x14ac:dyDescent="0.25">
      <c r="B12617" s="704" t="s">
        <v>687</v>
      </c>
      <c r="C12617" s="704" t="s">
        <v>726</v>
      </c>
      <c r="D12617" s="704" t="s">
        <v>563</v>
      </c>
      <c r="E12617" s="704" t="s">
        <v>448</v>
      </c>
      <c r="F12617" s="705">
        <v>4.0639423225723539E-5</v>
      </c>
      <c r="G12617" s="705">
        <v>1.8218558563448183E-2</v>
      </c>
    </row>
    <row r="12618" spans="2:7" ht="11.25" hidden="1" customHeight="1" outlineLevel="2" x14ac:dyDescent="0.25">
      <c r="B12618" s="704" t="s">
        <v>687</v>
      </c>
      <c r="C12618" s="704" t="s">
        <v>769</v>
      </c>
      <c r="D12618" s="704" t="s">
        <v>563</v>
      </c>
      <c r="E12618" s="704" t="s">
        <v>448</v>
      </c>
      <c r="F12618" s="705">
        <v>2.645061454633274E-2</v>
      </c>
      <c r="G12618" s="705">
        <v>28.136632427405448</v>
      </c>
    </row>
    <row r="12619" spans="2:7" ht="11.25" hidden="1" customHeight="1" outlineLevel="2" x14ac:dyDescent="0.25">
      <c r="B12619" s="704" t="s">
        <v>687</v>
      </c>
      <c r="C12619" s="704" t="s">
        <v>770</v>
      </c>
      <c r="D12619" s="704" t="s">
        <v>563</v>
      </c>
      <c r="E12619" s="704" t="s">
        <v>448</v>
      </c>
      <c r="F12619" s="705">
        <v>2.4049372059505834E-2</v>
      </c>
      <c r="G12619" s="705">
        <v>83.3201407745008</v>
      </c>
    </row>
    <row r="12620" spans="2:7" ht="11.25" hidden="1" customHeight="1" outlineLevel="2" x14ac:dyDescent="0.25">
      <c r="B12620" s="704" t="s">
        <v>687</v>
      </c>
      <c r="C12620" s="704" t="s">
        <v>771</v>
      </c>
      <c r="D12620" s="704" t="s">
        <v>563</v>
      </c>
      <c r="E12620" s="704" t="s">
        <v>448</v>
      </c>
      <c r="F12620" s="705">
        <v>8.9982292301437564E-3</v>
      </c>
      <c r="G12620" s="705">
        <v>21.042678982774646</v>
      </c>
    </row>
    <row r="12621" spans="2:7" ht="11.25" hidden="1" customHeight="1" outlineLevel="2" x14ac:dyDescent="0.25">
      <c r="B12621" s="704" t="s">
        <v>687</v>
      </c>
      <c r="C12621" s="704" t="s">
        <v>772</v>
      </c>
      <c r="D12621" s="704" t="s">
        <v>563</v>
      </c>
      <c r="E12621" s="704" t="s">
        <v>448</v>
      </c>
      <c r="F12621" s="705">
        <v>3.0189895123715473E-2</v>
      </c>
      <c r="G12621" s="705">
        <v>39.222631885138789</v>
      </c>
    </row>
    <row r="12622" spans="2:7" ht="11.25" hidden="1" customHeight="1" outlineLevel="2" x14ac:dyDescent="0.25">
      <c r="B12622" s="704" t="s">
        <v>687</v>
      </c>
      <c r="C12622" s="704" t="s">
        <v>773</v>
      </c>
      <c r="D12622" s="704" t="s">
        <v>563</v>
      </c>
      <c r="E12622" s="704" t="s">
        <v>448</v>
      </c>
      <c r="F12622" s="705">
        <v>1.6898121503503016E-3</v>
      </c>
      <c r="G12622" s="705">
        <v>1.9271134739456643</v>
      </c>
    </row>
    <row r="12623" spans="2:7" ht="11.25" hidden="1" customHeight="1" outlineLevel="2" x14ac:dyDescent="0.25">
      <c r="B12623" s="704" t="s">
        <v>687</v>
      </c>
      <c r="C12623" s="704" t="s">
        <v>774</v>
      </c>
      <c r="D12623" s="704" t="s">
        <v>563</v>
      </c>
      <c r="E12623" s="704" t="s">
        <v>448</v>
      </c>
      <c r="F12623" s="705">
        <v>1.1544859187757458E-3</v>
      </c>
      <c r="G12623" s="705">
        <v>1.5551150217003011</v>
      </c>
    </row>
    <row r="12624" spans="2:7" ht="11.25" hidden="1" customHeight="1" outlineLevel="2" x14ac:dyDescent="0.25">
      <c r="B12624" s="704" t="s">
        <v>687</v>
      </c>
      <c r="C12624" s="704" t="s">
        <v>775</v>
      </c>
      <c r="D12624" s="704" t="s">
        <v>563</v>
      </c>
      <c r="E12624" s="704" t="s">
        <v>448</v>
      </c>
      <c r="F12624" s="705">
        <v>6.6400027421077538E-4</v>
      </c>
      <c r="G12624" s="705">
        <v>8.4960343084771068</v>
      </c>
    </row>
    <row r="12625" spans="2:7" ht="11.25" hidden="1" customHeight="1" outlineLevel="2" x14ac:dyDescent="0.25">
      <c r="B12625" s="704" t="s">
        <v>687</v>
      </c>
      <c r="C12625" s="704" t="s">
        <v>839</v>
      </c>
      <c r="D12625" s="704" t="s">
        <v>563</v>
      </c>
      <c r="E12625" s="704" t="s">
        <v>824</v>
      </c>
      <c r="F12625" s="705">
        <v>2.9372781034484555E-2</v>
      </c>
      <c r="G12625" s="705">
        <v>71.277985785095211</v>
      </c>
    </row>
    <row r="12626" spans="2:7" ht="11.25" hidden="1" customHeight="1" outlineLevel="2" x14ac:dyDescent="0.25">
      <c r="B12626" s="704" t="s">
        <v>687</v>
      </c>
      <c r="C12626" s="704" t="s">
        <v>840</v>
      </c>
      <c r="D12626" s="704" t="s">
        <v>563</v>
      </c>
      <c r="E12626" s="704" t="s">
        <v>824</v>
      </c>
      <c r="F12626" s="705">
        <v>0.85599163135381018</v>
      </c>
      <c r="G12626" s="705">
        <v>6302.0711690303615</v>
      </c>
    </row>
    <row r="12627" spans="2:7" ht="11.25" hidden="1" customHeight="1" outlineLevel="2" x14ac:dyDescent="0.25">
      <c r="B12627" s="704" t="s">
        <v>687</v>
      </c>
      <c r="C12627" s="704" t="s">
        <v>841</v>
      </c>
      <c r="D12627" s="704" t="s">
        <v>563</v>
      </c>
      <c r="E12627" s="704" t="s">
        <v>824</v>
      </c>
      <c r="F12627" s="705">
        <v>4.1634972241179251E-3</v>
      </c>
      <c r="G12627" s="705">
        <v>47.643789211216948</v>
      </c>
    </row>
    <row r="12628" spans="2:7" ht="11.25" hidden="1" customHeight="1" outlineLevel="2" x14ac:dyDescent="0.25">
      <c r="B12628" s="704" t="s">
        <v>687</v>
      </c>
      <c r="C12628" s="704" t="s">
        <v>842</v>
      </c>
      <c r="D12628" s="704" t="s">
        <v>563</v>
      </c>
      <c r="E12628" s="704" t="s">
        <v>824</v>
      </c>
      <c r="F12628" s="705">
        <v>1.5087482904487047E-3</v>
      </c>
      <c r="G12628" s="705">
        <v>14.767377802840413</v>
      </c>
    </row>
    <row r="12629" spans="2:7" ht="11.25" hidden="1" customHeight="1" outlineLevel="2" x14ac:dyDescent="0.25">
      <c r="B12629" s="704" t="s">
        <v>687</v>
      </c>
      <c r="C12629" s="704" t="s">
        <v>843</v>
      </c>
      <c r="D12629" s="704" t="s">
        <v>563</v>
      </c>
      <c r="E12629" s="704" t="s">
        <v>824</v>
      </c>
      <c r="F12629" s="705">
        <v>1.458291565600433E-3</v>
      </c>
      <c r="G12629" s="705">
        <v>3.8102376035363026</v>
      </c>
    </row>
    <row r="12630" spans="2:7" ht="11.25" hidden="1" customHeight="1" outlineLevel="2" x14ac:dyDescent="0.25">
      <c r="B12630" s="704" t="s">
        <v>687</v>
      </c>
      <c r="C12630" s="704" t="s">
        <v>844</v>
      </c>
      <c r="D12630" s="704" t="s">
        <v>563</v>
      </c>
      <c r="E12630" s="704" t="s">
        <v>824</v>
      </c>
      <c r="F12630" s="705">
        <v>1.4583524987696963E-3</v>
      </c>
      <c r="G12630" s="705">
        <v>28.981351014036559</v>
      </c>
    </row>
    <row r="12631" spans="2:7" ht="11.25" hidden="1" customHeight="1" outlineLevel="2" x14ac:dyDescent="0.25">
      <c r="B12631" s="704" t="s">
        <v>687</v>
      </c>
      <c r="C12631" s="704" t="s">
        <v>700</v>
      </c>
      <c r="D12631" s="704" t="s">
        <v>563</v>
      </c>
      <c r="E12631" s="704" t="s">
        <v>676</v>
      </c>
      <c r="F12631" s="705">
        <v>4.4207684572623789</v>
      </c>
      <c r="G12631" s="705">
        <v>372.0332355345929</v>
      </c>
    </row>
    <row r="12632" spans="2:7" ht="11.25" hidden="1" customHeight="1" outlineLevel="2" x14ac:dyDescent="0.25">
      <c r="B12632" s="704" t="s">
        <v>687</v>
      </c>
      <c r="C12632" s="704" t="s">
        <v>701</v>
      </c>
      <c r="D12632" s="704" t="s">
        <v>563</v>
      </c>
      <c r="E12632" s="704" t="s">
        <v>676</v>
      </c>
      <c r="F12632" s="705">
        <v>4.8286152461180206E-3</v>
      </c>
      <c r="G12632" s="705">
        <v>0.42282894972852297</v>
      </c>
    </row>
    <row r="12633" spans="2:7" ht="11.25" hidden="1" customHeight="1" outlineLevel="2" x14ac:dyDescent="0.25">
      <c r="B12633" s="704" t="s">
        <v>687</v>
      </c>
      <c r="C12633" s="704" t="s">
        <v>702</v>
      </c>
      <c r="D12633" s="704" t="s">
        <v>563</v>
      </c>
      <c r="E12633" s="704" t="s">
        <v>676</v>
      </c>
      <c r="F12633" s="705">
        <v>2.2530262438766172E-3</v>
      </c>
      <c r="G12633" s="705">
        <v>0.23091195476091103</v>
      </c>
    </row>
    <row r="12634" spans="2:7" ht="11.25" hidden="1" customHeight="1" outlineLevel="2" x14ac:dyDescent="0.25">
      <c r="B12634" s="704" t="s">
        <v>687</v>
      </c>
      <c r="C12634" s="704" t="s">
        <v>703</v>
      </c>
      <c r="D12634" s="704" t="s">
        <v>563</v>
      </c>
      <c r="E12634" s="704" t="s">
        <v>676</v>
      </c>
      <c r="F12634" s="705">
        <v>1.4907752687707899E-2</v>
      </c>
      <c r="G12634" s="705">
        <v>1.4680272332954276</v>
      </c>
    </row>
    <row r="12635" spans="2:7" ht="11.25" hidden="1" customHeight="1" outlineLevel="2" x14ac:dyDescent="0.25">
      <c r="B12635" s="704" t="s">
        <v>687</v>
      </c>
      <c r="C12635" s="704" t="s">
        <v>704</v>
      </c>
      <c r="D12635" s="704" t="s">
        <v>563</v>
      </c>
      <c r="E12635" s="704" t="s">
        <v>676</v>
      </c>
      <c r="F12635" s="705">
        <v>7.6725515794938727E-3</v>
      </c>
      <c r="G12635" s="705">
        <v>1.7253894890159618</v>
      </c>
    </row>
    <row r="12636" spans="2:7" ht="11.25" hidden="1" customHeight="1" outlineLevel="2" x14ac:dyDescent="0.25">
      <c r="B12636" s="704" t="s">
        <v>687</v>
      </c>
      <c r="C12636" s="704" t="s">
        <v>887</v>
      </c>
      <c r="D12636" s="704" t="s">
        <v>563</v>
      </c>
      <c r="E12636" s="704" t="s">
        <v>861</v>
      </c>
      <c r="F12636" s="709"/>
      <c r="G12636" s="705">
        <v>115.9664730093467</v>
      </c>
    </row>
    <row r="12637" spans="2:7" ht="11.25" hidden="1" customHeight="1" outlineLevel="2" x14ac:dyDescent="0.25">
      <c r="B12637" s="704" t="s">
        <v>687</v>
      </c>
      <c r="C12637" s="704" t="s">
        <v>888</v>
      </c>
      <c r="D12637" s="704" t="s">
        <v>563</v>
      </c>
      <c r="E12637" s="704" t="s">
        <v>861</v>
      </c>
      <c r="F12637" s="709"/>
      <c r="G12637" s="705">
        <v>1682.7400805883935</v>
      </c>
    </row>
    <row r="12638" spans="2:7" ht="11.25" hidden="1" customHeight="1" outlineLevel="2" x14ac:dyDescent="0.25">
      <c r="B12638" s="704" t="s">
        <v>687</v>
      </c>
      <c r="C12638" s="704" t="s">
        <v>889</v>
      </c>
      <c r="D12638" s="704" t="s">
        <v>563</v>
      </c>
      <c r="E12638" s="704" t="s">
        <v>861</v>
      </c>
      <c r="F12638" s="709"/>
      <c r="G12638" s="705">
        <v>734.4606577538533</v>
      </c>
    </row>
    <row r="12639" spans="2:7" ht="11.25" hidden="1" customHeight="1" outlineLevel="2" x14ac:dyDescent="0.25">
      <c r="B12639" s="704" t="s">
        <v>687</v>
      </c>
      <c r="C12639" s="704" t="s">
        <v>890</v>
      </c>
      <c r="D12639" s="704" t="s">
        <v>563</v>
      </c>
      <c r="E12639" s="704" t="s">
        <v>861</v>
      </c>
      <c r="F12639" s="709"/>
      <c r="G12639" s="705">
        <v>745.46927106436704</v>
      </c>
    </row>
    <row r="12640" spans="2:7" ht="11.25" hidden="1" customHeight="1" outlineLevel="2" x14ac:dyDescent="0.25">
      <c r="B12640" s="704" t="s">
        <v>687</v>
      </c>
      <c r="C12640" s="704" t="s">
        <v>891</v>
      </c>
      <c r="D12640" s="704" t="s">
        <v>563</v>
      </c>
      <c r="E12640" s="704" t="s">
        <v>861</v>
      </c>
      <c r="F12640" s="709"/>
      <c r="G12640" s="705">
        <v>28.658502356218367</v>
      </c>
    </row>
    <row r="12641" spans="2:7" ht="11.25" hidden="1" customHeight="1" outlineLevel="2" x14ac:dyDescent="0.25">
      <c r="B12641" s="704" t="s">
        <v>687</v>
      </c>
      <c r="C12641" s="704" t="s">
        <v>892</v>
      </c>
      <c r="D12641" s="704" t="s">
        <v>563</v>
      </c>
      <c r="E12641" s="704" t="s">
        <v>861</v>
      </c>
      <c r="F12641" s="709"/>
      <c r="G12641" s="705">
        <v>4270.1208080855749</v>
      </c>
    </row>
    <row r="12642" spans="2:7" ht="11.25" hidden="1" customHeight="1" outlineLevel="2" x14ac:dyDescent="0.25">
      <c r="B12642" s="704" t="s">
        <v>687</v>
      </c>
      <c r="C12642" s="704" t="s">
        <v>893</v>
      </c>
      <c r="D12642" s="704" t="s">
        <v>563</v>
      </c>
      <c r="E12642" s="704" t="s">
        <v>861</v>
      </c>
      <c r="F12642" s="709"/>
      <c r="G12642" s="705">
        <v>1059.4140776082343</v>
      </c>
    </row>
    <row r="12643" spans="2:7" ht="11.25" hidden="1" customHeight="1" outlineLevel="2" x14ac:dyDescent="0.25">
      <c r="B12643" s="704" t="s">
        <v>687</v>
      </c>
      <c r="C12643" s="704" t="s">
        <v>727</v>
      </c>
      <c r="D12643" s="704" t="s">
        <v>728</v>
      </c>
      <c r="E12643" s="704" t="s">
        <v>448</v>
      </c>
      <c r="F12643" s="705">
        <v>1.5952622606024133E-2</v>
      </c>
      <c r="G12643" s="705">
        <v>8.7364784624170646</v>
      </c>
    </row>
    <row r="12644" spans="2:7" ht="11.25" hidden="1" customHeight="1" outlineLevel="2" x14ac:dyDescent="0.25">
      <c r="B12644" s="704" t="s">
        <v>687</v>
      </c>
      <c r="C12644" s="704" t="s">
        <v>729</v>
      </c>
      <c r="D12644" s="704" t="s">
        <v>728</v>
      </c>
      <c r="E12644" s="704" t="s">
        <v>448</v>
      </c>
      <c r="F12644" s="705">
        <v>8.0324625755776063E-2</v>
      </c>
      <c r="G12644" s="705">
        <v>43.348956699352343</v>
      </c>
    </row>
    <row r="12645" spans="2:7" ht="11.25" hidden="1" customHeight="1" outlineLevel="2" x14ac:dyDescent="0.25">
      <c r="B12645" s="704" t="s">
        <v>687</v>
      </c>
      <c r="C12645" s="704" t="s">
        <v>730</v>
      </c>
      <c r="D12645" s="704" t="s">
        <v>728</v>
      </c>
      <c r="E12645" s="704" t="s">
        <v>448</v>
      </c>
      <c r="F12645" s="705">
        <v>0.22888577791907611</v>
      </c>
      <c r="G12645" s="705">
        <v>119.3475241537588</v>
      </c>
    </row>
    <row r="12646" spans="2:7" ht="11.25" hidden="1" customHeight="1" outlineLevel="2" x14ac:dyDescent="0.25">
      <c r="B12646" s="704" t="s">
        <v>687</v>
      </c>
      <c r="C12646" s="704" t="s">
        <v>731</v>
      </c>
      <c r="D12646" s="704" t="s">
        <v>728</v>
      </c>
      <c r="E12646" s="704" t="s">
        <v>448</v>
      </c>
      <c r="F12646" s="705">
        <v>0.87982313677781809</v>
      </c>
      <c r="G12646" s="705">
        <v>482.42756643922843</v>
      </c>
    </row>
    <row r="12647" spans="2:7" ht="11.25" hidden="1" customHeight="1" outlineLevel="2" x14ac:dyDescent="0.25">
      <c r="B12647" s="704" t="s">
        <v>687</v>
      </c>
      <c r="C12647" s="704" t="s">
        <v>732</v>
      </c>
      <c r="D12647" s="704" t="s">
        <v>728</v>
      </c>
      <c r="E12647" s="704" t="s">
        <v>448</v>
      </c>
      <c r="F12647" s="705">
        <v>0.28222735063658472</v>
      </c>
      <c r="G12647" s="705">
        <v>166.31656606306547</v>
      </c>
    </row>
    <row r="12648" spans="2:7" ht="11.25" hidden="1" customHeight="1" outlineLevel="2" x14ac:dyDescent="0.25">
      <c r="B12648" s="704" t="s">
        <v>687</v>
      </c>
      <c r="C12648" s="704" t="s">
        <v>733</v>
      </c>
      <c r="D12648" s="704" t="s">
        <v>728</v>
      </c>
      <c r="E12648" s="704" t="s">
        <v>448</v>
      </c>
      <c r="F12648" s="705">
        <v>0.83083387869847658</v>
      </c>
      <c r="G12648" s="705">
        <v>420.66841930600651</v>
      </c>
    </row>
    <row r="12649" spans="2:7" ht="11.25" hidden="1" customHeight="1" outlineLevel="2" x14ac:dyDescent="0.25">
      <c r="B12649" s="704" t="s">
        <v>687</v>
      </c>
      <c r="C12649" s="704" t="s">
        <v>734</v>
      </c>
      <c r="D12649" s="704" t="s">
        <v>728</v>
      </c>
      <c r="E12649" s="704" t="s">
        <v>448</v>
      </c>
      <c r="F12649" s="705">
        <v>0.19893173516141682</v>
      </c>
      <c r="G12649" s="705">
        <v>107.04097688539052</v>
      </c>
    </row>
    <row r="12650" spans="2:7" ht="11.25" hidden="1" customHeight="1" outlineLevel="2" x14ac:dyDescent="0.25">
      <c r="B12650" s="704" t="s">
        <v>687</v>
      </c>
      <c r="C12650" s="704" t="s">
        <v>735</v>
      </c>
      <c r="D12650" s="704" t="s">
        <v>728</v>
      </c>
      <c r="E12650" s="704" t="s">
        <v>448</v>
      </c>
      <c r="F12650" s="705">
        <v>0.7333021530320657</v>
      </c>
      <c r="G12650" s="705">
        <v>392.80398754151156</v>
      </c>
    </row>
    <row r="12651" spans="2:7" ht="11.25" hidden="1" customHeight="1" outlineLevel="2" x14ac:dyDescent="0.25">
      <c r="B12651" s="704" t="s">
        <v>687</v>
      </c>
      <c r="C12651" s="704" t="s">
        <v>736</v>
      </c>
      <c r="D12651" s="704" t="s">
        <v>728</v>
      </c>
      <c r="E12651" s="704" t="s">
        <v>448</v>
      </c>
      <c r="F12651" s="705">
        <v>0.34610834897943032</v>
      </c>
      <c r="G12651" s="705">
        <v>50.945365110676093</v>
      </c>
    </row>
    <row r="12652" spans="2:7" ht="11.25" hidden="1" customHeight="1" outlineLevel="2" x14ac:dyDescent="0.25">
      <c r="B12652" s="704" t="s">
        <v>687</v>
      </c>
      <c r="C12652" s="704" t="s">
        <v>737</v>
      </c>
      <c r="D12652" s="704" t="s">
        <v>728</v>
      </c>
      <c r="E12652" s="704" t="s">
        <v>448</v>
      </c>
      <c r="F12652" s="705">
        <v>0.85273848081784132</v>
      </c>
      <c r="G12652" s="705">
        <v>125.51978880390985</v>
      </c>
    </row>
    <row r="12653" spans="2:7" ht="11.25" hidden="1" customHeight="1" outlineLevel="2" x14ac:dyDescent="0.25">
      <c r="B12653" s="704" t="s">
        <v>687</v>
      </c>
      <c r="C12653" s="704" t="s">
        <v>738</v>
      </c>
      <c r="D12653" s="704" t="s">
        <v>728</v>
      </c>
      <c r="E12653" s="704" t="s">
        <v>448</v>
      </c>
      <c r="F12653" s="705">
        <v>3.5924657043586176E-4</v>
      </c>
      <c r="G12653" s="705">
        <v>0.17954472285777612</v>
      </c>
    </row>
    <row r="12654" spans="2:7" ht="11.25" hidden="1" customHeight="1" outlineLevel="2" x14ac:dyDescent="0.25">
      <c r="B12654" s="704" t="s">
        <v>687</v>
      </c>
      <c r="C12654" s="704" t="s">
        <v>776</v>
      </c>
      <c r="D12654" s="704" t="s">
        <v>728</v>
      </c>
      <c r="E12654" s="704" t="s">
        <v>448</v>
      </c>
      <c r="F12654" s="705">
        <v>2.4084748319945444</v>
      </c>
      <c r="G12654" s="705">
        <v>1491.011237677865</v>
      </c>
    </row>
    <row r="12655" spans="2:7" ht="11.25" hidden="1" customHeight="1" outlineLevel="2" x14ac:dyDescent="0.25">
      <c r="B12655" s="704" t="s">
        <v>687</v>
      </c>
      <c r="C12655" s="704" t="s">
        <v>777</v>
      </c>
      <c r="D12655" s="704" t="s">
        <v>728</v>
      </c>
      <c r="E12655" s="704" t="s">
        <v>448</v>
      </c>
      <c r="F12655" s="705">
        <v>1.0311035924969092</v>
      </c>
      <c r="G12655" s="705">
        <v>1226.241488383562</v>
      </c>
    </row>
    <row r="12656" spans="2:7" ht="11.25" hidden="1" customHeight="1" outlineLevel="2" x14ac:dyDescent="0.25">
      <c r="B12656" s="704" t="s">
        <v>687</v>
      </c>
      <c r="C12656" s="704" t="s">
        <v>778</v>
      </c>
      <c r="D12656" s="704" t="s">
        <v>728</v>
      </c>
      <c r="E12656" s="704" t="s">
        <v>448</v>
      </c>
      <c r="F12656" s="705">
        <v>0.20360107491506871</v>
      </c>
      <c r="G12656" s="705">
        <v>125.02334947688469</v>
      </c>
    </row>
    <row r="12657" spans="2:7" ht="11.25" hidden="1" customHeight="1" outlineLevel="2" x14ac:dyDescent="0.25">
      <c r="B12657" s="704" t="s">
        <v>687</v>
      </c>
      <c r="C12657" s="704" t="s">
        <v>779</v>
      </c>
      <c r="D12657" s="704" t="s">
        <v>728</v>
      </c>
      <c r="E12657" s="704" t="s">
        <v>448</v>
      </c>
      <c r="F12657" s="705">
        <v>0.83577667961559543</v>
      </c>
      <c r="G12657" s="705">
        <v>624.1679443607826</v>
      </c>
    </row>
    <row r="12658" spans="2:7" ht="11.25" hidden="1" customHeight="1" outlineLevel="2" x14ac:dyDescent="0.25">
      <c r="B12658" s="704" t="s">
        <v>687</v>
      </c>
      <c r="C12658" s="704" t="s">
        <v>780</v>
      </c>
      <c r="D12658" s="704" t="s">
        <v>728</v>
      </c>
      <c r="E12658" s="704" t="s">
        <v>448</v>
      </c>
      <c r="F12658" s="705">
        <v>1.103544757040619E-2</v>
      </c>
      <c r="G12658" s="705">
        <v>8.3004362067055588</v>
      </c>
    </row>
    <row r="12659" spans="2:7" ht="11.25" hidden="1" customHeight="1" outlineLevel="2" x14ac:dyDescent="0.25">
      <c r="B12659" s="704" t="s">
        <v>687</v>
      </c>
      <c r="C12659" s="704" t="s">
        <v>781</v>
      </c>
      <c r="D12659" s="704" t="s">
        <v>728</v>
      </c>
      <c r="E12659" s="704" t="s">
        <v>448</v>
      </c>
      <c r="F12659" s="705">
        <v>2.2913451305979479E-2</v>
      </c>
      <c r="G12659" s="705">
        <v>28.40573250943946</v>
      </c>
    </row>
    <row r="12660" spans="2:7" ht="11.25" hidden="1" customHeight="1" outlineLevel="2" x14ac:dyDescent="0.25">
      <c r="B12660" s="704" t="s">
        <v>687</v>
      </c>
      <c r="C12660" s="704" t="s">
        <v>782</v>
      </c>
      <c r="D12660" s="704" t="s">
        <v>728</v>
      </c>
      <c r="E12660" s="704" t="s">
        <v>448</v>
      </c>
      <c r="F12660" s="705">
        <v>2.100331964854869E-2</v>
      </c>
      <c r="G12660" s="705">
        <v>15.835758656513894</v>
      </c>
    </row>
    <row r="12661" spans="2:7" ht="11.25" hidden="1" customHeight="1" outlineLevel="2" x14ac:dyDescent="0.25">
      <c r="B12661" s="704" t="s">
        <v>687</v>
      </c>
      <c r="C12661" s="704" t="s">
        <v>783</v>
      </c>
      <c r="D12661" s="704" t="s">
        <v>728</v>
      </c>
      <c r="E12661" s="704" t="s">
        <v>448</v>
      </c>
      <c r="F12661" s="705">
        <v>0.75221986867351565</v>
      </c>
      <c r="G12661" s="705">
        <v>1171.8829781388706</v>
      </c>
    </row>
    <row r="12662" spans="2:7" ht="11.25" hidden="1" customHeight="1" outlineLevel="2" x14ac:dyDescent="0.25">
      <c r="B12662" s="704" t="s">
        <v>687</v>
      </c>
      <c r="C12662" s="704" t="s">
        <v>784</v>
      </c>
      <c r="D12662" s="704" t="s">
        <v>728</v>
      </c>
      <c r="E12662" s="704" t="s">
        <v>448</v>
      </c>
      <c r="F12662" s="705">
        <v>0.30193257215287922</v>
      </c>
      <c r="G12662" s="705">
        <v>164.59647704621688</v>
      </c>
    </row>
    <row r="12663" spans="2:7" ht="11.25" hidden="1" customHeight="1" outlineLevel="2" x14ac:dyDescent="0.25">
      <c r="B12663" s="704" t="s">
        <v>687</v>
      </c>
      <c r="C12663" s="704" t="s">
        <v>785</v>
      </c>
      <c r="D12663" s="704" t="s">
        <v>728</v>
      </c>
      <c r="E12663" s="704" t="s">
        <v>448</v>
      </c>
      <c r="F12663" s="705">
        <v>0.7440087796508823</v>
      </c>
      <c r="G12663" s="705">
        <v>405.5352792533298</v>
      </c>
    </row>
    <row r="12664" spans="2:7" ht="11.25" hidden="1" customHeight="1" outlineLevel="2" x14ac:dyDescent="0.25">
      <c r="B12664" s="704" t="s">
        <v>687</v>
      </c>
      <c r="C12664" s="704" t="s">
        <v>786</v>
      </c>
      <c r="D12664" s="704" t="s">
        <v>728</v>
      </c>
      <c r="E12664" s="704" t="s">
        <v>448</v>
      </c>
      <c r="F12664" s="705">
        <v>0.23690754717201495</v>
      </c>
      <c r="G12664" s="705">
        <v>299.16579975151268</v>
      </c>
    </row>
    <row r="12665" spans="2:7" ht="11.25" hidden="1" customHeight="1" outlineLevel="2" x14ac:dyDescent="0.25">
      <c r="B12665" s="704" t="s">
        <v>687</v>
      </c>
      <c r="C12665" s="704" t="s">
        <v>787</v>
      </c>
      <c r="D12665" s="704" t="s">
        <v>728</v>
      </c>
      <c r="E12665" s="704" t="s">
        <v>448</v>
      </c>
      <c r="F12665" s="705">
        <v>9.6076896025881403E-2</v>
      </c>
      <c r="G12665" s="705">
        <v>135.39105714105921</v>
      </c>
    </row>
    <row r="12666" spans="2:7" ht="11.25" hidden="1" customHeight="1" outlineLevel="2" x14ac:dyDescent="0.25">
      <c r="B12666" s="704" t="s">
        <v>687</v>
      </c>
      <c r="C12666" s="704" t="s">
        <v>788</v>
      </c>
      <c r="D12666" s="704" t="s">
        <v>728</v>
      </c>
      <c r="E12666" s="704" t="s">
        <v>448</v>
      </c>
      <c r="F12666" s="705">
        <v>0.13541697316793816</v>
      </c>
      <c r="G12666" s="705">
        <v>154.10280049238017</v>
      </c>
    </row>
    <row r="12667" spans="2:7" ht="11.25" hidden="1" customHeight="1" outlineLevel="2" x14ac:dyDescent="0.25">
      <c r="B12667" s="704" t="s">
        <v>687</v>
      </c>
      <c r="C12667" s="704" t="s">
        <v>789</v>
      </c>
      <c r="D12667" s="704" t="s">
        <v>728</v>
      </c>
      <c r="E12667" s="704" t="s">
        <v>448</v>
      </c>
      <c r="F12667" s="705">
        <v>0.10436131972655602</v>
      </c>
      <c r="G12667" s="705">
        <v>71.760375104417676</v>
      </c>
    </row>
    <row r="12668" spans="2:7" ht="11.25" hidden="1" customHeight="1" outlineLevel="2" x14ac:dyDescent="0.25">
      <c r="B12668" s="704" t="s">
        <v>687</v>
      </c>
      <c r="C12668" s="704" t="s">
        <v>790</v>
      </c>
      <c r="D12668" s="704" t="s">
        <v>728</v>
      </c>
      <c r="E12668" s="704" t="s">
        <v>448</v>
      </c>
      <c r="F12668" s="705">
        <v>3.1679213214483326</v>
      </c>
      <c r="G12668" s="705">
        <v>4010.1103225238126</v>
      </c>
    </row>
    <row r="12669" spans="2:7" ht="11.25" hidden="1" customHeight="1" outlineLevel="2" x14ac:dyDescent="0.25">
      <c r="B12669" s="704" t="s">
        <v>687</v>
      </c>
      <c r="C12669" s="704" t="s">
        <v>791</v>
      </c>
      <c r="D12669" s="704" t="s">
        <v>728</v>
      </c>
      <c r="E12669" s="704" t="s">
        <v>448</v>
      </c>
      <c r="F12669" s="705">
        <v>1.3054550236245357</v>
      </c>
      <c r="G12669" s="705">
        <v>1840.0212644375199</v>
      </c>
    </row>
    <row r="12670" spans="2:7" ht="11.25" hidden="1" customHeight="1" outlineLevel="2" x14ac:dyDescent="0.25">
      <c r="B12670" s="704" t="s">
        <v>687</v>
      </c>
      <c r="C12670" s="704" t="s">
        <v>792</v>
      </c>
      <c r="D12670" s="704" t="s">
        <v>728</v>
      </c>
      <c r="E12670" s="704" t="s">
        <v>448</v>
      </c>
      <c r="F12670" s="705">
        <v>0.14696726950226877</v>
      </c>
      <c r="G12670" s="705">
        <v>308.0581255130312</v>
      </c>
    </row>
    <row r="12671" spans="2:7" ht="11.25" hidden="1" customHeight="1" outlineLevel="2" x14ac:dyDescent="0.25">
      <c r="B12671" s="704" t="s">
        <v>687</v>
      </c>
      <c r="C12671" s="704" t="s">
        <v>793</v>
      </c>
      <c r="D12671" s="704" t="s">
        <v>728</v>
      </c>
      <c r="E12671" s="704" t="s">
        <v>448</v>
      </c>
      <c r="F12671" s="705">
        <v>4.0883491321572016</v>
      </c>
      <c r="G12671" s="705">
        <v>5936.0305185143961</v>
      </c>
    </row>
    <row r="12672" spans="2:7" ht="11.25" hidden="1" customHeight="1" outlineLevel="2" x14ac:dyDescent="0.25">
      <c r="B12672" s="704" t="s">
        <v>687</v>
      </c>
      <c r="C12672" s="704" t="s">
        <v>794</v>
      </c>
      <c r="D12672" s="704" t="s">
        <v>728</v>
      </c>
      <c r="E12672" s="704" t="s">
        <v>448</v>
      </c>
      <c r="F12672" s="705">
        <v>0.18219070078210148</v>
      </c>
      <c r="G12672" s="705">
        <v>142.04320846524183</v>
      </c>
    </row>
    <row r="12673" spans="2:7" ht="11.25" hidden="1" customHeight="1" outlineLevel="2" x14ac:dyDescent="0.25">
      <c r="B12673" s="704" t="s">
        <v>687</v>
      </c>
      <c r="C12673" s="704" t="s">
        <v>795</v>
      </c>
      <c r="D12673" s="704" t="s">
        <v>728</v>
      </c>
      <c r="E12673" s="704" t="s">
        <v>448</v>
      </c>
      <c r="F12673" s="705">
        <v>0.23282140248356795</v>
      </c>
      <c r="G12673" s="705">
        <v>181.87756906277161</v>
      </c>
    </row>
    <row r="12674" spans="2:7" ht="11.25" hidden="1" customHeight="1" outlineLevel="2" x14ac:dyDescent="0.25">
      <c r="B12674" s="704" t="s">
        <v>687</v>
      </c>
      <c r="C12674" s="704" t="s">
        <v>845</v>
      </c>
      <c r="D12674" s="704" t="s">
        <v>728</v>
      </c>
      <c r="E12674" s="704" t="s">
        <v>824</v>
      </c>
      <c r="F12674" s="705">
        <v>1.1456055584795809E-2</v>
      </c>
      <c r="G12674" s="705">
        <v>102.19286779150525</v>
      </c>
    </row>
    <row r="12675" spans="2:7" ht="11.25" hidden="1" customHeight="1" outlineLevel="2" x14ac:dyDescent="0.25">
      <c r="B12675" s="704" t="s">
        <v>687</v>
      </c>
      <c r="C12675" s="704" t="s">
        <v>894</v>
      </c>
      <c r="D12675" s="704" t="s">
        <v>728</v>
      </c>
      <c r="E12675" s="704" t="s">
        <v>861</v>
      </c>
      <c r="F12675" s="709"/>
      <c r="G12675" s="705">
        <v>0.15885563780174566</v>
      </c>
    </row>
    <row r="12676" spans="2:7" ht="11.25" hidden="1" customHeight="1" outlineLevel="2" x14ac:dyDescent="0.25">
      <c r="B12676" s="704" t="s">
        <v>687</v>
      </c>
      <c r="C12676" s="704" t="s">
        <v>895</v>
      </c>
      <c r="D12676" s="704" t="s">
        <v>728</v>
      </c>
      <c r="E12676" s="704" t="s">
        <v>861</v>
      </c>
      <c r="F12676" s="709"/>
      <c r="G12676" s="705">
        <v>42.452909528431597</v>
      </c>
    </row>
    <row r="12677" spans="2:7" ht="11.25" hidden="1" customHeight="1" outlineLevel="2" x14ac:dyDescent="0.25">
      <c r="B12677" s="704" t="s">
        <v>687</v>
      </c>
      <c r="C12677" s="704" t="s">
        <v>896</v>
      </c>
      <c r="D12677" s="704" t="s">
        <v>728</v>
      </c>
      <c r="E12677" s="704" t="s">
        <v>861</v>
      </c>
      <c r="F12677" s="709"/>
      <c r="G12677" s="705">
        <v>1110.8472381772367</v>
      </c>
    </row>
    <row r="12678" spans="2:7" ht="11.25" hidden="1" customHeight="1" outlineLevel="2" x14ac:dyDescent="0.25">
      <c r="B12678" s="704" t="s">
        <v>687</v>
      </c>
      <c r="C12678" s="704" t="s">
        <v>897</v>
      </c>
      <c r="D12678" s="704" t="s">
        <v>728</v>
      </c>
      <c r="E12678" s="704" t="s">
        <v>861</v>
      </c>
      <c r="F12678" s="709"/>
      <c r="G12678" s="705">
        <v>229.24122842607429</v>
      </c>
    </row>
    <row r="12679" spans="2:7" ht="11.25" hidden="1" customHeight="1" outlineLevel="2" x14ac:dyDescent="0.25">
      <c r="B12679" s="704" t="s">
        <v>687</v>
      </c>
      <c r="C12679" s="704" t="s">
        <v>898</v>
      </c>
      <c r="D12679" s="704" t="s">
        <v>728</v>
      </c>
      <c r="E12679" s="704" t="s">
        <v>861</v>
      </c>
      <c r="F12679" s="709"/>
      <c r="G12679" s="705">
        <v>1512.3893477226566</v>
      </c>
    </row>
    <row r="12680" spans="2:7" ht="11.25" hidden="1" customHeight="1" outlineLevel="2" x14ac:dyDescent="0.25">
      <c r="B12680" s="704" t="s">
        <v>687</v>
      </c>
      <c r="C12680" s="704" t="s">
        <v>899</v>
      </c>
      <c r="D12680" s="704" t="s">
        <v>728</v>
      </c>
      <c r="E12680" s="704" t="s">
        <v>861</v>
      </c>
      <c r="F12680" s="709"/>
      <c r="G12680" s="705">
        <v>178.32370929753625</v>
      </c>
    </row>
    <row r="12681" spans="2:7" ht="11.25" hidden="1" customHeight="1" outlineLevel="2" x14ac:dyDescent="0.25">
      <c r="B12681" s="704" t="s">
        <v>687</v>
      </c>
      <c r="C12681" s="704" t="s">
        <v>900</v>
      </c>
      <c r="D12681" s="704" t="s">
        <v>728</v>
      </c>
      <c r="E12681" s="704" t="s">
        <v>861</v>
      </c>
      <c r="F12681" s="709"/>
      <c r="G12681" s="705">
        <v>4.2477832515043072</v>
      </c>
    </row>
    <row r="12682" spans="2:7" ht="11.25" hidden="1" customHeight="1" outlineLevel="2" x14ac:dyDescent="0.25">
      <c r="B12682" s="704" t="s">
        <v>687</v>
      </c>
      <c r="C12682" s="704" t="s">
        <v>744</v>
      </c>
      <c r="D12682" s="704" t="s">
        <v>745</v>
      </c>
      <c r="E12682" s="704" t="s">
        <v>448</v>
      </c>
      <c r="F12682" s="705">
        <v>2.1545831379566286E-2</v>
      </c>
      <c r="G12682" s="705">
        <v>12.459912357300331</v>
      </c>
    </row>
    <row r="12683" spans="2:7" ht="11.25" hidden="1" customHeight="1" outlineLevel="2" x14ac:dyDescent="0.25">
      <c r="B12683" s="704" t="s">
        <v>687</v>
      </c>
      <c r="C12683" s="704" t="s">
        <v>812</v>
      </c>
      <c r="D12683" s="704" t="s">
        <v>745</v>
      </c>
      <c r="E12683" s="704" t="s">
        <v>448</v>
      </c>
      <c r="F12683" s="705">
        <v>2.5340829349000948E-2</v>
      </c>
      <c r="G12683" s="705">
        <v>28.055431404671388</v>
      </c>
    </row>
    <row r="12684" spans="2:7" ht="11.25" hidden="1" customHeight="1" outlineLevel="2" x14ac:dyDescent="0.25">
      <c r="B12684" s="704" t="s">
        <v>687</v>
      </c>
      <c r="C12684" s="704" t="s">
        <v>813</v>
      </c>
      <c r="D12684" s="704" t="s">
        <v>745</v>
      </c>
      <c r="E12684" s="704" t="s">
        <v>448</v>
      </c>
      <c r="F12684" s="705">
        <v>2.5994387737406229E-4</v>
      </c>
      <c r="G12684" s="705">
        <v>0.32958794679184233</v>
      </c>
    </row>
    <row r="12685" spans="2:7" ht="11.25" hidden="1" customHeight="1" outlineLevel="2" x14ac:dyDescent="0.25">
      <c r="B12685" s="704" t="s">
        <v>687</v>
      </c>
      <c r="C12685" s="704" t="s">
        <v>917</v>
      </c>
      <c r="D12685" s="704" t="s">
        <v>745</v>
      </c>
      <c r="E12685" s="704" t="s">
        <v>861</v>
      </c>
      <c r="F12685" s="709"/>
      <c r="G12685" s="705">
        <v>373.35943868605199</v>
      </c>
    </row>
    <row r="12686" spans="2:7" ht="11.25" hidden="1" customHeight="1" outlineLevel="2" x14ac:dyDescent="0.25">
      <c r="B12686" s="704" t="s">
        <v>687</v>
      </c>
      <c r="C12686" s="704" t="s">
        <v>816</v>
      </c>
      <c r="D12686" s="704" t="s">
        <v>712</v>
      </c>
      <c r="E12686" s="704" t="s">
        <v>448</v>
      </c>
      <c r="F12686" s="705">
        <v>7.5844068785508633E-3</v>
      </c>
      <c r="G12686" s="705">
        <v>9.1310573255514811</v>
      </c>
    </row>
    <row r="12687" spans="2:7" ht="11.25" hidden="1" customHeight="1" outlineLevel="2" x14ac:dyDescent="0.25">
      <c r="B12687" s="704" t="s">
        <v>687</v>
      </c>
      <c r="C12687" s="704" t="s">
        <v>711</v>
      </c>
      <c r="D12687" s="704" t="s">
        <v>712</v>
      </c>
      <c r="E12687" s="704" t="s">
        <v>676</v>
      </c>
      <c r="F12687" s="705">
        <v>2.7131161235763937E-2</v>
      </c>
      <c r="G12687" s="705">
        <v>6.204061191161367</v>
      </c>
    </row>
    <row r="12688" spans="2:7" ht="11.25" hidden="1" customHeight="1" outlineLevel="2" x14ac:dyDescent="0.25">
      <c r="B12688" s="704" t="s">
        <v>687</v>
      </c>
      <c r="C12688" s="704" t="s">
        <v>921</v>
      </c>
      <c r="D12688" s="704" t="s">
        <v>712</v>
      </c>
      <c r="E12688" s="704" t="s">
        <v>861</v>
      </c>
      <c r="F12688" s="709"/>
      <c r="G12688" s="705">
        <v>32.894184444489994</v>
      </c>
    </row>
    <row r="12689" spans="2:7" ht="11.25" hidden="1" customHeight="1" outlineLevel="2" x14ac:dyDescent="0.25">
      <c r="B12689" s="704" t="s">
        <v>687</v>
      </c>
      <c r="C12689" s="704" t="s">
        <v>817</v>
      </c>
      <c r="D12689" s="704" t="s">
        <v>818</v>
      </c>
      <c r="E12689" s="704" t="s">
        <v>448</v>
      </c>
      <c r="F12689" s="705">
        <v>5.4222999331956645</v>
      </c>
      <c r="G12689" s="705">
        <v>4454.8750399629271</v>
      </c>
    </row>
    <row r="12690" spans="2:7" ht="11.25" hidden="1" customHeight="1" outlineLevel="2" x14ac:dyDescent="0.25">
      <c r="B12690" s="704" t="s">
        <v>687</v>
      </c>
      <c r="C12690" s="704" t="s">
        <v>819</v>
      </c>
      <c r="D12690" s="704" t="s">
        <v>818</v>
      </c>
      <c r="E12690" s="704" t="s">
        <v>448</v>
      </c>
      <c r="F12690" s="705">
        <v>2.3611231345648216</v>
      </c>
      <c r="G12690" s="705">
        <v>1879.9455050463882</v>
      </c>
    </row>
    <row r="12691" spans="2:7" ht="11.25" hidden="1" customHeight="1" outlineLevel="2" x14ac:dyDescent="0.25">
      <c r="B12691" s="704" t="s">
        <v>687</v>
      </c>
      <c r="C12691" s="704" t="s">
        <v>820</v>
      </c>
      <c r="D12691" s="704" t="s">
        <v>818</v>
      </c>
      <c r="E12691" s="704" t="s">
        <v>448</v>
      </c>
      <c r="F12691" s="705">
        <v>2.0375406560530274</v>
      </c>
      <c r="G12691" s="705">
        <v>3166.7553217182731</v>
      </c>
    </row>
    <row r="12692" spans="2:7" ht="11.25" hidden="1" customHeight="1" outlineLevel="2" x14ac:dyDescent="0.25">
      <c r="B12692" s="704" t="s">
        <v>687</v>
      </c>
      <c r="C12692" s="704" t="s">
        <v>857</v>
      </c>
      <c r="D12692" s="704" t="s">
        <v>818</v>
      </c>
      <c r="E12692" s="704" t="s">
        <v>664</v>
      </c>
      <c r="F12692" s="709"/>
      <c r="G12692" s="705">
        <v>2819.5677720888239</v>
      </c>
    </row>
    <row r="12693" spans="2:7" ht="11.25" hidden="1" customHeight="1" outlineLevel="2" x14ac:dyDescent="0.25">
      <c r="B12693" s="704" t="s">
        <v>687</v>
      </c>
      <c r="C12693" s="704" t="s">
        <v>858</v>
      </c>
      <c r="D12693" s="704" t="s">
        <v>818</v>
      </c>
      <c r="E12693" s="704" t="s">
        <v>664</v>
      </c>
      <c r="F12693" s="709"/>
      <c r="G12693" s="705">
        <v>10.432872683380964</v>
      </c>
    </row>
    <row r="12694" spans="2:7" ht="11.25" hidden="1" customHeight="1" outlineLevel="2" x14ac:dyDescent="0.25">
      <c r="B12694" s="704" t="s">
        <v>687</v>
      </c>
      <c r="C12694" s="704" t="s">
        <v>922</v>
      </c>
      <c r="D12694" s="704" t="s">
        <v>822</v>
      </c>
      <c r="E12694" s="704" t="s">
        <v>861</v>
      </c>
      <c r="F12694" s="709"/>
      <c r="G12694" s="705">
        <v>157.62616095091926</v>
      </c>
    </row>
    <row r="12695" spans="2:7" ht="11.25" hidden="1" customHeight="1" outlineLevel="2" x14ac:dyDescent="0.25">
      <c r="B12695" s="704" t="s">
        <v>687</v>
      </c>
      <c r="C12695" s="704" t="s">
        <v>821</v>
      </c>
      <c r="D12695" s="704" t="s">
        <v>822</v>
      </c>
      <c r="E12695" s="704" t="s">
        <v>448</v>
      </c>
      <c r="F12695" s="705">
        <v>4.998382277272298E-3</v>
      </c>
      <c r="G12695" s="705">
        <v>6.750932011967139</v>
      </c>
    </row>
    <row r="12696" spans="2:7" ht="11.25" hidden="1" customHeight="1" outlineLevel="2" x14ac:dyDescent="0.25">
      <c r="B12696" s="704" t="s">
        <v>687</v>
      </c>
      <c r="C12696" s="704" t="s">
        <v>855</v>
      </c>
      <c r="D12696" s="704" t="s">
        <v>822</v>
      </c>
      <c r="E12696" s="704" t="s">
        <v>824</v>
      </c>
      <c r="F12696" s="705">
        <v>7.9368761745345176E-5</v>
      </c>
      <c r="G12696" s="705">
        <v>0.22974137420610094</v>
      </c>
    </row>
    <row r="12697" spans="2:7" ht="11.25" hidden="1" customHeight="1" outlineLevel="2" x14ac:dyDescent="0.25">
      <c r="B12697" s="704" t="s">
        <v>687</v>
      </c>
      <c r="C12697" s="704" t="s">
        <v>714</v>
      </c>
      <c r="D12697" s="704" t="s">
        <v>715</v>
      </c>
      <c r="E12697" s="704" t="s">
        <v>448</v>
      </c>
      <c r="F12697" s="705">
        <v>2.3525272841134837</v>
      </c>
      <c r="G12697" s="705">
        <v>596.39401624814002</v>
      </c>
    </row>
    <row r="12698" spans="2:7" ht="11.25" hidden="1" customHeight="1" outlineLevel="2" x14ac:dyDescent="0.25">
      <c r="B12698" s="704" t="s">
        <v>687</v>
      </c>
      <c r="C12698" s="704" t="s">
        <v>716</v>
      </c>
      <c r="D12698" s="704" t="s">
        <v>715</v>
      </c>
      <c r="E12698" s="704" t="s">
        <v>448</v>
      </c>
      <c r="F12698" s="705">
        <v>1.1430547029828198E-33</v>
      </c>
      <c r="G12698" s="705">
        <v>1.3937069903059726E-30</v>
      </c>
    </row>
    <row r="12699" spans="2:7" ht="11.25" hidden="1" customHeight="1" outlineLevel="2" x14ac:dyDescent="0.25">
      <c r="B12699" s="704" t="s">
        <v>687</v>
      </c>
      <c r="C12699" s="704" t="s">
        <v>717</v>
      </c>
      <c r="D12699" s="704" t="s">
        <v>715</v>
      </c>
      <c r="E12699" s="704" t="s">
        <v>448</v>
      </c>
      <c r="F12699" s="705">
        <v>2.51986940727451</v>
      </c>
      <c r="G12699" s="705">
        <v>688.64149439337996</v>
      </c>
    </row>
    <row r="12700" spans="2:7" ht="11.25" hidden="1" customHeight="1" outlineLevel="2" x14ac:dyDescent="0.25">
      <c r="B12700" s="704" t="s">
        <v>687</v>
      </c>
      <c r="C12700" s="704" t="s">
        <v>718</v>
      </c>
      <c r="D12700" s="704" t="s">
        <v>715</v>
      </c>
      <c r="E12700" s="704" t="s">
        <v>448</v>
      </c>
      <c r="F12700" s="705">
        <v>0.16136052086180849</v>
      </c>
      <c r="G12700" s="705">
        <v>177.049330128191</v>
      </c>
    </row>
    <row r="12701" spans="2:7" ht="11.25" hidden="1" customHeight="1" outlineLevel="2" x14ac:dyDescent="0.25">
      <c r="B12701" s="704" t="s">
        <v>687</v>
      </c>
      <c r="C12701" s="704" t="s">
        <v>746</v>
      </c>
      <c r="D12701" s="704" t="s">
        <v>715</v>
      </c>
      <c r="E12701" s="704" t="s">
        <v>448</v>
      </c>
      <c r="F12701" s="705">
        <v>0.41553378424287818</v>
      </c>
      <c r="G12701" s="705">
        <v>288.18382816427936</v>
      </c>
    </row>
    <row r="12702" spans="2:7" ht="11.25" hidden="1" customHeight="1" outlineLevel="2" x14ac:dyDescent="0.25">
      <c r="B12702" s="704" t="s">
        <v>687</v>
      </c>
      <c r="C12702" s="704" t="s">
        <v>747</v>
      </c>
      <c r="D12702" s="704" t="s">
        <v>715</v>
      </c>
      <c r="E12702" s="704" t="s">
        <v>448</v>
      </c>
      <c r="F12702" s="705">
        <v>3.5977583247504477</v>
      </c>
      <c r="G12702" s="705">
        <v>3071.6686967914197</v>
      </c>
    </row>
    <row r="12703" spans="2:7" ht="11.25" hidden="1" customHeight="1" outlineLevel="2" x14ac:dyDescent="0.25">
      <c r="B12703" s="704" t="s">
        <v>687</v>
      </c>
      <c r="C12703" s="704" t="s">
        <v>748</v>
      </c>
      <c r="D12703" s="704" t="s">
        <v>715</v>
      </c>
      <c r="E12703" s="704" t="s">
        <v>448</v>
      </c>
      <c r="F12703" s="705">
        <v>0.5998158455319319</v>
      </c>
      <c r="G12703" s="705">
        <v>776.97910231520143</v>
      </c>
    </row>
    <row r="12704" spans="2:7" ht="11.25" hidden="1" customHeight="1" outlineLevel="2" x14ac:dyDescent="0.25">
      <c r="B12704" s="704" t="s">
        <v>687</v>
      </c>
      <c r="C12704" s="704" t="s">
        <v>749</v>
      </c>
      <c r="D12704" s="704" t="s">
        <v>715</v>
      </c>
      <c r="E12704" s="704" t="s">
        <v>448</v>
      </c>
      <c r="F12704" s="705">
        <v>0.21964949668623643</v>
      </c>
      <c r="G12704" s="705">
        <v>172.75935659987795</v>
      </c>
    </row>
    <row r="12705" spans="2:7" ht="11.25" hidden="1" customHeight="1" outlineLevel="2" x14ac:dyDescent="0.25">
      <c r="B12705" s="704" t="s">
        <v>687</v>
      </c>
      <c r="C12705" s="704" t="s">
        <v>823</v>
      </c>
      <c r="D12705" s="704" t="s">
        <v>715</v>
      </c>
      <c r="E12705" s="704" t="s">
        <v>824</v>
      </c>
      <c r="F12705" s="705">
        <v>7.1520215805905268E-3</v>
      </c>
      <c r="G12705" s="705">
        <v>11.948725799974781</v>
      </c>
    </row>
    <row r="12706" spans="2:7" ht="11.25" hidden="1" customHeight="1" outlineLevel="2" x14ac:dyDescent="0.25">
      <c r="B12706" s="704" t="s">
        <v>687</v>
      </c>
      <c r="C12706" s="704" t="s">
        <v>860</v>
      </c>
      <c r="D12706" s="704" t="s">
        <v>715</v>
      </c>
      <c r="E12706" s="704" t="s">
        <v>861</v>
      </c>
      <c r="F12706" s="709"/>
      <c r="G12706" s="705">
        <v>236.8229042114578</v>
      </c>
    </row>
    <row r="12707" spans="2:7" ht="11.25" hidden="1" customHeight="1" outlineLevel="2" x14ac:dyDescent="0.25">
      <c r="B12707" s="704" t="s">
        <v>687</v>
      </c>
      <c r="C12707" s="704" t="s">
        <v>919</v>
      </c>
      <c r="D12707" s="704" t="s">
        <v>920</v>
      </c>
      <c r="E12707" s="704" t="s">
        <v>861</v>
      </c>
      <c r="F12707" s="709"/>
      <c r="G12707" s="705">
        <v>3.0023057417662033E-30</v>
      </c>
    </row>
    <row r="12708" spans="2:7" ht="11.25" hidden="1" customHeight="1" outlineLevel="1" x14ac:dyDescent="0.25">
      <c r="B12708" s="707" t="s">
        <v>953</v>
      </c>
      <c r="C12708" s="704"/>
      <c r="D12708" s="704"/>
      <c r="E12708" s="704"/>
      <c r="F12708" s="709">
        <f t="shared" ref="F12708:G12708" si="38">SUBTOTAL(9,F12497:F12707)</f>
        <v>55.515114074708215</v>
      </c>
      <c r="G12708" s="705">
        <f t="shared" si="38"/>
        <v>160559.29367442761</v>
      </c>
    </row>
    <row r="12709" spans="2:7" ht="11.25" hidden="1" customHeight="1" outlineLevel="2" x14ac:dyDescent="0.25">
      <c r="B12709" s="704" t="s">
        <v>688</v>
      </c>
      <c r="C12709" s="704" t="s">
        <v>739</v>
      </c>
      <c r="D12709" s="704" t="s">
        <v>44</v>
      </c>
      <c r="E12709" s="704" t="s">
        <v>448</v>
      </c>
      <c r="F12709" s="705">
        <v>6.3891657182191936E-4</v>
      </c>
      <c r="G12709" s="705">
        <v>0.3896519280581171</v>
      </c>
    </row>
    <row r="12710" spans="2:7" ht="11.25" hidden="1" customHeight="1" outlineLevel="2" x14ac:dyDescent="0.25">
      <c r="B12710" s="704" t="s">
        <v>688</v>
      </c>
      <c r="C12710" s="704" t="s">
        <v>796</v>
      </c>
      <c r="D12710" s="704" t="s">
        <v>44</v>
      </c>
      <c r="E12710" s="704" t="s">
        <v>448</v>
      </c>
      <c r="F12710" s="705">
        <v>6.7279425870099042E-4</v>
      </c>
      <c r="G12710" s="705">
        <v>0.94524102416381095</v>
      </c>
    </row>
    <row r="12711" spans="2:7" ht="11.25" hidden="1" customHeight="1" outlineLevel="2" x14ac:dyDescent="0.25">
      <c r="B12711" s="704" t="s">
        <v>688</v>
      </c>
      <c r="C12711" s="704" t="s">
        <v>797</v>
      </c>
      <c r="D12711" s="704" t="s">
        <v>44</v>
      </c>
      <c r="E12711" s="704" t="s">
        <v>448</v>
      </c>
      <c r="F12711" s="705">
        <v>1.0748056115748523E-3</v>
      </c>
      <c r="G12711" s="705">
        <v>3.6778772791046763</v>
      </c>
    </row>
    <row r="12712" spans="2:7" ht="11.25" hidden="1" customHeight="1" outlineLevel="2" x14ac:dyDescent="0.25">
      <c r="B12712" s="704" t="s">
        <v>688</v>
      </c>
      <c r="C12712" s="704" t="s">
        <v>798</v>
      </c>
      <c r="D12712" s="704" t="s">
        <v>44</v>
      </c>
      <c r="E12712" s="704" t="s">
        <v>448</v>
      </c>
      <c r="F12712" s="705">
        <v>1.7657206550038633E-5</v>
      </c>
      <c r="G12712" s="705">
        <v>2.3165368847043403E-2</v>
      </c>
    </row>
    <row r="12713" spans="2:7" ht="11.25" hidden="1" customHeight="1" outlineLevel="2" x14ac:dyDescent="0.25">
      <c r="B12713" s="704" t="s">
        <v>688</v>
      </c>
      <c r="C12713" s="704" t="s">
        <v>799</v>
      </c>
      <c r="D12713" s="704" t="s">
        <v>44</v>
      </c>
      <c r="E12713" s="704" t="s">
        <v>448</v>
      </c>
      <c r="F12713" s="705">
        <v>1.907519745497433E-3</v>
      </c>
      <c r="G12713" s="705">
        <v>2.5006632126576469</v>
      </c>
    </row>
    <row r="12714" spans="2:7" ht="11.25" hidden="1" customHeight="1" outlineLevel="2" x14ac:dyDescent="0.25">
      <c r="B12714" s="704" t="s">
        <v>688</v>
      </c>
      <c r="C12714" s="704" t="s">
        <v>800</v>
      </c>
      <c r="D12714" s="704" t="s">
        <v>44</v>
      </c>
      <c r="E12714" s="704" t="s">
        <v>448</v>
      </c>
      <c r="F12714" s="705">
        <v>6.2831250648130287E-4</v>
      </c>
      <c r="G12714" s="705">
        <v>0.7833156219153764</v>
      </c>
    </row>
    <row r="12715" spans="2:7" ht="11.25" hidden="1" customHeight="1" outlineLevel="2" x14ac:dyDescent="0.25">
      <c r="B12715" s="704" t="s">
        <v>688</v>
      </c>
      <c r="C12715" s="704" t="s">
        <v>801</v>
      </c>
      <c r="D12715" s="704" t="s">
        <v>44</v>
      </c>
      <c r="E12715" s="704" t="s">
        <v>448</v>
      </c>
      <c r="F12715" s="705">
        <v>8.1960559538365729E-3</v>
      </c>
      <c r="G12715" s="705">
        <v>8.5093134761534923</v>
      </c>
    </row>
    <row r="12716" spans="2:7" ht="11.25" hidden="1" customHeight="1" outlineLevel="2" x14ac:dyDescent="0.25">
      <c r="B12716" s="704" t="s">
        <v>688</v>
      </c>
      <c r="C12716" s="704" t="s">
        <v>802</v>
      </c>
      <c r="D12716" s="704" t="s">
        <v>44</v>
      </c>
      <c r="E12716" s="704" t="s">
        <v>448</v>
      </c>
      <c r="F12716" s="705">
        <v>2.6942356916585523E-2</v>
      </c>
      <c r="G12716" s="705">
        <v>18.239721171412143</v>
      </c>
    </row>
    <row r="12717" spans="2:7" ht="11.25" hidden="1" customHeight="1" outlineLevel="2" x14ac:dyDescent="0.25">
      <c r="B12717" s="704" t="s">
        <v>688</v>
      </c>
      <c r="C12717" s="704" t="s">
        <v>803</v>
      </c>
      <c r="D12717" s="704" t="s">
        <v>44</v>
      </c>
      <c r="E12717" s="704" t="s">
        <v>448</v>
      </c>
      <c r="F12717" s="705">
        <v>3.0270320949908449E-3</v>
      </c>
      <c r="G12717" s="705">
        <v>3.9682871461072908</v>
      </c>
    </row>
    <row r="12718" spans="2:7" ht="11.25" hidden="1" customHeight="1" outlineLevel="2" x14ac:dyDescent="0.25">
      <c r="B12718" s="704" t="s">
        <v>688</v>
      </c>
      <c r="C12718" s="704" t="s">
        <v>804</v>
      </c>
      <c r="D12718" s="704" t="s">
        <v>44</v>
      </c>
      <c r="E12718" s="704" t="s">
        <v>448</v>
      </c>
      <c r="F12718" s="705">
        <v>4.5072996671934751E-3</v>
      </c>
      <c r="G12718" s="705">
        <v>5.7460663877013589</v>
      </c>
    </row>
    <row r="12719" spans="2:7" ht="11.25" hidden="1" customHeight="1" outlineLevel="2" x14ac:dyDescent="0.25">
      <c r="B12719" s="704" t="s">
        <v>688</v>
      </c>
      <c r="C12719" s="704" t="s">
        <v>805</v>
      </c>
      <c r="D12719" s="704" t="s">
        <v>44</v>
      </c>
      <c r="E12719" s="704" t="s">
        <v>448</v>
      </c>
      <c r="F12719" s="705">
        <v>9.0432163889985883E-4</v>
      </c>
      <c r="G12719" s="705">
        <v>6.3743677794465228</v>
      </c>
    </row>
    <row r="12720" spans="2:7" ht="11.25" hidden="1" customHeight="1" outlineLevel="2" x14ac:dyDescent="0.25">
      <c r="B12720" s="704" t="s">
        <v>688</v>
      </c>
      <c r="C12720" s="704" t="s">
        <v>846</v>
      </c>
      <c r="D12720" s="704" t="s">
        <v>44</v>
      </c>
      <c r="E12720" s="704" t="s">
        <v>824</v>
      </c>
      <c r="F12720" s="705">
        <v>2.1956358547836675E-5</v>
      </c>
      <c r="G12720" s="705">
        <v>3.4887629233067527E-2</v>
      </c>
    </row>
    <row r="12721" spans="2:7" ht="11.25" hidden="1" customHeight="1" outlineLevel="2" x14ac:dyDescent="0.25">
      <c r="B12721" s="704" t="s">
        <v>688</v>
      </c>
      <c r="C12721" s="704" t="s">
        <v>847</v>
      </c>
      <c r="D12721" s="704" t="s">
        <v>44</v>
      </c>
      <c r="E12721" s="704" t="s">
        <v>824</v>
      </c>
      <c r="F12721" s="705">
        <v>4.5054049639941511E-6</v>
      </c>
      <c r="G12721" s="705">
        <v>4.7481713655202692E-2</v>
      </c>
    </row>
    <row r="12722" spans="2:7" ht="11.25" hidden="1" customHeight="1" outlineLevel="2" x14ac:dyDescent="0.25">
      <c r="B12722" s="704" t="s">
        <v>688</v>
      </c>
      <c r="C12722" s="704" t="s">
        <v>705</v>
      </c>
      <c r="D12722" s="704" t="s">
        <v>44</v>
      </c>
      <c r="E12722" s="704" t="s">
        <v>676</v>
      </c>
      <c r="F12722" s="705">
        <v>8.78927474647749E-4</v>
      </c>
      <c r="G12722" s="705">
        <v>9.2159480498441235E-3</v>
      </c>
    </row>
    <row r="12723" spans="2:7" ht="11.25" hidden="1" customHeight="1" outlineLevel="2" x14ac:dyDescent="0.25">
      <c r="B12723" s="704" t="s">
        <v>688</v>
      </c>
      <c r="C12723" s="704" t="s">
        <v>706</v>
      </c>
      <c r="D12723" s="704" t="s">
        <v>44</v>
      </c>
      <c r="E12723" s="704" t="s">
        <v>676</v>
      </c>
      <c r="F12723" s="705">
        <v>2.7897788547375608E-4</v>
      </c>
      <c r="G12723" s="705">
        <v>2.9243257256889184E-3</v>
      </c>
    </row>
    <row r="12724" spans="2:7" ht="11.25" hidden="1" customHeight="1" outlineLevel="2" x14ac:dyDescent="0.25">
      <c r="B12724" s="704" t="s">
        <v>688</v>
      </c>
      <c r="C12724" s="704" t="s">
        <v>901</v>
      </c>
      <c r="D12724" s="704" t="s">
        <v>44</v>
      </c>
      <c r="E12724" s="704" t="s">
        <v>861</v>
      </c>
      <c r="F12724" s="709"/>
      <c r="G12724" s="705">
        <v>6.8152440307595152E-2</v>
      </c>
    </row>
    <row r="12725" spans="2:7" ht="11.25" hidden="1" customHeight="1" outlineLevel="2" x14ac:dyDescent="0.25">
      <c r="B12725" s="704" t="s">
        <v>688</v>
      </c>
      <c r="C12725" s="704" t="s">
        <v>902</v>
      </c>
      <c r="D12725" s="704" t="s">
        <v>44</v>
      </c>
      <c r="E12725" s="704" t="s">
        <v>861</v>
      </c>
      <c r="F12725" s="709"/>
      <c r="G12725" s="705">
        <v>2946.3912625322996</v>
      </c>
    </row>
    <row r="12726" spans="2:7" ht="11.25" hidden="1" customHeight="1" outlineLevel="2" x14ac:dyDescent="0.25">
      <c r="B12726" s="704" t="s">
        <v>688</v>
      </c>
      <c r="C12726" s="704" t="s">
        <v>903</v>
      </c>
      <c r="D12726" s="704" t="s">
        <v>44</v>
      </c>
      <c r="E12726" s="704" t="s">
        <v>861</v>
      </c>
      <c r="F12726" s="709"/>
      <c r="G12726" s="705">
        <v>264.38133759925324</v>
      </c>
    </row>
    <row r="12727" spans="2:7" ht="11.25" hidden="1" customHeight="1" outlineLevel="2" x14ac:dyDescent="0.25">
      <c r="B12727" s="704" t="s">
        <v>688</v>
      </c>
      <c r="C12727" s="704" t="s">
        <v>904</v>
      </c>
      <c r="D12727" s="704" t="s">
        <v>44</v>
      </c>
      <c r="E12727" s="704" t="s">
        <v>861</v>
      </c>
      <c r="F12727" s="709"/>
      <c r="G12727" s="705">
        <v>1.4695985608535682</v>
      </c>
    </row>
    <row r="12728" spans="2:7" ht="11.25" hidden="1" customHeight="1" outlineLevel="2" x14ac:dyDescent="0.25">
      <c r="B12728" s="704" t="s">
        <v>688</v>
      </c>
      <c r="C12728" s="704" t="s">
        <v>905</v>
      </c>
      <c r="D12728" s="704" t="s">
        <v>44</v>
      </c>
      <c r="E12728" s="704" t="s">
        <v>861</v>
      </c>
      <c r="F12728" s="709"/>
      <c r="G12728" s="705">
        <v>0.30163304895824067</v>
      </c>
    </row>
    <row r="12729" spans="2:7" ht="11.25" hidden="1" customHeight="1" outlineLevel="2" x14ac:dyDescent="0.25">
      <c r="B12729" s="704" t="s">
        <v>688</v>
      </c>
      <c r="C12729" s="704" t="s">
        <v>906</v>
      </c>
      <c r="D12729" s="704" t="s">
        <v>44</v>
      </c>
      <c r="E12729" s="704" t="s">
        <v>861</v>
      </c>
      <c r="F12729" s="709"/>
      <c r="G12729" s="705">
        <v>22.442780075340124</v>
      </c>
    </row>
    <row r="12730" spans="2:7" ht="11.25" hidden="1" customHeight="1" outlineLevel="2" x14ac:dyDescent="0.25">
      <c r="B12730" s="704" t="s">
        <v>688</v>
      </c>
      <c r="C12730" s="704" t="s">
        <v>907</v>
      </c>
      <c r="D12730" s="704" t="s">
        <v>44</v>
      </c>
      <c r="E12730" s="704" t="s">
        <v>861</v>
      </c>
      <c r="F12730" s="709"/>
      <c r="G12730" s="705">
        <v>5.62109184706708E-2</v>
      </c>
    </row>
    <row r="12731" spans="2:7" ht="11.25" hidden="1" customHeight="1" outlineLevel="2" x14ac:dyDescent="0.25">
      <c r="B12731" s="704" t="s">
        <v>688</v>
      </c>
      <c r="C12731" s="704" t="s">
        <v>908</v>
      </c>
      <c r="D12731" s="704" t="s">
        <v>44</v>
      </c>
      <c r="E12731" s="704" t="s">
        <v>861</v>
      </c>
      <c r="F12731" s="709"/>
      <c r="G12731" s="705">
        <v>20.743272270349735</v>
      </c>
    </row>
    <row r="12732" spans="2:7" ht="11.25" hidden="1" customHeight="1" outlineLevel="2" x14ac:dyDescent="0.25">
      <c r="B12732" s="704" t="s">
        <v>688</v>
      </c>
      <c r="C12732" s="704" t="s">
        <v>909</v>
      </c>
      <c r="D12732" s="704" t="s">
        <v>44</v>
      </c>
      <c r="E12732" s="704" t="s">
        <v>861</v>
      </c>
      <c r="F12732" s="709"/>
      <c r="G12732" s="705">
        <v>57.619350256299974</v>
      </c>
    </row>
    <row r="12733" spans="2:7" ht="11.25" hidden="1" customHeight="1" outlineLevel="2" x14ac:dyDescent="0.25">
      <c r="B12733" s="704" t="s">
        <v>688</v>
      </c>
      <c r="C12733" s="704" t="s">
        <v>910</v>
      </c>
      <c r="D12733" s="704" t="s">
        <v>44</v>
      </c>
      <c r="E12733" s="704" t="s">
        <v>861</v>
      </c>
      <c r="F12733" s="709"/>
      <c r="G12733" s="705">
        <v>42.361451300908016</v>
      </c>
    </row>
    <row r="12734" spans="2:7" ht="11.25" hidden="1" customHeight="1" outlineLevel="2" x14ac:dyDescent="0.25">
      <c r="B12734" s="704" t="s">
        <v>688</v>
      </c>
      <c r="C12734" s="704" t="s">
        <v>814</v>
      </c>
      <c r="D12734" s="704" t="s">
        <v>815</v>
      </c>
      <c r="E12734" s="704" t="s">
        <v>448</v>
      </c>
      <c r="F12734" s="705">
        <v>2.6842632411043145E-34</v>
      </c>
      <c r="G12734" s="705">
        <v>1.4108141940538616E-30</v>
      </c>
    </row>
    <row r="12735" spans="2:7" ht="11.25" hidden="1" customHeight="1" outlineLevel="2" x14ac:dyDescent="0.25">
      <c r="B12735" s="704" t="s">
        <v>688</v>
      </c>
      <c r="C12735" s="704" t="s">
        <v>854</v>
      </c>
      <c r="D12735" s="704" t="s">
        <v>815</v>
      </c>
      <c r="E12735" s="704" t="s">
        <v>824</v>
      </c>
      <c r="F12735" s="705">
        <v>1.6645027218787266E-36</v>
      </c>
      <c r="G12735" s="705">
        <v>2.4044512537756401E-32</v>
      </c>
    </row>
    <row r="12736" spans="2:7" ht="11.25" hidden="1" customHeight="1" outlineLevel="2" x14ac:dyDescent="0.25">
      <c r="B12736" s="704" t="s">
        <v>688</v>
      </c>
      <c r="C12736" s="704" t="s">
        <v>918</v>
      </c>
      <c r="D12736" s="704" t="s">
        <v>815</v>
      </c>
      <c r="E12736" s="704" t="s">
        <v>861</v>
      </c>
      <c r="F12736" s="709"/>
      <c r="G12736" s="705">
        <v>1.2545998713324452E-28</v>
      </c>
    </row>
    <row r="12737" spans="2:7" ht="11.25" hidden="1" customHeight="1" outlineLevel="2" x14ac:dyDescent="0.25">
      <c r="B12737" s="704" t="s">
        <v>688</v>
      </c>
      <c r="C12737" s="704" t="s">
        <v>740</v>
      </c>
      <c r="D12737" s="704" t="s">
        <v>562</v>
      </c>
      <c r="E12737" s="704" t="s">
        <v>448</v>
      </c>
      <c r="F12737" s="705">
        <v>6.7800992555511225E-2</v>
      </c>
      <c r="G12737" s="705">
        <v>33.599961387218762</v>
      </c>
    </row>
    <row r="12738" spans="2:7" ht="11.25" hidden="1" customHeight="1" outlineLevel="2" x14ac:dyDescent="0.25">
      <c r="B12738" s="704" t="s">
        <v>688</v>
      </c>
      <c r="C12738" s="704" t="s">
        <v>741</v>
      </c>
      <c r="D12738" s="704" t="s">
        <v>562</v>
      </c>
      <c r="E12738" s="704" t="s">
        <v>448</v>
      </c>
      <c r="F12738" s="705">
        <v>0.43324512348042482</v>
      </c>
      <c r="G12738" s="705">
        <v>224.16789432742456</v>
      </c>
    </row>
    <row r="12739" spans="2:7" ht="11.25" hidden="1" customHeight="1" outlineLevel="2" x14ac:dyDescent="0.25">
      <c r="B12739" s="704" t="s">
        <v>688</v>
      </c>
      <c r="C12739" s="704" t="s">
        <v>742</v>
      </c>
      <c r="D12739" s="704" t="s">
        <v>562</v>
      </c>
      <c r="E12739" s="704" t="s">
        <v>448</v>
      </c>
      <c r="F12739" s="705">
        <v>1.9285126535993871E-4</v>
      </c>
      <c r="G12739" s="705">
        <v>8.6454807736710465E-2</v>
      </c>
    </row>
    <row r="12740" spans="2:7" ht="11.25" hidden="1" customHeight="1" outlineLevel="2" x14ac:dyDescent="0.25">
      <c r="B12740" s="704" t="s">
        <v>688</v>
      </c>
      <c r="C12740" s="704" t="s">
        <v>743</v>
      </c>
      <c r="D12740" s="704" t="s">
        <v>562</v>
      </c>
      <c r="E12740" s="704" t="s">
        <v>448</v>
      </c>
      <c r="F12740" s="705">
        <v>3.034475998306065E-3</v>
      </c>
      <c r="G12740" s="705">
        <v>1.3603492825938501</v>
      </c>
    </row>
    <row r="12741" spans="2:7" ht="11.25" hidden="1" customHeight="1" outlineLevel="2" x14ac:dyDescent="0.25">
      <c r="B12741" s="704" t="s">
        <v>688</v>
      </c>
      <c r="C12741" s="704" t="s">
        <v>806</v>
      </c>
      <c r="D12741" s="704" t="s">
        <v>562</v>
      </c>
      <c r="E12741" s="704" t="s">
        <v>448</v>
      </c>
      <c r="F12741" s="705">
        <v>5.7525051347264373</v>
      </c>
      <c r="G12741" s="705">
        <v>6916.3820597916174</v>
      </c>
    </row>
    <row r="12742" spans="2:7" ht="11.25" hidden="1" customHeight="1" outlineLevel="2" x14ac:dyDescent="0.25">
      <c r="B12742" s="704" t="s">
        <v>688</v>
      </c>
      <c r="C12742" s="704" t="s">
        <v>807</v>
      </c>
      <c r="D12742" s="704" t="s">
        <v>562</v>
      </c>
      <c r="E12742" s="704" t="s">
        <v>448</v>
      </c>
      <c r="F12742" s="705">
        <v>1.2382039938822023</v>
      </c>
      <c r="G12742" s="705">
        <v>1730.7553653662535</v>
      </c>
    </row>
    <row r="12743" spans="2:7" ht="11.25" hidden="1" customHeight="1" outlineLevel="2" x14ac:dyDescent="0.25">
      <c r="B12743" s="704" t="s">
        <v>688</v>
      </c>
      <c r="C12743" s="704" t="s">
        <v>808</v>
      </c>
      <c r="D12743" s="704" t="s">
        <v>562</v>
      </c>
      <c r="E12743" s="704" t="s">
        <v>448</v>
      </c>
      <c r="F12743" s="705">
        <v>0.57155510546904886</v>
      </c>
      <c r="G12743" s="705">
        <v>917.80655488408775</v>
      </c>
    </row>
    <row r="12744" spans="2:7" ht="11.25" hidden="1" customHeight="1" outlineLevel="2" x14ac:dyDescent="0.25">
      <c r="B12744" s="704" t="s">
        <v>688</v>
      </c>
      <c r="C12744" s="704" t="s">
        <v>809</v>
      </c>
      <c r="D12744" s="704" t="s">
        <v>562</v>
      </c>
      <c r="E12744" s="704" t="s">
        <v>448</v>
      </c>
      <c r="F12744" s="705">
        <v>1.317020106687121</v>
      </c>
      <c r="G12744" s="705">
        <v>1969.2802490318973</v>
      </c>
    </row>
    <row r="12745" spans="2:7" ht="11.25" hidden="1" customHeight="1" outlineLevel="2" x14ac:dyDescent="0.25">
      <c r="B12745" s="704" t="s">
        <v>688</v>
      </c>
      <c r="C12745" s="704" t="s">
        <v>810</v>
      </c>
      <c r="D12745" s="704" t="s">
        <v>562</v>
      </c>
      <c r="E12745" s="704" t="s">
        <v>448</v>
      </c>
      <c r="F12745" s="705">
        <v>2.4874314326763627</v>
      </c>
      <c r="G12745" s="705">
        <v>3102.4304220529284</v>
      </c>
    </row>
    <row r="12746" spans="2:7" ht="11.25" hidden="1" customHeight="1" outlineLevel="2" x14ac:dyDescent="0.25">
      <c r="B12746" s="704" t="s">
        <v>688</v>
      </c>
      <c r="C12746" s="704" t="s">
        <v>811</v>
      </c>
      <c r="D12746" s="704" t="s">
        <v>562</v>
      </c>
      <c r="E12746" s="704" t="s">
        <v>448</v>
      </c>
      <c r="F12746" s="705">
        <v>0.10589484503523743</v>
      </c>
      <c r="G12746" s="705">
        <v>145.92091777535475</v>
      </c>
    </row>
    <row r="12747" spans="2:7" ht="11.25" hidden="1" customHeight="1" outlineLevel="2" x14ac:dyDescent="0.25">
      <c r="B12747" s="704" t="s">
        <v>688</v>
      </c>
      <c r="C12747" s="704" t="s">
        <v>848</v>
      </c>
      <c r="D12747" s="704" t="s">
        <v>562</v>
      </c>
      <c r="E12747" s="704" t="s">
        <v>824</v>
      </c>
      <c r="F12747" s="705">
        <v>0.33473606048260102</v>
      </c>
      <c r="G12747" s="705">
        <v>920.25825443787141</v>
      </c>
    </row>
    <row r="12748" spans="2:7" ht="11.25" hidden="1" customHeight="1" outlineLevel="2" x14ac:dyDescent="0.25">
      <c r="B12748" s="704" t="s">
        <v>688</v>
      </c>
      <c r="C12748" s="704" t="s">
        <v>849</v>
      </c>
      <c r="D12748" s="704" t="s">
        <v>562</v>
      </c>
      <c r="E12748" s="704" t="s">
        <v>824</v>
      </c>
      <c r="F12748" s="705">
        <v>4.8600102456009361E-2</v>
      </c>
      <c r="G12748" s="705">
        <v>204.97350177503944</v>
      </c>
    </row>
    <row r="12749" spans="2:7" ht="11.25" hidden="1" customHeight="1" outlineLevel="2" x14ac:dyDescent="0.25">
      <c r="B12749" s="704" t="s">
        <v>688</v>
      </c>
      <c r="C12749" s="704" t="s">
        <v>850</v>
      </c>
      <c r="D12749" s="704" t="s">
        <v>562</v>
      </c>
      <c r="E12749" s="704" t="s">
        <v>824</v>
      </c>
      <c r="F12749" s="705">
        <v>3.5955287988522461E-2</v>
      </c>
      <c r="G12749" s="705">
        <v>240.26573656140948</v>
      </c>
    </row>
    <row r="12750" spans="2:7" ht="11.25" hidden="1" customHeight="1" outlineLevel="2" x14ac:dyDescent="0.25">
      <c r="B12750" s="704" t="s">
        <v>688</v>
      </c>
      <c r="C12750" s="704" t="s">
        <v>851</v>
      </c>
      <c r="D12750" s="704" t="s">
        <v>562</v>
      </c>
      <c r="E12750" s="704" t="s">
        <v>824</v>
      </c>
      <c r="F12750" s="705">
        <v>6.2980223819647158E-2</v>
      </c>
      <c r="G12750" s="705">
        <v>298.47021150601103</v>
      </c>
    </row>
    <row r="12751" spans="2:7" ht="11.25" hidden="1" customHeight="1" outlineLevel="2" x14ac:dyDescent="0.25">
      <c r="B12751" s="704" t="s">
        <v>688</v>
      </c>
      <c r="C12751" s="704" t="s">
        <v>852</v>
      </c>
      <c r="D12751" s="704" t="s">
        <v>562</v>
      </c>
      <c r="E12751" s="704" t="s">
        <v>824</v>
      </c>
      <c r="F12751" s="705">
        <v>1.5725802603472057E-3</v>
      </c>
      <c r="G12751" s="705">
        <v>4.0346453919292884</v>
      </c>
    </row>
    <row r="12752" spans="2:7" ht="11.25" hidden="1" customHeight="1" outlineLevel="2" x14ac:dyDescent="0.25">
      <c r="B12752" s="704" t="s">
        <v>688</v>
      </c>
      <c r="C12752" s="704" t="s">
        <v>853</v>
      </c>
      <c r="D12752" s="704" t="s">
        <v>562</v>
      </c>
      <c r="E12752" s="704" t="s">
        <v>824</v>
      </c>
      <c r="F12752" s="705">
        <v>4.5880242657735657E-4</v>
      </c>
      <c r="G12752" s="705">
        <v>3.7476537851210465</v>
      </c>
    </row>
    <row r="12753" spans="2:7" ht="11.25" hidden="1" customHeight="1" outlineLevel="2" x14ac:dyDescent="0.25">
      <c r="B12753" s="704" t="s">
        <v>688</v>
      </c>
      <c r="C12753" s="704" t="s">
        <v>707</v>
      </c>
      <c r="D12753" s="704" t="s">
        <v>562</v>
      </c>
      <c r="E12753" s="704" t="s">
        <v>676</v>
      </c>
      <c r="F12753" s="705">
        <v>7.3957932096994758</v>
      </c>
      <c r="G12753" s="705">
        <v>205.37351360308639</v>
      </c>
    </row>
    <row r="12754" spans="2:7" ht="11.25" hidden="1" customHeight="1" outlineLevel="2" x14ac:dyDescent="0.25">
      <c r="B12754" s="704" t="s">
        <v>688</v>
      </c>
      <c r="C12754" s="704" t="s">
        <v>708</v>
      </c>
      <c r="D12754" s="704" t="s">
        <v>562</v>
      </c>
      <c r="E12754" s="704" t="s">
        <v>676</v>
      </c>
      <c r="F12754" s="705">
        <v>0.28354423042470622</v>
      </c>
      <c r="G12754" s="705">
        <v>10.307266369421551</v>
      </c>
    </row>
    <row r="12755" spans="2:7" ht="11.25" hidden="1" customHeight="1" outlineLevel="2" x14ac:dyDescent="0.25">
      <c r="B12755" s="704" t="s">
        <v>688</v>
      </c>
      <c r="C12755" s="704" t="s">
        <v>709</v>
      </c>
      <c r="D12755" s="704" t="s">
        <v>562</v>
      </c>
      <c r="E12755" s="704" t="s">
        <v>676</v>
      </c>
      <c r="F12755" s="705">
        <v>0.2035638211704178</v>
      </c>
      <c r="G12755" s="705">
        <v>14.277294563293603</v>
      </c>
    </row>
    <row r="12756" spans="2:7" ht="11.25" hidden="1" customHeight="1" outlineLevel="2" x14ac:dyDescent="0.25">
      <c r="B12756" s="704" t="s">
        <v>688</v>
      </c>
      <c r="C12756" s="704" t="s">
        <v>710</v>
      </c>
      <c r="D12756" s="704" t="s">
        <v>562</v>
      </c>
      <c r="E12756" s="704" t="s">
        <v>676</v>
      </c>
      <c r="F12756" s="705">
        <v>2.3848521572137651</v>
      </c>
      <c r="G12756" s="705">
        <v>499.06767720562118</v>
      </c>
    </row>
    <row r="12757" spans="2:7" ht="11.25" hidden="1" customHeight="1" outlineLevel="2" x14ac:dyDescent="0.25">
      <c r="B12757" s="704" t="s">
        <v>688</v>
      </c>
      <c r="C12757" s="704" t="s">
        <v>911</v>
      </c>
      <c r="D12757" s="704" t="s">
        <v>562</v>
      </c>
      <c r="E12757" s="704" t="s">
        <v>861</v>
      </c>
      <c r="F12757" s="709"/>
      <c r="G12757" s="705">
        <v>5321.9118384811973</v>
      </c>
    </row>
    <row r="12758" spans="2:7" ht="11.25" hidden="1" customHeight="1" outlineLevel="2" x14ac:dyDescent="0.25">
      <c r="B12758" s="704" t="s">
        <v>688</v>
      </c>
      <c r="C12758" s="704" t="s">
        <v>912</v>
      </c>
      <c r="D12758" s="704" t="s">
        <v>562</v>
      </c>
      <c r="E12758" s="704" t="s">
        <v>861</v>
      </c>
      <c r="F12758" s="709"/>
      <c r="G12758" s="705">
        <v>1255.6486070370242</v>
      </c>
    </row>
    <row r="12759" spans="2:7" ht="11.25" hidden="1" customHeight="1" outlineLevel="2" x14ac:dyDescent="0.25">
      <c r="B12759" s="704" t="s">
        <v>688</v>
      </c>
      <c r="C12759" s="704" t="s">
        <v>913</v>
      </c>
      <c r="D12759" s="704" t="s">
        <v>562</v>
      </c>
      <c r="E12759" s="704" t="s">
        <v>861</v>
      </c>
      <c r="F12759" s="709"/>
      <c r="G12759" s="705">
        <v>3483.9394782910499</v>
      </c>
    </row>
    <row r="12760" spans="2:7" ht="11.25" hidden="1" customHeight="1" outlineLevel="2" x14ac:dyDescent="0.25">
      <c r="B12760" s="704" t="s">
        <v>688</v>
      </c>
      <c r="C12760" s="704" t="s">
        <v>914</v>
      </c>
      <c r="D12760" s="704" t="s">
        <v>562</v>
      </c>
      <c r="E12760" s="704" t="s">
        <v>861</v>
      </c>
      <c r="F12760" s="709"/>
      <c r="G12760" s="705">
        <v>1769.0311974163974</v>
      </c>
    </row>
    <row r="12761" spans="2:7" ht="11.25" hidden="1" customHeight="1" outlineLevel="2" x14ac:dyDescent="0.25">
      <c r="B12761" s="704" t="s">
        <v>688</v>
      </c>
      <c r="C12761" s="704" t="s">
        <v>915</v>
      </c>
      <c r="D12761" s="704" t="s">
        <v>562</v>
      </c>
      <c r="E12761" s="704" t="s">
        <v>861</v>
      </c>
      <c r="F12761" s="709"/>
      <c r="G12761" s="705">
        <v>169.94413547383414</v>
      </c>
    </row>
    <row r="12762" spans="2:7" ht="11.25" hidden="1" customHeight="1" outlineLevel="2" x14ac:dyDescent="0.25">
      <c r="B12762" s="704" t="s">
        <v>688</v>
      </c>
      <c r="C12762" s="704" t="s">
        <v>916</v>
      </c>
      <c r="D12762" s="704" t="s">
        <v>562</v>
      </c>
      <c r="E12762" s="704" t="s">
        <v>861</v>
      </c>
      <c r="F12762" s="709"/>
      <c r="G12762" s="705">
        <v>150.77900616723082</v>
      </c>
    </row>
    <row r="12763" spans="2:7" ht="11.25" hidden="1" customHeight="1" outlineLevel="2" x14ac:dyDescent="0.25">
      <c r="B12763" s="704" t="s">
        <v>688</v>
      </c>
      <c r="C12763" s="704" t="s">
        <v>719</v>
      </c>
      <c r="D12763" s="704" t="s">
        <v>675</v>
      </c>
      <c r="E12763" s="704" t="s">
        <v>448</v>
      </c>
      <c r="F12763" s="705">
        <v>4.9618769245660173E-2</v>
      </c>
      <c r="G12763" s="705">
        <v>30.59442219638921</v>
      </c>
    </row>
    <row r="12764" spans="2:7" ht="11.25" hidden="1" customHeight="1" outlineLevel="2" x14ac:dyDescent="0.25">
      <c r="B12764" s="704" t="s">
        <v>688</v>
      </c>
      <c r="C12764" s="704" t="s">
        <v>720</v>
      </c>
      <c r="D12764" s="704" t="s">
        <v>675</v>
      </c>
      <c r="E12764" s="704" t="s">
        <v>448</v>
      </c>
      <c r="F12764" s="705">
        <v>4.100675207601834E-3</v>
      </c>
      <c r="G12764" s="705">
        <v>1.950838716154796</v>
      </c>
    </row>
    <row r="12765" spans="2:7" ht="11.25" hidden="1" customHeight="1" outlineLevel="2" x14ac:dyDescent="0.25">
      <c r="B12765" s="704" t="s">
        <v>688</v>
      </c>
      <c r="C12765" s="704" t="s">
        <v>721</v>
      </c>
      <c r="D12765" s="704" t="s">
        <v>675</v>
      </c>
      <c r="E12765" s="704" t="s">
        <v>448</v>
      </c>
      <c r="F12765" s="705">
        <v>4.8822887855141878E-3</v>
      </c>
      <c r="G12765" s="705">
        <v>2.3321135738375212</v>
      </c>
    </row>
    <row r="12766" spans="2:7" ht="11.25" hidden="1" customHeight="1" outlineLevel="2" x14ac:dyDescent="0.25">
      <c r="B12766" s="704" t="s">
        <v>688</v>
      </c>
      <c r="C12766" s="704" t="s">
        <v>722</v>
      </c>
      <c r="D12766" s="704" t="s">
        <v>675</v>
      </c>
      <c r="E12766" s="704" t="s">
        <v>448</v>
      </c>
      <c r="F12766" s="705">
        <v>3.8959156024615297E-5</v>
      </c>
      <c r="G12766" s="705">
        <v>1.7464107267778705E-2</v>
      </c>
    </row>
    <row r="12767" spans="2:7" ht="11.25" hidden="1" customHeight="1" outlineLevel="2" x14ac:dyDescent="0.25">
      <c r="B12767" s="704" t="s">
        <v>688</v>
      </c>
      <c r="C12767" s="704" t="s">
        <v>723</v>
      </c>
      <c r="D12767" s="704" t="s">
        <v>675</v>
      </c>
      <c r="E12767" s="704" t="s">
        <v>448</v>
      </c>
      <c r="F12767" s="705">
        <v>0.13897785165893886</v>
      </c>
      <c r="G12767" s="705">
        <v>76.395791630971502</v>
      </c>
    </row>
    <row r="12768" spans="2:7" ht="11.25" hidden="1" customHeight="1" outlineLevel="2" x14ac:dyDescent="0.25">
      <c r="B12768" s="704" t="s">
        <v>688</v>
      </c>
      <c r="C12768" s="704" t="s">
        <v>724</v>
      </c>
      <c r="D12768" s="704" t="s">
        <v>675</v>
      </c>
      <c r="E12768" s="704" t="s">
        <v>448</v>
      </c>
      <c r="F12768" s="705">
        <v>9.970630249448722E-4</v>
      </c>
      <c r="G12768" s="705">
        <v>0.44695539398671513</v>
      </c>
    </row>
    <row r="12769" spans="2:7" ht="11.25" hidden="1" customHeight="1" outlineLevel="2" x14ac:dyDescent="0.25">
      <c r="B12769" s="704" t="s">
        <v>688</v>
      </c>
      <c r="C12769" s="704" t="s">
        <v>750</v>
      </c>
      <c r="D12769" s="704" t="s">
        <v>675</v>
      </c>
      <c r="E12769" s="704" t="s">
        <v>448</v>
      </c>
      <c r="F12769" s="705">
        <v>1.6957192169592721E-2</v>
      </c>
      <c r="G12769" s="705">
        <v>26.281025477820023</v>
      </c>
    </row>
    <row r="12770" spans="2:7" ht="11.25" hidden="1" customHeight="1" outlineLevel="2" x14ac:dyDescent="0.25">
      <c r="B12770" s="704" t="s">
        <v>688</v>
      </c>
      <c r="C12770" s="704" t="s">
        <v>751</v>
      </c>
      <c r="D12770" s="704" t="s">
        <v>675</v>
      </c>
      <c r="E12770" s="704" t="s">
        <v>448</v>
      </c>
      <c r="F12770" s="705">
        <v>1.5020501724367951E-4</v>
      </c>
      <c r="G12770" s="705">
        <v>0.19421000857109755</v>
      </c>
    </row>
    <row r="12771" spans="2:7" ht="11.25" hidden="1" customHeight="1" outlineLevel="2" x14ac:dyDescent="0.25">
      <c r="B12771" s="704" t="s">
        <v>688</v>
      </c>
      <c r="C12771" s="704" t="s">
        <v>752</v>
      </c>
      <c r="D12771" s="704" t="s">
        <v>675</v>
      </c>
      <c r="E12771" s="704" t="s">
        <v>448</v>
      </c>
      <c r="F12771" s="705">
        <v>4.1317554326148309E-2</v>
      </c>
      <c r="G12771" s="705">
        <v>49.179632655655737</v>
      </c>
    </row>
    <row r="12772" spans="2:7" ht="11.25" hidden="1" customHeight="1" outlineLevel="2" x14ac:dyDescent="0.25">
      <c r="B12772" s="704" t="s">
        <v>688</v>
      </c>
      <c r="C12772" s="704" t="s">
        <v>753</v>
      </c>
      <c r="D12772" s="704" t="s">
        <v>675</v>
      </c>
      <c r="E12772" s="704" t="s">
        <v>448</v>
      </c>
      <c r="F12772" s="705">
        <v>2.9595609959814029E-2</v>
      </c>
      <c r="G12772" s="705">
        <v>46.471736343095998</v>
      </c>
    </row>
    <row r="12773" spans="2:7" ht="11.25" hidden="1" customHeight="1" outlineLevel="2" x14ac:dyDescent="0.25">
      <c r="B12773" s="704" t="s">
        <v>688</v>
      </c>
      <c r="C12773" s="704" t="s">
        <v>754</v>
      </c>
      <c r="D12773" s="704" t="s">
        <v>675</v>
      </c>
      <c r="E12773" s="704" t="s">
        <v>448</v>
      </c>
      <c r="F12773" s="705">
        <v>7.287000000126477E-2</v>
      </c>
      <c r="G12773" s="705">
        <v>94.107736875199265</v>
      </c>
    </row>
    <row r="12774" spans="2:7" ht="11.25" hidden="1" customHeight="1" outlineLevel="2" x14ac:dyDescent="0.25">
      <c r="B12774" s="704" t="s">
        <v>688</v>
      </c>
      <c r="C12774" s="704" t="s">
        <v>755</v>
      </c>
      <c r="D12774" s="704" t="s">
        <v>675</v>
      </c>
      <c r="E12774" s="704" t="s">
        <v>448</v>
      </c>
      <c r="F12774" s="705">
        <v>2.8983074227351861E-2</v>
      </c>
      <c r="G12774" s="705">
        <v>39.685244809252723</v>
      </c>
    </row>
    <row r="12775" spans="2:7" ht="11.25" hidden="1" customHeight="1" outlineLevel="2" x14ac:dyDescent="0.25">
      <c r="B12775" s="704" t="s">
        <v>688</v>
      </c>
      <c r="C12775" s="704" t="s">
        <v>756</v>
      </c>
      <c r="D12775" s="704" t="s">
        <v>675</v>
      </c>
      <c r="E12775" s="704" t="s">
        <v>448</v>
      </c>
      <c r="F12775" s="705">
        <v>1.5618994148667948E-3</v>
      </c>
      <c r="G12775" s="705">
        <v>2.0604313156162117</v>
      </c>
    </row>
    <row r="12776" spans="2:7" ht="11.25" hidden="1" customHeight="1" outlineLevel="2" x14ac:dyDescent="0.25">
      <c r="B12776" s="704" t="s">
        <v>688</v>
      </c>
      <c r="C12776" s="704" t="s">
        <v>757</v>
      </c>
      <c r="D12776" s="704" t="s">
        <v>675</v>
      </c>
      <c r="E12776" s="704" t="s">
        <v>448</v>
      </c>
      <c r="F12776" s="705">
        <v>5.5227058949910118E-2</v>
      </c>
      <c r="G12776" s="705">
        <v>83.079966785053074</v>
      </c>
    </row>
    <row r="12777" spans="2:7" ht="11.25" hidden="1" customHeight="1" outlineLevel="2" x14ac:dyDescent="0.25">
      <c r="B12777" s="704" t="s">
        <v>688</v>
      </c>
      <c r="C12777" s="704" t="s">
        <v>758</v>
      </c>
      <c r="D12777" s="704" t="s">
        <v>675</v>
      </c>
      <c r="E12777" s="704" t="s">
        <v>448</v>
      </c>
      <c r="F12777" s="705">
        <v>2.4862365144279249E-2</v>
      </c>
      <c r="G12777" s="705">
        <v>28.614078743321212</v>
      </c>
    </row>
    <row r="12778" spans="2:7" ht="11.25" hidden="1" customHeight="1" outlineLevel="2" x14ac:dyDescent="0.25">
      <c r="B12778" s="704" t="s">
        <v>688</v>
      </c>
      <c r="C12778" s="704" t="s">
        <v>759</v>
      </c>
      <c r="D12778" s="704" t="s">
        <v>675</v>
      </c>
      <c r="E12778" s="704" t="s">
        <v>448</v>
      </c>
      <c r="F12778" s="705">
        <v>0.12302582255976917</v>
      </c>
      <c r="G12778" s="705">
        <v>173.03917063000512</v>
      </c>
    </row>
    <row r="12779" spans="2:7" ht="11.25" hidden="1" customHeight="1" outlineLevel="2" x14ac:dyDescent="0.25">
      <c r="B12779" s="704" t="s">
        <v>688</v>
      </c>
      <c r="C12779" s="704" t="s">
        <v>760</v>
      </c>
      <c r="D12779" s="704" t="s">
        <v>675</v>
      </c>
      <c r="E12779" s="704" t="s">
        <v>448</v>
      </c>
      <c r="F12779" s="705">
        <v>8.2911039314939025E-2</v>
      </c>
      <c r="G12779" s="705">
        <v>82.894866255710355</v>
      </c>
    </row>
    <row r="12780" spans="2:7" ht="11.25" hidden="1" customHeight="1" outlineLevel="2" x14ac:dyDescent="0.25">
      <c r="B12780" s="704" t="s">
        <v>688</v>
      </c>
      <c r="C12780" s="704" t="s">
        <v>761</v>
      </c>
      <c r="D12780" s="704" t="s">
        <v>675</v>
      </c>
      <c r="E12780" s="704" t="s">
        <v>448</v>
      </c>
      <c r="F12780" s="705">
        <v>3.9392111619041201E-3</v>
      </c>
      <c r="G12780" s="705">
        <v>6.608024508841785</v>
      </c>
    </row>
    <row r="12781" spans="2:7" ht="11.25" hidden="1" customHeight="1" outlineLevel="2" x14ac:dyDescent="0.25">
      <c r="B12781" s="704" t="s">
        <v>688</v>
      </c>
      <c r="C12781" s="704" t="s">
        <v>762</v>
      </c>
      <c r="D12781" s="704" t="s">
        <v>675</v>
      </c>
      <c r="E12781" s="704" t="s">
        <v>448</v>
      </c>
      <c r="F12781" s="705">
        <v>8.0113033315182876E-3</v>
      </c>
      <c r="G12781" s="705">
        <v>11.204820651015494</v>
      </c>
    </row>
    <row r="12782" spans="2:7" ht="11.25" hidden="1" customHeight="1" outlineLevel="2" x14ac:dyDescent="0.25">
      <c r="B12782" s="704" t="s">
        <v>688</v>
      </c>
      <c r="C12782" s="704" t="s">
        <v>763</v>
      </c>
      <c r="D12782" s="704" t="s">
        <v>675</v>
      </c>
      <c r="E12782" s="704" t="s">
        <v>448</v>
      </c>
      <c r="F12782" s="705">
        <v>3.5587614778928509E-3</v>
      </c>
      <c r="G12782" s="705">
        <v>10.040531045450034</v>
      </c>
    </row>
    <row r="12783" spans="2:7" ht="11.25" hidden="1" customHeight="1" outlineLevel="2" x14ac:dyDescent="0.25">
      <c r="B12783" s="704" t="s">
        <v>688</v>
      </c>
      <c r="C12783" s="704" t="s">
        <v>764</v>
      </c>
      <c r="D12783" s="704" t="s">
        <v>675</v>
      </c>
      <c r="E12783" s="704" t="s">
        <v>448</v>
      </c>
      <c r="F12783" s="705">
        <v>4.1460553240648757E-3</v>
      </c>
      <c r="G12783" s="705">
        <v>23.981224897833314</v>
      </c>
    </row>
    <row r="12784" spans="2:7" ht="11.25" hidden="1" customHeight="1" outlineLevel="2" x14ac:dyDescent="0.25">
      <c r="B12784" s="704" t="s">
        <v>688</v>
      </c>
      <c r="C12784" s="704" t="s">
        <v>765</v>
      </c>
      <c r="D12784" s="704" t="s">
        <v>675</v>
      </c>
      <c r="E12784" s="704" t="s">
        <v>448</v>
      </c>
      <c r="F12784" s="705">
        <v>3.9223408472152776E-2</v>
      </c>
      <c r="G12784" s="705">
        <v>56.829239228527484</v>
      </c>
    </row>
    <row r="12785" spans="2:7" ht="11.25" hidden="1" customHeight="1" outlineLevel="2" x14ac:dyDescent="0.25">
      <c r="B12785" s="704" t="s">
        <v>688</v>
      </c>
      <c r="C12785" s="704" t="s">
        <v>766</v>
      </c>
      <c r="D12785" s="704" t="s">
        <v>675</v>
      </c>
      <c r="E12785" s="704" t="s">
        <v>448</v>
      </c>
      <c r="F12785" s="705">
        <v>2.4328082004007268E-2</v>
      </c>
      <c r="G12785" s="705">
        <v>39.002672018541062</v>
      </c>
    </row>
    <row r="12786" spans="2:7" ht="11.25" hidden="1" customHeight="1" outlineLevel="2" x14ac:dyDescent="0.25">
      <c r="B12786" s="704" t="s">
        <v>688</v>
      </c>
      <c r="C12786" s="704" t="s">
        <v>767</v>
      </c>
      <c r="D12786" s="704" t="s">
        <v>675</v>
      </c>
      <c r="E12786" s="704" t="s">
        <v>448</v>
      </c>
      <c r="F12786" s="705">
        <v>1.2250554028453707E-2</v>
      </c>
      <c r="G12786" s="705">
        <v>12.85101702751423</v>
      </c>
    </row>
    <row r="12787" spans="2:7" ht="11.25" hidden="1" customHeight="1" outlineLevel="2" x14ac:dyDescent="0.25">
      <c r="B12787" s="704" t="s">
        <v>688</v>
      </c>
      <c r="C12787" s="704" t="s">
        <v>768</v>
      </c>
      <c r="D12787" s="704" t="s">
        <v>675</v>
      </c>
      <c r="E12787" s="704" t="s">
        <v>448</v>
      </c>
      <c r="F12787" s="705">
        <v>5.7130946191812949E-3</v>
      </c>
      <c r="G12787" s="705">
        <v>9.0783724197196118</v>
      </c>
    </row>
    <row r="12788" spans="2:7" ht="11.25" hidden="1" customHeight="1" outlineLevel="2" x14ac:dyDescent="0.25">
      <c r="B12788" s="704" t="s">
        <v>688</v>
      </c>
      <c r="C12788" s="704" t="s">
        <v>825</v>
      </c>
      <c r="D12788" s="704" t="s">
        <v>675</v>
      </c>
      <c r="E12788" s="704" t="s">
        <v>824</v>
      </c>
      <c r="F12788" s="705">
        <v>1.0860266367174324E-3</v>
      </c>
      <c r="G12788" s="705">
        <v>5.1421316035408235</v>
      </c>
    </row>
    <row r="12789" spans="2:7" ht="11.25" hidden="1" customHeight="1" outlineLevel="2" x14ac:dyDescent="0.25">
      <c r="B12789" s="704" t="s">
        <v>688</v>
      </c>
      <c r="C12789" s="704" t="s">
        <v>826</v>
      </c>
      <c r="D12789" s="704" t="s">
        <v>675</v>
      </c>
      <c r="E12789" s="704" t="s">
        <v>824</v>
      </c>
      <c r="F12789" s="705">
        <v>8.07317167463835E-4</v>
      </c>
      <c r="G12789" s="705">
        <v>8.6294668810548778</v>
      </c>
    </row>
    <row r="12790" spans="2:7" ht="11.25" hidden="1" customHeight="1" outlineLevel="2" x14ac:dyDescent="0.25">
      <c r="B12790" s="704" t="s">
        <v>688</v>
      </c>
      <c r="C12790" s="704" t="s">
        <v>827</v>
      </c>
      <c r="D12790" s="704" t="s">
        <v>675</v>
      </c>
      <c r="E12790" s="704" t="s">
        <v>824</v>
      </c>
      <c r="F12790" s="705">
        <v>5.9780462467077383E-4</v>
      </c>
      <c r="G12790" s="705">
        <v>1.4275724310949889</v>
      </c>
    </row>
    <row r="12791" spans="2:7" ht="11.25" hidden="1" customHeight="1" outlineLevel="2" x14ac:dyDescent="0.25">
      <c r="B12791" s="704" t="s">
        <v>688</v>
      </c>
      <c r="C12791" s="704" t="s">
        <v>828</v>
      </c>
      <c r="D12791" s="704" t="s">
        <v>675</v>
      </c>
      <c r="E12791" s="704" t="s">
        <v>824</v>
      </c>
      <c r="F12791" s="705">
        <v>1.630086186425722E-4</v>
      </c>
      <c r="G12791" s="705">
        <v>0.89454877247612841</v>
      </c>
    </row>
    <row r="12792" spans="2:7" ht="11.25" hidden="1" customHeight="1" outlineLevel="2" x14ac:dyDescent="0.25">
      <c r="B12792" s="704" t="s">
        <v>688</v>
      </c>
      <c r="C12792" s="704" t="s">
        <v>829</v>
      </c>
      <c r="D12792" s="704" t="s">
        <v>675</v>
      </c>
      <c r="E12792" s="704" t="s">
        <v>824</v>
      </c>
      <c r="F12792" s="705">
        <v>3.5276153784559502E-3</v>
      </c>
      <c r="G12792" s="705">
        <v>15.830488440696387</v>
      </c>
    </row>
    <row r="12793" spans="2:7" ht="11.25" hidden="1" customHeight="1" outlineLevel="2" x14ac:dyDescent="0.25">
      <c r="B12793" s="704" t="s">
        <v>688</v>
      </c>
      <c r="C12793" s="704" t="s">
        <v>830</v>
      </c>
      <c r="D12793" s="704" t="s">
        <v>675</v>
      </c>
      <c r="E12793" s="704" t="s">
        <v>824</v>
      </c>
      <c r="F12793" s="705">
        <v>3.200361539108723E-3</v>
      </c>
      <c r="G12793" s="705">
        <v>5.6998865179857141</v>
      </c>
    </row>
    <row r="12794" spans="2:7" ht="11.25" hidden="1" customHeight="1" outlineLevel="2" x14ac:dyDescent="0.25">
      <c r="B12794" s="704" t="s">
        <v>688</v>
      </c>
      <c r="C12794" s="704" t="s">
        <v>831</v>
      </c>
      <c r="D12794" s="704" t="s">
        <v>675</v>
      </c>
      <c r="E12794" s="704" t="s">
        <v>824</v>
      </c>
      <c r="F12794" s="705">
        <v>8.8795248524781449E-4</v>
      </c>
      <c r="G12794" s="705">
        <v>14.645735117544724</v>
      </c>
    </row>
    <row r="12795" spans="2:7" ht="11.25" hidden="1" customHeight="1" outlineLevel="2" x14ac:dyDescent="0.25">
      <c r="B12795" s="704" t="s">
        <v>688</v>
      </c>
      <c r="C12795" s="704" t="s">
        <v>832</v>
      </c>
      <c r="D12795" s="704" t="s">
        <v>675</v>
      </c>
      <c r="E12795" s="704" t="s">
        <v>824</v>
      </c>
      <c r="F12795" s="705">
        <v>2.427188819656007E-3</v>
      </c>
      <c r="G12795" s="705">
        <v>5.8332406334452145</v>
      </c>
    </row>
    <row r="12796" spans="2:7" ht="11.25" hidden="1" customHeight="1" outlineLevel="2" x14ac:dyDescent="0.25">
      <c r="B12796" s="704" t="s">
        <v>688</v>
      </c>
      <c r="C12796" s="704" t="s">
        <v>833</v>
      </c>
      <c r="D12796" s="704" t="s">
        <v>675</v>
      </c>
      <c r="E12796" s="704" t="s">
        <v>824</v>
      </c>
      <c r="F12796" s="705">
        <v>3.7069818280237348E-4</v>
      </c>
      <c r="G12796" s="705">
        <v>0.93865392355230381</v>
      </c>
    </row>
    <row r="12797" spans="2:7" ht="11.25" hidden="1" customHeight="1" outlineLevel="2" x14ac:dyDescent="0.25">
      <c r="B12797" s="704" t="s">
        <v>688</v>
      </c>
      <c r="C12797" s="704" t="s">
        <v>834</v>
      </c>
      <c r="D12797" s="704" t="s">
        <v>675</v>
      </c>
      <c r="E12797" s="704" t="s">
        <v>824</v>
      </c>
      <c r="F12797" s="705">
        <v>2.6850381020046498E-3</v>
      </c>
      <c r="G12797" s="705">
        <v>10.154186140490271</v>
      </c>
    </row>
    <row r="12798" spans="2:7" ht="11.25" hidden="1" customHeight="1" outlineLevel="2" x14ac:dyDescent="0.25">
      <c r="B12798" s="704" t="s">
        <v>688</v>
      </c>
      <c r="C12798" s="704" t="s">
        <v>835</v>
      </c>
      <c r="D12798" s="704" t="s">
        <v>675</v>
      </c>
      <c r="E12798" s="704" t="s">
        <v>824</v>
      </c>
      <c r="F12798" s="705">
        <v>3.3676192295026049E-3</v>
      </c>
      <c r="G12798" s="705">
        <v>24.725970665304938</v>
      </c>
    </row>
    <row r="12799" spans="2:7" ht="11.25" hidden="1" customHeight="1" outlineLevel="2" x14ac:dyDescent="0.25">
      <c r="B12799" s="704" t="s">
        <v>688</v>
      </c>
      <c r="C12799" s="704" t="s">
        <v>836</v>
      </c>
      <c r="D12799" s="704" t="s">
        <v>675</v>
      </c>
      <c r="E12799" s="704" t="s">
        <v>824</v>
      </c>
      <c r="F12799" s="705">
        <v>2.3497622658381412E-4</v>
      </c>
      <c r="G12799" s="705">
        <v>2.5829094474643943</v>
      </c>
    </row>
    <row r="12800" spans="2:7" ht="11.25" hidden="1" customHeight="1" outlineLevel="2" x14ac:dyDescent="0.25">
      <c r="B12800" s="704" t="s">
        <v>688</v>
      </c>
      <c r="C12800" s="704" t="s">
        <v>837</v>
      </c>
      <c r="D12800" s="704" t="s">
        <v>675</v>
      </c>
      <c r="E12800" s="704" t="s">
        <v>824</v>
      </c>
      <c r="F12800" s="705">
        <v>7.7493027594397173E-3</v>
      </c>
      <c r="G12800" s="705">
        <v>21.39588338591885</v>
      </c>
    </row>
    <row r="12801" spans="2:7" ht="11.25" hidden="1" customHeight="1" outlineLevel="2" x14ac:dyDescent="0.25">
      <c r="B12801" s="704" t="s">
        <v>688</v>
      </c>
      <c r="C12801" s="704" t="s">
        <v>838</v>
      </c>
      <c r="D12801" s="704" t="s">
        <v>675</v>
      </c>
      <c r="E12801" s="704" t="s">
        <v>824</v>
      </c>
      <c r="F12801" s="705">
        <v>3.9973129307513833E-3</v>
      </c>
      <c r="G12801" s="705">
        <v>8.8480900073985023</v>
      </c>
    </row>
    <row r="12802" spans="2:7" ht="11.25" hidden="1" customHeight="1" outlineLevel="2" x14ac:dyDescent="0.25">
      <c r="B12802" s="704" t="s">
        <v>688</v>
      </c>
      <c r="C12802" s="704" t="s">
        <v>674</v>
      </c>
      <c r="D12802" s="704" t="s">
        <v>675</v>
      </c>
      <c r="E12802" s="704" t="s">
        <v>676</v>
      </c>
      <c r="F12802" s="705">
        <v>1.1335508399852772E-2</v>
      </c>
      <c r="G12802" s="705">
        <v>0.28052916827264052</v>
      </c>
    </row>
    <row r="12803" spans="2:7" ht="11.25" hidden="1" customHeight="1" outlineLevel="2" x14ac:dyDescent="0.25">
      <c r="B12803" s="704" t="s">
        <v>688</v>
      </c>
      <c r="C12803" s="704" t="s">
        <v>862</v>
      </c>
      <c r="D12803" s="704" t="s">
        <v>675</v>
      </c>
      <c r="E12803" s="704" t="s">
        <v>861</v>
      </c>
      <c r="F12803" s="709"/>
      <c r="G12803" s="705">
        <v>832.92381542593853</v>
      </c>
    </row>
    <row r="12804" spans="2:7" ht="11.25" hidden="1" customHeight="1" outlineLevel="2" x14ac:dyDescent="0.25">
      <c r="B12804" s="704" t="s">
        <v>688</v>
      </c>
      <c r="C12804" s="704" t="s">
        <v>863</v>
      </c>
      <c r="D12804" s="704" t="s">
        <v>675</v>
      </c>
      <c r="E12804" s="704" t="s">
        <v>861</v>
      </c>
      <c r="F12804" s="709"/>
      <c r="G12804" s="705">
        <v>1.357722794414665</v>
      </c>
    </row>
    <row r="12805" spans="2:7" ht="11.25" hidden="1" customHeight="1" outlineLevel="2" x14ac:dyDescent="0.25">
      <c r="B12805" s="704" t="s">
        <v>688</v>
      </c>
      <c r="C12805" s="704" t="s">
        <v>864</v>
      </c>
      <c r="D12805" s="704" t="s">
        <v>675</v>
      </c>
      <c r="E12805" s="704" t="s">
        <v>861</v>
      </c>
      <c r="F12805" s="709"/>
      <c r="G12805" s="705">
        <v>22.36800184520596</v>
      </c>
    </row>
    <row r="12806" spans="2:7" ht="11.25" hidden="1" customHeight="1" outlineLevel="2" x14ac:dyDescent="0.25">
      <c r="B12806" s="704" t="s">
        <v>688</v>
      </c>
      <c r="C12806" s="704" t="s">
        <v>865</v>
      </c>
      <c r="D12806" s="704" t="s">
        <v>675</v>
      </c>
      <c r="E12806" s="704" t="s">
        <v>861</v>
      </c>
      <c r="F12806" s="709"/>
      <c r="G12806" s="705">
        <v>2084.9066631256774</v>
      </c>
    </row>
    <row r="12807" spans="2:7" ht="11.25" hidden="1" customHeight="1" outlineLevel="2" x14ac:dyDescent="0.25">
      <c r="B12807" s="704" t="s">
        <v>688</v>
      </c>
      <c r="C12807" s="704" t="s">
        <v>866</v>
      </c>
      <c r="D12807" s="704" t="s">
        <v>675</v>
      </c>
      <c r="E12807" s="704" t="s">
        <v>861</v>
      </c>
      <c r="F12807" s="709"/>
      <c r="G12807" s="705">
        <v>2267.9394626048952</v>
      </c>
    </row>
    <row r="12808" spans="2:7" ht="11.25" hidden="1" customHeight="1" outlineLevel="2" x14ac:dyDescent="0.25">
      <c r="B12808" s="704" t="s">
        <v>688</v>
      </c>
      <c r="C12808" s="704" t="s">
        <v>867</v>
      </c>
      <c r="D12808" s="704" t="s">
        <v>675</v>
      </c>
      <c r="E12808" s="704" t="s">
        <v>861</v>
      </c>
      <c r="F12808" s="709"/>
      <c r="G12808" s="705">
        <v>124.9485137819272</v>
      </c>
    </row>
    <row r="12809" spans="2:7" ht="11.25" hidden="1" customHeight="1" outlineLevel="2" x14ac:dyDescent="0.25">
      <c r="B12809" s="704" t="s">
        <v>688</v>
      </c>
      <c r="C12809" s="704" t="s">
        <v>868</v>
      </c>
      <c r="D12809" s="704" t="s">
        <v>675</v>
      </c>
      <c r="E12809" s="704" t="s">
        <v>861</v>
      </c>
      <c r="F12809" s="709"/>
      <c r="G12809" s="705">
        <v>77.121963701916073</v>
      </c>
    </row>
    <row r="12810" spans="2:7" ht="11.25" hidden="1" customHeight="1" outlineLevel="2" x14ac:dyDescent="0.25">
      <c r="B12810" s="704" t="s">
        <v>688</v>
      </c>
      <c r="C12810" s="704" t="s">
        <v>869</v>
      </c>
      <c r="D12810" s="704" t="s">
        <v>675</v>
      </c>
      <c r="E12810" s="704" t="s">
        <v>861</v>
      </c>
      <c r="F12810" s="709"/>
      <c r="G12810" s="705">
        <v>230.2822464098368</v>
      </c>
    </row>
    <row r="12811" spans="2:7" ht="11.25" hidden="1" customHeight="1" outlineLevel="2" x14ac:dyDescent="0.25">
      <c r="B12811" s="704" t="s">
        <v>688</v>
      </c>
      <c r="C12811" s="704" t="s">
        <v>870</v>
      </c>
      <c r="D12811" s="704" t="s">
        <v>675</v>
      </c>
      <c r="E12811" s="704" t="s">
        <v>861</v>
      </c>
      <c r="F12811" s="709"/>
      <c r="G12811" s="705">
        <v>989.10738658671119</v>
      </c>
    </row>
    <row r="12812" spans="2:7" ht="11.25" hidden="1" customHeight="1" outlineLevel="2" x14ac:dyDescent="0.25">
      <c r="B12812" s="704" t="s">
        <v>688</v>
      </c>
      <c r="C12812" s="704" t="s">
        <v>871</v>
      </c>
      <c r="D12812" s="704" t="s">
        <v>675</v>
      </c>
      <c r="E12812" s="704" t="s">
        <v>861</v>
      </c>
      <c r="F12812" s="709"/>
      <c r="G12812" s="705">
        <v>850.51635841913765</v>
      </c>
    </row>
    <row r="12813" spans="2:7" ht="11.25" hidden="1" customHeight="1" outlineLevel="2" x14ac:dyDescent="0.25">
      <c r="B12813" s="704" t="s">
        <v>688</v>
      </c>
      <c r="C12813" s="704" t="s">
        <v>872</v>
      </c>
      <c r="D12813" s="704" t="s">
        <v>675</v>
      </c>
      <c r="E12813" s="704" t="s">
        <v>861</v>
      </c>
      <c r="F12813" s="709"/>
      <c r="G12813" s="705">
        <v>8449.328541456136</v>
      </c>
    </row>
    <row r="12814" spans="2:7" ht="11.25" hidden="1" customHeight="1" outlineLevel="2" x14ac:dyDescent="0.25">
      <c r="B12814" s="704" t="s">
        <v>688</v>
      </c>
      <c r="C12814" s="704" t="s">
        <v>873</v>
      </c>
      <c r="D12814" s="704" t="s">
        <v>675</v>
      </c>
      <c r="E12814" s="704" t="s">
        <v>861</v>
      </c>
      <c r="F12814" s="709"/>
      <c r="G12814" s="705">
        <v>70.086751939349625</v>
      </c>
    </row>
    <row r="12815" spans="2:7" ht="11.25" hidden="1" customHeight="1" outlineLevel="2" x14ac:dyDescent="0.25">
      <c r="B12815" s="704" t="s">
        <v>688</v>
      </c>
      <c r="C12815" s="704" t="s">
        <v>874</v>
      </c>
      <c r="D12815" s="704" t="s">
        <v>675</v>
      </c>
      <c r="E12815" s="704" t="s">
        <v>861</v>
      </c>
      <c r="F12815" s="709"/>
      <c r="G12815" s="705">
        <v>33.105184768443763</v>
      </c>
    </row>
    <row r="12816" spans="2:7" ht="11.25" hidden="1" customHeight="1" outlineLevel="2" x14ac:dyDescent="0.25">
      <c r="B12816" s="704" t="s">
        <v>688</v>
      </c>
      <c r="C12816" s="704" t="s">
        <v>875</v>
      </c>
      <c r="D12816" s="704" t="s">
        <v>675</v>
      </c>
      <c r="E12816" s="704" t="s">
        <v>861</v>
      </c>
      <c r="F12816" s="709"/>
      <c r="G12816" s="705">
        <v>1929.7533664110438</v>
      </c>
    </row>
    <row r="12817" spans="2:7" ht="11.25" hidden="1" customHeight="1" outlineLevel="2" x14ac:dyDescent="0.25">
      <c r="B12817" s="704" t="s">
        <v>688</v>
      </c>
      <c r="C12817" s="704" t="s">
        <v>876</v>
      </c>
      <c r="D12817" s="704" t="s">
        <v>675</v>
      </c>
      <c r="E12817" s="704" t="s">
        <v>861</v>
      </c>
      <c r="F12817" s="709"/>
      <c r="G12817" s="705">
        <v>2102.1407870954909</v>
      </c>
    </row>
    <row r="12818" spans="2:7" ht="11.25" hidden="1" customHeight="1" outlineLevel="2" x14ac:dyDescent="0.25">
      <c r="B12818" s="704" t="s">
        <v>688</v>
      </c>
      <c r="C12818" s="704" t="s">
        <v>877</v>
      </c>
      <c r="D12818" s="704" t="s">
        <v>675</v>
      </c>
      <c r="E12818" s="704" t="s">
        <v>861</v>
      </c>
      <c r="F12818" s="709"/>
      <c r="G12818" s="705">
        <v>7226.6551421236009</v>
      </c>
    </row>
    <row r="12819" spans="2:7" ht="11.25" hidden="1" customHeight="1" outlineLevel="2" x14ac:dyDescent="0.25">
      <c r="B12819" s="704" t="s">
        <v>688</v>
      </c>
      <c r="C12819" s="704" t="s">
        <v>878</v>
      </c>
      <c r="D12819" s="704" t="s">
        <v>675</v>
      </c>
      <c r="E12819" s="704" t="s">
        <v>861</v>
      </c>
      <c r="F12819" s="709"/>
      <c r="G12819" s="705">
        <v>340.22102233836466</v>
      </c>
    </row>
    <row r="12820" spans="2:7" ht="11.25" hidden="1" customHeight="1" outlineLevel="2" x14ac:dyDescent="0.25">
      <c r="B12820" s="704" t="s">
        <v>688</v>
      </c>
      <c r="C12820" s="704" t="s">
        <v>879</v>
      </c>
      <c r="D12820" s="704" t="s">
        <v>675</v>
      </c>
      <c r="E12820" s="704" t="s">
        <v>861</v>
      </c>
      <c r="F12820" s="709"/>
      <c r="G12820" s="705">
        <v>2704.5284430649772</v>
      </c>
    </row>
    <row r="12821" spans="2:7" ht="11.25" hidden="1" customHeight="1" outlineLevel="2" x14ac:dyDescent="0.25">
      <c r="B12821" s="704" t="s">
        <v>688</v>
      </c>
      <c r="C12821" s="704" t="s">
        <v>880</v>
      </c>
      <c r="D12821" s="704" t="s">
        <v>675</v>
      </c>
      <c r="E12821" s="704" t="s">
        <v>861</v>
      </c>
      <c r="F12821" s="709"/>
      <c r="G12821" s="705">
        <v>9196.7421570652241</v>
      </c>
    </row>
    <row r="12822" spans="2:7" ht="11.25" hidden="1" customHeight="1" outlineLevel="2" x14ac:dyDescent="0.25">
      <c r="B12822" s="704" t="s">
        <v>688</v>
      </c>
      <c r="C12822" s="704" t="s">
        <v>881</v>
      </c>
      <c r="D12822" s="704" t="s">
        <v>675</v>
      </c>
      <c r="E12822" s="704" t="s">
        <v>861</v>
      </c>
      <c r="F12822" s="709"/>
      <c r="G12822" s="705">
        <v>5577.2653446815802</v>
      </c>
    </row>
    <row r="12823" spans="2:7" ht="11.25" hidden="1" customHeight="1" outlineLevel="2" x14ac:dyDescent="0.25">
      <c r="B12823" s="704" t="s">
        <v>688</v>
      </c>
      <c r="C12823" s="704" t="s">
        <v>882</v>
      </c>
      <c r="D12823" s="704" t="s">
        <v>675</v>
      </c>
      <c r="E12823" s="704" t="s">
        <v>861</v>
      </c>
      <c r="F12823" s="709"/>
      <c r="G12823" s="705">
        <v>8416.8153383906483</v>
      </c>
    </row>
    <row r="12824" spans="2:7" ht="11.25" hidden="1" customHeight="1" outlineLevel="2" x14ac:dyDescent="0.25">
      <c r="B12824" s="704" t="s">
        <v>688</v>
      </c>
      <c r="C12824" s="704" t="s">
        <v>883</v>
      </c>
      <c r="D12824" s="704" t="s">
        <v>675</v>
      </c>
      <c r="E12824" s="704" t="s">
        <v>861</v>
      </c>
      <c r="F12824" s="709"/>
      <c r="G12824" s="705">
        <v>3824.2814641269615</v>
      </c>
    </row>
    <row r="12825" spans="2:7" ht="11.25" hidden="1" customHeight="1" outlineLevel="2" x14ac:dyDescent="0.25">
      <c r="B12825" s="704" t="s">
        <v>688</v>
      </c>
      <c r="C12825" s="704" t="s">
        <v>884</v>
      </c>
      <c r="D12825" s="704" t="s">
        <v>675</v>
      </c>
      <c r="E12825" s="704" t="s">
        <v>861</v>
      </c>
      <c r="F12825" s="709"/>
      <c r="G12825" s="705">
        <v>905.3288380151912</v>
      </c>
    </row>
    <row r="12826" spans="2:7" ht="11.25" hidden="1" customHeight="1" outlineLevel="2" x14ac:dyDescent="0.25">
      <c r="B12826" s="704" t="s">
        <v>688</v>
      </c>
      <c r="C12826" s="704" t="s">
        <v>885</v>
      </c>
      <c r="D12826" s="704" t="s">
        <v>675</v>
      </c>
      <c r="E12826" s="704" t="s">
        <v>861</v>
      </c>
      <c r="F12826" s="709"/>
      <c r="G12826" s="705">
        <v>11.782903342172743</v>
      </c>
    </row>
    <row r="12827" spans="2:7" ht="11.25" hidden="1" customHeight="1" outlineLevel="2" x14ac:dyDescent="0.25">
      <c r="B12827" s="704" t="s">
        <v>688</v>
      </c>
      <c r="C12827" s="704" t="s">
        <v>886</v>
      </c>
      <c r="D12827" s="704" t="s">
        <v>675</v>
      </c>
      <c r="E12827" s="704" t="s">
        <v>861</v>
      </c>
      <c r="F12827" s="709"/>
      <c r="G12827" s="705">
        <v>867.52008762478602</v>
      </c>
    </row>
    <row r="12828" spans="2:7" ht="11.25" hidden="1" customHeight="1" outlineLevel="2" x14ac:dyDescent="0.25">
      <c r="B12828" s="704" t="s">
        <v>688</v>
      </c>
      <c r="C12828" s="704" t="s">
        <v>725</v>
      </c>
      <c r="D12828" s="704" t="s">
        <v>563</v>
      </c>
      <c r="E12828" s="704" t="s">
        <v>448</v>
      </c>
      <c r="F12828" s="705">
        <v>7.008046113384823E-4</v>
      </c>
      <c r="G12828" s="705">
        <v>0.31416926062522321</v>
      </c>
    </row>
    <row r="12829" spans="2:7" ht="11.25" hidden="1" customHeight="1" outlineLevel="2" x14ac:dyDescent="0.25">
      <c r="B12829" s="704" t="s">
        <v>688</v>
      </c>
      <c r="C12829" s="704" t="s">
        <v>726</v>
      </c>
      <c r="D12829" s="704" t="s">
        <v>563</v>
      </c>
      <c r="E12829" s="704" t="s">
        <v>448</v>
      </c>
      <c r="F12829" s="705">
        <v>5.5194558954797426E-5</v>
      </c>
      <c r="G12829" s="705">
        <v>2.4743603882306793E-2</v>
      </c>
    </row>
    <row r="12830" spans="2:7" ht="11.25" hidden="1" customHeight="1" outlineLevel="2" x14ac:dyDescent="0.25">
      <c r="B12830" s="704" t="s">
        <v>688</v>
      </c>
      <c r="C12830" s="704" t="s">
        <v>769</v>
      </c>
      <c r="D12830" s="704" t="s">
        <v>563</v>
      </c>
      <c r="E12830" s="704" t="s">
        <v>448</v>
      </c>
      <c r="F12830" s="705">
        <v>3.5923986006507001E-2</v>
      </c>
      <c r="G12830" s="705">
        <v>38.213830774558339</v>
      </c>
    </row>
    <row r="12831" spans="2:7" ht="11.25" hidden="1" customHeight="1" outlineLevel="2" x14ac:dyDescent="0.25">
      <c r="B12831" s="704" t="s">
        <v>688</v>
      </c>
      <c r="C12831" s="704" t="s">
        <v>770</v>
      </c>
      <c r="D12831" s="704" t="s">
        <v>563</v>
      </c>
      <c r="E12831" s="704" t="s">
        <v>448</v>
      </c>
      <c r="F12831" s="705">
        <v>3.2662736250075708E-2</v>
      </c>
      <c r="G12831" s="705">
        <v>113.16149660668259</v>
      </c>
    </row>
    <row r="12832" spans="2:7" ht="11.25" hidden="1" customHeight="1" outlineLevel="2" x14ac:dyDescent="0.25">
      <c r="B12832" s="704" t="s">
        <v>688</v>
      </c>
      <c r="C12832" s="704" t="s">
        <v>771</v>
      </c>
      <c r="D12832" s="704" t="s">
        <v>563</v>
      </c>
      <c r="E12832" s="704" t="s">
        <v>448</v>
      </c>
      <c r="F12832" s="705">
        <v>1.2220975526967546E-2</v>
      </c>
      <c r="G12832" s="705">
        <v>28.57918139457761</v>
      </c>
    </row>
    <row r="12833" spans="2:7" ht="11.25" hidden="1" customHeight="1" outlineLevel="2" x14ac:dyDescent="0.25">
      <c r="B12833" s="704" t="s">
        <v>688</v>
      </c>
      <c r="C12833" s="704" t="s">
        <v>772</v>
      </c>
      <c r="D12833" s="704" t="s">
        <v>563</v>
      </c>
      <c r="E12833" s="704" t="s">
        <v>448</v>
      </c>
      <c r="F12833" s="705">
        <v>4.1002507841335925E-2</v>
      </c>
      <c r="G12833" s="705">
        <v>53.270331227497799</v>
      </c>
    </row>
    <row r="12834" spans="2:7" ht="11.25" hidden="1" customHeight="1" outlineLevel="2" x14ac:dyDescent="0.25">
      <c r="B12834" s="704" t="s">
        <v>688</v>
      </c>
      <c r="C12834" s="704" t="s">
        <v>773</v>
      </c>
      <c r="D12834" s="704" t="s">
        <v>563</v>
      </c>
      <c r="E12834" s="704" t="s">
        <v>448</v>
      </c>
      <c r="F12834" s="705">
        <v>2.2950223317475017E-3</v>
      </c>
      <c r="G12834" s="705">
        <v>2.6173147264126357</v>
      </c>
    </row>
    <row r="12835" spans="2:7" ht="11.25" hidden="1" customHeight="1" outlineLevel="2" x14ac:dyDescent="0.25">
      <c r="B12835" s="704" t="s">
        <v>688</v>
      </c>
      <c r="C12835" s="704" t="s">
        <v>774</v>
      </c>
      <c r="D12835" s="704" t="s">
        <v>563</v>
      </c>
      <c r="E12835" s="704" t="s">
        <v>448</v>
      </c>
      <c r="F12835" s="705">
        <v>1.3197170529481458E-3</v>
      </c>
      <c r="G12835" s="705">
        <v>1.7776819619017958</v>
      </c>
    </row>
    <row r="12836" spans="2:7" ht="11.25" hidden="1" customHeight="1" outlineLevel="2" x14ac:dyDescent="0.25">
      <c r="B12836" s="704" t="s">
        <v>688</v>
      </c>
      <c r="C12836" s="704" t="s">
        <v>775</v>
      </c>
      <c r="D12836" s="704" t="s">
        <v>563</v>
      </c>
      <c r="E12836" s="704" t="s">
        <v>448</v>
      </c>
      <c r="F12836" s="705">
        <v>9.0181415583149313E-4</v>
      </c>
      <c r="G12836" s="705">
        <v>11.538929113863654</v>
      </c>
    </row>
    <row r="12837" spans="2:7" ht="11.25" hidden="1" customHeight="1" outlineLevel="2" x14ac:dyDescent="0.25">
      <c r="B12837" s="704" t="s">
        <v>688</v>
      </c>
      <c r="C12837" s="704" t="s">
        <v>839</v>
      </c>
      <c r="D12837" s="704" t="s">
        <v>563</v>
      </c>
      <c r="E12837" s="704" t="s">
        <v>824</v>
      </c>
      <c r="F12837" s="705">
        <v>3.9892720446140041E-2</v>
      </c>
      <c r="G12837" s="705">
        <v>96.806416048824445</v>
      </c>
    </row>
    <row r="12838" spans="2:7" ht="11.25" hidden="1" customHeight="1" outlineLevel="2" x14ac:dyDescent="0.25">
      <c r="B12838" s="704" t="s">
        <v>688</v>
      </c>
      <c r="C12838" s="704" t="s">
        <v>840</v>
      </c>
      <c r="D12838" s="704" t="s">
        <v>563</v>
      </c>
      <c r="E12838" s="704" t="s">
        <v>824</v>
      </c>
      <c r="F12838" s="705">
        <v>1.1625678232194829</v>
      </c>
      <c r="G12838" s="705">
        <v>8559.1757442013059</v>
      </c>
    </row>
    <row r="12839" spans="2:7" ht="11.25" hidden="1" customHeight="1" outlineLevel="2" x14ac:dyDescent="0.25">
      <c r="B12839" s="704" t="s">
        <v>688</v>
      </c>
      <c r="C12839" s="704" t="s">
        <v>841</v>
      </c>
      <c r="D12839" s="704" t="s">
        <v>563</v>
      </c>
      <c r="E12839" s="704" t="s">
        <v>824</v>
      </c>
      <c r="F12839" s="705">
        <v>5.6546630784697263E-3</v>
      </c>
      <c r="G12839" s="705">
        <v>64.707562138844494</v>
      </c>
    </row>
    <row r="12840" spans="2:7" ht="11.25" hidden="1" customHeight="1" outlineLevel="2" x14ac:dyDescent="0.25">
      <c r="B12840" s="704" t="s">
        <v>688</v>
      </c>
      <c r="C12840" s="704" t="s">
        <v>842</v>
      </c>
      <c r="D12840" s="704" t="s">
        <v>563</v>
      </c>
      <c r="E12840" s="704" t="s">
        <v>824</v>
      </c>
      <c r="F12840" s="705">
        <v>2.0491119082669401E-3</v>
      </c>
      <c r="G12840" s="705">
        <v>20.056360963778129</v>
      </c>
    </row>
    <row r="12841" spans="2:7" ht="11.25" hidden="1" customHeight="1" outlineLevel="2" x14ac:dyDescent="0.25">
      <c r="B12841" s="704" t="s">
        <v>688</v>
      </c>
      <c r="C12841" s="704" t="s">
        <v>843</v>
      </c>
      <c r="D12841" s="704" t="s">
        <v>563</v>
      </c>
      <c r="E12841" s="704" t="s">
        <v>824</v>
      </c>
      <c r="F12841" s="705">
        <v>1.9805825125255023E-3</v>
      </c>
      <c r="G12841" s="705">
        <v>5.1748873256766039</v>
      </c>
    </row>
    <row r="12842" spans="2:7" ht="11.25" hidden="1" customHeight="1" outlineLevel="2" x14ac:dyDescent="0.25">
      <c r="B12842" s="704" t="s">
        <v>688</v>
      </c>
      <c r="C12842" s="704" t="s">
        <v>844</v>
      </c>
      <c r="D12842" s="704" t="s">
        <v>563</v>
      </c>
      <c r="E12842" s="704" t="s">
        <v>824</v>
      </c>
      <c r="F12842" s="705">
        <v>1.9806658834387939E-3</v>
      </c>
      <c r="G12842" s="705">
        <v>39.361114778316342</v>
      </c>
    </row>
    <row r="12843" spans="2:7" ht="11.25" hidden="1" customHeight="1" outlineLevel="2" x14ac:dyDescent="0.25">
      <c r="B12843" s="704" t="s">
        <v>688</v>
      </c>
      <c r="C12843" s="704" t="s">
        <v>700</v>
      </c>
      <c r="D12843" s="704" t="s">
        <v>563</v>
      </c>
      <c r="E12843" s="704" t="s">
        <v>676</v>
      </c>
      <c r="F12843" s="705">
        <v>6.0040862373129302</v>
      </c>
      <c r="G12843" s="705">
        <v>505.27881869753662</v>
      </c>
    </row>
    <row r="12844" spans="2:7" ht="11.25" hidden="1" customHeight="1" outlineLevel="2" x14ac:dyDescent="0.25">
      <c r="B12844" s="704" t="s">
        <v>688</v>
      </c>
      <c r="C12844" s="704" t="s">
        <v>701</v>
      </c>
      <c r="D12844" s="704" t="s">
        <v>563</v>
      </c>
      <c r="E12844" s="704" t="s">
        <v>676</v>
      </c>
      <c r="F12844" s="705">
        <v>6.5579953774822933E-3</v>
      </c>
      <c r="G12844" s="705">
        <v>0.57426694973909664</v>
      </c>
    </row>
    <row r="12845" spans="2:7" ht="11.25" hidden="1" customHeight="1" outlineLevel="2" x14ac:dyDescent="0.25">
      <c r="B12845" s="704" t="s">
        <v>688</v>
      </c>
      <c r="C12845" s="704" t="s">
        <v>702</v>
      </c>
      <c r="D12845" s="704" t="s">
        <v>563</v>
      </c>
      <c r="E12845" s="704" t="s">
        <v>676</v>
      </c>
      <c r="F12845" s="705">
        <v>3.0599553165375549E-3</v>
      </c>
      <c r="G12845" s="705">
        <v>0.31361378943299734</v>
      </c>
    </row>
    <row r="12846" spans="2:7" ht="11.25" hidden="1" customHeight="1" outlineLevel="2" x14ac:dyDescent="0.25">
      <c r="B12846" s="704" t="s">
        <v>688</v>
      </c>
      <c r="C12846" s="704" t="s">
        <v>703</v>
      </c>
      <c r="D12846" s="704" t="s">
        <v>563</v>
      </c>
      <c r="E12846" s="704" t="s">
        <v>676</v>
      </c>
      <c r="F12846" s="705">
        <v>1.7041358695305989E-2</v>
      </c>
      <c r="G12846" s="705">
        <v>1.6781308158979993</v>
      </c>
    </row>
    <row r="12847" spans="2:7" ht="11.25" hidden="1" customHeight="1" outlineLevel="2" x14ac:dyDescent="0.25">
      <c r="B12847" s="704" t="s">
        <v>688</v>
      </c>
      <c r="C12847" s="704" t="s">
        <v>704</v>
      </c>
      <c r="D12847" s="704" t="s">
        <v>563</v>
      </c>
      <c r="E12847" s="704" t="s">
        <v>676</v>
      </c>
      <c r="F12847" s="705">
        <v>1.0420498150320831E-2</v>
      </c>
      <c r="G12847" s="705">
        <v>2.3433433444127614</v>
      </c>
    </row>
    <row r="12848" spans="2:7" ht="11.25" hidden="1" customHeight="1" outlineLevel="2" x14ac:dyDescent="0.25">
      <c r="B12848" s="704" t="s">
        <v>688</v>
      </c>
      <c r="C12848" s="704" t="s">
        <v>887</v>
      </c>
      <c r="D12848" s="704" t="s">
        <v>563</v>
      </c>
      <c r="E12848" s="704" t="s">
        <v>861</v>
      </c>
      <c r="F12848" s="709"/>
      <c r="G12848" s="705">
        <v>157.50015758457889</v>
      </c>
    </row>
    <row r="12849" spans="2:7" ht="11.25" hidden="1" customHeight="1" outlineLevel="2" x14ac:dyDescent="0.25">
      <c r="B12849" s="704" t="s">
        <v>688</v>
      </c>
      <c r="C12849" s="704" t="s">
        <v>888</v>
      </c>
      <c r="D12849" s="704" t="s">
        <v>563</v>
      </c>
      <c r="E12849" s="704" t="s">
        <v>861</v>
      </c>
      <c r="F12849" s="709"/>
      <c r="G12849" s="705">
        <v>2285.4186549391093</v>
      </c>
    </row>
    <row r="12850" spans="2:7" ht="11.25" hidden="1" customHeight="1" outlineLevel="2" x14ac:dyDescent="0.25">
      <c r="B12850" s="704" t="s">
        <v>688</v>
      </c>
      <c r="C12850" s="704" t="s">
        <v>889</v>
      </c>
      <c r="D12850" s="704" t="s">
        <v>563</v>
      </c>
      <c r="E12850" s="704" t="s">
        <v>861</v>
      </c>
      <c r="F12850" s="709"/>
      <c r="G12850" s="705">
        <v>997.50995852411472</v>
      </c>
    </row>
    <row r="12851" spans="2:7" ht="11.25" hidden="1" customHeight="1" outlineLevel="2" x14ac:dyDescent="0.25">
      <c r="B12851" s="704" t="s">
        <v>688</v>
      </c>
      <c r="C12851" s="704" t="s">
        <v>890</v>
      </c>
      <c r="D12851" s="704" t="s">
        <v>563</v>
      </c>
      <c r="E12851" s="704" t="s">
        <v>861</v>
      </c>
      <c r="F12851" s="709"/>
      <c r="G12851" s="705">
        <v>1012.4617727242946</v>
      </c>
    </row>
    <row r="12852" spans="2:7" ht="11.25" hidden="1" customHeight="1" outlineLevel="2" x14ac:dyDescent="0.25">
      <c r="B12852" s="704" t="s">
        <v>688</v>
      </c>
      <c r="C12852" s="704" t="s">
        <v>891</v>
      </c>
      <c r="D12852" s="704" t="s">
        <v>563</v>
      </c>
      <c r="E12852" s="704" t="s">
        <v>861</v>
      </c>
      <c r="F12852" s="709"/>
      <c r="G12852" s="705">
        <v>38.922630976660585</v>
      </c>
    </row>
    <row r="12853" spans="2:7" ht="11.25" hidden="1" customHeight="1" outlineLevel="2" x14ac:dyDescent="0.25">
      <c r="B12853" s="704" t="s">
        <v>688</v>
      </c>
      <c r="C12853" s="704" t="s">
        <v>892</v>
      </c>
      <c r="D12853" s="704" t="s">
        <v>563</v>
      </c>
      <c r="E12853" s="704" t="s">
        <v>861</v>
      </c>
      <c r="F12853" s="709"/>
      <c r="G12853" s="705">
        <v>4881.2636858415399</v>
      </c>
    </row>
    <row r="12854" spans="2:7" ht="11.25" hidden="1" customHeight="1" outlineLevel="2" x14ac:dyDescent="0.25">
      <c r="B12854" s="704" t="s">
        <v>688</v>
      </c>
      <c r="C12854" s="704" t="s">
        <v>893</v>
      </c>
      <c r="D12854" s="704" t="s">
        <v>563</v>
      </c>
      <c r="E12854" s="704" t="s">
        <v>861</v>
      </c>
      <c r="F12854" s="709"/>
      <c r="G12854" s="705">
        <v>1438.8467342943018</v>
      </c>
    </row>
    <row r="12855" spans="2:7" ht="11.25" hidden="1" customHeight="1" outlineLevel="2" x14ac:dyDescent="0.25">
      <c r="B12855" s="704" t="s">
        <v>688</v>
      </c>
      <c r="C12855" s="704" t="s">
        <v>727</v>
      </c>
      <c r="D12855" s="704" t="s">
        <v>728</v>
      </c>
      <c r="E12855" s="704" t="s">
        <v>448</v>
      </c>
      <c r="F12855" s="705">
        <v>1.7781257262262956E-2</v>
      </c>
      <c r="G12855" s="705">
        <v>9.7379299973697879</v>
      </c>
    </row>
    <row r="12856" spans="2:7" ht="11.25" hidden="1" customHeight="1" outlineLevel="2" x14ac:dyDescent="0.25">
      <c r="B12856" s="704" t="s">
        <v>688</v>
      </c>
      <c r="C12856" s="704" t="s">
        <v>729</v>
      </c>
      <c r="D12856" s="704" t="s">
        <v>728</v>
      </c>
      <c r="E12856" s="704" t="s">
        <v>448</v>
      </c>
      <c r="F12856" s="705">
        <v>0.23636317353932682</v>
      </c>
      <c r="G12856" s="705">
        <v>127.55849315348381</v>
      </c>
    </row>
    <row r="12857" spans="2:7" ht="11.25" hidden="1" customHeight="1" outlineLevel="2" x14ac:dyDescent="0.25">
      <c r="B12857" s="704" t="s">
        <v>688</v>
      </c>
      <c r="C12857" s="704" t="s">
        <v>730</v>
      </c>
      <c r="D12857" s="704" t="s">
        <v>728</v>
      </c>
      <c r="E12857" s="704" t="s">
        <v>448</v>
      </c>
      <c r="F12857" s="705">
        <v>0.25512273141818348</v>
      </c>
      <c r="G12857" s="705">
        <v>133.02818602394538</v>
      </c>
    </row>
    <row r="12858" spans="2:7" ht="11.25" hidden="1" customHeight="1" outlineLevel="2" x14ac:dyDescent="0.25">
      <c r="B12858" s="704" t="s">
        <v>688</v>
      </c>
      <c r="C12858" s="704" t="s">
        <v>731</v>
      </c>
      <c r="D12858" s="704" t="s">
        <v>728</v>
      </c>
      <c r="E12858" s="704" t="s">
        <v>448</v>
      </c>
      <c r="F12858" s="705">
        <v>2.5889672557559034</v>
      </c>
      <c r="G12858" s="705">
        <v>1419.589265394183</v>
      </c>
    </row>
    <row r="12859" spans="2:7" ht="11.25" hidden="1" customHeight="1" outlineLevel="2" x14ac:dyDescent="0.25">
      <c r="B12859" s="704" t="s">
        <v>688</v>
      </c>
      <c r="C12859" s="704" t="s">
        <v>732</v>
      </c>
      <c r="D12859" s="704" t="s">
        <v>728</v>
      </c>
      <c r="E12859" s="704" t="s">
        <v>448</v>
      </c>
      <c r="F12859" s="705">
        <v>0.3145789983116401</v>
      </c>
      <c r="G12859" s="705">
        <v>185.38119166082183</v>
      </c>
    </row>
    <row r="12860" spans="2:7" ht="11.25" hidden="1" customHeight="1" outlineLevel="2" x14ac:dyDescent="0.25">
      <c r="B12860" s="704" t="s">
        <v>688</v>
      </c>
      <c r="C12860" s="704" t="s">
        <v>733</v>
      </c>
      <c r="D12860" s="704" t="s">
        <v>728</v>
      </c>
      <c r="E12860" s="704" t="s">
        <v>448</v>
      </c>
      <c r="F12860" s="705">
        <v>2.4448097687127293</v>
      </c>
      <c r="G12860" s="705">
        <v>1237.8578582483194</v>
      </c>
    </row>
    <row r="12861" spans="2:7" ht="11.25" hidden="1" customHeight="1" outlineLevel="2" x14ac:dyDescent="0.25">
      <c r="B12861" s="704" t="s">
        <v>688</v>
      </c>
      <c r="C12861" s="704" t="s">
        <v>734</v>
      </c>
      <c r="D12861" s="704" t="s">
        <v>728</v>
      </c>
      <c r="E12861" s="704" t="s">
        <v>448</v>
      </c>
      <c r="F12861" s="705">
        <v>0.22173499323588475</v>
      </c>
      <c r="G12861" s="705">
        <v>119.31100899286926</v>
      </c>
    </row>
    <row r="12862" spans="2:7" ht="11.25" hidden="1" customHeight="1" outlineLevel="2" x14ac:dyDescent="0.25">
      <c r="B12862" s="704" t="s">
        <v>688</v>
      </c>
      <c r="C12862" s="704" t="s">
        <v>735</v>
      </c>
      <c r="D12862" s="704" t="s">
        <v>728</v>
      </c>
      <c r="E12862" s="704" t="s">
        <v>448</v>
      </c>
      <c r="F12862" s="705">
        <v>2.1578148016677074</v>
      </c>
      <c r="G12862" s="705">
        <v>1155.8635971056042</v>
      </c>
    </row>
    <row r="12863" spans="2:7" ht="11.25" hidden="1" customHeight="1" outlineLevel="2" x14ac:dyDescent="0.25">
      <c r="B12863" s="704" t="s">
        <v>688</v>
      </c>
      <c r="C12863" s="704" t="s">
        <v>736</v>
      </c>
      <c r="D12863" s="704" t="s">
        <v>728</v>
      </c>
      <c r="E12863" s="704" t="s">
        <v>448</v>
      </c>
      <c r="F12863" s="705">
        <v>0.38578245689182517</v>
      </c>
      <c r="G12863" s="705">
        <v>56.78519465890777</v>
      </c>
    </row>
    <row r="12864" spans="2:7" ht="11.25" hidden="1" customHeight="1" outlineLevel="2" x14ac:dyDescent="0.25">
      <c r="B12864" s="704" t="s">
        <v>688</v>
      </c>
      <c r="C12864" s="704" t="s">
        <v>737</v>
      </c>
      <c r="D12864" s="704" t="s">
        <v>728</v>
      </c>
      <c r="E12864" s="704" t="s">
        <v>448</v>
      </c>
      <c r="F12864" s="705">
        <v>2.5092686504481168</v>
      </c>
      <c r="G12864" s="705">
        <v>369.35423575006689</v>
      </c>
    </row>
    <row r="12865" spans="2:7" ht="11.25" hidden="1" customHeight="1" outlineLevel="2" x14ac:dyDescent="0.25">
      <c r="B12865" s="704" t="s">
        <v>688</v>
      </c>
      <c r="C12865" s="704" t="s">
        <v>738</v>
      </c>
      <c r="D12865" s="704" t="s">
        <v>728</v>
      </c>
      <c r="E12865" s="704" t="s">
        <v>448</v>
      </c>
      <c r="F12865" s="705">
        <v>1.0571186783588917E-3</v>
      </c>
      <c r="G12865" s="705">
        <v>0.52832816136905736</v>
      </c>
    </row>
    <row r="12866" spans="2:7" ht="11.25" hidden="1" customHeight="1" outlineLevel="2" x14ac:dyDescent="0.25">
      <c r="B12866" s="704" t="s">
        <v>688</v>
      </c>
      <c r="C12866" s="704" t="s">
        <v>776</v>
      </c>
      <c r="D12866" s="704" t="s">
        <v>728</v>
      </c>
      <c r="E12866" s="704" t="s">
        <v>448</v>
      </c>
      <c r="F12866" s="705">
        <v>2.68455564570045</v>
      </c>
      <c r="G12866" s="705">
        <v>1661.9235739302026</v>
      </c>
    </row>
    <row r="12867" spans="2:7" ht="11.25" hidden="1" customHeight="1" outlineLevel="2" x14ac:dyDescent="0.25">
      <c r="B12867" s="704" t="s">
        <v>688</v>
      </c>
      <c r="C12867" s="704" t="s">
        <v>777</v>
      </c>
      <c r="D12867" s="704" t="s">
        <v>728</v>
      </c>
      <c r="E12867" s="704" t="s">
        <v>448</v>
      </c>
      <c r="F12867" s="705">
        <v>3.0341234073538783</v>
      </c>
      <c r="G12867" s="705">
        <v>3608.3370312330862</v>
      </c>
    </row>
    <row r="12868" spans="2:7" ht="11.25" hidden="1" customHeight="1" outlineLevel="2" x14ac:dyDescent="0.25">
      <c r="B12868" s="704" t="s">
        <v>688</v>
      </c>
      <c r="C12868" s="704" t="s">
        <v>778</v>
      </c>
      <c r="D12868" s="704" t="s">
        <v>728</v>
      </c>
      <c r="E12868" s="704" t="s">
        <v>448</v>
      </c>
      <c r="F12868" s="705">
        <v>0.22693972441782626</v>
      </c>
      <c r="G12868" s="705">
        <v>139.35462353955057</v>
      </c>
    </row>
    <row r="12869" spans="2:7" ht="11.25" hidden="1" customHeight="1" outlineLevel="2" x14ac:dyDescent="0.25">
      <c r="B12869" s="704" t="s">
        <v>688</v>
      </c>
      <c r="C12869" s="704" t="s">
        <v>779</v>
      </c>
      <c r="D12869" s="704" t="s">
        <v>728</v>
      </c>
      <c r="E12869" s="704" t="s">
        <v>448</v>
      </c>
      <c r="F12869" s="705">
        <v>2.4593553373194403</v>
      </c>
      <c r="G12869" s="705">
        <v>1836.6770666359594</v>
      </c>
    </row>
    <row r="12870" spans="2:7" ht="11.25" hidden="1" customHeight="1" outlineLevel="2" x14ac:dyDescent="0.25">
      <c r="B12870" s="704" t="s">
        <v>688</v>
      </c>
      <c r="C12870" s="704" t="s">
        <v>780</v>
      </c>
      <c r="D12870" s="704" t="s">
        <v>728</v>
      </c>
      <c r="E12870" s="704" t="s">
        <v>448</v>
      </c>
      <c r="F12870" s="705">
        <v>1.230043303911062E-2</v>
      </c>
      <c r="G12870" s="705">
        <v>9.2519110909485676</v>
      </c>
    </row>
    <row r="12871" spans="2:7" ht="11.25" hidden="1" customHeight="1" outlineLevel="2" x14ac:dyDescent="0.25">
      <c r="B12871" s="704" t="s">
        <v>688</v>
      </c>
      <c r="C12871" s="704" t="s">
        <v>781</v>
      </c>
      <c r="D12871" s="704" t="s">
        <v>728</v>
      </c>
      <c r="E12871" s="704" t="s">
        <v>448</v>
      </c>
      <c r="F12871" s="705">
        <v>6.7425078372294278E-2</v>
      </c>
      <c r="G12871" s="705">
        <v>83.586660635322644</v>
      </c>
    </row>
    <row r="12872" spans="2:7" ht="11.25" hidden="1" customHeight="1" outlineLevel="2" x14ac:dyDescent="0.25">
      <c r="B12872" s="704" t="s">
        <v>688</v>
      </c>
      <c r="C12872" s="704" t="s">
        <v>782</v>
      </c>
      <c r="D12872" s="704" t="s">
        <v>728</v>
      </c>
      <c r="E12872" s="704" t="s">
        <v>448</v>
      </c>
      <c r="F12872" s="705">
        <v>2.3410914392065461E-2</v>
      </c>
      <c r="G12872" s="705">
        <v>17.650988512365451</v>
      </c>
    </row>
    <row r="12873" spans="2:7" ht="11.25" hidden="1" customHeight="1" outlineLevel="2" x14ac:dyDescent="0.25">
      <c r="B12873" s="704" t="s">
        <v>688</v>
      </c>
      <c r="C12873" s="704" t="s">
        <v>783</v>
      </c>
      <c r="D12873" s="704" t="s">
        <v>728</v>
      </c>
      <c r="E12873" s="704" t="s">
        <v>448</v>
      </c>
      <c r="F12873" s="705">
        <v>2.2134809258710995</v>
      </c>
      <c r="G12873" s="705">
        <v>3448.3789072830286</v>
      </c>
    </row>
    <row r="12874" spans="2:7" ht="11.25" hidden="1" customHeight="1" outlineLevel="2" x14ac:dyDescent="0.25">
      <c r="B12874" s="704" t="s">
        <v>688</v>
      </c>
      <c r="C12874" s="704" t="s">
        <v>784</v>
      </c>
      <c r="D12874" s="704" t="s">
        <v>728</v>
      </c>
      <c r="E12874" s="704" t="s">
        <v>448</v>
      </c>
      <c r="F12874" s="705">
        <v>0.33654243101702325</v>
      </c>
      <c r="G12874" s="705">
        <v>183.46401155362759</v>
      </c>
    </row>
    <row r="12875" spans="2:7" ht="11.25" hidden="1" customHeight="1" outlineLevel="2" x14ac:dyDescent="0.25">
      <c r="B12875" s="704" t="s">
        <v>688</v>
      </c>
      <c r="C12875" s="704" t="s">
        <v>785</v>
      </c>
      <c r="D12875" s="704" t="s">
        <v>728</v>
      </c>
      <c r="E12875" s="704" t="s">
        <v>448</v>
      </c>
      <c r="F12875" s="705">
        <v>2.1893172602242026</v>
      </c>
      <c r="G12875" s="705">
        <v>1193.3272516836</v>
      </c>
    </row>
    <row r="12876" spans="2:7" ht="11.25" hidden="1" customHeight="1" outlineLevel="2" x14ac:dyDescent="0.25">
      <c r="B12876" s="704" t="s">
        <v>688</v>
      </c>
      <c r="C12876" s="704" t="s">
        <v>786</v>
      </c>
      <c r="D12876" s="704" t="s">
        <v>728</v>
      </c>
      <c r="E12876" s="704" t="s">
        <v>448</v>
      </c>
      <c r="F12876" s="705">
        <v>0.26406404199581851</v>
      </c>
      <c r="G12876" s="705">
        <v>333.45892716844122</v>
      </c>
    </row>
    <row r="12877" spans="2:7" ht="11.25" hidden="1" customHeight="1" outlineLevel="2" x14ac:dyDescent="0.25">
      <c r="B12877" s="704" t="s">
        <v>688</v>
      </c>
      <c r="C12877" s="704" t="s">
        <v>787</v>
      </c>
      <c r="D12877" s="704" t="s">
        <v>728</v>
      </c>
      <c r="E12877" s="704" t="s">
        <v>448</v>
      </c>
      <c r="F12877" s="705">
        <v>0.28271563879219197</v>
      </c>
      <c r="G12877" s="705">
        <v>398.40132594071628</v>
      </c>
    </row>
    <row r="12878" spans="2:7" ht="11.25" hidden="1" customHeight="1" outlineLevel="2" x14ac:dyDescent="0.25">
      <c r="B12878" s="704" t="s">
        <v>688</v>
      </c>
      <c r="C12878" s="704" t="s">
        <v>788</v>
      </c>
      <c r="D12878" s="704" t="s">
        <v>728</v>
      </c>
      <c r="E12878" s="704" t="s">
        <v>448</v>
      </c>
      <c r="F12878" s="705">
        <v>0.39847768386321464</v>
      </c>
      <c r="G12878" s="705">
        <v>453.46279325130172</v>
      </c>
    </row>
    <row r="12879" spans="2:7" ht="11.25" hidden="1" customHeight="1" outlineLevel="2" x14ac:dyDescent="0.25">
      <c r="B12879" s="704" t="s">
        <v>688</v>
      </c>
      <c r="C12879" s="704" t="s">
        <v>789</v>
      </c>
      <c r="D12879" s="704" t="s">
        <v>728</v>
      </c>
      <c r="E12879" s="704" t="s">
        <v>448</v>
      </c>
      <c r="F12879" s="705">
        <v>0.30709334450282311</v>
      </c>
      <c r="G12879" s="705">
        <v>211.16191218311207</v>
      </c>
    </row>
    <row r="12880" spans="2:7" ht="11.25" hidden="1" customHeight="1" outlineLevel="2" x14ac:dyDescent="0.25">
      <c r="B12880" s="704" t="s">
        <v>688</v>
      </c>
      <c r="C12880" s="704" t="s">
        <v>790</v>
      </c>
      <c r="D12880" s="704" t="s">
        <v>728</v>
      </c>
      <c r="E12880" s="704" t="s">
        <v>448</v>
      </c>
      <c r="F12880" s="705">
        <v>3.5310578554213126</v>
      </c>
      <c r="G12880" s="705">
        <v>4469.7861974756388</v>
      </c>
    </row>
    <row r="12881" spans="2:7" ht="11.25" hidden="1" customHeight="1" outlineLevel="2" x14ac:dyDescent="0.25">
      <c r="B12881" s="704" t="s">
        <v>688</v>
      </c>
      <c r="C12881" s="704" t="s">
        <v>791</v>
      </c>
      <c r="D12881" s="704" t="s">
        <v>728</v>
      </c>
      <c r="E12881" s="704" t="s">
        <v>448</v>
      </c>
      <c r="F12881" s="705">
        <v>3.8414314512493908</v>
      </c>
      <c r="G12881" s="705">
        <v>5414.442191126418</v>
      </c>
    </row>
    <row r="12882" spans="2:7" ht="11.25" hidden="1" customHeight="1" outlineLevel="2" x14ac:dyDescent="0.25">
      <c r="B12882" s="704" t="s">
        <v>688</v>
      </c>
      <c r="C12882" s="704" t="s">
        <v>792</v>
      </c>
      <c r="D12882" s="704" t="s">
        <v>728</v>
      </c>
      <c r="E12882" s="704" t="s">
        <v>448</v>
      </c>
      <c r="F12882" s="705">
        <v>0.43246570465736656</v>
      </c>
      <c r="G12882" s="705">
        <v>906.49145017311707</v>
      </c>
    </row>
    <row r="12883" spans="2:7" ht="11.25" hidden="1" customHeight="1" outlineLevel="2" x14ac:dyDescent="0.25">
      <c r="B12883" s="704" t="s">
        <v>688</v>
      </c>
      <c r="C12883" s="704" t="s">
        <v>793</v>
      </c>
      <c r="D12883" s="704" t="s">
        <v>728</v>
      </c>
      <c r="E12883" s="704" t="s">
        <v>448</v>
      </c>
      <c r="F12883" s="705">
        <v>12.030372964353038</v>
      </c>
      <c r="G12883" s="705">
        <v>17467.351723492488</v>
      </c>
    </row>
    <row r="12884" spans="2:7" ht="11.25" hidden="1" customHeight="1" outlineLevel="2" x14ac:dyDescent="0.25">
      <c r="B12884" s="704" t="s">
        <v>688</v>
      </c>
      <c r="C12884" s="704" t="s">
        <v>794</v>
      </c>
      <c r="D12884" s="704" t="s">
        <v>728</v>
      </c>
      <c r="E12884" s="704" t="s">
        <v>448</v>
      </c>
      <c r="F12884" s="705">
        <v>0.20307506337871153</v>
      </c>
      <c r="G12884" s="705">
        <v>158.32549718093739</v>
      </c>
    </row>
    <row r="12885" spans="2:7" ht="11.25" hidden="1" customHeight="1" outlineLevel="2" x14ac:dyDescent="0.25">
      <c r="B12885" s="704" t="s">
        <v>688</v>
      </c>
      <c r="C12885" s="704" t="s">
        <v>795</v>
      </c>
      <c r="D12885" s="704" t="s">
        <v>728</v>
      </c>
      <c r="E12885" s="704" t="s">
        <v>448</v>
      </c>
      <c r="F12885" s="705">
        <v>0.68509993718676898</v>
      </c>
      <c r="G12885" s="705">
        <v>535.19271554667137</v>
      </c>
    </row>
    <row r="12886" spans="2:7" ht="11.25" hidden="1" customHeight="1" outlineLevel="2" x14ac:dyDescent="0.25">
      <c r="B12886" s="704" t="s">
        <v>688</v>
      </c>
      <c r="C12886" s="704" t="s">
        <v>845</v>
      </c>
      <c r="D12886" s="704" t="s">
        <v>728</v>
      </c>
      <c r="E12886" s="704" t="s">
        <v>824</v>
      </c>
      <c r="F12886" s="705">
        <v>3.371058099467561E-2</v>
      </c>
      <c r="G12886" s="705">
        <v>300.71238130741926</v>
      </c>
    </row>
    <row r="12887" spans="2:7" ht="11.25" hidden="1" customHeight="1" outlineLevel="2" x14ac:dyDescent="0.25">
      <c r="B12887" s="704" t="s">
        <v>688</v>
      </c>
      <c r="C12887" s="704" t="s">
        <v>894</v>
      </c>
      <c r="D12887" s="704" t="s">
        <v>728</v>
      </c>
      <c r="E12887" s="704" t="s">
        <v>861</v>
      </c>
      <c r="F12887" s="709"/>
      <c r="G12887" s="705">
        <v>0.46744820860197744</v>
      </c>
    </row>
    <row r="12888" spans="2:7" ht="11.25" hidden="1" customHeight="1" outlineLevel="2" x14ac:dyDescent="0.25">
      <c r="B12888" s="704" t="s">
        <v>688</v>
      </c>
      <c r="C12888" s="704" t="s">
        <v>895</v>
      </c>
      <c r="D12888" s="704" t="s">
        <v>728</v>
      </c>
      <c r="E12888" s="704" t="s">
        <v>861</v>
      </c>
      <c r="F12888" s="709"/>
      <c r="G12888" s="705">
        <v>124.92191856571966</v>
      </c>
    </row>
    <row r="12889" spans="2:7" ht="11.25" hidden="1" customHeight="1" outlineLevel="2" x14ac:dyDescent="0.25">
      <c r="B12889" s="704" t="s">
        <v>688</v>
      </c>
      <c r="C12889" s="704" t="s">
        <v>896</v>
      </c>
      <c r="D12889" s="704" t="s">
        <v>728</v>
      </c>
      <c r="E12889" s="704" t="s">
        <v>861</v>
      </c>
      <c r="F12889" s="709"/>
      <c r="G12889" s="705">
        <v>3268.777193384949</v>
      </c>
    </row>
    <row r="12890" spans="2:7" ht="11.25" hidden="1" customHeight="1" outlineLevel="2" x14ac:dyDescent="0.25">
      <c r="B12890" s="704" t="s">
        <v>688</v>
      </c>
      <c r="C12890" s="704" t="s">
        <v>897</v>
      </c>
      <c r="D12890" s="704" t="s">
        <v>728</v>
      </c>
      <c r="E12890" s="704" t="s">
        <v>861</v>
      </c>
      <c r="F12890" s="709"/>
      <c r="G12890" s="705">
        <v>674.5651197116722</v>
      </c>
    </row>
    <row r="12891" spans="2:7" ht="11.25" hidden="1" customHeight="1" outlineLevel="2" x14ac:dyDescent="0.25">
      <c r="B12891" s="704" t="s">
        <v>688</v>
      </c>
      <c r="C12891" s="704" t="s">
        <v>898</v>
      </c>
      <c r="D12891" s="704" t="s">
        <v>728</v>
      </c>
      <c r="E12891" s="704" t="s">
        <v>861</v>
      </c>
      <c r="F12891" s="709"/>
      <c r="G12891" s="705">
        <v>4450.3529954877522</v>
      </c>
    </row>
    <row r="12892" spans="2:7" ht="11.25" hidden="1" customHeight="1" outlineLevel="2" x14ac:dyDescent="0.25">
      <c r="B12892" s="704" t="s">
        <v>688</v>
      </c>
      <c r="C12892" s="704" t="s">
        <v>899</v>
      </c>
      <c r="D12892" s="704" t="s">
        <v>728</v>
      </c>
      <c r="E12892" s="704" t="s">
        <v>861</v>
      </c>
      <c r="F12892" s="709"/>
      <c r="G12892" s="705">
        <v>524.73516862056374</v>
      </c>
    </row>
    <row r="12893" spans="2:7" ht="11.25" hidden="1" customHeight="1" outlineLevel="2" x14ac:dyDescent="0.25">
      <c r="B12893" s="704" t="s">
        <v>688</v>
      </c>
      <c r="C12893" s="704" t="s">
        <v>900</v>
      </c>
      <c r="D12893" s="704" t="s">
        <v>728</v>
      </c>
      <c r="E12893" s="704" t="s">
        <v>861</v>
      </c>
      <c r="F12893" s="709"/>
      <c r="G12893" s="705">
        <v>12.499518230443339</v>
      </c>
    </row>
    <row r="12894" spans="2:7" ht="11.25" hidden="1" customHeight="1" outlineLevel="2" x14ac:dyDescent="0.25">
      <c r="B12894" s="704" t="s">
        <v>688</v>
      </c>
      <c r="C12894" s="704" t="s">
        <v>744</v>
      </c>
      <c r="D12894" s="704" t="s">
        <v>745</v>
      </c>
      <c r="E12894" s="704" t="s">
        <v>448</v>
      </c>
      <c r="F12894" s="705">
        <v>9.718198525555383E-3</v>
      </c>
      <c r="G12894" s="705">
        <v>5.6200305704730882</v>
      </c>
    </row>
    <row r="12895" spans="2:7" ht="11.25" hidden="1" customHeight="1" outlineLevel="2" x14ac:dyDescent="0.25">
      <c r="B12895" s="704" t="s">
        <v>688</v>
      </c>
      <c r="C12895" s="704" t="s">
        <v>812</v>
      </c>
      <c r="D12895" s="704" t="s">
        <v>745</v>
      </c>
      <c r="E12895" s="704" t="s">
        <v>448</v>
      </c>
      <c r="F12895" s="705">
        <v>1.1429937194822184E-2</v>
      </c>
      <c r="G12895" s="705">
        <v>12.654360139635537</v>
      </c>
    </row>
    <row r="12896" spans="2:7" ht="11.25" hidden="1" customHeight="1" outlineLevel="2" x14ac:dyDescent="0.25">
      <c r="B12896" s="704" t="s">
        <v>688</v>
      </c>
      <c r="C12896" s="704" t="s">
        <v>813</v>
      </c>
      <c r="D12896" s="704" t="s">
        <v>745</v>
      </c>
      <c r="E12896" s="704" t="s">
        <v>448</v>
      </c>
      <c r="F12896" s="705">
        <v>1.1724719176993185E-4</v>
      </c>
      <c r="G12896" s="705">
        <v>0.14865998504741065</v>
      </c>
    </row>
    <row r="12897" spans="2:7" ht="11.25" hidden="1" customHeight="1" outlineLevel="2" x14ac:dyDescent="0.25">
      <c r="B12897" s="704" t="s">
        <v>688</v>
      </c>
      <c r="C12897" s="704" t="s">
        <v>917</v>
      </c>
      <c r="D12897" s="704" t="s">
        <v>745</v>
      </c>
      <c r="E12897" s="704" t="s">
        <v>861</v>
      </c>
      <c r="F12897" s="709"/>
      <c r="G12897" s="705">
        <v>168.40297060030616</v>
      </c>
    </row>
    <row r="12898" spans="2:7" ht="11.25" hidden="1" customHeight="1" outlineLevel="2" x14ac:dyDescent="0.25">
      <c r="B12898" s="704" t="s">
        <v>688</v>
      </c>
      <c r="C12898" s="704" t="s">
        <v>816</v>
      </c>
      <c r="D12898" s="704" t="s">
        <v>712</v>
      </c>
      <c r="E12898" s="704" t="s">
        <v>448</v>
      </c>
      <c r="F12898" s="705">
        <v>6.0675241775003143E-3</v>
      </c>
      <c r="G12898" s="705">
        <v>7.3048477072746651</v>
      </c>
    </row>
    <row r="12899" spans="2:7" ht="11.25" hidden="1" customHeight="1" outlineLevel="2" x14ac:dyDescent="0.25">
      <c r="B12899" s="704" t="s">
        <v>688</v>
      </c>
      <c r="C12899" s="704" t="s">
        <v>711</v>
      </c>
      <c r="D12899" s="704" t="s">
        <v>712</v>
      </c>
      <c r="E12899" s="704" t="s">
        <v>676</v>
      </c>
      <c r="F12899" s="705">
        <v>2.1704919503229895E-2</v>
      </c>
      <c r="G12899" s="705">
        <v>4.963250424254591</v>
      </c>
    </row>
    <row r="12900" spans="2:7" ht="11.25" hidden="1" customHeight="1" outlineLevel="2" x14ac:dyDescent="0.25">
      <c r="B12900" s="704" t="s">
        <v>688</v>
      </c>
      <c r="C12900" s="704" t="s">
        <v>921</v>
      </c>
      <c r="D12900" s="704" t="s">
        <v>712</v>
      </c>
      <c r="E12900" s="704" t="s">
        <v>861</v>
      </c>
      <c r="F12900" s="709"/>
      <c r="G12900" s="705">
        <v>26.315340949307451</v>
      </c>
    </row>
    <row r="12901" spans="2:7" ht="11.25" hidden="1" customHeight="1" outlineLevel="2" x14ac:dyDescent="0.25">
      <c r="B12901" s="704" t="s">
        <v>688</v>
      </c>
      <c r="C12901" s="704" t="s">
        <v>817</v>
      </c>
      <c r="D12901" s="704" t="s">
        <v>818</v>
      </c>
      <c r="E12901" s="704" t="s">
        <v>448</v>
      </c>
      <c r="F12901" s="705">
        <v>0.29309728493696025</v>
      </c>
      <c r="G12901" s="705">
        <v>240.80410474911892</v>
      </c>
    </row>
    <row r="12902" spans="2:7" ht="11.25" hidden="1" customHeight="1" outlineLevel="2" x14ac:dyDescent="0.25">
      <c r="B12902" s="704" t="s">
        <v>688</v>
      </c>
      <c r="C12902" s="704" t="s">
        <v>819</v>
      </c>
      <c r="D12902" s="704" t="s">
        <v>818</v>
      </c>
      <c r="E12902" s="704" t="s">
        <v>448</v>
      </c>
      <c r="F12902" s="705">
        <v>0.12762822120313036</v>
      </c>
      <c r="G12902" s="705">
        <v>101.61869835598395</v>
      </c>
    </row>
    <row r="12903" spans="2:7" ht="11.25" hidden="1" customHeight="1" outlineLevel="2" x14ac:dyDescent="0.25">
      <c r="B12903" s="704" t="s">
        <v>688</v>
      </c>
      <c r="C12903" s="704" t="s">
        <v>820</v>
      </c>
      <c r="D12903" s="704" t="s">
        <v>818</v>
      </c>
      <c r="E12903" s="704" t="s">
        <v>448</v>
      </c>
      <c r="F12903" s="705">
        <v>4.8803357747145955E-2</v>
      </c>
      <c r="G12903" s="705">
        <v>75.850442801661288</v>
      </c>
    </row>
    <row r="12904" spans="2:7" ht="11.25" hidden="1" customHeight="1" outlineLevel="2" x14ac:dyDescent="0.25">
      <c r="B12904" s="704" t="s">
        <v>688</v>
      </c>
      <c r="C12904" s="704" t="s">
        <v>857</v>
      </c>
      <c r="D12904" s="704" t="s">
        <v>818</v>
      </c>
      <c r="E12904" s="704" t="s">
        <v>664</v>
      </c>
      <c r="F12904" s="709"/>
      <c r="G12904" s="705">
        <v>67.534550959000569</v>
      </c>
    </row>
    <row r="12905" spans="2:7" ht="11.25" hidden="1" customHeight="1" outlineLevel="2" x14ac:dyDescent="0.25">
      <c r="B12905" s="704" t="s">
        <v>688</v>
      </c>
      <c r="C12905" s="704" t="s">
        <v>858</v>
      </c>
      <c r="D12905" s="704" t="s">
        <v>818</v>
      </c>
      <c r="E12905" s="704" t="s">
        <v>664</v>
      </c>
      <c r="F12905" s="709"/>
      <c r="G12905" s="705">
        <v>0.56393903865207484</v>
      </c>
    </row>
    <row r="12906" spans="2:7" ht="11.25" hidden="1" customHeight="1" outlineLevel="2" x14ac:dyDescent="0.25">
      <c r="B12906" s="704" t="s">
        <v>688</v>
      </c>
      <c r="C12906" s="704" t="s">
        <v>922</v>
      </c>
      <c r="D12906" s="704" t="s">
        <v>822</v>
      </c>
      <c r="E12906" s="704" t="s">
        <v>861</v>
      </c>
      <c r="F12906" s="709"/>
      <c r="G12906" s="705">
        <v>197.93776471432295</v>
      </c>
    </row>
    <row r="12907" spans="2:7" ht="11.25" hidden="1" customHeight="1" outlineLevel="2" x14ac:dyDescent="0.25">
      <c r="B12907" s="704" t="s">
        <v>688</v>
      </c>
      <c r="C12907" s="704" t="s">
        <v>821</v>
      </c>
      <c r="D12907" s="704" t="s">
        <v>822</v>
      </c>
      <c r="E12907" s="704" t="s">
        <v>448</v>
      </c>
      <c r="F12907" s="705">
        <v>6.2766772549652473E-3</v>
      </c>
      <c r="G12907" s="705">
        <v>8.4774355555770704</v>
      </c>
    </row>
    <row r="12908" spans="2:7" ht="11.25" hidden="1" customHeight="1" outlineLevel="2" x14ac:dyDescent="0.25">
      <c r="B12908" s="704" t="s">
        <v>688</v>
      </c>
      <c r="C12908" s="704" t="s">
        <v>855</v>
      </c>
      <c r="D12908" s="704" t="s">
        <v>822</v>
      </c>
      <c r="E12908" s="704" t="s">
        <v>824</v>
      </c>
      <c r="F12908" s="705">
        <v>9.9666658217980884E-5</v>
      </c>
      <c r="G12908" s="705">
        <v>0.28849559203544334</v>
      </c>
    </row>
    <row r="12909" spans="2:7" ht="11.25" hidden="1" customHeight="1" outlineLevel="2" x14ac:dyDescent="0.25">
      <c r="B12909" s="704" t="s">
        <v>688</v>
      </c>
      <c r="C12909" s="704" t="s">
        <v>714</v>
      </c>
      <c r="D12909" s="704" t="s">
        <v>715</v>
      </c>
      <c r="E12909" s="704" t="s">
        <v>448</v>
      </c>
      <c r="F12909" s="705">
        <v>0.47050534946622041</v>
      </c>
      <c r="G12909" s="705">
        <v>119.27879467744539</v>
      </c>
    </row>
    <row r="12910" spans="2:7" ht="11.25" hidden="1" customHeight="1" outlineLevel="2" x14ac:dyDescent="0.25">
      <c r="B12910" s="704" t="s">
        <v>688</v>
      </c>
      <c r="C12910" s="704" t="s">
        <v>716</v>
      </c>
      <c r="D12910" s="704" t="s">
        <v>715</v>
      </c>
      <c r="E12910" s="704" t="s">
        <v>448</v>
      </c>
      <c r="F12910" s="705">
        <v>1.3044101874851183E-33</v>
      </c>
      <c r="G12910" s="705">
        <v>1.5904447834644856E-30</v>
      </c>
    </row>
    <row r="12911" spans="2:7" ht="11.25" hidden="1" customHeight="1" outlineLevel="2" x14ac:dyDescent="0.25">
      <c r="B12911" s="704" t="s">
        <v>688</v>
      </c>
      <c r="C12911" s="704" t="s">
        <v>717</v>
      </c>
      <c r="D12911" s="704" t="s">
        <v>715</v>
      </c>
      <c r="E12911" s="704" t="s">
        <v>448</v>
      </c>
      <c r="F12911" s="705">
        <v>0.5039738901659363</v>
      </c>
      <c r="G12911" s="705">
        <v>137.72835295817683</v>
      </c>
    </row>
    <row r="12912" spans="2:7" ht="11.25" hidden="1" customHeight="1" outlineLevel="2" x14ac:dyDescent="0.25">
      <c r="B12912" s="704" t="s">
        <v>688</v>
      </c>
      <c r="C12912" s="704" t="s">
        <v>718</v>
      </c>
      <c r="D12912" s="704" t="s">
        <v>715</v>
      </c>
      <c r="E12912" s="704" t="s">
        <v>448</v>
      </c>
      <c r="F12912" s="705">
        <v>3.2272107233087044E-2</v>
      </c>
      <c r="G12912" s="705">
        <v>35.409863596027456</v>
      </c>
    </row>
    <row r="12913" spans="2:7" ht="11.25" hidden="1" customHeight="1" outlineLevel="2" x14ac:dyDescent="0.25">
      <c r="B12913" s="704" t="s">
        <v>688</v>
      </c>
      <c r="C12913" s="704" t="s">
        <v>746</v>
      </c>
      <c r="D12913" s="704" t="s">
        <v>715</v>
      </c>
      <c r="E12913" s="704" t="s">
        <v>448</v>
      </c>
      <c r="F12913" s="705">
        <v>8.3106761473369151E-2</v>
      </c>
      <c r="G12913" s="705">
        <v>61.33170564076778</v>
      </c>
    </row>
    <row r="12914" spans="2:7" ht="11.25" hidden="1" customHeight="1" outlineLevel="2" x14ac:dyDescent="0.25">
      <c r="B12914" s="704" t="s">
        <v>688</v>
      </c>
      <c r="C12914" s="704" t="s">
        <v>747</v>
      </c>
      <c r="D12914" s="704" t="s">
        <v>715</v>
      </c>
      <c r="E12914" s="704" t="s">
        <v>448</v>
      </c>
      <c r="F12914" s="705">
        <v>0.76454160392909321</v>
      </c>
      <c r="G12914" s="705">
        <v>653.71695021305152</v>
      </c>
    </row>
    <row r="12915" spans="2:7" ht="11.25" hidden="1" customHeight="1" outlineLevel="2" x14ac:dyDescent="0.25">
      <c r="B12915" s="704" t="s">
        <v>688</v>
      </c>
      <c r="C12915" s="704" t="s">
        <v>748</v>
      </c>
      <c r="D12915" s="704" t="s">
        <v>715</v>
      </c>
      <c r="E12915" s="704" t="s">
        <v>448</v>
      </c>
      <c r="F12915" s="705">
        <v>0.49566809847270477</v>
      </c>
      <c r="G12915" s="705">
        <v>643.05833530116308</v>
      </c>
    </row>
    <row r="12916" spans="2:7" ht="11.25" hidden="1" customHeight="1" outlineLevel="2" x14ac:dyDescent="0.25">
      <c r="B12916" s="704" t="s">
        <v>688</v>
      </c>
      <c r="C12916" s="704" t="s">
        <v>749</v>
      </c>
      <c r="D12916" s="704" t="s">
        <v>715</v>
      </c>
      <c r="E12916" s="704" t="s">
        <v>448</v>
      </c>
      <c r="F12916" s="705">
        <v>4.6682428785114201E-2</v>
      </c>
      <c r="G12916" s="705">
        <v>36.766904978416434</v>
      </c>
    </row>
    <row r="12917" spans="2:7" ht="11.25" hidden="1" customHeight="1" outlineLevel="2" x14ac:dyDescent="0.25">
      <c r="B12917" s="704" t="s">
        <v>688</v>
      </c>
      <c r="C12917" s="704" t="s">
        <v>823</v>
      </c>
      <c r="D12917" s="704" t="s">
        <v>715</v>
      </c>
      <c r="E12917" s="704" t="s">
        <v>824</v>
      </c>
      <c r="F12917" s="705">
        <v>1.5221035770581089E-3</v>
      </c>
      <c r="G12917" s="705">
        <v>2.542945650020723</v>
      </c>
    </row>
    <row r="12918" spans="2:7" ht="11.25" hidden="1" customHeight="1" outlineLevel="2" x14ac:dyDescent="0.25">
      <c r="B12918" s="704" t="s">
        <v>688</v>
      </c>
      <c r="C12918" s="704" t="s">
        <v>860</v>
      </c>
      <c r="D12918" s="704" t="s">
        <v>715</v>
      </c>
      <c r="E12918" s="704" t="s">
        <v>861</v>
      </c>
      <c r="F12918" s="709"/>
      <c r="G12918" s="705">
        <v>50.400983409862945</v>
      </c>
    </row>
    <row r="12919" spans="2:7" ht="11.25" hidden="1" customHeight="1" outlineLevel="2" x14ac:dyDescent="0.25">
      <c r="B12919" s="704" t="s">
        <v>688</v>
      </c>
      <c r="C12919" s="704" t="s">
        <v>919</v>
      </c>
      <c r="D12919" s="704" t="s">
        <v>920</v>
      </c>
      <c r="E12919" s="704" t="s">
        <v>861</v>
      </c>
      <c r="F12919" s="709"/>
      <c r="G12919" s="705">
        <v>1.8151226406706658E-29</v>
      </c>
    </row>
    <row r="12920" spans="2:7" ht="11.25" hidden="1" customHeight="1" outlineLevel="1" x14ac:dyDescent="0.25">
      <c r="B12920" s="707" t="s">
        <v>954</v>
      </c>
      <c r="C12920" s="704"/>
      <c r="D12920" s="704"/>
      <c r="E12920" s="704"/>
      <c r="F12920" s="709">
        <f t="shared" ref="F12920:G12920" si="39">SUBTOTAL(9,F12709:F12919)</f>
        <v>80.294213984454871</v>
      </c>
      <c r="G12920" s="705">
        <f t="shared" si="39"/>
        <v>172889.5709168558</v>
      </c>
    </row>
    <row r="12921" spans="2:7" ht="11.25" hidden="1" customHeight="1" outlineLevel="2" x14ac:dyDescent="0.25">
      <c r="B12921" s="704" t="s">
        <v>689</v>
      </c>
      <c r="C12921" s="704" t="s">
        <v>739</v>
      </c>
      <c r="D12921" s="704" t="s">
        <v>44</v>
      </c>
      <c r="E12921" s="704" t="s">
        <v>448</v>
      </c>
      <c r="F12921" s="705">
        <v>3.1208091333729295E-3</v>
      </c>
      <c r="G12921" s="705">
        <v>1.9033307783944065</v>
      </c>
    </row>
    <row r="12922" spans="2:7" ht="11.25" hidden="1" customHeight="1" outlineLevel="2" x14ac:dyDescent="0.25">
      <c r="B12922" s="704" t="s">
        <v>689</v>
      </c>
      <c r="C12922" s="704" t="s">
        <v>796</v>
      </c>
      <c r="D12922" s="704" t="s">
        <v>44</v>
      </c>
      <c r="E12922" s="704" t="s">
        <v>448</v>
      </c>
      <c r="F12922" s="705">
        <v>3.2916884525917029E-3</v>
      </c>
      <c r="G12922" s="705">
        <v>4.6172080796564359</v>
      </c>
    </row>
    <row r="12923" spans="2:7" ht="11.25" hidden="1" customHeight="1" outlineLevel="2" x14ac:dyDescent="0.25">
      <c r="B12923" s="704" t="s">
        <v>689</v>
      </c>
      <c r="C12923" s="704" t="s">
        <v>797</v>
      </c>
      <c r="D12923" s="704" t="s">
        <v>44</v>
      </c>
      <c r="E12923" s="704" t="s">
        <v>448</v>
      </c>
      <c r="F12923" s="705">
        <v>5.2579593204454518E-3</v>
      </c>
      <c r="G12923" s="705">
        <v>17.965296003351767</v>
      </c>
    </row>
    <row r="12924" spans="2:7" ht="11.25" hidden="1" customHeight="1" outlineLevel="2" x14ac:dyDescent="0.25">
      <c r="B12924" s="704" t="s">
        <v>689</v>
      </c>
      <c r="C12924" s="704" t="s">
        <v>798</v>
      </c>
      <c r="D12924" s="704" t="s">
        <v>44</v>
      </c>
      <c r="E12924" s="704" t="s">
        <v>448</v>
      </c>
      <c r="F12924" s="705">
        <v>8.635227615885936E-5</v>
      </c>
      <c r="G12924" s="705">
        <v>0.11315564886130366</v>
      </c>
    </row>
    <row r="12925" spans="2:7" ht="11.25" hidden="1" customHeight="1" outlineLevel="2" x14ac:dyDescent="0.25">
      <c r="B12925" s="704" t="s">
        <v>689</v>
      </c>
      <c r="C12925" s="704" t="s">
        <v>799</v>
      </c>
      <c r="D12925" s="704" t="s">
        <v>44</v>
      </c>
      <c r="E12925" s="704" t="s">
        <v>448</v>
      </c>
      <c r="F12925" s="705">
        <v>9.3286939425509495E-3</v>
      </c>
      <c r="G12925" s="705">
        <v>12.214960410761217</v>
      </c>
    </row>
    <row r="12926" spans="2:7" ht="11.25" hidden="1" customHeight="1" outlineLevel="2" x14ac:dyDescent="0.25">
      <c r="B12926" s="704" t="s">
        <v>689</v>
      </c>
      <c r="C12926" s="704" t="s">
        <v>800</v>
      </c>
      <c r="D12926" s="704" t="s">
        <v>44</v>
      </c>
      <c r="E12926" s="704" t="s">
        <v>448</v>
      </c>
      <c r="F12926" s="705">
        <v>3.0740599678214793E-3</v>
      </c>
      <c r="G12926" s="705">
        <v>3.8262565709909659</v>
      </c>
    </row>
    <row r="12927" spans="2:7" ht="11.25" hidden="1" customHeight="1" outlineLevel="2" x14ac:dyDescent="0.25">
      <c r="B12927" s="704" t="s">
        <v>689</v>
      </c>
      <c r="C12927" s="704" t="s">
        <v>801</v>
      </c>
      <c r="D12927" s="704" t="s">
        <v>44</v>
      </c>
      <c r="E12927" s="704" t="s">
        <v>448</v>
      </c>
      <c r="F12927" s="705">
        <v>4.0095269884675926E-2</v>
      </c>
      <c r="G12927" s="705">
        <v>41.565346769197689</v>
      </c>
    </row>
    <row r="12928" spans="2:7" ht="11.25" hidden="1" customHeight="1" outlineLevel="2" x14ac:dyDescent="0.25">
      <c r="B12928" s="704" t="s">
        <v>689</v>
      </c>
      <c r="C12928" s="704" t="s">
        <v>802</v>
      </c>
      <c r="D12928" s="704" t="s">
        <v>44</v>
      </c>
      <c r="E12928" s="704" t="s">
        <v>448</v>
      </c>
      <c r="F12928" s="705">
        <v>0.13178336380759276</v>
      </c>
      <c r="G12928" s="705">
        <v>89.095361805530487</v>
      </c>
    </row>
    <row r="12929" spans="2:7" ht="11.25" hidden="1" customHeight="1" outlineLevel="2" x14ac:dyDescent="0.25">
      <c r="B12929" s="704" t="s">
        <v>689</v>
      </c>
      <c r="C12929" s="704" t="s">
        <v>803</v>
      </c>
      <c r="D12929" s="704" t="s">
        <v>44</v>
      </c>
      <c r="E12929" s="704" t="s">
        <v>448</v>
      </c>
      <c r="F12929" s="705">
        <v>1.4803643191125569E-2</v>
      </c>
      <c r="G12929" s="705">
        <v>19.383859592415597</v>
      </c>
    </row>
    <row r="12930" spans="2:7" ht="11.25" hidden="1" customHeight="1" outlineLevel="2" x14ac:dyDescent="0.25">
      <c r="B12930" s="704" t="s">
        <v>689</v>
      </c>
      <c r="C12930" s="704" t="s">
        <v>804</v>
      </c>
      <c r="D12930" s="704" t="s">
        <v>44</v>
      </c>
      <c r="E12930" s="704" t="s">
        <v>448</v>
      </c>
      <c r="F12930" s="705">
        <v>2.2045427173263826E-2</v>
      </c>
      <c r="G12930" s="705">
        <v>28.067751329447976</v>
      </c>
    </row>
    <row r="12931" spans="2:7" ht="11.25" hidden="1" customHeight="1" outlineLevel="2" x14ac:dyDescent="0.25">
      <c r="B12931" s="704" t="s">
        <v>689</v>
      </c>
      <c r="C12931" s="704" t="s">
        <v>805</v>
      </c>
      <c r="D12931" s="704" t="s">
        <v>44</v>
      </c>
      <c r="E12931" s="704" t="s">
        <v>448</v>
      </c>
      <c r="F12931" s="705">
        <v>4.4240322393461415E-3</v>
      </c>
      <c r="G12931" s="705">
        <v>31.136822167006891</v>
      </c>
    </row>
    <row r="12932" spans="2:7" ht="11.25" hidden="1" customHeight="1" outlineLevel="2" x14ac:dyDescent="0.25">
      <c r="B12932" s="704" t="s">
        <v>689</v>
      </c>
      <c r="C12932" s="704" t="s">
        <v>846</v>
      </c>
      <c r="D12932" s="704" t="s">
        <v>44</v>
      </c>
      <c r="E12932" s="704" t="s">
        <v>824</v>
      </c>
      <c r="F12932" s="705">
        <v>1.0724999399532801E-4</v>
      </c>
      <c r="G12932" s="705">
        <v>0.17041544184496119</v>
      </c>
    </row>
    <row r="12933" spans="2:7" ht="11.25" hidden="1" customHeight="1" outlineLevel="2" x14ac:dyDescent="0.25">
      <c r="B12933" s="704" t="s">
        <v>689</v>
      </c>
      <c r="C12933" s="704" t="s">
        <v>847</v>
      </c>
      <c r="D12933" s="704" t="s">
        <v>44</v>
      </c>
      <c r="E12933" s="704" t="s">
        <v>824</v>
      </c>
      <c r="F12933" s="705">
        <v>2.2007516875862574E-5</v>
      </c>
      <c r="G12933" s="705">
        <v>0.23193319920997141</v>
      </c>
    </row>
    <row r="12934" spans="2:7" ht="11.25" hidden="1" customHeight="1" outlineLevel="2" x14ac:dyDescent="0.25">
      <c r="B12934" s="704" t="s">
        <v>689</v>
      </c>
      <c r="C12934" s="704" t="s">
        <v>705</v>
      </c>
      <c r="D12934" s="704" t="s">
        <v>44</v>
      </c>
      <c r="E12934" s="704" t="s">
        <v>676</v>
      </c>
      <c r="F12934" s="705">
        <v>4.29329223625233E-3</v>
      </c>
      <c r="G12934" s="705">
        <v>4.5016969795523533E-2</v>
      </c>
    </row>
    <row r="12935" spans="2:7" ht="11.25" hidden="1" customHeight="1" outlineLevel="2" x14ac:dyDescent="0.25">
      <c r="B12935" s="704" t="s">
        <v>689</v>
      </c>
      <c r="C12935" s="704" t="s">
        <v>706</v>
      </c>
      <c r="D12935" s="704" t="s">
        <v>44</v>
      </c>
      <c r="E12935" s="704" t="s">
        <v>676</v>
      </c>
      <c r="F12935" s="705">
        <v>1.362720595555842E-3</v>
      </c>
      <c r="G12935" s="705">
        <v>1.4284437682007142E-2</v>
      </c>
    </row>
    <row r="12936" spans="2:7" ht="11.25" hidden="1" customHeight="1" outlineLevel="2" x14ac:dyDescent="0.25">
      <c r="B12936" s="704" t="s">
        <v>689</v>
      </c>
      <c r="C12936" s="704" t="s">
        <v>901</v>
      </c>
      <c r="D12936" s="704" t="s">
        <v>44</v>
      </c>
      <c r="E12936" s="704" t="s">
        <v>861</v>
      </c>
      <c r="F12936" s="709"/>
      <c r="G12936" s="705">
        <v>0.33290352753736768</v>
      </c>
    </row>
    <row r="12937" spans="2:7" ht="11.25" hidden="1" customHeight="1" outlineLevel="2" x14ac:dyDescent="0.25">
      <c r="B12937" s="704" t="s">
        <v>689</v>
      </c>
      <c r="C12937" s="704" t="s">
        <v>902</v>
      </c>
      <c r="D12937" s="704" t="s">
        <v>44</v>
      </c>
      <c r="E12937" s="704" t="s">
        <v>861</v>
      </c>
      <c r="F12937" s="709"/>
      <c r="G12937" s="705">
        <v>14392.211294073415</v>
      </c>
    </row>
    <row r="12938" spans="2:7" ht="11.25" hidden="1" customHeight="1" outlineLevel="2" x14ac:dyDescent="0.25">
      <c r="B12938" s="704" t="s">
        <v>689</v>
      </c>
      <c r="C12938" s="704" t="s">
        <v>903</v>
      </c>
      <c r="D12938" s="704" t="s">
        <v>44</v>
      </c>
      <c r="E12938" s="704" t="s">
        <v>861</v>
      </c>
      <c r="F12938" s="709"/>
      <c r="G12938" s="705">
        <v>1291.420332457722</v>
      </c>
    </row>
    <row r="12939" spans="2:7" ht="11.25" hidden="1" customHeight="1" outlineLevel="2" x14ac:dyDescent="0.25">
      <c r="B12939" s="704" t="s">
        <v>689</v>
      </c>
      <c r="C12939" s="704" t="s">
        <v>904</v>
      </c>
      <c r="D12939" s="704" t="s">
        <v>44</v>
      </c>
      <c r="E12939" s="704" t="s">
        <v>861</v>
      </c>
      <c r="F12939" s="709"/>
      <c r="G12939" s="705">
        <v>7.1785348723716753</v>
      </c>
    </row>
    <row r="12940" spans="2:7" ht="11.25" hidden="1" customHeight="1" outlineLevel="2" x14ac:dyDescent="0.25">
      <c r="B12940" s="704" t="s">
        <v>689</v>
      </c>
      <c r="C12940" s="704" t="s">
        <v>905</v>
      </c>
      <c r="D12940" s="704" t="s">
        <v>44</v>
      </c>
      <c r="E12940" s="704" t="s">
        <v>861</v>
      </c>
      <c r="F12940" s="709"/>
      <c r="G12940" s="705">
        <v>1.4733833395586828</v>
      </c>
    </row>
    <row r="12941" spans="2:7" ht="11.25" hidden="1" customHeight="1" outlineLevel="2" x14ac:dyDescent="0.25">
      <c r="B12941" s="704" t="s">
        <v>689</v>
      </c>
      <c r="C12941" s="704" t="s">
        <v>906</v>
      </c>
      <c r="D12941" s="704" t="s">
        <v>44</v>
      </c>
      <c r="E12941" s="704" t="s">
        <v>861</v>
      </c>
      <c r="F12941" s="709"/>
      <c r="G12941" s="705">
        <v>109.62605153524565</v>
      </c>
    </row>
    <row r="12942" spans="2:7" ht="11.25" hidden="1" customHeight="1" outlineLevel="2" x14ac:dyDescent="0.25">
      <c r="B12942" s="704" t="s">
        <v>689</v>
      </c>
      <c r="C12942" s="704" t="s">
        <v>907</v>
      </c>
      <c r="D12942" s="704" t="s">
        <v>44</v>
      </c>
      <c r="E12942" s="704" t="s">
        <v>861</v>
      </c>
      <c r="F12942" s="709"/>
      <c r="G12942" s="705">
        <v>0.27457300070126561</v>
      </c>
    </row>
    <row r="12943" spans="2:7" ht="11.25" hidden="1" customHeight="1" outlineLevel="2" x14ac:dyDescent="0.25">
      <c r="B12943" s="704" t="s">
        <v>689</v>
      </c>
      <c r="C12943" s="704" t="s">
        <v>908</v>
      </c>
      <c r="D12943" s="704" t="s">
        <v>44</v>
      </c>
      <c r="E12943" s="704" t="s">
        <v>861</v>
      </c>
      <c r="F12943" s="709"/>
      <c r="G12943" s="705">
        <v>101.32445802647196</v>
      </c>
    </row>
    <row r="12944" spans="2:7" ht="11.25" hidden="1" customHeight="1" outlineLevel="2" x14ac:dyDescent="0.25">
      <c r="B12944" s="704" t="s">
        <v>689</v>
      </c>
      <c r="C12944" s="704" t="s">
        <v>909</v>
      </c>
      <c r="D12944" s="704" t="s">
        <v>44</v>
      </c>
      <c r="E12944" s="704" t="s">
        <v>861</v>
      </c>
      <c r="F12944" s="709"/>
      <c r="G12944" s="705">
        <v>281.45275421916176</v>
      </c>
    </row>
    <row r="12945" spans="2:7" ht="11.25" hidden="1" customHeight="1" outlineLevel="2" x14ac:dyDescent="0.25">
      <c r="B12945" s="704" t="s">
        <v>689</v>
      </c>
      <c r="C12945" s="704" t="s">
        <v>910</v>
      </c>
      <c r="D12945" s="704" t="s">
        <v>44</v>
      </c>
      <c r="E12945" s="704" t="s">
        <v>861</v>
      </c>
      <c r="F12945" s="709"/>
      <c r="G12945" s="705">
        <v>206.92255401432075</v>
      </c>
    </row>
    <row r="12946" spans="2:7" ht="11.25" hidden="1" customHeight="1" outlineLevel="2" x14ac:dyDescent="0.25">
      <c r="B12946" s="704" t="s">
        <v>689</v>
      </c>
      <c r="C12946" s="704" t="s">
        <v>814</v>
      </c>
      <c r="D12946" s="704" t="s">
        <v>815</v>
      </c>
      <c r="E12946" s="704" t="s">
        <v>448</v>
      </c>
      <c r="F12946" s="705">
        <v>2.2886705725982671E-34</v>
      </c>
      <c r="G12946" s="705">
        <v>3.4391137315468474E-31</v>
      </c>
    </row>
    <row r="12947" spans="2:7" ht="11.25" hidden="1" customHeight="1" outlineLevel="2" x14ac:dyDescent="0.25">
      <c r="B12947" s="704" t="s">
        <v>689</v>
      </c>
      <c r="C12947" s="704" t="s">
        <v>854</v>
      </c>
      <c r="D12947" s="704" t="s">
        <v>815</v>
      </c>
      <c r="E12947" s="704" t="s">
        <v>824</v>
      </c>
      <c r="F12947" s="705">
        <v>2.2753543115041698E-36</v>
      </c>
      <c r="G12947" s="705">
        <v>3.2868550119145637E-32</v>
      </c>
    </row>
    <row r="12948" spans="2:7" ht="11.25" hidden="1" customHeight="1" outlineLevel="2" x14ac:dyDescent="0.25">
      <c r="B12948" s="704" t="s">
        <v>689</v>
      </c>
      <c r="C12948" s="704" t="s">
        <v>918</v>
      </c>
      <c r="D12948" s="704" t="s">
        <v>815</v>
      </c>
      <c r="E12948" s="704" t="s">
        <v>861</v>
      </c>
      <c r="F12948" s="709"/>
      <c r="G12948" s="705">
        <v>2.963962154097215E-28</v>
      </c>
    </row>
    <row r="12949" spans="2:7" ht="11.25" hidden="1" customHeight="1" outlineLevel="2" x14ac:dyDescent="0.25">
      <c r="B12949" s="704" t="s">
        <v>689</v>
      </c>
      <c r="C12949" s="704" t="s">
        <v>740</v>
      </c>
      <c r="D12949" s="704" t="s">
        <v>562</v>
      </c>
      <c r="E12949" s="704" t="s">
        <v>448</v>
      </c>
      <c r="F12949" s="705">
        <v>4.197467029550774E-3</v>
      </c>
      <c r="G12949" s="705">
        <v>2.0802013949915836</v>
      </c>
    </row>
    <row r="12950" spans="2:7" ht="11.25" hidden="1" customHeight="1" outlineLevel="2" x14ac:dyDescent="0.25">
      <c r="B12950" s="704" t="s">
        <v>689</v>
      </c>
      <c r="C12950" s="704" t="s">
        <v>741</v>
      </c>
      <c r="D12950" s="704" t="s">
        <v>562</v>
      </c>
      <c r="E12950" s="704" t="s">
        <v>448</v>
      </c>
      <c r="F12950" s="705">
        <v>2.6821603057754256E-2</v>
      </c>
      <c r="G12950" s="705">
        <v>13.878436626532737</v>
      </c>
    </row>
    <row r="12951" spans="2:7" ht="11.25" hidden="1" customHeight="1" outlineLevel="2" x14ac:dyDescent="0.25">
      <c r="B12951" s="704" t="s">
        <v>689</v>
      </c>
      <c r="C12951" s="704" t="s">
        <v>742</v>
      </c>
      <c r="D12951" s="704" t="s">
        <v>562</v>
      </c>
      <c r="E12951" s="704" t="s">
        <v>448</v>
      </c>
      <c r="F12951" s="705">
        <v>1.1939158374912438E-5</v>
      </c>
      <c r="G12951" s="705">
        <v>5.352493195413777E-3</v>
      </c>
    </row>
    <row r="12952" spans="2:7" ht="11.25" hidden="1" customHeight="1" outlineLevel="2" x14ac:dyDescent="0.25">
      <c r="B12952" s="704" t="s">
        <v>689</v>
      </c>
      <c r="C12952" s="704" t="s">
        <v>743</v>
      </c>
      <c r="D12952" s="704" t="s">
        <v>562</v>
      </c>
      <c r="E12952" s="704" t="s">
        <v>448</v>
      </c>
      <c r="F12952" s="705">
        <v>1.8786024438956312E-4</v>
      </c>
      <c r="G12952" s="705">
        <v>8.422037350880765E-2</v>
      </c>
    </row>
    <row r="12953" spans="2:7" ht="11.25" hidden="1" customHeight="1" outlineLevel="2" x14ac:dyDescent="0.25">
      <c r="B12953" s="704" t="s">
        <v>689</v>
      </c>
      <c r="C12953" s="704" t="s">
        <v>806</v>
      </c>
      <c r="D12953" s="704" t="s">
        <v>562</v>
      </c>
      <c r="E12953" s="704" t="s">
        <v>448</v>
      </c>
      <c r="F12953" s="705">
        <v>0.35673373902265876</v>
      </c>
      <c r="G12953" s="705">
        <v>428.19913844278261</v>
      </c>
    </row>
    <row r="12954" spans="2:7" ht="11.25" hidden="1" customHeight="1" outlineLevel="2" x14ac:dyDescent="0.25">
      <c r="B12954" s="704" t="s">
        <v>689</v>
      </c>
      <c r="C12954" s="704" t="s">
        <v>807</v>
      </c>
      <c r="D12954" s="704" t="s">
        <v>562</v>
      </c>
      <c r="E12954" s="704" t="s">
        <v>448</v>
      </c>
      <c r="F12954" s="705">
        <v>7.6783915928831464E-2</v>
      </c>
      <c r="G12954" s="705">
        <v>107.15252720643366</v>
      </c>
    </row>
    <row r="12955" spans="2:7" ht="11.25" hidden="1" customHeight="1" outlineLevel="2" x14ac:dyDescent="0.25">
      <c r="B12955" s="704" t="s">
        <v>689</v>
      </c>
      <c r="C12955" s="704" t="s">
        <v>808</v>
      </c>
      <c r="D12955" s="704" t="s">
        <v>562</v>
      </c>
      <c r="E12955" s="704" t="s">
        <v>448</v>
      </c>
      <c r="F12955" s="705">
        <v>3.5443237065293259E-2</v>
      </c>
      <c r="G12955" s="705">
        <v>56.822147707017933</v>
      </c>
    </row>
    <row r="12956" spans="2:7" ht="11.25" hidden="1" customHeight="1" outlineLevel="2" x14ac:dyDescent="0.25">
      <c r="B12956" s="704" t="s">
        <v>689</v>
      </c>
      <c r="C12956" s="704" t="s">
        <v>809</v>
      </c>
      <c r="D12956" s="704" t="s">
        <v>562</v>
      </c>
      <c r="E12956" s="704" t="s">
        <v>448</v>
      </c>
      <c r="F12956" s="705">
        <v>8.1671922425588184E-2</v>
      </c>
      <c r="G12956" s="705">
        <v>121.91973657939863</v>
      </c>
    </row>
    <row r="12957" spans="2:7" ht="11.25" hidden="1" customHeight="1" outlineLevel="2" x14ac:dyDescent="0.25">
      <c r="B12957" s="704" t="s">
        <v>689</v>
      </c>
      <c r="C12957" s="704" t="s">
        <v>810</v>
      </c>
      <c r="D12957" s="704" t="s">
        <v>562</v>
      </c>
      <c r="E12957" s="704" t="s">
        <v>448</v>
      </c>
      <c r="F12957" s="705">
        <v>0.15425464245185572</v>
      </c>
      <c r="G12957" s="705">
        <v>192.07402631619459</v>
      </c>
    </row>
    <row r="12958" spans="2:7" ht="11.25" hidden="1" customHeight="1" outlineLevel="2" x14ac:dyDescent="0.25">
      <c r="B12958" s="704" t="s">
        <v>689</v>
      </c>
      <c r="C12958" s="704" t="s">
        <v>811</v>
      </c>
      <c r="D12958" s="704" t="s">
        <v>562</v>
      </c>
      <c r="E12958" s="704" t="s">
        <v>448</v>
      </c>
      <c r="F12958" s="705">
        <v>6.566916609476457E-3</v>
      </c>
      <c r="G12958" s="705">
        <v>9.0340883773261424</v>
      </c>
    </row>
    <row r="12959" spans="2:7" ht="11.25" hidden="1" customHeight="1" outlineLevel="2" x14ac:dyDescent="0.25">
      <c r="B12959" s="704" t="s">
        <v>689</v>
      </c>
      <c r="C12959" s="704" t="s">
        <v>848</v>
      </c>
      <c r="D12959" s="704" t="s">
        <v>562</v>
      </c>
      <c r="E12959" s="704" t="s">
        <v>824</v>
      </c>
      <c r="F12959" s="705">
        <v>2.0723793907664347E-2</v>
      </c>
      <c r="G12959" s="705">
        <v>56.97393433347353</v>
      </c>
    </row>
    <row r="12960" spans="2:7" ht="11.25" hidden="1" customHeight="1" outlineLevel="2" x14ac:dyDescent="0.25">
      <c r="B12960" s="704" t="s">
        <v>689</v>
      </c>
      <c r="C12960" s="704" t="s">
        <v>849</v>
      </c>
      <c r="D12960" s="704" t="s">
        <v>562</v>
      </c>
      <c r="E12960" s="704" t="s">
        <v>824</v>
      </c>
      <c r="F12960" s="705">
        <v>3.0088713522519964E-3</v>
      </c>
      <c r="G12960" s="705">
        <v>12.690075819586045</v>
      </c>
    </row>
    <row r="12961" spans="2:7" ht="11.25" hidden="1" customHeight="1" outlineLevel="2" x14ac:dyDescent="0.25">
      <c r="B12961" s="704" t="s">
        <v>689</v>
      </c>
      <c r="C12961" s="704" t="s">
        <v>850</v>
      </c>
      <c r="D12961" s="704" t="s">
        <v>562</v>
      </c>
      <c r="E12961" s="704" t="s">
        <v>824</v>
      </c>
      <c r="F12961" s="705">
        <v>2.2260233424271467E-3</v>
      </c>
      <c r="G12961" s="705">
        <v>14.875046195226567</v>
      </c>
    </row>
    <row r="12962" spans="2:7" ht="11.25" hidden="1" customHeight="1" outlineLevel="2" x14ac:dyDescent="0.25">
      <c r="B12962" s="704" t="s">
        <v>689</v>
      </c>
      <c r="C12962" s="704" t="s">
        <v>851</v>
      </c>
      <c r="D12962" s="704" t="s">
        <v>562</v>
      </c>
      <c r="E12962" s="704" t="s">
        <v>824</v>
      </c>
      <c r="F12962" s="705">
        <v>3.8991571239832762E-3</v>
      </c>
      <c r="G12962" s="705">
        <v>18.478544330353166</v>
      </c>
    </row>
    <row r="12963" spans="2:7" ht="11.25" hidden="1" customHeight="1" outlineLevel="2" x14ac:dyDescent="0.25">
      <c r="B12963" s="704" t="s">
        <v>689</v>
      </c>
      <c r="C12963" s="704" t="s">
        <v>852</v>
      </c>
      <c r="D12963" s="704" t="s">
        <v>562</v>
      </c>
      <c r="E12963" s="704" t="s">
        <v>824</v>
      </c>
      <c r="F12963" s="705">
        <v>9.7359802268702847E-5</v>
      </c>
      <c r="G12963" s="705">
        <v>0.24978815433121657</v>
      </c>
    </row>
    <row r="12964" spans="2:7" ht="11.25" hidden="1" customHeight="1" outlineLevel="2" x14ac:dyDescent="0.25">
      <c r="B12964" s="704" t="s">
        <v>689</v>
      </c>
      <c r="C12964" s="704" t="s">
        <v>853</v>
      </c>
      <c r="D12964" s="704" t="s">
        <v>562</v>
      </c>
      <c r="E12964" s="704" t="s">
        <v>824</v>
      </c>
      <c r="F12964" s="705">
        <v>2.8404828565524986E-5</v>
      </c>
      <c r="G12964" s="705">
        <v>0.23202026388569311</v>
      </c>
    </row>
    <row r="12965" spans="2:7" ht="11.25" hidden="1" customHeight="1" outlineLevel="2" x14ac:dyDescent="0.25">
      <c r="B12965" s="704" t="s">
        <v>689</v>
      </c>
      <c r="C12965" s="704" t="s">
        <v>707</v>
      </c>
      <c r="D12965" s="704" t="s">
        <v>562</v>
      </c>
      <c r="E12965" s="704" t="s">
        <v>676</v>
      </c>
      <c r="F12965" s="705">
        <v>0.45787966256603563</v>
      </c>
      <c r="G12965" s="705">
        <v>12.714840924623184</v>
      </c>
    </row>
    <row r="12966" spans="2:7" ht="11.25" hidden="1" customHeight="1" outlineLevel="2" x14ac:dyDescent="0.25">
      <c r="B12966" s="704" t="s">
        <v>689</v>
      </c>
      <c r="C12966" s="704" t="s">
        <v>708</v>
      </c>
      <c r="D12966" s="704" t="s">
        <v>562</v>
      </c>
      <c r="E12966" s="704" t="s">
        <v>676</v>
      </c>
      <c r="F12966" s="705">
        <v>1.7554447475995934E-2</v>
      </c>
      <c r="G12966" s="705">
        <v>0.63813102666113275</v>
      </c>
    </row>
    <row r="12967" spans="2:7" ht="11.25" hidden="1" customHeight="1" outlineLevel="2" x14ac:dyDescent="0.25">
      <c r="B12967" s="704" t="s">
        <v>689</v>
      </c>
      <c r="C12967" s="704" t="s">
        <v>709</v>
      </c>
      <c r="D12967" s="704" t="s">
        <v>562</v>
      </c>
      <c r="E12967" s="704" t="s">
        <v>676</v>
      </c>
      <c r="F12967" s="705">
        <v>1.2602822046007678E-2</v>
      </c>
      <c r="G12967" s="705">
        <v>0.88391979965758738</v>
      </c>
    </row>
    <row r="12968" spans="2:7" ht="11.25" hidden="1" customHeight="1" outlineLevel="2" x14ac:dyDescent="0.25">
      <c r="B12968" s="704" t="s">
        <v>689</v>
      </c>
      <c r="C12968" s="704" t="s">
        <v>710</v>
      </c>
      <c r="D12968" s="704" t="s">
        <v>562</v>
      </c>
      <c r="E12968" s="704" t="s">
        <v>676</v>
      </c>
      <c r="F12968" s="705">
        <v>0.14764831004826631</v>
      </c>
      <c r="G12968" s="705">
        <v>30.897689713160869</v>
      </c>
    </row>
    <row r="12969" spans="2:7" ht="11.25" hidden="1" customHeight="1" outlineLevel="2" x14ac:dyDescent="0.25">
      <c r="B12969" s="704" t="s">
        <v>689</v>
      </c>
      <c r="C12969" s="704" t="s">
        <v>911</v>
      </c>
      <c r="D12969" s="704" t="s">
        <v>562</v>
      </c>
      <c r="E12969" s="704" t="s">
        <v>861</v>
      </c>
      <c r="F12969" s="709"/>
      <c r="G12969" s="705">
        <v>329.48391964223151</v>
      </c>
    </row>
    <row r="12970" spans="2:7" ht="11.25" hidden="1" customHeight="1" outlineLevel="2" x14ac:dyDescent="0.25">
      <c r="B12970" s="704" t="s">
        <v>689</v>
      </c>
      <c r="C12970" s="704" t="s">
        <v>912</v>
      </c>
      <c r="D12970" s="704" t="s">
        <v>562</v>
      </c>
      <c r="E12970" s="704" t="s">
        <v>861</v>
      </c>
      <c r="F12970" s="709"/>
      <c r="G12970" s="705">
        <v>77.738245769101965</v>
      </c>
    </row>
    <row r="12971" spans="2:7" ht="11.25" hidden="1" customHeight="1" outlineLevel="2" x14ac:dyDescent="0.25">
      <c r="B12971" s="704" t="s">
        <v>689</v>
      </c>
      <c r="C12971" s="704" t="s">
        <v>913</v>
      </c>
      <c r="D12971" s="704" t="s">
        <v>562</v>
      </c>
      <c r="E12971" s="704" t="s">
        <v>861</v>
      </c>
      <c r="F12971" s="709"/>
      <c r="G12971" s="705">
        <v>215.69354665665585</v>
      </c>
    </row>
    <row r="12972" spans="2:7" ht="11.25" hidden="1" customHeight="1" outlineLevel="2" x14ac:dyDescent="0.25">
      <c r="B12972" s="704" t="s">
        <v>689</v>
      </c>
      <c r="C12972" s="704" t="s">
        <v>914</v>
      </c>
      <c r="D12972" s="704" t="s">
        <v>562</v>
      </c>
      <c r="E12972" s="704" t="s">
        <v>861</v>
      </c>
      <c r="F12972" s="709"/>
      <c r="G12972" s="705">
        <v>109.52217700691291</v>
      </c>
    </row>
    <row r="12973" spans="2:7" ht="11.25" hidden="1" customHeight="1" outlineLevel="2" x14ac:dyDescent="0.25">
      <c r="B12973" s="704" t="s">
        <v>689</v>
      </c>
      <c r="C12973" s="704" t="s">
        <v>915</v>
      </c>
      <c r="D12973" s="704" t="s">
        <v>562</v>
      </c>
      <c r="E12973" s="704" t="s">
        <v>861</v>
      </c>
      <c r="F12973" s="709"/>
      <c r="G12973" s="705">
        <v>10.521383532948866</v>
      </c>
    </row>
    <row r="12974" spans="2:7" ht="11.25" hidden="1" customHeight="1" outlineLevel="2" x14ac:dyDescent="0.25">
      <c r="B12974" s="704" t="s">
        <v>689</v>
      </c>
      <c r="C12974" s="704" t="s">
        <v>916</v>
      </c>
      <c r="D12974" s="704" t="s">
        <v>562</v>
      </c>
      <c r="E12974" s="704" t="s">
        <v>861</v>
      </c>
      <c r="F12974" s="709"/>
      <c r="G12974" s="705">
        <v>9.3348530011260564</v>
      </c>
    </row>
    <row r="12975" spans="2:7" ht="11.25" hidden="1" customHeight="1" outlineLevel="2" x14ac:dyDescent="0.25">
      <c r="B12975" s="704" t="s">
        <v>689</v>
      </c>
      <c r="C12975" s="704" t="s">
        <v>719</v>
      </c>
      <c r="D12975" s="704" t="s">
        <v>675</v>
      </c>
      <c r="E12975" s="704" t="s">
        <v>448</v>
      </c>
      <c r="F12975" s="705">
        <v>7.2120705077942469E-3</v>
      </c>
      <c r="G12975" s="705">
        <v>4.4471078879485164</v>
      </c>
    </row>
    <row r="12976" spans="2:7" ht="11.25" hidden="1" customHeight="1" outlineLevel="2" x14ac:dyDescent="0.25">
      <c r="B12976" s="704" t="s">
        <v>689</v>
      </c>
      <c r="C12976" s="704" t="s">
        <v>720</v>
      </c>
      <c r="D12976" s="704" t="s">
        <v>675</v>
      </c>
      <c r="E12976" s="704" t="s">
        <v>448</v>
      </c>
      <c r="F12976" s="705">
        <v>5.960318728065638E-4</v>
      </c>
      <c r="G12976" s="705">
        <v>0.28842900913736824</v>
      </c>
    </row>
    <row r="12977" spans="2:7" ht="11.25" hidden="1" customHeight="1" outlineLevel="2" x14ac:dyDescent="0.25">
      <c r="B12977" s="704" t="s">
        <v>689</v>
      </c>
      <c r="C12977" s="704" t="s">
        <v>721</v>
      </c>
      <c r="D12977" s="704" t="s">
        <v>675</v>
      </c>
      <c r="E12977" s="704" t="s">
        <v>448</v>
      </c>
      <c r="F12977" s="705">
        <v>7.2181178896538699E-4</v>
      </c>
      <c r="G12977" s="705">
        <v>0.34480002932806286</v>
      </c>
    </row>
    <row r="12978" spans="2:7" ht="11.25" hidden="1" customHeight="1" outlineLevel="2" x14ac:dyDescent="0.25">
      <c r="B12978" s="704" t="s">
        <v>689</v>
      </c>
      <c r="C12978" s="704" t="s">
        <v>722</v>
      </c>
      <c r="D12978" s="704" t="s">
        <v>675</v>
      </c>
      <c r="E12978" s="704" t="s">
        <v>448</v>
      </c>
      <c r="F12978" s="705">
        <v>5.7598393832130302E-6</v>
      </c>
      <c r="G12978" s="705">
        <v>2.5820429252102809E-3</v>
      </c>
    </row>
    <row r="12979" spans="2:7" ht="11.25" hidden="1" customHeight="1" outlineLevel="2" x14ac:dyDescent="0.25">
      <c r="B12979" s="704" t="s">
        <v>689</v>
      </c>
      <c r="C12979" s="704" t="s">
        <v>723</v>
      </c>
      <c r="D12979" s="704" t="s">
        <v>675</v>
      </c>
      <c r="E12979" s="704" t="s">
        <v>448</v>
      </c>
      <c r="F12979" s="705">
        <v>2.054692727127962E-2</v>
      </c>
      <c r="G12979" s="705">
        <v>11.492014963649687</v>
      </c>
    </row>
    <row r="12980" spans="2:7" ht="11.25" hidden="1" customHeight="1" outlineLevel="2" x14ac:dyDescent="0.25">
      <c r="B12980" s="704" t="s">
        <v>689</v>
      </c>
      <c r="C12980" s="704" t="s">
        <v>724</v>
      </c>
      <c r="D12980" s="704" t="s">
        <v>675</v>
      </c>
      <c r="E12980" s="704" t="s">
        <v>448</v>
      </c>
      <c r="F12980" s="705">
        <v>1.4998162782357439E-4</v>
      </c>
      <c r="G12980" s="705">
        <v>6.7234357786042545E-2</v>
      </c>
    </row>
    <row r="12981" spans="2:7" ht="11.25" hidden="1" customHeight="1" outlineLevel="2" x14ac:dyDescent="0.25">
      <c r="B12981" s="704" t="s">
        <v>689</v>
      </c>
      <c r="C12981" s="704" t="s">
        <v>750</v>
      </c>
      <c r="D12981" s="704" t="s">
        <v>675</v>
      </c>
      <c r="E12981" s="704" t="s">
        <v>448</v>
      </c>
      <c r="F12981" s="705">
        <v>2.5539361028687041E-3</v>
      </c>
      <c r="G12981" s="705">
        <v>3.9533902864273567</v>
      </c>
    </row>
    <row r="12982" spans="2:7" ht="11.25" hidden="1" customHeight="1" outlineLevel="2" x14ac:dyDescent="0.25">
      <c r="B12982" s="704" t="s">
        <v>689</v>
      </c>
      <c r="C12982" s="704" t="s">
        <v>751</v>
      </c>
      <c r="D12982" s="704" t="s">
        <v>675</v>
      </c>
      <c r="E12982" s="704" t="s">
        <v>448</v>
      </c>
      <c r="F12982" s="705">
        <v>2.2622912803498214E-5</v>
      </c>
      <c r="G12982" s="705">
        <v>2.9214513376021586E-2</v>
      </c>
    </row>
    <row r="12983" spans="2:7" ht="11.25" hidden="1" customHeight="1" outlineLevel="2" x14ac:dyDescent="0.25">
      <c r="B12983" s="704" t="s">
        <v>689</v>
      </c>
      <c r="C12983" s="704" t="s">
        <v>752</v>
      </c>
      <c r="D12983" s="704" t="s">
        <v>675</v>
      </c>
      <c r="E12983" s="704" t="s">
        <v>448</v>
      </c>
      <c r="F12983" s="705">
        <v>6.2229869871918168E-3</v>
      </c>
      <c r="G12983" s="705">
        <v>7.3979655644450633</v>
      </c>
    </row>
    <row r="12984" spans="2:7" ht="11.25" hidden="1" customHeight="1" outlineLevel="2" x14ac:dyDescent="0.25">
      <c r="B12984" s="704" t="s">
        <v>689</v>
      </c>
      <c r="C12984" s="704" t="s">
        <v>753</v>
      </c>
      <c r="D12984" s="704" t="s">
        <v>675</v>
      </c>
      <c r="E12984" s="704" t="s">
        <v>448</v>
      </c>
      <c r="F12984" s="705">
        <v>4.4574815545550791E-3</v>
      </c>
      <c r="G12984" s="705">
        <v>6.9906235463266251</v>
      </c>
    </row>
    <row r="12985" spans="2:7" ht="11.25" hidden="1" customHeight="1" outlineLevel="2" x14ac:dyDescent="0.25">
      <c r="B12985" s="704" t="s">
        <v>689</v>
      </c>
      <c r="C12985" s="704" t="s">
        <v>754</v>
      </c>
      <c r="D12985" s="704" t="s">
        <v>675</v>
      </c>
      <c r="E12985" s="704" t="s">
        <v>448</v>
      </c>
      <c r="F12985" s="705">
        <v>1.0975177842623822E-2</v>
      </c>
      <c r="G12985" s="705">
        <v>13.913702376200044</v>
      </c>
    </row>
    <row r="12986" spans="2:7" ht="11.25" hidden="1" customHeight="1" outlineLevel="2" x14ac:dyDescent="0.25">
      <c r="B12986" s="704" t="s">
        <v>689</v>
      </c>
      <c r="C12986" s="704" t="s">
        <v>755</v>
      </c>
      <c r="D12986" s="704" t="s">
        <v>675</v>
      </c>
      <c r="E12986" s="704" t="s">
        <v>448</v>
      </c>
      <c r="F12986" s="705">
        <v>4.2928849270982405E-3</v>
      </c>
      <c r="G12986" s="705">
        <v>5.8674133720287109</v>
      </c>
    </row>
    <row r="12987" spans="2:7" ht="11.25" hidden="1" customHeight="1" outlineLevel="2" x14ac:dyDescent="0.25">
      <c r="B12987" s="704" t="s">
        <v>689</v>
      </c>
      <c r="C12987" s="704" t="s">
        <v>756</v>
      </c>
      <c r="D12987" s="704" t="s">
        <v>675</v>
      </c>
      <c r="E12987" s="704" t="s">
        <v>448</v>
      </c>
      <c r="F12987" s="705">
        <v>2.3134434651014214E-4</v>
      </c>
      <c r="G12987" s="705">
        <v>0.30463202696399411</v>
      </c>
    </row>
    <row r="12988" spans="2:7" ht="11.25" hidden="1" customHeight="1" outlineLevel="2" x14ac:dyDescent="0.25">
      <c r="B12988" s="704" t="s">
        <v>689</v>
      </c>
      <c r="C12988" s="704" t="s">
        <v>757</v>
      </c>
      <c r="D12988" s="704" t="s">
        <v>675</v>
      </c>
      <c r="E12988" s="704" t="s">
        <v>448</v>
      </c>
      <c r="F12988" s="705">
        <v>8.1798528402472464E-3</v>
      </c>
      <c r="G12988" s="705">
        <v>12.283264860607348</v>
      </c>
    </row>
    <row r="12989" spans="2:7" ht="11.25" hidden="1" customHeight="1" outlineLevel="2" x14ac:dyDescent="0.25">
      <c r="B12989" s="704" t="s">
        <v>689</v>
      </c>
      <c r="C12989" s="704" t="s">
        <v>758</v>
      </c>
      <c r="D12989" s="704" t="s">
        <v>675</v>
      </c>
      <c r="E12989" s="704" t="s">
        <v>448</v>
      </c>
      <c r="F12989" s="705">
        <v>3.6822348382677035E-3</v>
      </c>
      <c r="G12989" s="705">
        <v>4.2305552690390886</v>
      </c>
    </row>
    <row r="12990" spans="2:7" ht="11.25" hidden="1" customHeight="1" outlineLevel="2" x14ac:dyDescent="0.25">
      <c r="B12990" s="704" t="s">
        <v>689</v>
      </c>
      <c r="C12990" s="704" t="s">
        <v>759</v>
      </c>
      <c r="D12990" s="704" t="s">
        <v>675</v>
      </c>
      <c r="E12990" s="704" t="s">
        <v>448</v>
      </c>
      <c r="F12990" s="705">
        <v>1.822225455249506E-2</v>
      </c>
      <c r="G12990" s="705">
        <v>25.583619473470563</v>
      </c>
    </row>
    <row r="12991" spans="2:7" ht="11.25" hidden="1" customHeight="1" outlineLevel="2" x14ac:dyDescent="0.25">
      <c r="B12991" s="704" t="s">
        <v>689</v>
      </c>
      <c r="C12991" s="704" t="s">
        <v>760</v>
      </c>
      <c r="D12991" s="704" t="s">
        <v>675</v>
      </c>
      <c r="E12991" s="704" t="s">
        <v>448</v>
      </c>
      <c r="F12991" s="705">
        <v>1.2280498620997752E-2</v>
      </c>
      <c r="G12991" s="705">
        <v>12.255897990097637</v>
      </c>
    </row>
    <row r="12992" spans="2:7" ht="11.25" hidden="1" customHeight="1" outlineLevel="2" x14ac:dyDescent="0.25">
      <c r="B12992" s="704" t="s">
        <v>689</v>
      </c>
      <c r="C12992" s="704" t="s">
        <v>761</v>
      </c>
      <c r="D12992" s="704" t="s">
        <v>675</v>
      </c>
      <c r="E12992" s="704" t="s">
        <v>448</v>
      </c>
      <c r="F12992" s="705">
        <v>5.8325073242064193E-4</v>
      </c>
      <c r="G12992" s="705">
        <v>0.97698764034384544</v>
      </c>
    </row>
    <row r="12993" spans="2:7" ht="11.25" hidden="1" customHeight="1" outlineLevel="2" x14ac:dyDescent="0.25">
      <c r="B12993" s="704" t="s">
        <v>689</v>
      </c>
      <c r="C12993" s="704" t="s">
        <v>762</v>
      </c>
      <c r="D12993" s="704" t="s">
        <v>675</v>
      </c>
      <c r="E12993" s="704" t="s">
        <v>448</v>
      </c>
      <c r="F12993" s="705">
        <v>1.1865804259119871E-3</v>
      </c>
      <c r="G12993" s="705">
        <v>1.6566182825901814</v>
      </c>
    </row>
    <row r="12994" spans="2:7" ht="11.25" hidden="1" customHeight="1" outlineLevel="2" x14ac:dyDescent="0.25">
      <c r="B12994" s="704" t="s">
        <v>689</v>
      </c>
      <c r="C12994" s="704" t="s">
        <v>763</v>
      </c>
      <c r="D12994" s="704" t="s">
        <v>675</v>
      </c>
      <c r="E12994" s="704" t="s">
        <v>448</v>
      </c>
      <c r="F12994" s="705">
        <v>5.2692531099801686E-4</v>
      </c>
      <c r="G12994" s="705">
        <v>1.4844792623393668</v>
      </c>
    </row>
    <row r="12995" spans="2:7" ht="11.25" hidden="1" customHeight="1" outlineLevel="2" x14ac:dyDescent="0.25">
      <c r="B12995" s="704" t="s">
        <v>689</v>
      </c>
      <c r="C12995" s="704" t="s">
        <v>764</v>
      </c>
      <c r="D12995" s="704" t="s">
        <v>675</v>
      </c>
      <c r="E12995" s="704" t="s">
        <v>448</v>
      </c>
      <c r="F12995" s="705">
        <v>6.1395669034887868E-4</v>
      </c>
      <c r="G12995" s="705">
        <v>3.5455922172594896</v>
      </c>
    </row>
    <row r="12996" spans="2:7" ht="11.25" hidden="1" customHeight="1" outlineLevel="2" x14ac:dyDescent="0.25">
      <c r="B12996" s="704" t="s">
        <v>689</v>
      </c>
      <c r="C12996" s="704" t="s">
        <v>765</v>
      </c>
      <c r="D12996" s="704" t="s">
        <v>675</v>
      </c>
      <c r="E12996" s="704" t="s">
        <v>448</v>
      </c>
      <c r="F12996" s="705">
        <v>5.8096567224137589E-3</v>
      </c>
      <c r="G12996" s="705">
        <v>8.4021297389685703</v>
      </c>
    </row>
    <row r="12997" spans="2:7" ht="11.25" hidden="1" customHeight="1" outlineLevel="2" x14ac:dyDescent="0.25">
      <c r="B12997" s="704" t="s">
        <v>689</v>
      </c>
      <c r="C12997" s="704" t="s">
        <v>766</v>
      </c>
      <c r="D12997" s="704" t="s">
        <v>675</v>
      </c>
      <c r="E12997" s="704" t="s">
        <v>448</v>
      </c>
      <c r="F12997" s="705">
        <v>3.6027456409736328E-3</v>
      </c>
      <c r="G12997" s="705">
        <v>5.7664931887694575</v>
      </c>
    </row>
    <row r="12998" spans="2:7" ht="11.25" hidden="1" customHeight="1" outlineLevel="2" x14ac:dyDescent="0.25">
      <c r="B12998" s="704" t="s">
        <v>689</v>
      </c>
      <c r="C12998" s="704" t="s">
        <v>767</v>
      </c>
      <c r="D12998" s="704" t="s">
        <v>675</v>
      </c>
      <c r="E12998" s="704" t="s">
        <v>448</v>
      </c>
      <c r="F12998" s="705">
        <v>1.8144578028780757E-3</v>
      </c>
      <c r="G12998" s="705">
        <v>1.9000064542108166</v>
      </c>
    </row>
    <row r="12999" spans="2:7" ht="11.25" hidden="1" customHeight="1" outlineLevel="2" x14ac:dyDescent="0.25">
      <c r="B12999" s="704" t="s">
        <v>689</v>
      </c>
      <c r="C12999" s="704" t="s">
        <v>768</v>
      </c>
      <c r="D12999" s="704" t="s">
        <v>675</v>
      </c>
      <c r="E12999" s="704" t="s">
        <v>448</v>
      </c>
      <c r="F12999" s="705">
        <v>8.458262820319239E-4</v>
      </c>
      <c r="G12999" s="705">
        <v>1.3422244252642226</v>
      </c>
    </row>
    <row r="13000" spans="2:7" ht="11.25" hidden="1" customHeight="1" outlineLevel="2" x14ac:dyDescent="0.25">
      <c r="B13000" s="704" t="s">
        <v>689</v>
      </c>
      <c r="C13000" s="704" t="s">
        <v>825</v>
      </c>
      <c r="D13000" s="704" t="s">
        <v>675</v>
      </c>
      <c r="E13000" s="704" t="s">
        <v>824</v>
      </c>
      <c r="F13000" s="705">
        <v>1.6056764232426197E-4</v>
      </c>
      <c r="G13000" s="705">
        <v>0.7602573989089717</v>
      </c>
    </row>
    <row r="13001" spans="2:7" ht="11.25" hidden="1" customHeight="1" outlineLevel="2" x14ac:dyDescent="0.25">
      <c r="B13001" s="704" t="s">
        <v>689</v>
      </c>
      <c r="C13001" s="704" t="s">
        <v>826</v>
      </c>
      <c r="D13001" s="704" t="s">
        <v>675</v>
      </c>
      <c r="E13001" s="704" t="s">
        <v>824</v>
      </c>
      <c r="F13001" s="705">
        <v>1.1936076600204007E-4</v>
      </c>
      <c r="G13001" s="705">
        <v>1.2758555336715427</v>
      </c>
    </row>
    <row r="13002" spans="2:7" ht="11.25" hidden="1" customHeight="1" outlineLevel="2" x14ac:dyDescent="0.25">
      <c r="B13002" s="704" t="s">
        <v>689</v>
      </c>
      <c r="C13002" s="704" t="s">
        <v>827</v>
      </c>
      <c r="D13002" s="704" t="s">
        <v>675</v>
      </c>
      <c r="E13002" s="704" t="s">
        <v>824</v>
      </c>
      <c r="F13002" s="705">
        <v>8.8384650327506391E-5</v>
      </c>
      <c r="G13002" s="705">
        <v>0.21106460523387602</v>
      </c>
    </row>
    <row r="13003" spans="2:7" ht="11.25" hidden="1" customHeight="1" outlineLevel="2" x14ac:dyDescent="0.25">
      <c r="B13003" s="704" t="s">
        <v>689</v>
      </c>
      <c r="C13003" s="704" t="s">
        <v>828</v>
      </c>
      <c r="D13003" s="704" t="s">
        <v>675</v>
      </c>
      <c r="E13003" s="704" t="s">
        <v>824</v>
      </c>
      <c r="F13003" s="705">
        <v>2.4100591627977199E-5</v>
      </c>
      <c r="G13003" s="705">
        <v>0.13225783721178017</v>
      </c>
    </row>
    <row r="13004" spans="2:7" ht="11.25" hidden="1" customHeight="1" outlineLevel="2" x14ac:dyDescent="0.25">
      <c r="B13004" s="704" t="s">
        <v>689</v>
      </c>
      <c r="C13004" s="704" t="s">
        <v>829</v>
      </c>
      <c r="D13004" s="704" t="s">
        <v>675</v>
      </c>
      <c r="E13004" s="704" t="s">
        <v>824</v>
      </c>
      <c r="F13004" s="705">
        <v>5.2155340400668662E-4</v>
      </c>
      <c r="G13004" s="705">
        <v>2.3405166621381257</v>
      </c>
    </row>
    <row r="13005" spans="2:7" ht="11.25" hidden="1" customHeight="1" outlineLevel="2" x14ac:dyDescent="0.25">
      <c r="B13005" s="704" t="s">
        <v>689</v>
      </c>
      <c r="C13005" s="704" t="s">
        <v>830</v>
      </c>
      <c r="D13005" s="704" t="s">
        <v>675</v>
      </c>
      <c r="E13005" s="704" t="s">
        <v>824</v>
      </c>
      <c r="F13005" s="705">
        <v>4.731692473334139E-4</v>
      </c>
      <c r="G13005" s="705">
        <v>0.84272082199204301</v>
      </c>
    </row>
    <row r="13006" spans="2:7" ht="11.25" hidden="1" customHeight="1" outlineLevel="2" x14ac:dyDescent="0.25">
      <c r="B13006" s="704" t="s">
        <v>689</v>
      </c>
      <c r="C13006" s="704" t="s">
        <v>831</v>
      </c>
      <c r="D13006" s="704" t="s">
        <v>675</v>
      </c>
      <c r="E13006" s="704" t="s">
        <v>824</v>
      </c>
      <c r="F13006" s="705">
        <v>1.3128263528162134E-4</v>
      </c>
      <c r="G13006" s="705">
        <v>2.165352975601825</v>
      </c>
    </row>
    <row r="13007" spans="2:7" ht="11.25" hidden="1" customHeight="1" outlineLevel="2" x14ac:dyDescent="0.25">
      <c r="B13007" s="704" t="s">
        <v>689</v>
      </c>
      <c r="C13007" s="704" t="s">
        <v>832</v>
      </c>
      <c r="D13007" s="704" t="s">
        <v>675</v>
      </c>
      <c r="E13007" s="704" t="s">
        <v>824</v>
      </c>
      <c r="F13007" s="705">
        <v>3.5885661935300601E-4</v>
      </c>
      <c r="G13007" s="705">
        <v>0.86243697692195154</v>
      </c>
    </row>
    <row r="13008" spans="2:7" ht="11.25" hidden="1" customHeight="1" outlineLevel="2" x14ac:dyDescent="0.25">
      <c r="B13008" s="704" t="s">
        <v>689</v>
      </c>
      <c r="C13008" s="704" t="s">
        <v>833</v>
      </c>
      <c r="D13008" s="704" t="s">
        <v>675</v>
      </c>
      <c r="E13008" s="704" t="s">
        <v>824</v>
      </c>
      <c r="F13008" s="705">
        <v>5.4807239287307334E-5</v>
      </c>
      <c r="G13008" s="705">
        <v>0.13877874142979385</v>
      </c>
    </row>
    <row r="13009" spans="2:7" ht="11.25" hidden="1" customHeight="1" outlineLevel="2" x14ac:dyDescent="0.25">
      <c r="B13009" s="704" t="s">
        <v>689</v>
      </c>
      <c r="C13009" s="704" t="s">
        <v>834</v>
      </c>
      <c r="D13009" s="704" t="s">
        <v>675</v>
      </c>
      <c r="E13009" s="704" t="s">
        <v>824</v>
      </c>
      <c r="F13009" s="705">
        <v>3.9697934003714741E-4</v>
      </c>
      <c r="G13009" s="705">
        <v>1.5012830079229338</v>
      </c>
    </row>
    <row r="13010" spans="2:7" ht="11.25" hidden="1" customHeight="1" outlineLevel="2" x14ac:dyDescent="0.25">
      <c r="B13010" s="704" t="s">
        <v>689</v>
      </c>
      <c r="C13010" s="704" t="s">
        <v>835</v>
      </c>
      <c r="D13010" s="704" t="s">
        <v>675</v>
      </c>
      <c r="E13010" s="704" t="s">
        <v>824</v>
      </c>
      <c r="F13010" s="705">
        <v>4.9789813030910637E-4</v>
      </c>
      <c r="G13010" s="705">
        <v>3.6557021231478997</v>
      </c>
    </row>
    <row r="13011" spans="2:7" ht="11.25" hidden="1" customHeight="1" outlineLevel="2" x14ac:dyDescent="0.25">
      <c r="B13011" s="704" t="s">
        <v>689</v>
      </c>
      <c r="C13011" s="704" t="s">
        <v>836</v>
      </c>
      <c r="D13011" s="704" t="s">
        <v>675</v>
      </c>
      <c r="E13011" s="704" t="s">
        <v>824</v>
      </c>
      <c r="F13011" s="705">
        <v>3.4740957858142842E-5</v>
      </c>
      <c r="G13011" s="705">
        <v>0.38187981544007316</v>
      </c>
    </row>
    <row r="13012" spans="2:7" ht="11.25" hidden="1" customHeight="1" outlineLevel="2" x14ac:dyDescent="0.25">
      <c r="B13012" s="704" t="s">
        <v>689</v>
      </c>
      <c r="C13012" s="704" t="s">
        <v>837</v>
      </c>
      <c r="D13012" s="704" t="s">
        <v>675</v>
      </c>
      <c r="E13012" s="704" t="s">
        <v>824</v>
      </c>
      <c r="F13012" s="705">
        <v>1.1457240018577634E-3</v>
      </c>
      <c r="G13012" s="705">
        <v>3.1633539043877423</v>
      </c>
    </row>
    <row r="13013" spans="2:7" ht="11.25" hidden="1" customHeight="1" outlineLevel="2" x14ac:dyDescent="0.25">
      <c r="B13013" s="704" t="s">
        <v>689</v>
      </c>
      <c r="C13013" s="704" t="s">
        <v>838</v>
      </c>
      <c r="D13013" s="704" t="s">
        <v>675</v>
      </c>
      <c r="E13013" s="704" t="s">
        <v>824</v>
      </c>
      <c r="F13013" s="705">
        <v>5.9099733279262289E-4</v>
      </c>
      <c r="G13013" s="705">
        <v>1.3081784705955768</v>
      </c>
    </row>
    <row r="13014" spans="2:7" ht="11.25" hidden="1" customHeight="1" outlineLevel="2" x14ac:dyDescent="0.25">
      <c r="B13014" s="704" t="s">
        <v>689</v>
      </c>
      <c r="C13014" s="704" t="s">
        <v>674</v>
      </c>
      <c r="D13014" s="704" t="s">
        <v>675</v>
      </c>
      <c r="E13014" s="704" t="s">
        <v>676</v>
      </c>
      <c r="F13014" s="705">
        <v>1.6759397143499147E-3</v>
      </c>
      <c r="G13014" s="705">
        <v>4.1475881852695101E-2</v>
      </c>
    </row>
    <row r="13015" spans="2:7" ht="11.25" hidden="1" customHeight="1" outlineLevel="2" x14ac:dyDescent="0.25">
      <c r="B13015" s="704" t="s">
        <v>689</v>
      </c>
      <c r="C13015" s="704" t="s">
        <v>862</v>
      </c>
      <c r="D13015" s="704" t="s">
        <v>675</v>
      </c>
      <c r="E13015" s="704" t="s">
        <v>861</v>
      </c>
      <c r="F13015" s="709"/>
      <c r="G13015" s="705">
        <v>123.14668351426195</v>
      </c>
    </row>
    <row r="13016" spans="2:7" ht="11.25" hidden="1" customHeight="1" outlineLevel="2" x14ac:dyDescent="0.25">
      <c r="B13016" s="704" t="s">
        <v>689</v>
      </c>
      <c r="C13016" s="704" t="s">
        <v>863</v>
      </c>
      <c r="D13016" s="704" t="s">
        <v>675</v>
      </c>
      <c r="E13016" s="704" t="s">
        <v>861</v>
      </c>
      <c r="F13016" s="709"/>
      <c r="G13016" s="705">
        <v>0.20073750014539174</v>
      </c>
    </row>
    <row r="13017" spans="2:7" ht="11.25" hidden="1" customHeight="1" outlineLevel="2" x14ac:dyDescent="0.25">
      <c r="B13017" s="704" t="s">
        <v>689</v>
      </c>
      <c r="C13017" s="704" t="s">
        <v>864</v>
      </c>
      <c r="D13017" s="704" t="s">
        <v>675</v>
      </c>
      <c r="E13017" s="704" t="s">
        <v>861</v>
      </c>
      <c r="F13017" s="709"/>
      <c r="G13017" s="705">
        <v>3.3070795667856387</v>
      </c>
    </row>
    <row r="13018" spans="2:7" ht="11.25" hidden="1" customHeight="1" outlineLevel="2" x14ac:dyDescent="0.25">
      <c r="B13018" s="704" t="s">
        <v>689</v>
      </c>
      <c r="C13018" s="704" t="s">
        <v>865</v>
      </c>
      <c r="D13018" s="704" t="s">
        <v>675</v>
      </c>
      <c r="E13018" s="704" t="s">
        <v>861</v>
      </c>
      <c r="F13018" s="709"/>
      <c r="G13018" s="705">
        <v>308.25072502330681</v>
      </c>
    </row>
    <row r="13019" spans="2:7" ht="11.25" hidden="1" customHeight="1" outlineLevel="2" x14ac:dyDescent="0.25">
      <c r="B13019" s="704" t="s">
        <v>689</v>
      </c>
      <c r="C13019" s="704" t="s">
        <v>866</v>
      </c>
      <c r="D13019" s="704" t="s">
        <v>675</v>
      </c>
      <c r="E13019" s="704" t="s">
        <v>861</v>
      </c>
      <c r="F13019" s="709"/>
      <c r="G13019" s="705">
        <v>335.31198947510609</v>
      </c>
    </row>
    <row r="13020" spans="2:7" ht="11.25" hidden="1" customHeight="1" outlineLevel="2" x14ac:dyDescent="0.25">
      <c r="B13020" s="704" t="s">
        <v>689</v>
      </c>
      <c r="C13020" s="704" t="s">
        <v>867</v>
      </c>
      <c r="D13020" s="704" t="s">
        <v>675</v>
      </c>
      <c r="E13020" s="704" t="s">
        <v>861</v>
      </c>
      <c r="F13020" s="709"/>
      <c r="G13020" s="705">
        <v>18.473477013615259</v>
      </c>
    </row>
    <row r="13021" spans="2:7" ht="11.25" hidden="1" customHeight="1" outlineLevel="2" x14ac:dyDescent="0.25">
      <c r="B13021" s="704" t="s">
        <v>689</v>
      </c>
      <c r="C13021" s="704" t="s">
        <v>868</v>
      </c>
      <c r="D13021" s="704" t="s">
        <v>675</v>
      </c>
      <c r="E13021" s="704" t="s">
        <v>861</v>
      </c>
      <c r="F13021" s="709"/>
      <c r="G13021" s="705">
        <v>11.40238065142087</v>
      </c>
    </row>
    <row r="13022" spans="2:7" ht="11.25" hidden="1" customHeight="1" outlineLevel="2" x14ac:dyDescent="0.25">
      <c r="B13022" s="704" t="s">
        <v>689</v>
      </c>
      <c r="C13022" s="704" t="s">
        <v>869</v>
      </c>
      <c r="D13022" s="704" t="s">
        <v>675</v>
      </c>
      <c r="E13022" s="704" t="s">
        <v>861</v>
      </c>
      <c r="F13022" s="709"/>
      <c r="G13022" s="705">
        <v>34.046934780157393</v>
      </c>
    </row>
    <row r="13023" spans="2:7" ht="11.25" hidden="1" customHeight="1" outlineLevel="2" x14ac:dyDescent="0.25">
      <c r="B13023" s="704" t="s">
        <v>689</v>
      </c>
      <c r="C13023" s="704" t="s">
        <v>870</v>
      </c>
      <c r="D13023" s="704" t="s">
        <v>675</v>
      </c>
      <c r="E13023" s="704" t="s">
        <v>861</v>
      </c>
      <c r="F13023" s="709"/>
      <c r="G13023" s="705">
        <v>146.23819682231999</v>
      </c>
    </row>
    <row r="13024" spans="2:7" ht="11.25" hidden="1" customHeight="1" outlineLevel="2" x14ac:dyDescent="0.25">
      <c r="B13024" s="704" t="s">
        <v>689</v>
      </c>
      <c r="C13024" s="704" t="s">
        <v>871</v>
      </c>
      <c r="D13024" s="704" t="s">
        <v>675</v>
      </c>
      <c r="E13024" s="704" t="s">
        <v>861</v>
      </c>
      <c r="F13024" s="709"/>
      <c r="G13024" s="705">
        <v>125.74774326195214</v>
      </c>
    </row>
    <row r="13025" spans="2:7" ht="11.25" hidden="1" customHeight="1" outlineLevel="2" x14ac:dyDescent="0.25">
      <c r="B13025" s="704" t="s">
        <v>689</v>
      </c>
      <c r="C13025" s="704" t="s">
        <v>872</v>
      </c>
      <c r="D13025" s="704" t="s">
        <v>675</v>
      </c>
      <c r="E13025" s="704" t="s">
        <v>861</v>
      </c>
      <c r="F13025" s="709"/>
      <c r="G13025" s="705">
        <v>1249.2222593527281</v>
      </c>
    </row>
    <row r="13026" spans="2:7" ht="11.25" hidden="1" customHeight="1" outlineLevel="2" x14ac:dyDescent="0.25">
      <c r="B13026" s="704" t="s">
        <v>689</v>
      </c>
      <c r="C13026" s="704" t="s">
        <v>873</v>
      </c>
      <c r="D13026" s="704" t="s">
        <v>675</v>
      </c>
      <c r="E13026" s="704" t="s">
        <v>861</v>
      </c>
      <c r="F13026" s="709"/>
      <c r="G13026" s="705">
        <v>10.362237611240655</v>
      </c>
    </row>
    <row r="13027" spans="2:7" ht="11.25" hidden="1" customHeight="1" outlineLevel="2" x14ac:dyDescent="0.25">
      <c r="B13027" s="704" t="s">
        <v>689</v>
      </c>
      <c r="C13027" s="704" t="s">
        <v>874</v>
      </c>
      <c r="D13027" s="704" t="s">
        <v>675</v>
      </c>
      <c r="E13027" s="704" t="s">
        <v>861</v>
      </c>
      <c r="F13027" s="709"/>
      <c r="G13027" s="705">
        <v>4.894558410469644</v>
      </c>
    </row>
    <row r="13028" spans="2:7" ht="11.25" hidden="1" customHeight="1" outlineLevel="2" x14ac:dyDescent="0.25">
      <c r="B13028" s="704" t="s">
        <v>689</v>
      </c>
      <c r="C13028" s="704" t="s">
        <v>875</v>
      </c>
      <c r="D13028" s="704" t="s">
        <v>675</v>
      </c>
      <c r="E13028" s="704" t="s">
        <v>861</v>
      </c>
      <c r="F13028" s="709"/>
      <c r="G13028" s="705">
        <v>285.31150748604671</v>
      </c>
    </row>
    <row r="13029" spans="2:7" ht="11.25" hidden="1" customHeight="1" outlineLevel="2" x14ac:dyDescent="0.25">
      <c r="B13029" s="704" t="s">
        <v>689</v>
      </c>
      <c r="C13029" s="704" t="s">
        <v>876</v>
      </c>
      <c r="D13029" s="704" t="s">
        <v>675</v>
      </c>
      <c r="E13029" s="704" t="s">
        <v>861</v>
      </c>
      <c r="F13029" s="709"/>
      <c r="G13029" s="705">
        <v>310.79864767796767</v>
      </c>
    </row>
    <row r="13030" spans="2:7" ht="11.25" hidden="1" customHeight="1" outlineLevel="2" x14ac:dyDescent="0.25">
      <c r="B13030" s="704" t="s">
        <v>689</v>
      </c>
      <c r="C13030" s="704" t="s">
        <v>877</v>
      </c>
      <c r="D13030" s="704" t="s">
        <v>675</v>
      </c>
      <c r="E13030" s="704" t="s">
        <v>861</v>
      </c>
      <c r="F13030" s="709"/>
      <c r="G13030" s="705">
        <v>1068.4515675360117</v>
      </c>
    </row>
    <row r="13031" spans="2:7" ht="11.25" hidden="1" customHeight="1" outlineLevel="2" x14ac:dyDescent="0.25">
      <c r="B13031" s="704" t="s">
        <v>689</v>
      </c>
      <c r="C13031" s="704" t="s">
        <v>878</v>
      </c>
      <c r="D13031" s="704" t="s">
        <v>675</v>
      </c>
      <c r="E13031" s="704" t="s">
        <v>861</v>
      </c>
      <c r="F13031" s="709"/>
      <c r="G13031" s="705">
        <v>50.301223489002453</v>
      </c>
    </row>
    <row r="13032" spans="2:7" ht="11.25" hidden="1" customHeight="1" outlineLevel="2" x14ac:dyDescent="0.25">
      <c r="B13032" s="704" t="s">
        <v>689</v>
      </c>
      <c r="C13032" s="704" t="s">
        <v>879</v>
      </c>
      <c r="D13032" s="704" t="s">
        <v>675</v>
      </c>
      <c r="E13032" s="704" t="s">
        <v>861</v>
      </c>
      <c r="F13032" s="709"/>
      <c r="G13032" s="705">
        <v>399.86091152919204</v>
      </c>
    </row>
    <row r="13033" spans="2:7" ht="11.25" hidden="1" customHeight="1" outlineLevel="2" x14ac:dyDescent="0.25">
      <c r="B13033" s="704" t="s">
        <v>689</v>
      </c>
      <c r="C13033" s="704" t="s">
        <v>880</v>
      </c>
      <c r="D13033" s="704" t="s">
        <v>675</v>
      </c>
      <c r="E13033" s="704" t="s">
        <v>861</v>
      </c>
      <c r="F13033" s="709"/>
      <c r="G13033" s="705">
        <v>1359.7260349901549</v>
      </c>
    </row>
    <row r="13034" spans="2:7" ht="11.25" hidden="1" customHeight="1" outlineLevel="2" x14ac:dyDescent="0.25">
      <c r="B13034" s="704" t="s">
        <v>689</v>
      </c>
      <c r="C13034" s="704" t="s">
        <v>881</v>
      </c>
      <c r="D13034" s="704" t="s">
        <v>675</v>
      </c>
      <c r="E13034" s="704" t="s">
        <v>861</v>
      </c>
      <c r="F13034" s="709"/>
      <c r="G13034" s="705">
        <v>824.59137874467126</v>
      </c>
    </row>
    <row r="13035" spans="2:7" ht="11.25" hidden="1" customHeight="1" outlineLevel="2" x14ac:dyDescent="0.25">
      <c r="B13035" s="704" t="s">
        <v>689</v>
      </c>
      <c r="C13035" s="704" t="s">
        <v>882</v>
      </c>
      <c r="D13035" s="704" t="s">
        <v>675</v>
      </c>
      <c r="E13035" s="704" t="s">
        <v>861</v>
      </c>
      <c r="F13035" s="709"/>
      <c r="G13035" s="705">
        <v>1244.4150448279552</v>
      </c>
    </row>
    <row r="13036" spans="2:7" ht="11.25" hidden="1" customHeight="1" outlineLevel="2" x14ac:dyDescent="0.25">
      <c r="B13036" s="704" t="s">
        <v>689</v>
      </c>
      <c r="C13036" s="704" t="s">
        <v>883</v>
      </c>
      <c r="D13036" s="704" t="s">
        <v>675</v>
      </c>
      <c r="E13036" s="704" t="s">
        <v>861</v>
      </c>
      <c r="F13036" s="709"/>
      <c r="G13036" s="705">
        <v>565.41490802597013</v>
      </c>
    </row>
    <row r="13037" spans="2:7" ht="11.25" hidden="1" customHeight="1" outlineLevel="2" x14ac:dyDescent="0.25">
      <c r="B13037" s="704" t="s">
        <v>689</v>
      </c>
      <c r="C13037" s="704" t="s">
        <v>884</v>
      </c>
      <c r="D13037" s="704" t="s">
        <v>675</v>
      </c>
      <c r="E13037" s="704" t="s">
        <v>861</v>
      </c>
      <c r="F13037" s="709"/>
      <c r="G13037" s="705">
        <v>133.85170071279856</v>
      </c>
    </row>
    <row r="13038" spans="2:7" ht="11.25" hidden="1" customHeight="1" outlineLevel="2" x14ac:dyDescent="0.25">
      <c r="B13038" s="704" t="s">
        <v>689</v>
      </c>
      <c r="C13038" s="704" t="s">
        <v>885</v>
      </c>
      <c r="D13038" s="704" t="s">
        <v>675</v>
      </c>
      <c r="E13038" s="704" t="s">
        <v>861</v>
      </c>
      <c r="F13038" s="709"/>
      <c r="G13038" s="705">
        <v>1.7420868862791878</v>
      </c>
    </row>
    <row r="13039" spans="2:7" ht="11.25" hidden="1" customHeight="1" outlineLevel="2" x14ac:dyDescent="0.25">
      <c r="B13039" s="704" t="s">
        <v>689</v>
      </c>
      <c r="C13039" s="704" t="s">
        <v>886</v>
      </c>
      <c r="D13039" s="704" t="s">
        <v>675</v>
      </c>
      <c r="E13039" s="704" t="s">
        <v>861</v>
      </c>
      <c r="F13039" s="709"/>
      <c r="G13039" s="705">
        <v>128.26168242863619</v>
      </c>
    </row>
    <row r="13040" spans="2:7" ht="11.25" hidden="1" customHeight="1" outlineLevel="2" x14ac:dyDescent="0.25">
      <c r="B13040" s="704" t="s">
        <v>689</v>
      </c>
      <c r="C13040" s="704" t="s">
        <v>725</v>
      </c>
      <c r="D13040" s="704" t="s">
        <v>563</v>
      </c>
      <c r="E13040" s="704" t="s">
        <v>448</v>
      </c>
      <c r="F13040" s="705">
        <v>9.4294813407152955E-5</v>
      </c>
      <c r="G13040" s="705">
        <v>4.2273672547016625E-2</v>
      </c>
    </row>
    <row r="13041" spans="2:7" ht="11.25" hidden="1" customHeight="1" outlineLevel="2" x14ac:dyDescent="0.25">
      <c r="B13041" s="704" t="s">
        <v>689</v>
      </c>
      <c r="C13041" s="704" t="s">
        <v>726</v>
      </c>
      <c r="D13041" s="704" t="s">
        <v>563</v>
      </c>
      <c r="E13041" s="704" t="s">
        <v>448</v>
      </c>
      <c r="F13041" s="705">
        <v>7.4265512427321364E-6</v>
      </c>
      <c r="G13041" s="705">
        <v>3.3294268505499333E-3</v>
      </c>
    </row>
    <row r="13042" spans="2:7" ht="11.25" hidden="1" customHeight="1" outlineLevel="2" x14ac:dyDescent="0.25">
      <c r="B13042" s="704" t="s">
        <v>689</v>
      </c>
      <c r="C13042" s="704" t="s">
        <v>769</v>
      </c>
      <c r="D13042" s="704" t="s">
        <v>563</v>
      </c>
      <c r="E13042" s="704" t="s">
        <v>448</v>
      </c>
      <c r="F13042" s="705">
        <v>4.8402610954992433E-3</v>
      </c>
      <c r="G13042" s="705">
        <v>5.1419402006522743</v>
      </c>
    </row>
    <row r="13043" spans="2:7" ht="11.25" hidden="1" customHeight="1" outlineLevel="2" x14ac:dyDescent="0.25">
      <c r="B13043" s="704" t="s">
        <v>689</v>
      </c>
      <c r="C13043" s="704" t="s">
        <v>770</v>
      </c>
      <c r="D13043" s="704" t="s">
        <v>563</v>
      </c>
      <c r="E13043" s="704" t="s">
        <v>448</v>
      </c>
      <c r="F13043" s="705">
        <v>4.4010267406730591E-3</v>
      </c>
      <c r="G13043" s="705">
        <v>15.226672523699087</v>
      </c>
    </row>
    <row r="13044" spans="2:7" ht="11.25" hidden="1" customHeight="1" outlineLevel="2" x14ac:dyDescent="0.25">
      <c r="B13044" s="704" t="s">
        <v>689</v>
      </c>
      <c r="C13044" s="704" t="s">
        <v>771</v>
      </c>
      <c r="D13044" s="704" t="s">
        <v>563</v>
      </c>
      <c r="E13044" s="704" t="s">
        <v>448</v>
      </c>
      <c r="F13044" s="705">
        <v>1.6470662372641246E-3</v>
      </c>
      <c r="G13044" s="705">
        <v>3.8455305199658145</v>
      </c>
    </row>
    <row r="13045" spans="2:7" ht="11.25" hidden="1" customHeight="1" outlineLevel="2" x14ac:dyDescent="0.25">
      <c r="B13045" s="704" t="s">
        <v>689</v>
      </c>
      <c r="C13045" s="704" t="s">
        <v>772</v>
      </c>
      <c r="D13045" s="704" t="s">
        <v>563</v>
      </c>
      <c r="E13045" s="704" t="s">
        <v>448</v>
      </c>
      <c r="F13045" s="705">
        <v>5.5262994351608667E-3</v>
      </c>
      <c r="G13045" s="705">
        <v>7.1678937112344148</v>
      </c>
    </row>
    <row r="13046" spans="2:7" ht="11.25" hidden="1" customHeight="1" outlineLevel="2" x14ac:dyDescent="0.25">
      <c r="B13046" s="704" t="s">
        <v>689</v>
      </c>
      <c r="C13046" s="704" t="s">
        <v>773</v>
      </c>
      <c r="D13046" s="704" t="s">
        <v>563</v>
      </c>
      <c r="E13046" s="704" t="s">
        <v>448</v>
      </c>
      <c r="F13046" s="705">
        <v>3.0923449505185165E-4</v>
      </c>
      <c r="G13046" s="705">
        <v>0.35217815898544841</v>
      </c>
    </row>
    <row r="13047" spans="2:7" ht="11.25" hidden="1" customHeight="1" outlineLevel="2" x14ac:dyDescent="0.25">
      <c r="B13047" s="704" t="s">
        <v>689</v>
      </c>
      <c r="C13047" s="704" t="s">
        <v>774</v>
      </c>
      <c r="D13047" s="704" t="s">
        <v>563</v>
      </c>
      <c r="E13047" s="704" t="s">
        <v>448</v>
      </c>
      <c r="F13047" s="705">
        <v>1.3506314818879659E-4</v>
      </c>
      <c r="G13047" s="705">
        <v>0.18163281047114108</v>
      </c>
    </row>
    <row r="13048" spans="2:7" ht="11.25" hidden="1" customHeight="1" outlineLevel="2" x14ac:dyDescent="0.25">
      <c r="B13048" s="704" t="s">
        <v>689</v>
      </c>
      <c r="C13048" s="704" t="s">
        <v>775</v>
      </c>
      <c r="D13048" s="704" t="s">
        <v>563</v>
      </c>
      <c r="E13048" s="704" t="s">
        <v>448</v>
      </c>
      <c r="F13048" s="705">
        <v>1.2154691796050467E-4</v>
      </c>
      <c r="G13048" s="705">
        <v>1.552642774811215</v>
      </c>
    </row>
    <row r="13049" spans="2:7" ht="11.25" hidden="1" customHeight="1" outlineLevel="2" x14ac:dyDescent="0.25">
      <c r="B13049" s="704" t="s">
        <v>689</v>
      </c>
      <c r="C13049" s="704" t="s">
        <v>839</v>
      </c>
      <c r="D13049" s="704" t="s">
        <v>563</v>
      </c>
      <c r="E13049" s="704" t="s">
        <v>824</v>
      </c>
      <c r="F13049" s="705">
        <v>5.3678450638991685E-3</v>
      </c>
      <c r="G13049" s="705">
        <v>13.0259819531119</v>
      </c>
    </row>
    <row r="13050" spans="2:7" ht="11.25" hidden="1" customHeight="1" outlineLevel="2" x14ac:dyDescent="0.25">
      <c r="B13050" s="704" t="s">
        <v>689</v>
      </c>
      <c r="C13050" s="704" t="s">
        <v>840</v>
      </c>
      <c r="D13050" s="704" t="s">
        <v>563</v>
      </c>
      <c r="E13050" s="704" t="s">
        <v>824</v>
      </c>
      <c r="F13050" s="705">
        <v>0.15643161639613287</v>
      </c>
      <c r="G13050" s="705">
        <v>1151.6971029543286</v>
      </c>
    </row>
    <row r="13051" spans="2:7" ht="11.25" hidden="1" customHeight="1" outlineLevel="2" x14ac:dyDescent="0.25">
      <c r="B13051" s="704" t="s">
        <v>689</v>
      </c>
      <c r="C13051" s="704" t="s">
        <v>841</v>
      </c>
      <c r="D13051" s="704" t="s">
        <v>563</v>
      </c>
      <c r="E13051" s="704" t="s">
        <v>824</v>
      </c>
      <c r="F13051" s="705">
        <v>7.6087460770295678E-4</v>
      </c>
      <c r="G13051" s="705">
        <v>8.7068572931426154</v>
      </c>
    </row>
    <row r="13052" spans="2:7" ht="11.25" hidden="1" customHeight="1" outlineLevel="2" x14ac:dyDescent="0.25">
      <c r="B13052" s="704" t="s">
        <v>689</v>
      </c>
      <c r="C13052" s="704" t="s">
        <v>842</v>
      </c>
      <c r="D13052" s="704" t="s">
        <v>563</v>
      </c>
      <c r="E13052" s="704" t="s">
        <v>824</v>
      </c>
      <c r="F13052" s="705">
        <v>2.7572237382223326E-4</v>
      </c>
      <c r="G13052" s="705">
        <v>2.6987227778912408</v>
      </c>
    </row>
    <row r="13053" spans="2:7" ht="11.25" hidden="1" customHeight="1" outlineLevel="2" x14ac:dyDescent="0.25">
      <c r="B13053" s="704" t="s">
        <v>689</v>
      </c>
      <c r="C13053" s="704" t="s">
        <v>843</v>
      </c>
      <c r="D13053" s="704" t="s">
        <v>563</v>
      </c>
      <c r="E13053" s="704" t="s">
        <v>824</v>
      </c>
      <c r="F13053" s="705">
        <v>2.665012082760456E-4</v>
      </c>
      <c r="G13053" s="705">
        <v>0.69631741617919218</v>
      </c>
    </row>
    <row r="13054" spans="2:7" ht="11.25" hidden="1" customHeight="1" outlineLevel="2" x14ac:dyDescent="0.25">
      <c r="B13054" s="704" t="s">
        <v>689</v>
      </c>
      <c r="C13054" s="704" t="s">
        <v>844</v>
      </c>
      <c r="D13054" s="704" t="s">
        <v>563</v>
      </c>
      <c r="E13054" s="704" t="s">
        <v>824</v>
      </c>
      <c r="F13054" s="705">
        <v>2.6651233010419544E-4</v>
      </c>
      <c r="G13054" s="705">
        <v>5.296313532383536</v>
      </c>
    </row>
    <row r="13055" spans="2:7" ht="11.25" hidden="1" customHeight="1" outlineLevel="2" x14ac:dyDescent="0.25">
      <c r="B13055" s="704" t="s">
        <v>689</v>
      </c>
      <c r="C13055" s="704" t="s">
        <v>700</v>
      </c>
      <c r="D13055" s="704" t="s">
        <v>563</v>
      </c>
      <c r="E13055" s="704" t="s">
        <v>676</v>
      </c>
      <c r="F13055" s="705">
        <v>0.80789155494634468</v>
      </c>
      <c r="G13055" s="705">
        <v>67.988785012324257</v>
      </c>
    </row>
    <row r="13056" spans="2:7" ht="11.25" hidden="1" customHeight="1" outlineLevel="2" x14ac:dyDescent="0.25">
      <c r="B13056" s="704" t="s">
        <v>689</v>
      </c>
      <c r="C13056" s="704" t="s">
        <v>701</v>
      </c>
      <c r="D13056" s="704" t="s">
        <v>563</v>
      </c>
      <c r="E13056" s="704" t="s">
        <v>676</v>
      </c>
      <c r="F13056" s="705">
        <v>8.8242405231895552E-4</v>
      </c>
      <c r="G13056" s="705">
        <v>7.7271634760810351E-2</v>
      </c>
    </row>
    <row r="13057" spans="2:7" ht="11.25" hidden="1" customHeight="1" outlineLevel="2" x14ac:dyDescent="0.25">
      <c r="B13057" s="704" t="s">
        <v>689</v>
      </c>
      <c r="C13057" s="704" t="s">
        <v>702</v>
      </c>
      <c r="D13057" s="704" t="s">
        <v>563</v>
      </c>
      <c r="E13057" s="704" t="s">
        <v>676</v>
      </c>
      <c r="F13057" s="705">
        <v>4.1173847479322902E-4</v>
      </c>
      <c r="G13057" s="705">
        <v>4.2198933099643982E-2</v>
      </c>
    </row>
    <row r="13058" spans="2:7" ht="11.25" hidden="1" customHeight="1" outlineLevel="2" x14ac:dyDescent="0.25">
      <c r="B13058" s="704" t="s">
        <v>689</v>
      </c>
      <c r="C13058" s="704" t="s">
        <v>703</v>
      </c>
      <c r="D13058" s="704" t="s">
        <v>563</v>
      </c>
      <c r="E13058" s="704" t="s">
        <v>676</v>
      </c>
      <c r="F13058" s="705">
        <v>1.7411838852450991E-3</v>
      </c>
      <c r="G13058" s="705">
        <v>0.171461141410821</v>
      </c>
    </row>
    <row r="13059" spans="2:7" ht="11.25" hidden="1" customHeight="1" outlineLevel="2" x14ac:dyDescent="0.25">
      <c r="B13059" s="704" t="s">
        <v>689</v>
      </c>
      <c r="C13059" s="704" t="s">
        <v>704</v>
      </c>
      <c r="D13059" s="704" t="s">
        <v>563</v>
      </c>
      <c r="E13059" s="704" t="s">
        <v>676</v>
      </c>
      <c r="F13059" s="705">
        <v>1.4021513275295136E-3</v>
      </c>
      <c r="G13059" s="705">
        <v>0.3153132179011241</v>
      </c>
    </row>
    <row r="13060" spans="2:7" ht="11.25" hidden="1" customHeight="1" outlineLevel="2" x14ac:dyDescent="0.25">
      <c r="B13060" s="704" t="s">
        <v>689</v>
      </c>
      <c r="C13060" s="704" t="s">
        <v>887</v>
      </c>
      <c r="D13060" s="704" t="s">
        <v>563</v>
      </c>
      <c r="E13060" s="704" t="s">
        <v>861</v>
      </c>
      <c r="F13060" s="709"/>
      <c r="G13060" s="705">
        <v>21.192762014833921</v>
      </c>
    </row>
    <row r="13061" spans="2:7" ht="11.25" hidden="1" customHeight="1" outlineLevel="2" x14ac:dyDescent="0.25">
      <c r="B13061" s="704" t="s">
        <v>689</v>
      </c>
      <c r="C13061" s="704" t="s">
        <v>888</v>
      </c>
      <c r="D13061" s="704" t="s">
        <v>563</v>
      </c>
      <c r="E13061" s="704" t="s">
        <v>861</v>
      </c>
      <c r="F13061" s="709"/>
      <c r="G13061" s="705">
        <v>307.51919980269986</v>
      </c>
    </row>
    <row r="13062" spans="2:7" ht="11.25" hidden="1" customHeight="1" outlineLevel="2" x14ac:dyDescent="0.25">
      <c r="B13062" s="704" t="s">
        <v>689</v>
      </c>
      <c r="C13062" s="704" t="s">
        <v>889</v>
      </c>
      <c r="D13062" s="704" t="s">
        <v>563</v>
      </c>
      <c r="E13062" s="704" t="s">
        <v>861</v>
      </c>
      <c r="F13062" s="709"/>
      <c r="G13062" s="705">
        <v>134.22194837111485</v>
      </c>
    </row>
    <row r="13063" spans="2:7" ht="11.25" hidden="1" customHeight="1" outlineLevel="2" x14ac:dyDescent="0.25">
      <c r="B13063" s="704" t="s">
        <v>689</v>
      </c>
      <c r="C13063" s="704" t="s">
        <v>890</v>
      </c>
      <c r="D13063" s="704" t="s">
        <v>563</v>
      </c>
      <c r="E13063" s="704" t="s">
        <v>861</v>
      </c>
      <c r="F13063" s="709"/>
      <c r="G13063" s="705">
        <v>136.23380810522033</v>
      </c>
    </row>
    <row r="13064" spans="2:7" ht="11.25" hidden="1" customHeight="1" outlineLevel="2" x14ac:dyDescent="0.25">
      <c r="B13064" s="704" t="s">
        <v>689</v>
      </c>
      <c r="C13064" s="704" t="s">
        <v>891</v>
      </c>
      <c r="D13064" s="704" t="s">
        <v>563</v>
      </c>
      <c r="E13064" s="704" t="s">
        <v>861</v>
      </c>
      <c r="F13064" s="709"/>
      <c r="G13064" s="705">
        <v>5.2373122617885111</v>
      </c>
    </row>
    <row r="13065" spans="2:7" ht="11.25" hidden="1" customHeight="1" outlineLevel="2" x14ac:dyDescent="0.25">
      <c r="B13065" s="704" t="s">
        <v>689</v>
      </c>
      <c r="C13065" s="704" t="s">
        <v>892</v>
      </c>
      <c r="D13065" s="704" t="s">
        <v>563</v>
      </c>
      <c r="E13065" s="704" t="s">
        <v>861</v>
      </c>
      <c r="F13065" s="709"/>
      <c r="G13065" s="705">
        <v>498.73762222152556</v>
      </c>
    </row>
    <row r="13066" spans="2:7" ht="11.25" hidden="1" customHeight="1" outlineLevel="2" x14ac:dyDescent="0.25">
      <c r="B13066" s="704" t="s">
        <v>689</v>
      </c>
      <c r="C13066" s="704" t="s">
        <v>893</v>
      </c>
      <c r="D13066" s="704" t="s">
        <v>563</v>
      </c>
      <c r="E13066" s="704" t="s">
        <v>861</v>
      </c>
      <c r="F13066" s="709"/>
      <c r="G13066" s="705">
        <v>193.60686371485122</v>
      </c>
    </row>
    <row r="13067" spans="2:7" ht="11.25" hidden="1" customHeight="1" outlineLevel="2" x14ac:dyDescent="0.25">
      <c r="B13067" s="704" t="s">
        <v>689</v>
      </c>
      <c r="C13067" s="704" t="s">
        <v>727</v>
      </c>
      <c r="D13067" s="704" t="s">
        <v>728</v>
      </c>
      <c r="E13067" s="704" t="s">
        <v>448</v>
      </c>
      <c r="F13067" s="705">
        <v>2.827961264527775E-3</v>
      </c>
      <c r="G13067" s="705">
        <v>1.5487841462509917</v>
      </c>
    </row>
    <row r="13068" spans="2:7" ht="11.25" hidden="1" customHeight="1" outlineLevel="2" x14ac:dyDescent="0.25">
      <c r="B13068" s="704" t="s">
        <v>689</v>
      </c>
      <c r="C13068" s="704" t="s">
        <v>729</v>
      </c>
      <c r="D13068" s="704" t="s">
        <v>728</v>
      </c>
      <c r="E13068" s="704" t="s">
        <v>448</v>
      </c>
      <c r="F13068" s="705">
        <v>2.3006389362558739E-2</v>
      </c>
      <c r="G13068" s="705">
        <v>12.416295022836326</v>
      </c>
    </row>
    <row r="13069" spans="2:7" ht="11.25" hidden="1" customHeight="1" outlineLevel="2" x14ac:dyDescent="0.25">
      <c r="B13069" s="704" t="s">
        <v>689</v>
      </c>
      <c r="C13069" s="704" t="s">
        <v>730</v>
      </c>
      <c r="D13069" s="704" t="s">
        <v>728</v>
      </c>
      <c r="E13069" s="704" t="s">
        <v>448</v>
      </c>
      <c r="F13069" s="705">
        <v>4.2248244679823382E-2</v>
      </c>
      <c r="G13069" s="705">
        <v>22.030155550163485</v>
      </c>
    </row>
    <row r="13070" spans="2:7" ht="11.25" hidden="1" customHeight="1" outlineLevel="2" x14ac:dyDescent="0.25">
      <c r="B13070" s="704" t="s">
        <v>689</v>
      </c>
      <c r="C13070" s="704" t="s">
        <v>731</v>
      </c>
      <c r="D13070" s="704" t="s">
        <v>728</v>
      </c>
      <c r="E13070" s="704" t="s">
        <v>448</v>
      </c>
      <c r="F13070" s="705">
        <v>0.2609189811742722</v>
      </c>
      <c r="G13070" s="705">
        <v>143.07296852625987</v>
      </c>
    </row>
    <row r="13071" spans="2:7" ht="11.25" hidden="1" customHeight="1" outlineLevel="2" x14ac:dyDescent="0.25">
      <c r="B13071" s="704" t="s">
        <v>689</v>
      </c>
      <c r="C13071" s="704" t="s">
        <v>732</v>
      </c>
      <c r="D13071" s="704" t="s">
        <v>728</v>
      </c>
      <c r="E13071" s="704" t="s">
        <v>448</v>
      </c>
      <c r="F13071" s="705">
        <v>5.0031172895165704E-2</v>
      </c>
      <c r="G13071" s="705">
        <v>29.484234203459732</v>
      </c>
    </row>
    <row r="13072" spans="2:7" ht="11.25" hidden="1" customHeight="1" outlineLevel="2" x14ac:dyDescent="0.25">
      <c r="B13072" s="704" t="s">
        <v>689</v>
      </c>
      <c r="C13072" s="704" t="s">
        <v>733</v>
      </c>
      <c r="D13072" s="704" t="s">
        <v>728</v>
      </c>
      <c r="E13072" s="704" t="s">
        <v>448</v>
      </c>
      <c r="F13072" s="705">
        <v>0.23796546170722918</v>
      </c>
      <c r="G13072" s="705">
        <v>120.49065504300292</v>
      </c>
    </row>
    <row r="13073" spans="2:7" ht="11.25" hidden="1" customHeight="1" outlineLevel="2" x14ac:dyDescent="0.25">
      <c r="B13073" s="704" t="s">
        <v>689</v>
      </c>
      <c r="C13073" s="704" t="s">
        <v>734</v>
      </c>
      <c r="D13073" s="704" t="s">
        <v>728</v>
      </c>
      <c r="E13073" s="704" t="s">
        <v>448</v>
      </c>
      <c r="F13073" s="705">
        <v>3.5265107981360788E-2</v>
      </c>
      <c r="G13073" s="705">
        <v>18.97599368187446</v>
      </c>
    </row>
    <row r="13074" spans="2:7" ht="11.25" hidden="1" customHeight="1" outlineLevel="2" x14ac:dyDescent="0.25">
      <c r="B13074" s="704" t="s">
        <v>689</v>
      </c>
      <c r="C13074" s="704" t="s">
        <v>735</v>
      </c>
      <c r="D13074" s="704" t="s">
        <v>728</v>
      </c>
      <c r="E13074" s="704" t="s">
        <v>448</v>
      </c>
      <c r="F13074" s="705">
        <v>0.21003069726523713</v>
      </c>
      <c r="G13074" s="705">
        <v>112.50945288311824</v>
      </c>
    </row>
    <row r="13075" spans="2:7" ht="11.25" hidden="1" customHeight="1" outlineLevel="2" x14ac:dyDescent="0.25">
      <c r="B13075" s="704" t="s">
        <v>689</v>
      </c>
      <c r="C13075" s="704" t="s">
        <v>736</v>
      </c>
      <c r="D13075" s="704" t="s">
        <v>728</v>
      </c>
      <c r="E13075" s="704" t="s">
        <v>448</v>
      </c>
      <c r="F13075" s="705">
        <v>6.9345806056048551E-2</v>
      </c>
      <c r="G13075" s="705">
        <v>10.206899538925951</v>
      </c>
    </row>
    <row r="13076" spans="2:7" ht="11.25" hidden="1" customHeight="1" outlineLevel="2" x14ac:dyDescent="0.25">
      <c r="B13076" s="704" t="s">
        <v>689</v>
      </c>
      <c r="C13076" s="704" t="s">
        <v>737</v>
      </c>
      <c r="D13076" s="704" t="s">
        <v>728</v>
      </c>
      <c r="E13076" s="704" t="s">
        <v>448</v>
      </c>
      <c r="F13076" s="705">
        <v>0.26932882707511768</v>
      </c>
      <c r="G13076" s="705">
        <v>39.643392956792546</v>
      </c>
    </row>
    <row r="13077" spans="2:7" ht="11.25" hidden="1" customHeight="1" outlineLevel="2" x14ac:dyDescent="0.25">
      <c r="B13077" s="704" t="s">
        <v>689</v>
      </c>
      <c r="C13077" s="704" t="s">
        <v>738</v>
      </c>
      <c r="D13077" s="704" t="s">
        <v>728</v>
      </c>
      <c r="E13077" s="704" t="s">
        <v>448</v>
      </c>
      <c r="F13077" s="705">
        <v>1.0289459199036142E-4</v>
      </c>
      <c r="G13077" s="705">
        <v>5.1426406325813558E-2</v>
      </c>
    </row>
    <row r="13078" spans="2:7" ht="11.25" hidden="1" customHeight="1" outlineLevel="2" x14ac:dyDescent="0.25">
      <c r="B13078" s="704" t="s">
        <v>689</v>
      </c>
      <c r="C13078" s="704" t="s">
        <v>776</v>
      </c>
      <c r="D13078" s="704" t="s">
        <v>728</v>
      </c>
      <c r="E13078" s="704" t="s">
        <v>448</v>
      </c>
      <c r="F13078" s="705">
        <v>0.42754120583649252</v>
      </c>
      <c r="G13078" s="705">
        <v>264.32309461666063</v>
      </c>
    </row>
    <row r="13079" spans="2:7" ht="11.25" hidden="1" customHeight="1" outlineLevel="2" x14ac:dyDescent="0.25">
      <c r="B13079" s="704" t="s">
        <v>689</v>
      </c>
      <c r="C13079" s="704" t="s">
        <v>777</v>
      </c>
      <c r="D13079" s="704" t="s">
        <v>728</v>
      </c>
      <c r="E13079" s="704" t="s">
        <v>448</v>
      </c>
      <c r="F13079" s="705">
        <v>0.29580195513298496</v>
      </c>
      <c r="G13079" s="705">
        <v>351.2284675593898</v>
      </c>
    </row>
    <row r="13080" spans="2:7" ht="11.25" hidden="1" customHeight="1" outlineLevel="2" x14ac:dyDescent="0.25">
      <c r="B13080" s="704" t="s">
        <v>689</v>
      </c>
      <c r="C13080" s="704" t="s">
        <v>778</v>
      </c>
      <c r="D13080" s="704" t="s">
        <v>728</v>
      </c>
      <c r="E13080" s="704" t="s">
        <v>448</v>
      </c>
      <c r="F13080" s="705">
        <v>3.6142320124081403E-2</v>
      </c>
      <c r="G13080" s="705">
        <v>22.163861136109212</v>
      </c>
    </row>
    <row r="13081" spans="2:7" ht="11.25" hidden="1" customHeight="1" outlineLevel="2" x14ac:dyDescent="0.25">
      <c r="B13081" s="704" t="s">
        <v>689</v>
      </c>
      <c r="C13081" s="704" t="s">
        <v>779</v>
      </c>
      <c r="D13081" s="704" t="s">
        <v>728</v>
      </c>
      <c r="E13081" s="704" t="s">
        <v>448</v>
      </c>
      <c r="F13081" s="705">
        <v>0.23976687280929201</v>
      </c>
      <c r="G13081" s="705">
        <v>178.77846147235539</v>
      </c>
    </row>
    <row r="13082" spans="2:7" ht="11.25" hidden="1" customHeight="1" outlineLevel="2" x14ac:dyDescent="0.25">
      <c r="B13082" s="704" t="s">
        <v>689</v>
      </c>
      <c r="C13082" s="704" t="s">
        <v>780</v>
      </c>
      <c r="D13082" s="704" t="s">
        <v>728</v>
      </c>
      <c r="E13082" s="704" t="s">
        <v>448</v>
      </c>
      <c r="F13082" s="705">
        <v>1.9589605267272582E-3</v>
      </c>
      <c r="G13082" s="705">
        <v>1.4714840365951214</v>
      </c>
    </row>
    <row r="13083" spans="2:7" ht="11.25" hidden="1" customHeight="1" outlineLevel="2" x14ac:dyDescent="0.25">
      <c r="B13083" s="704" t="s">
        <v>689</v>
      </c>
      <c r="C13083" s="704" t="s">
        <v>781</v>
      </c>
      <c r="D13083" s="704" t="s">
        <v>728</v>
      </c>
      <c r="E13083" s="704" t="s">
        <v>448</v>
      </c>
      <c r="F13083" s="705">
        <v>6.5733882538863194E-3</v>
      </c>
      <c r="G13083" s="705">
        <v>8.1361581816652269</v>
      </c>
    </row>
    <row r="13084" spans="2:7" ht="11.25" hidden="1" customHeight="1" outlineLevel="2" x14ac:dyDescent="0.25">
      <c r="B13084" s="704" t="s">
        <v>689</v>
      </c>
      <c r="C13084" s="704" t="s">
        <v>782</v>
      </c>
      <c r="D13084" s="704" t="s">
        <v>728</v>
      </c>
      <c r="E13084" s="704" t="s">
        <v>448</v>
      </c>
      <c r="F13084" s="705">
        <v>3.7284121591413246E-3</v>
      </c>
      <c r="G13084" s="705">
        <v>2.8073282250379168</v>
      </c>
    </row>
    <row r="13085" spans="2:7" ht="11.25" hidden="1" customHeight="1" outlineLevel="2" x14ac:dyDescent="0.25">
      <c r="B13085" s="704" t="s">
        <v>689</v>
      </c>
      <c r="C13085" s="704" t="s">
        <v>783</v>
      </c>
      <c r="D13085" s="704" t="s">
        <v>728</v>
      </c>
      <c r="E13085" s="704" t="s">
        <v>448</v>
      </c>
      <c r="F13085" s="705">
        <v>0.21578993058831603</v>
      </c>
      <c r="G13085" s="705">
        <v>335.65840044533843</v>
      </c>
    </row>
    <row r="13086" spans="2:7" ht="11.25" hidden="1" customHeight="1" outlineLevel="2" x14ac:dyDescent="0.25">
      <c r="B13086" s="704" t="s">
        <v>689</v>
      </c>
      <c r="C13086" s="704" t="s">
        <v>784</v>
      </c>
      <c r="D13086" s="704" t="s">
        <v>728</v>
      </c>
      <c r="E13086" s="704" t="s">
        <v>448</v>
      </c>
      <c r="F13086" s="705">
        <v>6.0537878097586012E-2</v>
      </c>
      <c r="G13086" s="705">
        <v>32.976863760951225</v>
      </c>
    </row>
    <row r="13087" spans="2:7" ht="11.25" hidden="1" customHeight="1" outlineLevel="2" x14ac:dyDescent="0.25">
      <c r="B13087" s="704" t="s">
        <v>689</v>
      </c>
      <c r="C13087" s="704" t="s">
        <v>785</v>
      </c>
      <c r="D13087" s="704" t="s">
        <v>728</v>
      </c>
      <c r="E13087" s="704" t="s">
        <v>448</v>
      </c>
      <c r="F13087" s="705">
        <v>0.23511595442515848</v>
      </c>
      <c r="G13087" s="705">
        <v>128.08168428513736</v>
      </c>
    </row>
    <row r="13088" spans="2:7" ht="11.25" hidden="1" customHeight="1" outlineLevel="2" x14ac:dyDescent="0.25">
      <c r="B13088" s="704" t="s">
        <v>689</v>
      </c>
      <c r="C13088" s="704" t="s">
        <v>786</v>
      </c>
      <c r="D13088" s="704" t="s">
        <v>728</v>
      </c>
      <c r="E13088" s="704" t="s">
        <v>448</v>
      </c>
      <c r="F13088" s="705">
        <v>4.2054708213339613E-2</v>
      </c>
      <c r="G13088" s="705">
        <v>53.035479412779203</v>
      </c>
    </row>
    <row r="13089" spans="2:7" ht="11.25" hidden="1" customHeight="1" outlineLevel="2" x14ac:dyDescent="0.25">
      <c r="B13089" s="704" t="s">
        <v>689</v>
      </c>
      <c r="C13089" s="704" t="s">
        <v>787</v>
      </c>
      <c r="D13089" s="704" t="s">
        <v>728</v>
      </c>
      <c r="E13089" s="704" t="s">
        <v>448</v>
      </c>
      <c r="F13089" s="705">
        <v>2.7562440839536153E-2</v>
      </c>
      <c r="G13089" s="705">
        <v>38.779601672481157</v>
      </c>
    </row>
    <row r="13090" spans="2:7" ht="11.25" hidden="1" customHeight="1" outlineLevel="2" x14ac:dyDescent="0.25">
      <c r="B13090" s="704" t="s">
        <v>689</v>
      </c>
      <c r="C13090" s="704" t="s">
        <v>788</v>
      </c>
      <c r="D13090" s="704" t="s">
        <v>728</v>
      </c>
      <c r="E13090" s="704" t="s">
        <v>448</v>
      </c>
      <c r="F13090" s="705">
        <v>3.8848027799850263E-2</v>
      </c>
      <c r="G13090" s="705">
        <v>44.139170094018503</v>
      </c>
    </row>
    <row r="13091" spans="2:7" ht="11.25" hidden="1" customHeight="1" outlineLevel="2" x14ac:dyDescent="0.25">
      <c r="B13091" s="704" t="s">
        <v>689</v>
      </c>
      <c r="C13091" s="704" t="s">
        <v>789</v>
      </c>
      <c r="D13091" s="704" t="s">
        <v>728</v>
      </c>
      <c r="E13091" s="704" t="s">
        <v>448</v>
      </c>
      <c r="F13091" s="705">
        <v>2.993907007343851E-2</v>
      </c>
      <c r="G13091" s="705">
        <v>20.55407944725631</v>
      </c>
    </row>
    <row r="13092" spans="2:7" ht="11.25" hidden="1" customHeight="1" outlineLevel="2" x14ac:dyDescent="0.25">
      <c r="B13092" s="704" t="s">
        <v>689</v>
      </c>
      <c r="C13092" s="704" t="s">
        <v>790</v>
      </c>
      <c r="D13092" s="704" t="s">
        <v>728</v>
      </c>
      <c r="E13092" s="704" t="s">
        <v>448</v>
      </c>
      <c r="F13092" s="705">
        <v>0.56235470343002703</v>
      </c>
      <c r="G13092" s="705">
        <v>710.90330222529269</v>
      </c>
    </row>
    <row r="13093" spans="2:7" ht="11.25" hidden="1" customHeight="1" outlineLevel="2" x14ac:dyDescent="0.25">
      <c r="B13093" s="704" t="s">
        <v>689</v>
      </c>
      <c r="C13093" s="704" t="s">
        <v>791</v>
      </c>
      <c r="D13093" s="704" t="s">
        <v>728</v>
      </c>
      <c r="E13093" s="704" t="s">
        <v>448</v>
      </c>
      <c r="F13093" s="705">
        <v>0.37450784594457687</v>
      </c>
      <c r="G13093" s="705">
        <v>527.03121638476853</v>
      </c>
    </row>
    <row r="13094" spans="2:7" ht="11.25" hidden="1" customHeight="1" outlineLevel="2" x14ac:dyDescent="0.25">
      <c r="B13094" s="704" t="s">
        <v>689</v>
      </c>
      <c r="C13094" s="704" t="s">
        <v>792</v>
      </c>
      <c r="D13094" s="704" t="s">
        <v>728</v>
      </c>
      <c r="E13094" s="704" t="s">
        <v>448</v>
      </c>
      <c r="F13094" s="705">
        <v>4.2160929082751916E-2</v>
      </c>
      <c r="G13094" s="705">
        <v>88.236110226455764</v>
      </c>
    </row>
    <row r="13095" spans="2:7" ht="11.25" hidden="1" customHeight="1" outlineLevel="2" x14ac:dyDescent="0.25">
      <c r="B13095" s="704" t="s">
        <v>689</v>
      </c>
      <c r="C13095" s="704" t="s">
        <v>793</v>
      </c>
      <c r="D13095" s="704" t="s">
        <v>728</v>
      </c>
      <c r="E13095" s="704" t="s">
        <v>448</v>
      </c>
      <c r="F13095" s="705">
        <v>1.1728622427297686</v>
      </c>
      <c r="G13095" s="705">
        <v>1700.2374982243437</v>
      </c>
    </row>
    <row r="13096" spans="2:7" ht="11.25" hidden="1" customHeight="1" outlineLevel="2" x14ac:dyDescent="0.25">
      <c r="B13096" s="704" t="s">
        <v>689</v>
      </c>
      <c r="C13096" s="704" t="s">
        <v>794</v>
      </c>
      <c r="D13096" s="704" t="s">
        <v>728</v>
      </c>
      <c r="E13096" s="704" t="s">
        <v>448</v>
      </c>
      <c r="F13096" s="705">
        <v>3.2341587406442822E-2</v>
      </c>
      <c r="G13096" s="705">
        <v>25.181111575125147</v>
      </c>
    </row>
    <row r="13097" spans="2:7" ht="11.25" hidden="1" customHeight="1" outlineLevel="2" x14ac:dyDescent="0.25">
      <c r="B13097" s="704" t="s">
        <v>689</v>
      </c>
      <c r="C13097" s="704" t="s">
        <v>795</v>
      </c>
      <c r="D13097" s="704" t="s">
        <v>728</v>
      </c>
      <c r="E13097" s="704" t="s">
        <v>448</v>
      </c>
      <c r="F13097" s="705">
        <v>6.6791379319733876E-2</v>
      </c>
      <c r="G13097" s="705">
        <v>52.094603800775246</v>
      </c>
    </row>
    <row r="13098" spans="2:7" ht="11.25" hidden="1" customHeight="1" outlineLevel="2" x14ac:dyDescent="0.25">
      <c r="B13098" s="704" t="s">
        <v>689</v>
      </c>
      <c r="C13098" s="704" t="s">
        <v>845</v>
      </c>
      <c r="D13098" s="704" t="s">
        <v>728</v>
      </c>
      <c r="E13098" s="704" t="s">
        <v>824</v>
      </c>
      <c r="F13098" s="705">
        <v>3.2813211253798135E-3</v>
      </c>
      <c r="G13098" s="705">
        <v>29.270757806807662</v>
      </c>
    </row>
    <row r="13099" spans="2:7" ht="11.25" hidden="1" customHeight="1" outlineLevel="2" x14ac:dyDescent="0.25">
      <c r="B13099" s="704" t="s">
        <v>689</v>
      </c>
      <c r="C13099" s="704" t="s">
        <v>894</v>
      </c>
      <c r="D13099" s="704" t="s">
        <v>728</v>
      </c>
      <c r="E13099" s="704" t="s">
        <v>861</v>
      </c>
      <c r="F13099" s="709"/>
      <c r="G13099" s="705">
        <v>4.5500497691978871E-2</v>
      </c>
    </row>
    <row r="13100" spans="2:7" ht="11.25" hidden="1" customHeight="1" outlineLevel="2" x14ac:dyDescent="0.25">
      <c r="B13100" s="704" t="s">
        <v>689</v>
      </c>
      <c r="C13100" s="704" t="s">
        <v>895</v>
      </c>
      <c r="D13100" s="704" t="s">
        <v>728</v>
      </c>
      <c r="E13100" s="704" t="s">
        <v>861</v>
      </c>
      <c r="F13100" s="709"/>
      <c r="G13100" s="705">
        <v>13.408056245664625</v>
      </c>
    </row>
    <row r="13101" spans="2:7" ht="11.25" hidden="1" customHeight="1" outlineLevel="2" x14ac:dyDescent="0.25">
      <c r="B13101" s="704" t="s">
        <v>689</v>
      </c>
      <c r="C13101" s="704" t="s">
        <v>896</v>
      </c>
      <c r="D13101" s="704" t="s">
        <v>728</v>
      </c>
      <c r="E13101" s="704" t="s">
        <v>861</v>
      </c>
      <c r="F13101" s="709"/>
      <c r="G13101" s="705">
        <v>318.17627797599408</v>
      </c>
    </row>
    <row r="13102" spans="2:7" ht="11.25" hidden="1" customHeight="1" outlineLevel="2" x14ac:dyDescent="0.25">
      <c r="B13102" s="704" t="s">
        <v>689</v>
      </c>
      <c r="C13102" s="704" t="s">
        <v>897</v>
      </c>
      <c r="D13102" s="704" t="s">
        <v>728</v>
      </c>
      <c r="E13102" s="704" t="s">
        <v>861</v>
      </c>
      <c r="F13102" s="709"/>
      <c r="G13102" s="705">
        <v>65.660823548959257</v>
      </c>
    </row>
    <row r="13103" spans="2:7" ht="11.25" hidden="1" customHeight="1" outlineLevel="2" x14ac:dyDescent="0.25">
      <c r="B13103" s="704" t="s">
        <v>689</v>
      </c>
      <c r="C13103" s="704" t="s">
        <v>898</v>
      </c>
      <c r="D13103" s="704" t="s">
        <v>728</v>
      </c>
      <c r="E13103" s="704" t="s">
        <v>861</v>
      </c>
      <c r="F13103" s="709"/>
      <c r="G13103" s="705">
        <v>433.18870314840188</v>
      </c>
    </row>
    <row r="13104" spans="2:7" ht="11.25" hidden="1" customHeight="1" outlineLevel="2" x14ac:dyDescent="0.25">
      <c r="B13104" s="704" t="s">
        <v>689</v>
      </c>
      <c r="C13104" s="704" t="s">
        <v>899</v>
      </c>
      <c r="D13104" s="704" t="s">
        <v>728</v>
      </c>
      <c r="E13104" s="704" t="s">
        <v>861</v>
      </c>
      <c r="F13104" s="709"/>
      <c r="G13104" s="705">
        <v>51.076684723236369</v>
      </c>
    </row>
    <row r="13105" spans="2:7" ht="11.25" hidden="1" customHeight="1" outlineLevel="2" x14ac:dyDescent="0.25">
      <c r="B13105" s="704" t="s">
        <v>689</v>
      </c>
      <c r="C13105" s="704" t="s">
        <v>900</v>
      </c>
      <c r="D13105" s="704" t="s">
        <v>728</v>
      </c>
      <c r="E13105" s="704" t="s">
        <v>861</v>
      </c>
      <c r="F13105" s="709"/>
      <c r="G13105" s="705">
        <v>1.216678789128556</v>
      </c>
    </row>
    <row r="13106" spans="2:7" ht="11.25" hidden="1" customHeight="1" outlineLevel="2" x14ac:dyDescent="0.25">
      <c r="B13106" s="704" t="s">
        <v>689</v>
      </c>
      <c r="C13106" s="704" t="s">
        <v>744</v>
      </c>
      <c r="D13106" s="704" t="s">
        <v>745</v>
      </c>
      <c r="E13106" s="704" t="s">
        <v>448</v>
      </c>
      <c r="F13106" s="705">
        <v>1.1653907528738013E-2</v>
      </c>
      <c r="G13106" s="705">
        <v>6.7396840555062303</v>
      </c>
    </row>
    <row r="13107" spans="2:7" ht="11.25" hidden="1" customHeight="1" outlineLevel="2" x14ac:dyDescent="0.25">
      <c r="B13107" s="704" t="s">
        <v>689</v>
      </c>
      <c r="C13107" s="704" t="s">
        <v>812</v>
      </c>
      <c r="D13107" s="704" t="s">
        <v>745</v>
      </c>
      <c r="E13107" s="704" t="s">
        <v>448</v>
      </c>
      <c r="F13107" s="705">
        <v>1.3729674779309871E-2</v>
      </c>
      <c r="G13107" s="705">
        <v>15.175440506680722</v>
      </c>
    </row>
    <row r="13108" spans="2:7" ht="11.25" hidden="1" customHeight="1" outlineLevel="2" x14ac:dyDescent="0.25">
      <c r="B13108" s="704" t="s">
        <v>689</v>
      </c>
      <c r="C13108" s="704" t="s">
        <v>813</v>
      </c>
      <c r="D13108" s="704" t="s">
        <v>745</v>
      </c>
      <c r="E13108" s="704" t="s">
        <v>448</v>
      </c>
      <c r="F13108" s="705">
        <v>1.408394347768649E-4</v>
      </c>
      <c r="G13108" s="705">
        <v>0.17827706609388086</v>
      </c>
    </row>
    <row r="13109" spans="2:7" ht="11.25" hidden="1" customHeight="1" outlineLevel="2" x14ac:dyDescent="0.25">
      <c r="B13109" s="704" t="s">
        <v>689</v>
      </c>
      <c r="C13109" s="704" t="s">
        <v>917</v>
      </c>
      <c r="D13109" s="704" t="s">
        <v>745</v>
      </c>
      <c r="E13109" s="704" t="s">
        <v>861</v>
      </c>
      <c r="F13109" s="709"/>
      <c r="G13109" s="705">
        <v>201.95335889543961</v>
      </c>
    </row>
    <row r="13110" spans="2:7" ht="11.25" hidden="1" customHeight="1" outlineLevel="2" x14ac:dyDescent="0.25">
      <c r="B13110" s="704" t="s">
        <v>689</v>
      </c>
      <c r="C13110" s="704" t="s">
        <v>816</v>
      </c>
      <c r="D13110" s="704" t="s">
        <v>712</v>
      </c>
      <c r="E13110" s="704" t="s">
        <v>448</v>
      </c>
      <c r="F13110" s="705">
        <v>2.2566889688663539E-2</v>
      </c>
      <c r="G13110" s="705">
        <v>27.11119230094592</v>
      </c>
    </row>
    <row r="13111" spans="2:7" ht="11.25" hidden="1" customHeight="1" outlineLevel="2" x14ac:dyDescent="0.25">
      <c r="B13111" s="704" t="s">
        <v>689</v>
      </c>
      <c r="C13111" s="704" t="s">
        <v>711</v>
      </c>
      <c r="D13111" s="704" t="s">
        <v>712</v>
      </c>
      <c r="E13111" s="704" t="s">
        <v>676</v>
      </c>
      <c r="F13111" s="705">
        <v>8.0555630568600212E-2</v>
      </c>
      <c r="G13111" s="705">
        <v>18.420607807258381</v>
      </c>
    </row>
    <row r="13112" spans="2:7" ht="11.25" hidden="1" customHeight="1" outlineLevel="2" x14ac:dyDescent="0.25">
      <c r="B13112" s="704" t="s">
        <v>689</v>
      </c>
      <c r="C13112" s="704" t="s">
        <v>921</v>
      </c>
      <c r="D13112" s="704" t="s">
        <v>712</v>
      </c>
      <c r="E13112" s="704" t="s">
        <v>861</v>
      </c>
      <c r="F13112" s="709"/>
      <c r="G13112" s="705">
        <v>97.666706199576709</v>
      </c>
    </row>
    <row r="13113" spans="2:7" ht="11.25" hidden="1" customHeight="1" outlineLevel="2" x14ac:dyDescent="0.25">
      <c r="B13113" s="704" t="s">
        <v>689</v>
      </c>
      <c r="C13113" s="704" t="s">
        <v>817</v>
      </c>
      <c r="D13113" s="704" t="s">
        <v>818</v>
      </c>
      <c r="E13113" s="704" t="s">
        <v>448</v>
      </c>
      <c r="F13113" s="705">
        <v>10.840889353403078</v>
      </c>
      <c r="G13113" s="705">
        <v>8906.9758584332849</v>
      </c>
    </row>
    <row r="13114" spans="2:7" ht="11.25" hidden="1" customHeight="1" outlineLevel="2" x14ac:dyDescent="0.25">
      <c r="B13114" s="704" t="s">
        <v>689</v>
      </c>
      <c r="C13114" s="704" t="s">
        <v>819</v>
      </c>
      <c r="D13114" s="704" t="s">
        <v>818</v>
      </c>
      <c r="E13114" s="704" t="s">
        <v>448</v>
      </c>
      <c r="F13114" s="705">
        <v>4.7206308137515229</v>
      </c>
      <c r="G13114" s="705">
        <v>3758.7205178569257</v>
      </c>
    </row>
    <row r="13115" spans="2:7" ht="11.25" hidden="1" customHeight="1" outlineLevel="2" x14ac:dyDescent="0.25">
      <c r="B13115" s="704" t="s">
        <v>689</v>
      </c>
      <c r="C13115" s="704" t="s">
        <v>820</v>
      </c>
      <c r="D13115" s="704" t="s">
        <v>818</v>
      </c>
      <c r="E13115" s="704" t="s">
        <v>448</v>
      </c>
      <c r="F13115" s="705">
        <v>5.0930171915541598</v>
      </c>
      <c r="G13115" s="705">
        <v>7903.5576067553338</v>
      </c>
    </row>
    <row r="13116" spans="2:7" ht="11.25" hidden="1" customHeight="1" outlineLevel="2" x14ac:dyDescent="0.25">
      <c r="B13116" s="704" t="s">
        <v>689</v>
      </c>
      <c r="C13116" s="704" t="s">
        <v>857</v>
      </c>
      <c r="D13116" s="704" t="s">
        <v>818</v>
      </c>
      <c r="E13116" s="704" t="s">
        <v>664</v>
      </c>
      <c r="F13116" s="709"/>
      <c r="G13116" s="705">
        <v>7037.0479932610751</v>
      </c>
    </row>
    <row r="13117" spans="2:7" ht="11.25" hidden="1" customHeight="1" outlineLevel="2" x14ac:dyDescent="0.25">
      <c r="B13117" s="704" t="s">
        <v>689</v>
      </c>
      <c r="C13117" s="704" t="s">
        <v>858</v>
      </c>
      <c r="D13117" s="704" t="s">
        <v>818</v>
      </c>
      <c r="E13117" s="704" t="s">
        <v>664</v>
      </c>
      <c r="F13117" s="709"/>
      <c r="G13117" s="705">
        <v>20.859242342606091</v>
      </c>
    </row>
    <row r="13118" spans="2:7" ht="11.25" hidden="1" customHeight="1" outlineLevel="2" x14ac:dyDescent="0.25">
      <c r="B13118" s="704" t="s">
        <v>689</v>
      </c>
      <c r="C13118" s="704" t="s">
        <v>922</v>
      </c>
      <c r="D13118" s="704" t="s">
        <v>822</v>
      </c>
      <c r="E13118" s="704" t="s">
        <v>861</v>
      </c>
      <c r="F13118" s="709"/>
      <c r="G13118" s="705">
        <v>8.0791428019865141E-30</v>
      </c>
    </row>
    <row r="13119" spans="2:7" ht="11.25" hidden="1" customHeight="1" outlineLevel="2" x14ac:dyDescent="0.25">
      <c r="B13119" s="704" t="s">
        <v>689</v>
      </c>
      <c r="C13119" s="704" t="s">
        <v>821</v>
      </c>
      <c r="D13119" s="704" t="s">
        <v>822</v>
      </c>
      <c r="E13119" s="704" t="s">
        <v>448</v>
      </c>
      <c r="F13119" s="705">
        <v>1.8024355299800121E-33</v>
      </c>
      <c r="G13119" s="705">
        <v>2.5055075951912425E-30</v>
      </c>
    </row>
    <row r="13120" spans="2:7" ht="11.25" hidden="1" customHeight="1" outlineLevel="2" x14ac:dyDescent="0.25">
      <c r="B13120" s="704" t="s">
        <v>689</v>
      </c>
      <c r="C13120" s="704" t="s">
        <v>855</v>
      </c>
      <c r="D13120" s="704" t="s">
        <v>822</v>
      </c>
      <c r="E13120" s="704" t="s">
        <v>824</v>
      </c>
      <c r="F13120" s="705">
        <v>1.4499303466871991E-40</v>
      </c>
      <c r="G13120" s="705">
        <v>4.201807518678484E-37</v>
      </c>
    </row>
    <row r="13121" spans="2:7" ht="11.25" hidden="1" customHeight="1" outlineLevel="2" x14ac:dyDescent="0.25">
      <c r="B13121" s="704" t="s">
        <v>689</v>
      </c>
      <c r="C13121" s="704" t="s">
        <v>714</v>
      </c>
      <c r="D13121" s="704" t="s">
        <v>715</v>
      </c>
      <c r="E13121" s="704" t="s">
        <v>448</v>
      </c>
      <c r="F13121" s="705">
        <v>2.1661625763248415</v>
      </c>
      <c r="G13121" s="705">
        <v>549.17044737302001</v>
      </c>
    </row>
    <row r="13122" spans="2:7" ht="11.25" hidden="1" customHeight="1" outlineLevel="2" x14ac:dyDescent="0.25">
      <c r="B13122" s="704" t="s">
        <v>689</v>
      </c>
      <c r="C13122" s="704" t="s">
        <v>716</v>
      </c>
      <c r="D13122" s="704" t="s">
        <v>715</v>
      </c>
      <c r="E13122" s="704" t="s">
        <v>448</v>
      </c>
      <c r="F13122" s="705">
        <v>2.1174128959979998E-33</v>
      </c>
      <c r="G13122" s="705">
        <v>2.5816114851933079E-30</v>
      </c>
    </row>
    <row r="13123" spans="2:7" ht="11.25" hidden="1" customHeight="1" outlineLevel="2" x14ac:dyDescent="0.25">
      <c r="B13123" s="704" t="s">
        <v>689</v>
      </c>
      <c r="C13123" s="704" t="s">
        <v>717</v>
      </c>
      <c r="D13123" s="704" t="s">
        <v>715</v>
      </c>
      <c r="E13123" s="704" t="s">
        <v>448</v>
      </c>
      <c r="F13123" s="705">
        <v>2.320248947582443</v>
      </c>
      <c r="G13123" s="705">
        <v>634.11361969864902</v>
      </c>
    </row>
    <row r="13124" spans="2:7" ht="11.25" hidden="1" customHeight="1" outlineLevel="2" x14ac:dyDescent="0.25">
      <c r="B13124" s="704" t="s">
        <v>689</v>
      </c>
      <c r="C13124" s="704" t="s">
        <v>718</v>
      </c>
      <c r="D13124" s="704" t="s">
        <v>715</v>
      </c>
      <c r="E13124" s="704" t="s">
        <v>448</v>
      </c>
      <c r="F13124" s="705">
        <v>0.1485777577174219</v>
      </c>
      <c r="G13124" s="705">
        <v>163.03018305966535</v>
      </c>
    </row>
    <row r="13125" spans="2:7" ht="11.25" hidden="1" customHeight="1" outlineLevel="2" x14ac:dyDescent="0.25">
      <c r="B13125" s="704" t="s">
        <v>689</v>
      </c>
      <c r="C13125" s="704" t="s">
        <v>746</v>
      </c>
      <c r="D13125" s="704" t="s">
        <v>715</v>
      </c>
      <c r="E13125" s="704" t="s">
        <v>448</v>
      </c>
      <c r="F13125" s="705">
        <v>0.38336123207065215</v>
      </c>
      <c r="G13125" s="705">
        <v>265.36510731959726</v>
      </c>
    </row>
    <row r="13126" spans="2:7" ht="11.25" hidden="1" customHeight="1" outlineLevel="2" x14ac:dyDescent="0.25">
      <c r="B13126" s="704" t="s">
        <v>689</v>
      </c>
      <c r="C13126" s="704" t="s">
        <v>747</v>
      </c>
      <c r="D13126" s="704" t="s">
        <v>715</v>
      </c>
      <c r="E13126" s="704" t="s">
        <v>448</v>
      </c>
      <c r="F13126" s="705">
        <v>3.3191531294215526</v>
      </c>
      <c r="G13126" s="705">
        <v>2828.4474201685898</v>
      </c>
    </row>
    <row r="13127" spans="2:7" ht="11.25" hidden="1" customHeight="1" outlineLevel="2" x14ac:dyDescent="0.25">
      <c r="B13127" s="704" t="s">
        <v>689</v>
      </c>
      <c r="C13127" s="704" t="s">
        <v>748</v>
      </c>
      <c r="D13127" s="704" t="s">
        <v>715</v>
      </c>
      <c r="E13127" s="704" t="s">
        <v>448</v>
      </c>
      <c r="F13127" s="705">
        <v>0.10248191457437132</v>
      </c>
      <c r="G13127" s="705">
        <v>132.49184721679083</v>
      </c>
    </row>
    <row r="13128" spans="2:7" ht="11.25" hidden="1" customHeight="1" outlineLevel="2" x14ac:dyDescent="0.25">
      <c r="B13128" s="704" t="s">
        <v>689</v>
      </c>
      <c r="C13128" s="704" t="s">
        <v>749</v>
      </c>
      <c r="D13128" s="704" t="s">
        <v>715</v>
      </c>
      <c r="E13128" s="704" t="s">
        <v>448</v>
      </c>
      <c r="F13128" s="705">
        <v>0.20260811585239022</v>
      </c>
      <c r="G13128" s="705">
        <v>159.07990325549704</v>
      </c>
    </row>
    <row r="13129" spans="2:7" ht="11.25" hidden="1" customHeight="1" outlineLevel="2" x14ac:dyDescent="0.25">
      <c r="B13129" s="704" t="s">
        <v>689</v>
      </c>
      <c r="C13129" s="704" t="s">
        <v>823</v>
      </c>
      <c r="D13129" s="704" t="s">
        <v>715</v>
      </c>
      <c r="E13129" s="704" t="s">
        <v>824</v>
      </c>
      <c r="F13129" s="705">
        <v>6.5857109872361061E-3</v>
      </c>
      <c r="G13129" s="705">
        <v>11.002608735574404</v>
      </c>
    </row>
    <row r="13130" spans="2:7" ht="11.25" hidden="1" customHeight="1" outlineLevel="2" x14ac:dyDescent="0.25">
      <c r="B13130" s="704" t="s">
        <v>689</v>
      </c>
      <c r="C13130" s="704" t="s">
        <v>860</v>
      </c>
      <c r="D13130" s="704" t="s">
        <v>715</v>
      </c>
      <c r="E13130" s="704" t="s">
        <v>861</v>
      </c>
      <c r="F13130" s="709"/>
      <c r="G13130" s="705">
        <v>218.07082168546077</v>
      </c>
    </row>
    <row r="13131" spans="2:7" ht="11.25" hidden="1" customHeight="1" outlineLevel="2" x14ac:dyDescent="0.25">
      <c r="B13131" s="704" t="s">
        <v>689</v>
      </c>
      <c r="C13131" s="704" t="s">
        <v>919</v>
      </c>
      <c r="D13131" s="704" t="s">
        <v>920</v>
      </c>
      <c r="E13131" s="704" t="s">
        <v>861</v>
      </c>
      <c r="F13131" s="709"/>
      <c r="G13131" s="705">
        <v>3.5411677514379905E-30</v>
      </c>
    </row>
    <row r="13132" spans="2:7" ht="11.25" hidden="1" customHeight="1" outlineLevel="1" x14ac:dyDescent="0.25">
      <c r="B13132" s="707" t="s">
        <v>955</v>
      </c>
      <c r="C13132" s="704"/>
      <c r="D13132" s="704"/>
      <c r="E13132" s="704"/>
      <c r="F13132" s="709">
        <f t="shared" ref="F13132:G13132" si="40">SUBTOTAL(9,F12921:F13131)</f>
        <v>37.314926992845521</v>
      </c>
      <c r="G13132" s="705">
        <f t="shared" si="40"/>
        <v>68915.835718440925</v>
      </c>
    </row>
    <row r="13133" spans="2:7" ht="11.25" hidden="1" customHeight="1" outlineLevel="2" x14ac:dyDescent="0.25">
      <c r="B13133" s="704" t="s">
        <v>690</v>
      </c>
      <c r="C13133" s="704" t="s">
        <v>739</v>
      </c>
      <c r="D13133" s="704" t="s">
        <v>44</v>
      </c>
      <c r="E13133" s="704" t="s">
        <v>448</v>
      </c>
      <c r="F13133" s="705">
        <v>1.3682747475967769E-3</v>
      </c>
      <c r="G13133" s="705">
        <v>0.83446113407900402</v>
      </c>
    </row>
    <row r="13134" spans="2:7" ht="11.25" hidden="1" customHeight="1" outlineLevel="2" x14ac:dyDescent="0.25">
      <c r="B13134" s="704" t="s">
        <v>690</v>
      </c>
      <c r="C13134" s="704" t="s">
        <v>796</v>
      </c>
      <c r="D13134" s="704" t="s">
        <v>44</v>
      </c>
      <c r="E13134" s="704" t="s">
        <v>448</v>
      </c>
      <c r="F13134" s="705">
        <v>1.4364349756927194E-3</v>
      </c>
      <c r="G13134" s="705">
        <v>2.0242843753182562</v>
      </c>
    </row>
    <row r="13135" spans="2:7" ht="11.25" hidden="1" customHeight="1" outlineLevel="2" x14ac:dyDescent="0.25">
      <c r="B13135" s="704" t="s">
        <v>690</v>
      </c>
      <c r="C13135" s="704" t="s">
        <v>797</v>
      </c>
      <c r="D13135" s="704" t="s">
        <v>44</v>
      </c>
      <c r="E13135" s="704" t="s">
        <v>448</v>
      </c>
      <c r="F13135" s="705">
        <v>2.2952354431595434E-3</v>
      </c>
      <c r="G13135" s="705">
        <v>7.8763691714869859</v>
      </c>
    </row>
    <row r="13136" spans="2:7" ht="11.25" hidden="1" customHeight="1" outlineLevel="2" x14ac:dyDescent="0.25">
      <c r="B13136" s="704" t="s">
        <v>690</v>
      </c>
      <c r="C13136" s="704" t="s">
        <v>798</v>
      </c>
      <c r="D13136" s="704" t="s">
        <v>44</v>
      </c>
      <c r="E13136" s="704" t="s">
        <v>448</v>
      </c>
      <c r="F13136" s="705">
        <v>3.7729147502074639E-5</v>
      </c>
      <c r="G13136" s="705">
        <v>4.9609884143550664E-2</v>
      </c>
    </row>
    <row r="13137" spans="2:7" ht="11.25" hidden="1" customHeight="1" outlineLevel="2" x14ac:dyDescent="0.25">
      <c r="B13137" s="704" t="s">
        <v>690</v>
      </c>
      <c r="C13137" s="704" t="s">
        <v>799</v>
      </c>
      <c r="D13137" s="704" t="s">
        <v>44</v>
      </c>
      <c r="E13137" s="704" t="s">
        <v>448</v>
      </c>
      <c r="F13137" s="705">
        <v>4.0759013273109117E-3</v>
      </c>
      <c r="G13137" s="705">
        <v>5.3553061366746482</v>
      </c>
    </row>
    <row r="13138" spans="2:7" ht="11.25" hidden="1" customHeight="1" outlineLevel="2" x14ac:dyDescent="0.25">
      <c r="B13138" s="704" t="s">
        <v>690</v>
      </c>
      <c r="C13138" s="704" t="s">
        <v>800</v>
      </c>
      <c r="D13138" s="704" t="s">
        <v>44</v>
      </c>
      <c r="E13138" s="704" t="s">
        <v>448</v>
      </c>
      <c r="F13138" s="705">
        <v>1.3414657340488974E-3</v>
      </c>
      <c r="G13138" s="705">
        <v>1.6775142610368468</v>
      </c>
    </row>
    <row r="13139" spans="2:7" ht="11.25" hidden="1" customHeight="1" outlineLevel="2" x14ac:dyDescent="0.25">
      <c r="B13139" s="704" t="s">
        <v>690</v>
      </c>
      <c r="C13139" s="704" t="s">
        <v>801</v>
      </c>
      <c r="D13139" s="704" t="s">
        <v>44</v>
      </c>
      <c r="E13139" s="704" t="s">
        <v>448</v>
      </c>
      <c r="F13139" s="705">
        <v>1.7502518150407449E-2</v>
      </c>
      <c r="G13139" s="705">
        <v>18.223151866174312</v>
      </c>
    </row>
    <row r="13140" spans="2:7" ht="11.25" hidden="1" customHeight="1" outlineLevel="2" x14ac:dyDescent="0.25">
      <c r="B13140" s="704" t="s">
        <v>690</v>
      </c>
      <c r="C13140" s="704" t="s">
        <v>802</v>
      </c>
      <c r="D13140" s="704" t="s">
        <v>44</v>
      </c>
      <c r="E13140" s="704" t="s">
        <v>448</v>
      </c>
      <c r="F13140" s="705">
        <v>5.7550897944251111E-2</v>
      </c>
      <c r="G13140" s="705">
        <v>39.061338724013808</v>
      </c>
    </row>
    <row r="13141" spans="2:7" ht="11.25" hidden="1" customHeight="1" outlineLevel="2" x14ac:dyDescent="0.25">
      <c r="B13141" s="704" t="s">
        <v>690</v>
      </c>
      <c r="C13141" s="704" t="s">
        <v>803</v>
      </c>
      <c r="D13141" s="704" t="s">
        <v>44</v>
      </c>
      <c r="E13141" s="704" t="s">
        <v>448</v>
      </c>
      <c r="F13141" s="705">
        <v>6.4680239181768781E-3</v>
      </c>
      <c r="G13141" s="705">
        <v>8.4983040958436575</v>
      </c>
    </row>
    <row r="13142" spans="2:7" ht="11.25" hidden="1" customHeight="1" outlineLevel="2" x14ac:dyDescent="0.25">
      <c r="B13142" s="704" t="s">
        <v>690</v>
      </c>
      <c r="C13142" s="704" t="s">
        <v>804</v>
      </c>
      <c r="D13142" s="704" t="s">
        <v>44</v>
      </c>
      <c r="E13142" s="704" t="s">
        <v>448</v>
      </c>
      <c r="F13142" s="705">
        <v>9.628881013856453E-3</v>
      </c>
      <c r="G13142" s="705">
        <v>12.305508742284458</v>
      </c>
    </row>
    <row r="13143" spans="2:7" ht="11.25" hidden="1" customHeight="1" outlineLevel="2" x14ac:dyDescent="0.25">
      <c r="B13143" s="704" t="s">
        <v>690</v>
      </c>
      <c r="C13143" s="704" t="s">
        <v>805</v>
      </c>
      <c r="D13143" s="704" t="s">
        <v>44</v>
      </c>
      <c r="E13143" s="704" t="s">
        <v>448</v>
      </c>
      <c r="F13143" s="705">
        <v>1.9311010803236787E-3</v>
      </c>
      <c r="G13143" s="705">
        <v>13.65107123640853</v>
      </c>
    </row>
    <row r="13144" spans="2:7" ht="11.25" hidden="1" customHeight="1" outlineLevel="2" x14ac:dyDescent="0.25">
      <c r="B13144" s="704" t="s">
        <v>690</v>
      </c>
      <c r="C13144" s="704" t="s">
        <v>846</v>
      </c>
      <c r="D13144" s="704" t="s">
        <v>44</v>
      </c>
      <c r="E13144" s="704" t="s">
        <v>824</v>
      </c>
      <c r="F13144" s="705">
        <v>4.7020708348263922E-5</v>
      </c>
      <c r="G13144" s="705">
        <v>7.4713799260217359E-2</v>
      </c>
    </row>
    <row r="13145" spans="2:7" ht="11.25" hidden="1" customHeight="1" outlineLevel="2" x14ac:dyDescent="0.25">
      <c r="B13145" s="704" t="s">
        <v>690</v>
      </c>
      <c r="C13145" s="704" t="s">
        <v>847</v>
      </c>
      <c r="D13145" s="704" t="s">
        <v>44</v>
      </c>
      <c r="E13145" s="704" t="s">
        <v>824</v>
      </c>
      <c r="F13145" s="705">
        <v>9.6485695744154724E-6</v>
      </c>
      <c r="G13145" s="705">
        <v>0.10168459749628934</v>
      </c>
    </row>
    <row r="13146" spans="2:7" ht="11.25" hidden="1" customHeight="1" outlineLevel="2" x14ac:dyDescent="0.25">
      <c r="B13146" s="704" t="s">
        <v>690</v>
      </c>
      <c r="C13146" s="704" t="s">
        <v>705</v>
      </c>
      <c r="D13146" s="704" t="s">
        <v>44</v>
      </c>
      <c r="E13146" s="704" t="s">
        <v>676</v>
      </c>
      <c r="F13146" s="705">
        <v>1.8822735087613647E-3</v>
      </c>
      <c r="G13146" s="705">
        <v>1.9736453541678158E-2</v>
      </c>
    </row>
    <row r="13147" spans="2:7" ht="11.25" hidden="1" customHeight="1" outlineLevel="2" x14ac:dyDescent="0.25">
      <c r="B13147" s="704" t="s">
        <v>690</v>
      </c>
      <c r="C13147" s="704" t="s">
        <v>706</v>
      </c>
      <c r="D13147" s="704" t="s">
        <v>44</v>
      </c>
      <c r="E13147" s="704" t="s">
        <v>676</v>
      </c>
      <c r="F13147" s="705">
        <v>5.974461337778761E-4</v>
      </c>
      <c r="G13147" s="705">
        <v>6.2626053433086377E-3</v>
      </c>
    </row>
    <row r="13148" spans="2:7" ht="11.25" hidden="1" customHeight="1" outlineLevel="2" x14ac:dyDescent="0.25">
      <c r="B13148" s="704" t="s">
        <v>690</v>
      </c>
      <c r="C13148" s="704" t="s">
        <v>901</v>
      </c>
      <c r="D13148" s="704" t="s">
        <v>44</v>
      </c>
      <c r="E13148" s="704" t="s">
        <v>861</v>
      </c>
      <c r="F13148" s="709"/>
      <c r="G13148" s="705">
        <v>0.14595212361279411</v>
      </c>
    </row>
    <row r="13149" spans="2:7" ht="11.25" hidden="1" customHeight="1" outlineLevel="2" x14ac:dyDescent="0.25">
      <c r="B13149" s="704" t="s">
        <v>690</v>
      </c>
      <c r="C13149" s="704" t="s">
        <v>902</v>
      </c>
      <c r="D13149" s="704" t="s">
        <v>44</v>
      </c>
      <c r="E13149" s="704" t="s">
        <v>861</v>
      </c>
      <c r="F13149" s="709"/>
      <c r="G13149" s="705">
        <v>6309.8596357959514</v>
      </c>
    </row>
    <row r="13150" spans="2:7" ht="11.25" hidden="1" customHeight="1" outlineLevel="2" x14ac:dyDescent="0.25">
      <c r="B13150" s="704" t="s">
        <v>690</v>
      </c>
      <c r="C13150" s="704" t="s">
        <v>903</v>
      </c>
      <c r="D13150" s="704" t="s">
        <v>44</v>
      </c>
      <c r="E13150" s="704" t="s">
        <v>861</v>
      </c>
      <c r="F13150" s="709"/>
      <c r="G13150" s="705">
        <v>566.18701526424775</v>
      </c>
    </row>
    <row r="13151" spans="2:7" ht="11.25" hidden="1" customHeight="1" outlineLevel="2" x14ac:dyDescent="0.25">
      <c r="B13151" s="704" t="s">
        <v>690</v>
      </c>
      <c r="C13151" s="704" t="s">
        <v>904</v>
      </c>
      <c r="D13151" s="704" t="s">
        <v>44</v>
      </c>
      <c r="E13151" s="704" t="s">
        <v>861</v>
      </c>
      <c r="F13151" s="709"/>
      <c r="G13151" s="705">
        <v>3.1472258544413418</v>
      </c>
    </row>
    <row r="13152" spans="2:7" ht="11.25" hidden="1" customHeight="1" outlineLevel="2" x14ac:dyDescent="0.25">
      <c r="B13152" s="704" t="s">
        <v>690</v>
      </c>
      <c r="C13152" s="704" t="s">
        <v>905</v>
      </c>
      <c r="D13152" s="704" t="s">
        <v>44</v>
      </c>
      <c r="E13152" s="704" t="s">
        <v>861</v>
      </c>
      <c r="F13152" s="709"/>
      <c r="G13152" s="705">
        <v>0.64596337958175765</v>
      </c>
    </row>
    <row r="13153" spans="2:7" ht="11.25" hidden="1" customHeight="1" outlineLevel="2" x14ac:dyDescent="0.25">
      <c r="B13153" s="704" t="s">
        <v>690</v>
      </c>
      <c r="C13153" s="704" t="s">
        <v>906</v>
      </c>
      <c r="D13153" s="704" t="s">
        <v>44</v>
      </c>
      <c r="E13153" s="704" t="s">
        <v>861</v>
      </c>
      <c r="F13153" s="709"/>
      <c r="G13153" s="705">
        <v>48.062448595231452</v>
      </c>
    </row>
    <row r="13154" spans="2:7" ht="11.25" hidden="1" customHeight="1" outlineLevel="2" x14ac:dyDescent="0.25">
      <c r="B13154" s="704" t="s">
        <v>690</v>
      </c>
      <c r="C13154" s="704" t="s">
        <v>907</v>
      </c>
      <c r="D13154" s="704" t="s">
        <v>44</v>
      </c>
      <c r="E13154" s="704" t="s">
        <v>861</v>
      </c>
      <c r="F13154" s="709"/>
      <c r="G13154" s="705">
        <v>0.12037878120142176</v>
      </c>
    </row>
    <row r="13155" spans="2:7" ht="11.25" hidden="1" customHeight="1" outlineLevel="2" x14ac:dyDescent="0.25">
      <c r="B13155" s="704" t="s">
        <v>690</v>
      </c>
      <c r="C13155" s="704" t="s">
        <v>908</v>
      </c>
      <c r="D13155" s="704" t="s">
        <v>44</v>
      </c>
      <c r="E13155" s="704" t="s">
        <v>861</v>
      </c>
      <c r="F13155" s="709"/>
      <c r="G13155" s="705">
        <v>44.422852662994622</v>
      </c>
    </row>
    <row r="13156" spans="2:7" ht="11.25" hidden="1" customHeight="1" outlineLevel="2" x14ac:dyDescent="0.25">
      <c r="B13156" s="704" t="s">
        <v>690</v>
      </c>
      <c r="C13156" s="704" t="s">
        <v>909</v>
      </c>
      <c r="D13156" s="704" t="s">
        <v>44</v>
      </c>
      <c r="E13156" s="704" t="s">
        <v>861</v>
      </c>
      <c r="F13156" s="709"/>
      <c r="G13156" s="705">
        <v>123.39500090473058</v>
      </c>
    </row>
    <row r="13157" spans="2:7" ht="11.25" hidden="1" customHeight="1" outlineLevel="2" x14ac:dyDescent="0.25">
      <c r="B13157" s="704" t="s">
        <v>690</v>
      </c>
      <c r="C13157" s="704" t="s">
        <v>910</v>
      </c>
      <c r="D13157" s="704" t="s">
        <v>44</v>
      </c>
      <c r="E13157" s="704" t="s">
        <v>861</v>
      </c>
      <c r="F13157" s="709"/>
      <c r="G13157" s="705">
        <v>90.719363303972585</v>
      </c>
    </row>
    <row r="13158" spans="2:7" ht="11.25" hidden="1" customHeight="1" outlineLevel="2" x14ac:dyDescent="0.25">
      <c r="B13158" s="704" t="s">
        <v>690</v>
      </c>
      <c r="C13158" s="704" t="s">
        <v>814</v>
      </c>
      <c r="D13158" s="704" t="s">
        <v>815</v>
      </c>
      <c r="E13158" s="704" t="s">
        <v>448</v>
      </c>
      <c r="F13158" s="705">
        <v>6.2264890773870382E-5</v>
      </c>
      <c r="G13158" s="705">
        <v>0.18167435383544203</v>
      </c>
    </row>
    <row r="13159" spans="2:7" ht="11.25" hidden="1" customHeight="1" outlineLevel="2" x14ac:dyDescent="0.25">
      <c r="B13159" s="704" t="s">
        <v>690</v>
      </c>
      <c r="C13159" s="704" t="s">
        <v>854</v>
      </c>
      <c r="D13159" s="704" t="s">
        <v>815</v>
      </c>
      <c r="E13159" s="704" t="s">
        <v>824</v>
      </c>
      <c r="F13159" s="705">
        <v>1.8073128042055411E-5</v>
      </c>
      <c r="G13159" s="705">
        <v>0.16605366253637927</v>
      </c>
    </row>
    <row r="13160" spans="2:7" ht="11.25" hidden="1" customHeight="1" outlineLevel="2" x14ac:dyDescent="0.25">
      <c r="B13160" s="704" t="s">
        <v>690</v>
      </c>
      <c r="C13160" s="704" t="s">
        <v>918</v>
      </c>
      <c r="D13160" s="704" t="s">
        <v>815</v>
      </c>
      <c r="E13160" s="704" t="s">
        <v>861</v>
      </c>
      <c r="F13160" s="709"/>
      <c r="G13160" s="705">
        <v>11.418437984075728</v>
      </c>
    </row>
    <row r="13161" spans="2:7" ht="11.25" hidden="1" customHeight="1" outlineLevel="2" x14ac:dyDescent="0.25">
      <c r="B13161" s="704" t="s">
        <v>690</v>
      </c>
      <c r="C13161" s="704" t="s">
        <v>740</v>
      </c>
      <c r="D13161" s="704" t="s">
        <v>562</v>
      </c>
      <c r="E13161" s="704" t="s">
        <v>448</v>
      </c>
      <c r="F13161" s="705">
        <v>9.9887392137490025E-2</v>
      </c>
      <c r="G13161" s="705">
        <v>49.500837797235441</v>
      </c>
    </row>
    <row r="13162" spans="2:7" ht="11.25" hidden="1" customHeight="1" outlineLevel="2" x14ac:dyDescent="0.25">
      <c r="B13162" s="704" t="s">
        <v>690</v>
      </c>
      <c r="C13162" s="704" t="s">
        <v>741</v>
      </c>
      <c r="D13162" s="704" t="s">
        <v>562</v>
      </c>
      <c r="E13162" s="704" t="s">
        <v>448</v>
      </c>
      <c r="F13162" s="705">
        <v>0.63827576985098367</v>
      </c>
      <c r="G13162" s="705">
        <v>330.25435579954865</v>
      </c>
    </row>
    <row r="13163" spans="2:7" ht="11.25" hidden="1" customHeight="1" outlineLevel="2" x14ac:dyDescent="0.25">
      <c r="B13163" s="704" t="s">
        <v>690</v>
      </c>
      <c r="C13163" s="704" t="s">
        <v>742</v>
      </c>
      <c r="D13163" s="704" t="s">
        <v>562</v>
      </c>
      <c r="E13163" s="704" t="s">
        <v>448</v>
      </c>
      <c r="F13163" s="705">
        <v>2.8411679710834754E-4</v>
      </c>
      <c r="G13163" s="705">
        <v>0.12736891840574346</v>
      </c>
    </row>
    <row r="13164" spans="2:7" ht="11.25" hidden="1" customHeight="1" outlineLevel="2" x14ac:dyDescent="0.25">
      <c r="B13164" s="704" t="s">
        <v>690</v>
      </c>
      <c r="C13164" s="704" t="s">
        <v>743</v>
      </c>
      <c r="D13164" s="704" t="s">
        <v>562</v>
      </c>
      <c r="E13164" s="704" t="s">
        <v>448</v>
      </c>
      <c r="F13164" s="705">
        <v>4.4705252874168927E-3</v>
      </c>
      <c r="G13164" s="705">
        <v>2.0041277201735168</v>
      </c>
    </row>
    <row r="13165" spans="2:7" ht="11.25" hidden="1" customHeight="1" outlineLevel="2" x14ac:dyDescent="0.25">
      <c r="B13165" s="704" t="s">
        <v>690</v>
      </c>
      <c r="C13165" s="704" t="s">
        <v>806</v>
      </c>
      <c r="D13165" s="704" t="s">
        <v>562</v>
      </c>
      <c r="E13165" s="704" t="s">
        <v>448</v>
      </c>
      <c r="F13165" s="705">
        <v>8.4329644053797512</v>
      </c>
      <c r="G13165" s="705">
        <v>10189.5209592059</v>
      </c>
    </row>
    <row r="13166" spans="2:7" ht="11.25" hidden="1" customHeight="1" outlineLevel="2" x14ac:dyDescent="0.25">
      <c r="B13166" s="704" t="s">
        <v>690</v>
      </c>
      <c r="C13166" s="704" t="s">
        <v>807</v>
      </c>
      <c r="D13166" s="704" t="s">
        <v>562</v>
      </c>
      <c r="E13166" s="704" t="s">
        <v>448</v>
      </c>
      <c r="F13166" s="705">
        <v>1.8152710420546403</v>
      </c>
      <c r="G13166" s="705">
        <v>2549.8262045980073</v>
      </c>
    </row>
    <row r="13167" spans="2:7" ht="11.25" hidden="1" customHeight="1" outlineLevel="2" x14ac:dyDescent="0.25">
      <c r="B13167" s="704" t="s">
        <v>690</v>
      </c>
      <c r="C13167" s="704" t="s">
        <v>808</v>
      </c>
      <c r="D13167" s="704" t="s">
        <v>562</v>
      </c>
      <c r="E13167" s="704" t="s">
        <v>448</v>
      </c>
      <c r="F13167" s="705">
        <v>0.83794719732797318</v>
      </c>
      <c r="G13167" s="705">
        <v>1352.1526291709292</v>
      </c>
    </row>
    <row r="13168" spans="2:7" ht="11.25" hidden="1" customHeight="1" outlineLevel="2" x14ac:dyDescent="0.25">
      <c r="B13168" s="704" t="s">
        <v>690</v>
      </c>
      <c r="C13168" s="704" t="s">
        <v>809</v>
      </c>
      <c r="D13168" s="704" t="s">
        <v>562</v>
      </c>
      <c r="E13168" s="704" t="s">
        <v>448</v>
      </c>
      <c r="F13168" s="705">
        <v>1.9307916426153819</v>
      </c>
      <c r="G13168" s="705">
        <v>2901.2304510351387</v>
      </c>
    </row>
    <row r="13169" spans="2:7" ht="11.25" hidden="1" customHeight="1" outlineLevel="2" x14ac:dyDescent="0.25">
      <c r="B13169" s="704" t="s">
        <v>690</v>
      </c>
      <c r="C13169" s="704" t="s">
        <v>810</v>
      </c>
      <c r="D13169" s="704" t="s">
        <v>562</v>
      </c>
      <c r="E13169" s="704" t="s">
        <v>448</v>
      </c>
      <c r="F13169" s="705">
        <v>3.6464778276617857</v>
      </c>
      <c r="G13169" s="705">
        <v>4570.6352909658926</v>
      </c>
    </row>
    <row r="13170" spans="2:7" ht="11.25" hidden="1" customHeight="1" outlineLevel="2" x14ac:dyDescent="0.25">
      <c r="B13170" s="704" t="s">
        <v>690</v>
      </c>
      <c r="C13170" s="704" t="s">
        <v>811</v>
      </c>
      <c r="D13170" s="704" t="s">
        <v>562</v>
      </c>
      <c r="E13170" s="704" t="s">
        <v>448</v>
      </c>
      <c r="F13170" s="705">
        <v>0.15523835936171626</v>
      </c>
      <c r="G13170" s="705">
        <v>214.97737739323549</v>
      </c>
    </row>
    <row r="13171" spans="2:7" ht="11.25" hidden="1" customHeight="1" outlineLevel="2" x14ac:dyDescent="0.25">
      <c r="B13171" s="704" t="s">
        <v>690</v>
      </c>
      <c r="C13171" s="704" t="s">
        <v>848</v>
      </c>
      <c r="D13171" s="704" t="s">
        <v>562</v>
      </c>
      <c r="E13171" s="704" t="s">
        <v>824</v>
      </c>
      <c r="F13171" s="705">
        <v>0.49314833898858085</v>
      </c>
      <c r="G13171" s="705">
        <v>1355.7645752086828</v>
      </c>
    </row>
    <row r="13172" spans="2:7" ht="11.25" hidden="1" customHeight="1" outlineLevel="2" x14ac:dyDescent="0.25">
      <c r="B13172" s="704" t="s">
        <v>690</v>
      </c>
      <c r="C13172" s="704" t="s">
        <v>849</v>
      </c>
      <c r="D13172" s="704" t="s">
        <v>562</v>
      </c>
      <c r="E13172" s="704" t="s">
        <v>824</v>
      </c>
      <c r="F13172" s="705">
        <v>7.1599807122564599E-2</v>
      </c>
      <c r="G13172" s="705">
        <v>301.97601047400155</v>
      </c>
    </row>
    <row r="13173" spans="2:7" ht="11.25" hidden="1" customHeight="1" outlineLevel="2" x14ac:dyDescent="0.25">
      <c r="B13173" s="704" t="s">
        <v>690</v>
      </c>
      <c r="C13173" s="704" t="s">
        <v>850</v>
      </c>
      <c r="D13173" s="704" t="s">
        <v>562</v>
      </c>
      <c r="E13173" s="704" t="s">
        <v>824</v>
      </c>
      <c r="F13173" s="705">
        <v>5.2970946551511126E-2</v>
      </c>
      <c r="G13173" s="705">
        <v>353.97037231175739</v>
      </c>
    </row>
    <row r="13174" spans="2:7" ht="11.25" hidden="1" customHeight="1" outlineLevel="2" x14ac:dyDescent="0.25">
      <c r="B13174" s="704" t="s">
        <v>690</v>
      </c>
      <c r="C13174" s="704" t="s">
        <v>851</v>
      </c>
      <c r="D13174" s="704" t="s">
        <v>562</v>
      </c>
      <c r="E13174" s="704" t="s">
        <v>824</v>
      </c>
      <c r="F13174" s="705">
        <v>9.2785227636794421E-2</v>
      </c>
      <c r="G13174" s="705">
        <v>439.71943080230926</v>
      </c>
    </row>
    <row r="13175" spans="2:7" ht="11.25" hidden="1" customHeight="1" outlineLevel="2" x14ac:dyDescent="0.25">
      <c r="B13175" s="704" t="s">
        <v>690</v>
      </c>
      <c r="C13175" s="704" t="s">
        <v>852</v>
      </c>
      <c r="D13175" s="704" t="s">
        <v>562</v>
      </c>
      <c r="E13175" s="704" t="s">
        <v>824</v>
      </c>
      <c r="F13175" s="705">
        <v>2.3167965407913447E-3</v>
      </c>
      <c r="G13175" s="705">
        <v>5.9440179160602913</v>
      </c>
    </row>
    <row r="13176" spans="2:7" ht="11.25" hidden="1" customHeight="1" outlineLevel="2" x14ac:dyDescent="0.25">
      <c r="B13176" s="704" t="s">
        <v>690</v>
      </c>
      <c r="C13176" s="704" t="s">
        <v>853</v>
      </c>
      <c r="D13176" s="704" t="s">
        <v>562</v>
      </c>
      <c r="E13176" s="704" t="s">
        <v>824</v>
      </c>
      <c r="F13176" s="705">
        <v>6.7592773308463227E-4</v>
      </c>
      <c r="G13176" s="705">
        <v>5.5212063938054987</v>
      </c>
    </row>
    <row r="13177" spans="2:7" ht="11.25" hidden="1" customHeight="1" outlineLevel="2" x14ac:dyDescent="0.25">
      <c r="B13177" s="704" t="s">
        <v>690</v>
      </c>
      <c r="C13177" s="704" t="s">
        <v>707</v>
      </c>
      <c r="D13177" s="704" t="s">
        <v>562</v>
      </c>
      <c r="E13177" s="704" t="s">
        <v>676</v>
      </c>
      <c r="F13177" s="705">
        <v>10.895809456793888</v>
      </c>
      <c r="G13177" s="705">
        <v>302.56525324110635</v>
      </c>
    </row>
    <row r="13178" spans="2:7" ht="11.25" hidden="1" customHeight="1" outlineLevel="2" x14ac:dyDescent="0.25">
      <c r="B13178" s="704" t="s">
        <v>690</v>
      </c>
      <c r="C13178" s="704" t="s">
        <v>708</v>
      </c>
      <c r="D13178" s="704" t="s">
        <v>562</v>
      </c>
      <c r="E13178" s="704" t="s">
        <v>676</v>
      </c>
      <c r="F13178" s="705">
        <v>0.41772985581005884</v>
      </c>
      <c r="G13178" s="705">
        <v>15.185114246318433</v>
      </c>
    </row>
    <row r="13179" spans="2:7" ht="11.25" hidden="1" customHeight="1" outlineLevel="2" x14ac:dyDescent="0.25">
      <c r="B13179" s="704" t="s">
        <v>690</v>
      </c>
      <c r="C13179" s="704" t="s">
        <v>709</v>
      </c>
      <c r="D13179" s="704" t="s">
        <v>562</v>
      </c>
      <c r="E13179" s="704" t="s">
        <v>676</v>
      </c>
      <c r="F13179" s="705">
        <v>0.29989947010126278</v>
      </c>
      <c r="G13179" s="705">
        <v>21.033963650974869</v>
      </c>
    </row>
    <row r="13180" spans="2:7" ht="11.25" hidden="1" customHeight="1" outlineLevel="2" x14ac:dyDescent="0.25">
      <c r="B13180" s="704" t="s">
        <v>690</v>
      </c>
      <c r="C13180" s="704" t="s">
        <v>710</v>
      </c>
      <c r="D13180" s="704" t="s">
        <v>562</v>
      </c>
      <c r="E13180" s="704" t="s">
        <v>676</v>
      </c>
      <c r="F13180" s="705">
        <v>3.513470422790975</v>
      </c>
      <c r="G13180" s="705">
        <v>735.24816769713982</v>
      </c>
    </row>
    <row r="13181" spans="2:7" ht="11.25" hidden="1" customHeight="1" outlineLevel="2" x14ac:dyDescent="0.25">
      <c r="B13181" s="704" t="s">
        <v>690</v>
      </c>
      <c r="C13181" s="704" t="s">
        <v>911</v>
      </c>
      <c r="D13181" s="704" t="s">
        <v>562</v>
      </c>
      <c r="E13181" s="704" t="s">
        <v>861</v>
      </c>
      <c r="F13181" s="709"/>
      <c r="G13181" s="705">
        <v>7840.4765827600477</v>
      </c>
    </row>
    <row r="13182" spans="2:7" ht="11.25" hidden="1" customHeight="1" outlineLevel="2" x14ac:dyDescent="0.25">
      <c r="B13182" s="704" t="s">
        <v>690</v>
      </c>
      <c r="C13182" s="704" t="s">
        <v>912</v>
      </c>
      <c r="D13182" s="704" t="s">
        <v>562</v>
      </c>
      <c r="E13182" s="704" t="s">
        <v>861</v>
      </c>
      <c r="F13182" s="709"/>
      <c r="G13182" s="705">
        <v>1849.8767335004391</v>
      </c>
    </row>
    <row r="13183" spans="2:7" ht="11.25" hidden="1" customHeight="1" outlineLevel="2" x14ac:dyDescent="0.25">
      <c r="B13183" s="704" t="s">
        <v>690</v>
      </c>
      <c r="C13183" s="704" t="s">
        <v>913</v>
      </c>
      <c r="D13183" s="704" t="s">
        <v>562</v>
      </c>
      <c r="E13183" s="704" t="s">
        <v>861</v>
      </c>
      <c r="F13183" s="709"/>
      <c r="G13183" s="705">
        <v>5132.6925078705981</v>
      </c>
    </row>
    <row r="13184" spans="2:7" ht="11.25" hidden="1" customHeight="1" outlineLevel="2" x14ac:dyDescent="0.25">
      <c r="B13184" s="704" t="s">
        <v>690</v>
      </c>
      <c r="C13184" s="704" t="s">
        <v>914</v>
      </c>
      <c r="D13184" s="704" t="s">
        <v>562</v>
      </c>
      <c r="E13184" s="704" t="s">
        <v>861</v>
      </c>
      <c r="F13184" s="709"/>
      <c r="G13184" s="705">
        <v>2606.2144858817987</v>
      </c>
    </row>
    <row r="13185" spans="2:7" ht="11.25" hidden="1" customHeight="1" outlineLevel="2" x14ac:dyDescent="0.25">
      <c r="B13185" s="704" t="s">
        <v>690</v>
      </c>
      <c r="C13185" s="704" t="s">
        <v>915</v>
      </c>
      <c r="D13185" s="704" t="s">
        <v>562</v>
      </c>
      <c r="E13185" s="704" t="s">
        <v>861</v>
      </c>
      <c r="F13185" s="709"/>
      <c r="G13185" s="705">
        <v>250.36920222292625</v>
      </c>
    </row>
    <row r="13186" spans="2:7" ht="11.25" hidden="1" customHeight="1" outlineLevel="2" x14ac:dyDescent="0.25">
      <c r="B13186" s="704" t="s">
        <v>690</v>
      </c>
      <c r="C13186" s="704" t="s">
        <v>916</v>
      </c>
      <c r="D13186" s="704" t="s">
        <v>562</v>
      </c>
      <c r="E13186" s="704" t="s">
        <v>861</v>
      </c>
      <c r="F13186" s="709"/>
      <c r="G13186" s="705">
        <v>222.13421905272094</v>
      </c>
    </row>
    <row r="13187" spans="2:7" ht="11.25" hidden="1" customHeight="1" outlineLevel="2" x14ac:dyDescent="0.25">
      <c r="B13187" s="704" t="s">
        <v>690</v>
      </c>
      <c r="C13187" s="704" t="s">
        <v>719</v>
      </c>
      <c r="D13187" s="704" t="s">
        <v>675</v>
      </c>
      <c r="E13187" s="704" t="s">
        <v>448</v>
      </c>
      <c r="F13187" s="705">
        <v>0.15879187237622408</v>
      </c>
      <c r="G13187" s="705">
        <v>97.91055057553001</v>
      </c>
    </row>
    <row r="13188" spans="2:7" ht="11.25" hidden="1" customHeight="1" outlineLevel="2" x14ac:dyDescent="0.25">
      <c r="B13188" s="704" t="s">
        <v>690</v>
      </c>
      <c r="C13188" s="704" t="s">
        <v>720</v>
      </c>
      <c r="D13188" s="704" t="s">
        <v>675</v>
      </c>
      <c r="E13188" s="704" t="s">
        <v>448</v>
      </c>
      <c r="F13188" s="705">
        <v>1.3123134057555816E-2</v>
      </c>
      <c r="G13188" s="705">
        <v>6.3502453908605618</v>
      </c>
    </row>
    <row r="13189" spans="2:7" ht="11.25" hidden="1" customHeight="1" outlineLevel="2" x14ac:dyDescent="0.25">
      <c r="B13189" s="704" t="s">
        <v>690</v>
      </c>
      <c r="C13189" s="704" t="s">
        <v>721</v>
      </c>
      <c r="D13189" s="704" t="s">
        <v>675</v>
      </c>
      <c r="E13189" s="704" t="s">
        <v>448</v>
      </c>
      <c r="F13189" s="705">
        <v>1.5892489644145653E-2</v>
      </c>
      <c r="G13189" s="705">
        <v>7.5913514638175048</v>
      </c>
    </row>
    <row r="13190" spans="2:7" ht="11.25" hidden="1" customHeight="1" outlineLevel="2" x14ac:dyDescent="0.25">
      <c r="B13190" s="704" t="s">
        <v>690</v>
      </c>
      <c r="C13190" s="704" t="s">
        <v>722</v>
      </c>
      <c r="D13190" s="704" t="s">
        <v>675</v>
      </c>
      <c r="E13190" s="704" t="s">
        <v>448</v>
      </c>
      <c r="F13190" s="705">
        <v>1.2681738039832451E-4</v>
      </c>
      <c r="G13190" s="705">
        <v>5.6847973062101542E-2</v>
      </c>
    </row>
    <row r="13191" spans="2:7" ht="11.25" hidden="1" customHeight="1" outlineLevel="2" x14ac:dyDescent="0.25">
      <c r="B13191" s="704" t="s">
        <v>690</v>
      </c>
      <c r="C13191" s="704" t="s">
        <v>723</v>
      </c>
      <c r="D13191" s="704" t="s">
        <v>675</v>
      </c>
      <c r="E13191" s="704" t="s">
        <v>448</v>
      </c>
      <c r="F13191" s="705">
        <v>0.45239204881241518</v>
      </c>
      <c r="G13191" s="705">
        <v>253.01595849859208</v>
      </c>
    </row>
    <row r="13192" spans="2:7" ht="11.25" hidden="1" customHeight="1" outlineLevel="2" x14ac:dyDescent="0.25">
      <c r="B13192" s="704" t="s">
        <v>690</v>
      </c>
      <c r="C13192" s="704" t="s">
        <v>724</v>
      </c>
      <c r="D13192" s="704" t="s">
        <v>675</v>
      </c>
      <c r="E13192" s="704" t="s">
        <v>448</v>
      </c>
      <c r="F13192" s="705">
        <v>3.3022212557755979E-3</v>
      </c>
      <c r="G13192" s="705">
        <v>1.4802761356888992</v>
      </c>
    </row>
    <row r="13193" spans="2:7" ht="11.25" hidden="1" customHeight="1" outlineLevel="2" x14ac:dyDescent="0.25">
      <c r="B13193" s="704" t="s">
        <v>690</v>
      </c>
      <c r="C13193" s="704" t="s">
        <v>750</v>
      </c>
      <c r="D13193" s="704" t="s">
        <v>675</v>
      </c>
      <c r="E13193" s="704" t="s">
        <v>448</v>
      </c>
      <c r="F13193" s="705">
        <v>5.5883349506808663E-2</v>
      </c>
      <c r="G13193" s="705">
        <v>87.040419979185558</v>
      </c>
    </row>
    <row r="13194" spans="2:7" ht="11.25" hidden="1" customHeight="1" outlineLevel="2" x14ac:dyDescent="0.25">
      <c r="B13194" s="704" t="s">
        <v>690</v>
      </c>
      <c r="C13194" s="704" t="s">
        <v>751</v>
      </c>
      <c r="D13194" s="704" t="s">
        <v>675</v>
      </c>
      <c r="E13194" s="704" t="s">
        <v>448</v>
      </c>
      <c r="F13194" s="705">
        <v>4.949704060485089E-4</v>
      </c>
      <c r="G13194" s="705">
        <v>0.64320632308078496</v>
      </c>
    </row>
    <row r="13195" spans="2:7" ht="11.25" hidden="1" customHeight="1" outlineLevel="2" x14ac:dyDescent="0.25">
      <c r="B13195" s="704" t="s">
        <v>690</v>
      </c>
      <c r="C13195" s="704" t="s">
        <v>752</v>
      </c>
      <c r="D13195" s="704" t="s">
        <v>675</v>
      </c>
      <c r="E13195" s="704" t="s">
        <v>448</v>
      </c>
      <c r="F13195" s="705">
        <v>0.13615378925898308</v>
      </c>
      <c r="G13195" s="705">
        <v>162.87858416728668</v>
      </c>
    </row>
    <row r="13196" spans="2:7" ht="11.25" hidden="1" customHeight="1" outlineLevel="2" x14ac:dyDescent="0.25">
      <c r="B13196" s="704" t="s">
        <v>690</v>
      </c>
      <c r="C13196" s="704" t="s">
        <v>753</v>
      </c>
      <c r="D13196" s="704" t="s">
        <v>675</v>
      </c>
      <c r="E13196" s="704" t="s">
        <v>448</v>
      </c>
      <c r="F13196" s="705">
        <v>9.7528093092460341E-2</v>
      </c>
      <c r="G13196" s="705">
        <v>153.91022985669468</v>
      </c>
    </row>
    <row r="13197" spans="2:7" ht="11.25" hidden="1" customHeight="1" outlineLevel="2" x14ac:dyDescent="0.25">
      <c r="B13197" s="704" t="s">
        <v>690</v>
      </c>
      <c r="C13197" s="704" t="s">
        <v>754</v>
      </c>
      <c r="D13197" s="704" t="s">
        <v>675</v>
      </c>
      <c r="E13197" s="704" t="s">
        <v>448</v>
      </c>
      <c r="F13197" s="705">
        <v>0.2401317481744209</v>
      </c>
      <c r="G13197" s="705">
        <v>306.33337501442378</v>
      </c>
    </row>
    <row r="13198" spans="2:7" ht="11.25" hidden="1" customHeight="1" outlineLevel="2" x14ac:dyDescent="0.25">
      <c r="B13198" s="704" t="s">
        <v>690</v>
      </c>
      <c r="C13198" s="704" t="s">
        <v>755</v>
      </c>
      <c r="D13198" s="704" t="s">
        <v>675</v>
      </c>
      <c r="E13198" s="704" t="s">
        <v>448</v>
      </c>
      <c r="F13198" s="705">
        <v>9.3925517615923923E-2</v>
      </c>
      <c r="G13198" s="705">
        <v>129.18081955568059</v>
      </c>
    </row>
    <row r="13199" spans="2:7" ht="11.25" hidden="1" customHeight="1" outlineLevel="2" x14ac:dyDescent="0.25">
      <c r="B13199" s="704" t="s">
        <v>690</v>
      </c>
      <c r="C13199" s="704" t="s">
        <v>756</v>
      </c>
      <c r="D13199" s="704" t="s">
        <v>675</v>
      </c>
      <c r="E13199" s="704" t="s">
        <v>448</v>
      </c>
      <c r="F13199" s="705">
        <v>5.0616211827888081E-3</v>
      </c>
      <c r="G13199" s="705">
        <v>6.7069835744016881</v>
      </c>
    </row>
    <row r="13200" spans="2:7" ht="11.25" hidden="1" customHeight="1" outlineLevel="2" x14ac:dyDescent="0.25">
      <c r="B13200" s="704" t="s">
        <v>690</v>
      </c>
      <c r="C13200" s="704" t="s">
        <v>757</v>
      </c>
      <c r="D13200" s="704" t="s">
        <v>675</v>
      </c>
      <c r="E13200" s="704" t="s">
        <v>448</v>
      </c>
      <c r="F13200" s="705">
        <v>0.17898588295493581</v>
      </c>
      <c r="G13200" s="705">
        <v>270.4365567230243</v>
      </c>
    </row>
    <row r="13201" spans="2:7" ht="11.25" hidden="1" customHeight="1" outlineLevel="2" x14ac:dyDescent="0.25">
      <c r="B13201" s="704" t="s">
        <v>690</v>
      </c>
      <c r="C13201" s="704" t="s">
        <v>758</v>
      </c>
      <c r="D13201" s="704" t="s">
        <v>675</v>
      </c>
      <c r="E13201" s="704" t="s">
        <v>448</v>
      </c>
      <c r="F13201" s="705">
        <v>8.0587784520916042E-2</v>
      </c>
      <c r="G13201" s="705">
        <v>93.142729529471083</v>
      </c>
    </row>
    <row r="13202" spans="2:7" ht="11.25" hidden="1" customHeight="1" outlineLevel="2" x14ac:dyDescent="0.25">
      <c r="B13202" s="704" t="s">
        <v>690</v>
      </c>
      <c r="C13202" s="704" t="s">
        <v>759</v>
      </c>
      <c r="D13202" s="704" t="s">
        <v>675</v>
      </c>
      <c r="E13202" s="704" t="s">
        <v>448</v>
      </c>
      <c r="F13202" s="705">
        <v>0.39868832658351899</v>
      </c>
      <c r="G13202" s="705">
        <v>563.26590449421019</v>
      </c>
    </row>
    <row r="13203" spans="2:7" ht="11.25" hidden="1" customHeight="1" outlineLevel="2" x14ac:dyDescent="0.25">
      <c r="B13203" s="704" t="s">
        <v>690</v>
      </c>
      <c r="C13203" s="704" t="s">
        <v>760</v>
      </c>
      <c r="D13203" s="704" t="s">
        <v>675</v>
      </c>
      <c r="E13203" s="704" t="s">
        <v>448</v>
      </c>
      <c r="F13203" s="705">
        <v>0.26869145911374259</v>
      </c>
      <c r="G13203" s="705">
        <v>269.83398430372574</v>
      </c>
    </row>
    <row r="13204" spans="2:7" ht="11.25" hidden="1" customHeight="1" outlineLevel="2" x14ac:dyDescent="0.25">
      <c r="B13204" s="704" t="s">
        <v>690</v>
      </c>
      <c r="C13204" s="704" t="s">
        <v>761</v>
      </c>
      <c r="D13204" s="704" t="s">
        <v>675</v>
      </c>
      <c r="E13204" s="704" t="s">
        <v>448</v>
      </c>
      <c r="F13204" s="705">
        <v>1.2777293230573443E-2</v>
      </c>
      <c r="G13204" s="705">
        <v>21.510008590714001</v>
      </c>
    </row>
    <row r="13205" spans="2:7" ht="11.25" hidden="1" customHeight="1" outlineLevel="2" x14ac:dyDescent="0.25">
      <c r="B13205" s="704" t="s">
        <v>690</v>
      </c>
      <c r="C13205" s="704" t="s">
        <v>762</v>
      </c>
      <c r="D13205" s="704" t="s">
        <v>675</v>
      </c>
      <c r="E13205" s="704" t="s">
        <v>448</v>
      </c>
      <c r="F13205" s="705">
        <v>2.5963824402120968E-2</v>
      </c>
      <c r="G13205" s="705">
        <v>36.473206045987119</v>
      </c>
    </row>
    <row r="13206" spans="2:7" ht="11.25" hidden="1" customHeight="1" outlineLevel="2" x14ac:dyDescent="0.25">
      <c r="B13206" s="704" t="s">
        <v>690</v>
      </c>
      <c r="C13206" s="704" t="s">
        <v>763</v>
      </c>
      <c r="D13206" s="704" t="s">
        <v>675</v>
      </c>
      <c r="E13206" s="704" t="s">
        <v>448</v>
      </c>
      <c r="F13206" s="705">
        <v>1.1542977042526794E-2</v>
      </c>
      <c r="G13206" s="705">
        <v>32.683283541969537</v>
      </c>
    </row>
    <row r="13207" spans="2:7" ht="11.25" hidden="1" customHeight="1" outlineLevel="2" x14ac:dyDescent="0.25">
      <c r="B13207" s="704" t="s">
        <v>690</v>
      </c>
      <c r="C13207" s="704" t="s">
        <v>764</v>
      </c>
      <c r="D13207" s="704" t="s">
        <v>675</v>
      </c>
      <c r="E13207" s="704" t="s">
        <v>448</v>
      </c>
      <c r="F13207" s="705">
        <v>1.3443884662421361E-2</v>
      </c>
      <c r="G13207" s="705">
        <v>78.062115692555381</v>
      </c>
    </row>
    <row r="13208" spans="2:7" ht="11.25" hidden="1" customHeight="1" outlineLevel="2" x14ac:dyDescent="0.25">
      <c r="B13208" s="704" t="s">
        <v>690</v>
      </c>
      <c r="C13208" s="704" t="s">
        <v>765</v>
      </c>
      <c r="D13208" s="704" t="s">
        <v>675</v>
      </c>
      <c r="E13208" s="704" t="s">
        <v>448</v>
      </c>
      <c r="F13208" s="705">
        <v>0.12711102683176856</v>
      </c>
      <c r="G13208" s="705">
        <v>184.98698119634037</v>
      </c>
    </row>
    <row r="13209" spans="2:7" ht="11.25" hidden="1" customHeight="1" outlineLevel="2" x14ac:dyDescent="0.25">
      <c r="B13209" s="704" t="s">
        <v>690</v>
      </c>
      <c r="C13209" s="704" t="s">
        <v>766</v>
      </c>
      <c r="D13209" s="704" t="s">
        <v>675</v>
      </c>
      <c r="E13209" s="704" t="s">
        <v>448</v>
      </c>
      <c r="F13209" s="705">
        <v>7.8875390416495397E-2</v>
      </c>
      <c r="G13209" s="705">
        <v>126.95896122421105</v>
      </c>
    </row>
    <row r="13210" spans="2:7" ht="11.25" hidden="1" customHeight="1" outlineLevel="2" x14ac:dyDescent="0.25">
      <c r="B13210" s="704" t="s">
        <v>690</v>
      </c>
      <c r="C13210" s="704" t="s">
        <v>767</v>
      </c>
      <c r="D13210" s="704" t="s">
        <v>675</v>
      </c>
      <c r="E13210" s="704" t="s">
        <v>448</v>
      </c>
      <c r="F13210" s="705">
        <v>3.9703402227266121E-2</v>
      </c>
      <c r="G13210" s="705">
        <v>41.831831126756654</v>
      </c>
    </row>
    <row r="13211" spans="2:7" ht="11.25" hidden="1" customHeight="1" outlineLevel="2" x14ac:dyDescent="0.25">
      <c r="B13211" s="704" t="s">
        <v>690</v>
      </c>
      <c r="C13211" s="704" t="s">
        <v>768</v>
      </c>
      <c r="D13211" s="704" t="s">
        <v>675</v>
      </c>
      <c r="E13211" s="704" t="s">
        <v>448</v>
      </c>
      <c r="F13211" s="705">
        <v>1.8534852354382979E-2</v>
      </c>
      <c r="G13211" s="705">
        <v>29.551335518688099</v>
      </c>
    </row>
    <row r="13212" spans="2:7" ht="11.25" hidden="1" customHeight="1" outlineLevel="2" x14ac:dyDescent="0.25">
      <c r="B13212" s="704" t="s">
        <v>690</v>
      </c>
      <c r="C13212" s="704" t="s">
        <v>825</v>
      </c>
      <c r="D13212" s="704" t="s">
        <v>675</v>
      </c>
      <c r="E13212" s="704" t="s">
        <v>824</v>
      </c>
      <c r="F13212" s="705">
        <v>3.5351632835687479E-3</v>
      </c>
      <c r="G13212" s="705">
        <v>16.738345831867786</v>
      </c>
    </row>
    <row r="13213" spans="2:7" ht="11.25" hidden="1" customHeight="1" outlineLevel="2" x14ac:dyDescent="0.25">
      <c r="B13213" s="704" t="s">
        <v>690</v>
      </c>
      <c r="C13213" s="704" t="s">
        <v>826</v>
      </c>
      <c r="D13213" s="704" t="s">
        <v>675</v>
      </c>
      <c r="E13213" s="704" t="s">
        <v>824</v>
      </c>
      <c r="F13213" s="705">
        <v>2.6279268749185248E-3</v>
      </c>
      <c r="G13213" s="705">
        <v>28.090078927595236</v>
      </c>
    </row>
    <row r="13214" spans="2:7" ht="11.25" hidden="1" customHeight="1" outlineLevel="2" x14ac:dyDescent="0.25">
      <c r="B13214" s="704" t="s">
        <v>690</v>
      </c>
      <c r="C13214" s="704" t="s">
        <v>827</v>
      </c>
      <c r="D13214" s="704" t="s">
        <v>675</v>
      </c>
      <c r="E13214" s="704" t="s">
        <v>824</v>
      </c>
      <c r="F13214" s="705">
        <v>1.9459350621036226E-3</v>
      </c>
      <c r="G13214" s="705">
        <v>4.6469395992144955</v>
      </c>
    </row>
    <row r="13215" spans="2:7" ht="11.25" hidden="1" customHeight="1" outlineLevel="2" x14ac:dyDescent="0.25">
      <c r="B13215" s="704" t="s">
        <v>690</v>
      </c>
      <c r="C13215" s="704" t="s">
        <v>828</v>
      </c>
      <c r="D13215" s="704" t="s">
        <v>675</v>
      </c>
      <c r="E13215" s="704" t="s">
        <v>824</v>
      </c>
      <c r="F13215" s="705">
        <v>5.3061472364418559E-4</v>
      </c>
      <c r="G13215" s="705">
        <v>2.9118767048264109</v>
      </c>
    </row>
    <row r="13216" spans="2:7" ht="11.25" hidden="1" customHeight="1" outlineLevel="2" x14ac:dyDescent="0.25">
      <c r="B13216" s="704" t="s">
        <v>690</v>
      </c>
      <c r="C13216" s="704" t="s">
        <v>829</v>
      </c>
      <c r="D13216" s="704" t="s">
        <v>675</v>
      </c>
      <c r="E13216" s="704" t="s">
        <v>824</v>
      </c>
      <c r="F13216" s="705">
        <v>1.1482867118741887E-2</v>
      </c>
      <c r="G13216" s="705">
        <v>51.530379321853275</v>
      </c>
    </row>
    <row r="13217" spans="2:7" ht="11.25" hidden="1" customHeight="1" outlineLevel="2" x14ac:dyDescent="0.25">
      <c r="B13217" s="704" t="s">
        <v>690</v>
      </c>
      <c r="C13217" s="704" t="s">
        <v>830</v>
      </c>
      <c r="D13217" s="704" t="s">
        <v>675</v>
      </c>
      <c r="E13217" s="704" t="s">
        <v>824</v>
      </c>
      <c r="F13217" s="705">
        <v>1.0417608015189114E-2</v>
      </c>
      <c r="G13217" s="705">
        <v>18.55390989155298</v>
      </c>
    </row>
    <row r="13218" spans="2:7" ht="11.25" hidden="1" customHeight="1" outlineLevel="2" x14ac:dyDescent="0.25">
      <c r="B13218" s="704" t="s">
        <v>690</v>
      </c>
      <c r="C13218" s="704" t="s">
        <v>831</v>
      </c>
      <c r="D13218" s="704" t="s">
        <v>675</v>
      </c>
      <c r="E13218" s="704" t="s">
        <v>824</v>
      </c>
      <c r="F13218" s="705">
        <v>2.8904080474766967E-3</v>
      </c>
      <c r="G13218" s="705">
        <v>47.673853612350918</v>
      </c>
    </row>
    <row r="13219" spans="2:7" ht="11.25" hidden="1" customHeight="1" outlineLevel="2" x14ac:dyDescent="0.25">
      <c r="B13219" s="704" t="s">
        <v>690</v>
      </c>
      <c r="C13219" s="704" t="s">
        <v>832</v>
      </c>
      <c r="D13219" s="704" t="s">
        <v>675</v>
      </c>
      <c r="E13219" s="704" t="s">
        <v>824</v>
      </c>
      <c r="F13219" s="705">
        <v>7.9008238799975102E-3</v>
      </c>
      <c r="G13219" s="705">
        <v>18.987984992498866</v>
      </c>
    </row>
    <row r="13220" spans="2:7" ht="11.25" hidden="1" customHeight="1" outlineLevel="2" x14ac:dyDescent="0.25">
      <c r="B13220" s="704" t="s">
        <v>690</v>
      </c>
      <c r="C13220" s="704" t="s">
        <v>833</v>
      </c>
      <c r="D13220" s="704" t="s">
        <v>675</v>
      </c>
      <c r="E13220" s="704" t="s">
        <v>824</v>
      </c>
      <c r="F13220" s="705">
        <v>1.2066723080553126E-3</v>
      </c>
      <c r="G13220" s="705">
        <v>3.0554459384701942</v>
      </c>
    </row>
    <row r="13221" spans="2:7" ht="11.25" hidden="1" customHeight="1" outlineLevel="2" x14ac:dyDescent="0.25">
      <c r="B13221" s="704" t="s">
        <v>690</v>
      </c>
      <c r="C13221" s="704" t="s">
        <v>834</v>
      </c>
      <c r="D13221" s="704" t="s">
        <v>675</v>
      </c>
      <c r="E13221" s="704" t="s">
        <v>824</v>
      </c>
      <c r="F13221" s="705">
        <v>8.7401652128789222E-3</v>
      </c>
      <c r="G13221" s="705">
        <v>33.053253711468102</v>
      </c>
    </row>
    <row r="13222" spans="2:7" ht="11.25" hidden="1" customHeight="1" outlineLevel="2" x14ac:dyDescent="0.25">
      <c r="B13222" s="704" t="s">
        <v>690</v>
      </c>
      <c r="C13222" s="704" t="s">
        <v>835</v>
      </c>
      <c r="D13222" s="704" t="s">
        <v>675</v>
      </c>
      <c r="E13222" s="704" t="s">
        <v>824</v>
      </c>
      <c r="F13222" s="705">
        <v>1.0962060272839259E-2</v>
      </c>
      <c r="G13222" s="705">
        <v>80.486413875279922</v>
      </c>
    </row>
    <row r="13223" spans="2:7" ht="11.25" hidden="1" customHeight="1" outlineLevel="2" x14ac:dyDescent="0.25">
      <c r="B13223" s="704" t="s">
        <v>690</v>
      </c>
      <c r="C13223" s="704" t="s">
        <v>836</v>
      </c>
      <c r="D13223" s="704" t="s">
        <v>675</v>
      </c>
      <c r="E13223" s="704" t="s">
        <v>824</v>
      </c>
      <c r="F13223" s="705">
        <v>7.6487970531827969E-4</v>
      </c>
      <c r="G13223" s="705">
        <v>8.4077184017403539</v>
      </c>
    </row>
    <row r="13224" spans="2:7" ht="11.25" hidden="1" customHeight="1" outlineLevel="2" x14ac:dyDescent="0.25">
      <c r="B13224" s="704" t="s">
        <v>690</v>
      </c>
      <c r="C13224" s="704" t="s">
        <v>837</v>
      </c>
      <c r="D13224" s="704" t="s">
        <v>675</v>
      </c>
      <c r="E13224" s="704" t="s">
        <v>824</v>
      </c>
      <c r="F13224" s="705">
        <v>2.5225029580156974E-2</v>
      </c>
      <c r="G13224" s="705">
        <v>69.646510712822348</v>
      </c>
    </row>
    <row r="13225" spans="2:7" ht="11.25" hidden="1" customHeight="1" outlineLevel="2" x14ac:dyDescent="0.25">
      <c r="B13225" s="704" t="s">
        <v>690</v>
      </c>
      <c r="C13225" s="704" t="s">
        <v>838</v>
      </c>
      <c r="D13225" s="704" t="s">
        <v>675</v>
      </c>
      <c r="E13225" s="704" t="s">
        <v>824</v>
      </c>
      <c r="F13225" s="705">
        <v>1.3011802293871118E-2</v>
      </c>
      <c r="G13225" s="705">
        <v>28.801723640383369</v>
      </c>
    </row>
    <row r="13226" spans="2:7" ht="11.25" hidden="1" customHeight="1" outlineLevel="2" x14ac:dyDescent="0.25">
      <c r="B13226" s="704" t="s">
        <v>690</v>
      </c>
      <c r="C13226" s="704" t="s">
        <v>674</v>
      </c>
      <c r="D13226" s="704" t="s">
        <v>675</v>
      </c>
      <c r="E13226" s="704" t="s">
        <v>676</v>
      </c>
      <c r="F13226" s="705">
        <v>3.6898614004771145E-2</v>
      </c>
      <c r="G13226" s="705">
        <v>0.91315991552201425</v>
      </c>
    </row>
    <row r="13227" spans="2:7" ht="11.25" hidden="1" customHeight="1" outlineLevel="2" x14ac:dyDescent="0.25">
      <c r="B13227" s="704" t="s">
        <v>690</v>
      </c>
      <c r="C13227" s="704" t="s">
        <v>862</v>
      </c>
      <c r="D13227" s="704" t="s">
        <v>675</v>
      </c>
      <c r="E13227" s="704" t="s">
        <v>861</v>
      </c>
      <c r="F13227" s="709"/>
      <c r="G13227" s="705">
        <v>2711.2806585827957</v>
      </c>
    </row>
    <row r="13228" spans="2:7" ht="11.25" hidden="1" customHeight="1" outlineLevel="2" x14ac:dyDescent="0.25">
      <c r="B13228" s="704" t="s">
        <v>690</v>
      </c>
      <c r="C13228" s="704" t="s">
        <v>863</v>
      </c>
      <c r="D13228" s="704" t="s">
        <v>675</v>
      </c>
      <c r="E13228" s="704" t="s">
        <v>861</v>
      </c>
      <c r="F13228" s="709"/>
      <c r="G13228" s="705">
        <v>4.4195705235518714</v>
      </c>
    </row>
    <row r="13229" spans="2:7" ht="11.25" hidden="1" customHeight="1" outlineLevel="2" x14ac:dyDescent="0.25">
      <c r="B13229" s="704" t="s">
        <v>690</v>
      </c>
      <c r="C13229" s="704" t="s">
        <v>864</v>
      </c>
      <c r="D13229" s="704" t="s">
        <v>675</v>
      </c>
      <c r="E13229" s="704" t="s">
        <v>861</v>
      </c>
      <c r="F13229" s="709"/>
      <c r="G13229" s="705">
        <v>72.810882868562473</v>
      </c>
    </row>
    <row r="13230" spans="2:7" ht="11.25" hidden="1" customHeight="1" outlineLevel="2" x14ac:dyDescent="0.25">
      <c r="B13230" s="704" t="s">
        <v>690</v>
      </c>
      <c r="C13230" s="704" t="s">
        <v>865</v>
      </c>
      <c r="D13230" s="704" t="s">
        <v>675</v>
      </c>
      <c r="E13230" s="704" t="s">
        <v>861</v>
      </c>
      <c r="F13230" s="709"/>
      <c r="G13230" s="705">
        <v>6786.6515097111951</v>
      </c>
    </row>
    <row r="13231" spans="2:7" ht="11.25" hidden="1" customHeight="1" outlineLevel="2" x14ac:dyDescent="0.25">
      <c r="B13231" s="704" t="s">
        <v>690</v>
      </c>
      <c r="C13231" s="704" t="s">
        <v>866</v>
      </c>
      <c r="D13231" s="704" t="s">
        <v>675</v>
      </c>
      <c r="E13231" s="704" t="s">
        <v>861</v>
      </c>
      <c r="F13231" s="709"/>
      <c r="G13231" s="705">
        <v>7382.4523179520675</v>
      </c>
    </row>
    <row r="13232" spans="2:7" ht="11.25" hidden="1" customHeight="1" outlineLevel="2" x14ac:dyDescent="0.25">
      <c r="B13232" s="704" t="s">
        <v>690</v>
      </c>
      <c r="C13232" s="704" t="s">
        <v>867</v>
      </c>
      <c r="D13232" s="704" t="s">
        <v>675</v>
      </c>
      <c r="E13232" s="704" t="s">
        <v>861</v>
      </c>
      <c r="F13232" s="709"/>
      <c r="G13232" s="705">
        <v>406.72443807191718</v>
      </c>
    </row>
    <row r="13233" spans="2:7" ht="11.25" hidden="1" customHeight="1" outlineLevel="2" x14ac:dyDescent="0.25">
      <c r="B13233" s="704" t="s">
        <v>690</v>
      </c>
      <c r="C13233" s="704" t="s">
        <v>868</v>
      </c>
      <c r="D13233" s="704" t="s">
        <v>675</v>
      </c>
      <c r="E13233" s="704" t="s">
        <v>861</v>
      </c>
      <c r="F13233" s="709"/>
      <c r="G13233" s="705">
        <v>251.04245700371214</v>
      </c>
    </row>
    <row r="13234" spans="2:7" ht="11.25" hidden="1" customHeight="1" outlineLevel="2" x14ac:dyDescent="0.25">
      <c r="B13234" s="704" t="s">
        <v>690</v>
      </c>
      <c r="C13234" s="704" t="s">
        <v>869</v>
      </c>
      <c r="D13234" s="704" t="s">
        <v>675</v>
      </c>
      <c r="E13234" s="704" t="s">
        <v>861</v>
      </c>
      <c r="F13234" s="709"/>
      <c r="G13234" s="705">
        <v>749.60011428577025</v>
      </c>
    </row>
    <row r="13235" spans="2:7" ht="11.25" hidden="1" customHeight="1" outlineLevel="2" x14ac:dyDescent="0.25">
      <c r="B13235" s="704" t="s">
        <v>690</v>
      </c>
      <c r="C13235" s="704" t="s">
        <v>870</v>
      </c>
      <c r="D13235" s="704" t="s">
        <v>675</v>
      </c>
      <c r="E13235" s="704" t="s">
        <v>861</v>
      </c>
      <c r="F13235" s="709"/>
      <c r="G13235" s="705">
        <v>3219.678087879387</v>
      </c>
    </row>
    <row r="13236" spans="2:7" ht="11.25" hidden="1" customHeight="1" outlineLevel="2" x14ac:dyDescent="0.25">
      <c r="B13236" s="704" t="s">
        <v>690</v>
      </c>
      <c r="C13236" s="704" t="s">
        <v>871</v>
      </c>
      <c r="D13236" s="704" t="s">
        <v>675</v>
      </c>
      <c r="E13236" s="704" t="s">
        <v>861</v>
      </c>
      <c r="F13236" s="709"/>
      <c r="G13236" s="705">
        <v>2768.546050500845</v>
      </c>
    </row>
    <row r="13237" spans="2:7" ht="11.25" hidden="1" customHeight="1" outlineLevel="2" x14ac:dyDescent="0.25">
      <c r="B13237" s="704" t="s">
        <v>690</v>
      </c>
      <c r="C13237" s="704" t="s">
        <v>872</v>
      </c>
      <c r="D13237" s="704" t="s">
        <v>675</v>
      </c>
      <c r="E13237" s="704" t="s">
        <v>861</v>
      </c>
      <c r="F13237" s="709"/>
      <c r="G13237" s="705">
        <v>27503.711653381306</v>
      </c>
    </row>
    <row r="13238" spans="2:7" ht="11.25" hidden="1" customHeight="1" outlineLevel="2" x14ac:dyDescent="0.25">
      <c r="B13238" s="704" t="s">
        <v>690</v>
      </c>
      <c r="C13238" s="704" t="s">
        <v>873</v>
      </c>
      <c r="D13238" s="704" t="s">
        <v>675</v>
      </c>
      <c r="E13238" s="704" t="s">
        <v>861</v>
      </c>
      <c r="F13238" s="709"/>
      <c r="G13238" s="705">
        <v>228.14194052303674</v>
      </c>
    </row>
    <row r="13239" spans="2:7" ht="11.25" hidden="1" customHeight="1" outlineLevel="2" x14ac:dyDescent="0.25">
      <c r="B13239" s="704" t="s">
        <v>690</v>
      </c>
      <c r="C13239" s="704" t="s">
        <v>874</v>
      </c>
      <c r="D13239" s="704" t="s">
        <v>675</v>
      </c>
      <c r="E13239" s="704" t="s">
        <v>861</v>
      </c>
      <c r="F13239" s="709"/>
      <c r="G13239" s="705">
        <v>107.76186107276507</v>
      </c>
    </row>
    <row r="13240" spans="2:7" ht="11.25" hidden="1" customHeight="1" outlineLevel="2" x14ac:dyDescent="0.25">
      <c r="B13240" s="704" t="s">
        <v>690</v>
      </c>
      <c r="C13240" s="704" t="s">
        <v>875</v>
      </c>
      <c r="D13240" s="704" t="s">
        <v>675</v>
      </c>
      <c r="E13240" s="704" t="s">
        <v>861</v>
      </c>
      <c r="F13240" s="709"/>
      <c r="G13240" s="705">
        <v>6281.6085369711736</v>
      </c>
    </row>
    <row r="13241" spans="2:7" ht="11.25" hidden="1" customHeight="1" outlineLevel="2" x14ac:dyDescent="0.25">
      <c r="B13241" s="704" t="s">
        <v>690</v>
      </c>
      <c r="C13241" s="704" t="s">
        <v>876</v>
      </c>
      <c r="D13241" s="704" t="s">
        <v>675</v>
      </c>
      <c r="E13241" s="704" t="s">
        <v>861</v>
      </c>
      <c r="F13241" s="709"/>
      <c r="G13241" s="705">
        <v>6842.750124300057</v>
      </c>
    </row>
    <row r="13242" spans="2:7" ht="11.25" hidden="1" customHeight="1" outlineLevel="2" x14ac:dyDescent="0.25">
      <c r="B13242" s="704" t="s">
        <v>690</v>
      </c>
      <c r="C13242" s="704" t="s">
        <v>877</v>
      </c>
      <c r="D13242" s="704" t="s">
        <v>675</v>
      </c>
      <c r="E13242" s="704" t="s">
        <v>861</v>
      </c>
      <c r="F13242" s="709"/>
      <c r="G13242" s="705">
        <v>23523.747805134597</v>
      </c>
    </row>
    <row r="13243" spans="2:7" ht="11.25" hidden="1" customHeight="1" outlineLevel="2" x14ac:dyDescent="0.25">
      <c r="B13243" s="704" t="s">
        <v>690</v>
      </c>
      <c r="C13243" s="704" t="s">
        <v>878</v>
      </c>
      <c r="D13243" s="704" t="s">
        <v>675</v>
      </c>
      <c r="E13243" s="704" t="s">
        <v>861</v>
      </c>
      <c r="F13243" s="709"/>
      <c r="G13243" s="705">
        <v>1107.4655383736788</v>
      </c>
    </row>
    <row r="13244" spans="2:7" ht="11.25" hidden="1" customHeight="1" outlineLevel="2" x14ac:dyDescent="0.25">
      <c r="B13244" s="704" t="s">
        <v>690</v>
      </c>
      <c r="C13244" s="704" t="s">
        <v>879</v>
      </c>
      <c r="D13244" s="704" t="s">
        <v>675</v>
      </c>
      <c r="E13244" s="704" t="s">
        <v>861</v>
      </c>
      <c r="F13244" s="709"/>
      <c r="G13244" s="705">
        <v>8803.6052058201512</v>
      </c>
    </row>
    <row r="13245" spans="2:7" ht="11.25" hidden="1" customHeight="1" outlineLevel="2" x14ac:dyDescent="0.25">
      <c r="B13245" s="704" t="s">
        <v>690</v>
      </c>
      <c r="C13245" s="704" t="s">
        <v>880</v>
      </c>
      <c r="D13245" s="704" t="s">
        <v>675</v>
      </c>
      <c r="E13245" s="704" t="s">
        <v>861</v>
      </c>
      <c r="F13245" s="709"/>
      <c r="G13245" s="705">
        <v>29936.636313730993</v>
      </c>
    </row>
    <row r="13246" spans="2:7" ht="11.25" hidden="1" customHeight="1" outlineLevel="2" x14ac:dyDescent="0.25">
      <c r="B13246" s="704" t="s">
        <v>690</v>
      </c>
      <c r="C13246" s="704" t="s">
        <v>881</v>
      </c>
      <c r="D13246" s="704" t="s">
        <v>675</v>
      </c>
      <c r="E13246" s="704" t="s">
        <v>861</v>
      </c>
      <c r="F13246" s="709"/>
      <c r="G13246" s="705">
        <v>18154.753645643883</v>
      </c>
    </row>
    <row r="13247" spans="2:7" ht="11.25" hidden="1" customHeight="1" outlineLevel="2" x14ac:dyDescent="0.25">
      <c r="B13247" s="704" t="s">
        <v>690</v>
      </c>
      <c r="C13247" s="704" t="s">
        <v>882</v>
      </c>
      <c r="D13247" s="704" t="s">
        <v>675</v>
      </c>
      <c r="E13247" s="704" t="s">
        <v>861</v>
      </c>
      <c r="F13247" s="709"/>
      <c r="G13247" s="705">
        <v>27397.876025142705</v>
      </c>
    </row>
    <row r="13248" spans="2:7" ht="11.25" hidden="1" customHeight="1" outlineLevel="2" x14ac:dyDescent="0.25">
      <c r="B13248" s="704" t="s">
        <v>690</v>
      </c>
      <c r="C13248" s="704" t="s">
        <v>883</v>
      </c>
      <c r="D13248" s="704" t="s">
        <v>675</v>
      </c>
      <c r="E13248" s="704" t="s">
        <v>861</v>
      </c>
      <c r="F13248" s="709"/>
      <c r="G13248" s="705">
        <v>12448.553806794826</v>
      </c>
    </row>
    <row r="13249" spans="2:7" ht="11.25" hidden="1" customHeight="1" outlineLevel="2" x14ac:dyDescent="0.25">
      <c r="B13249" s="704" t="s">
        <v>690</v>
      </c>
      <c r="C13249" s="704" t="s">
        <v>884</v>
      </c>
      <c r="D13249" s="704" t="s">
        <v>675</v>
      </c>
      <c r="E13249" s="704" t="s">
        <v>861</v>
      </c>
      <c r="F13249" s="709"/>
      <c r="G13249" s="705">
        <v>2946.9681528042961</v>
      </c>
    </row>
    <row r="13250" spans="2:7" ht="11.25" hidden="1" customHeight="1" outlineLevel="2" x14ac:dyDescent="0.25">
      <c r="B13250" s="704" t="s">
        <v>690</v>
      </c>
      <c r="C13250" s="704" t="s">
        <v>885</v>
      </c>
      <c r="D13250" s="704" t="s">
        <v>675</v>
      </c>
      <c r="E13250" s="704" t="s">
        <v>861</v>
      </c>
      <c r="F13250" s="709"/>
      <c r="G13250" s="705">
        <v>38.354942013291598</v>
      </c>
    </row>
    <row r="13251" spans="2:7" ht="11.25" hidden="1" customHeight="1" outlineLevel="2" x14ac:dyDescent="0.25">
      <c r="B13251" s="704" t="s">
        <v>690</v>
      </c>
      <c r="C13251" s="704" t="s">
        <v>886</v>
      </c>
      <c r="D13251" s="704" t="s">
        <v>675</v>
      </c>
      <c r="E13251" s="704" t="s">
        <v>861</v>
      </c>
      <c r="F13251" s="709"/>
      <c r="G13251" s="705">
        <v>2823.8956985329846</v>
      </c>
    </row>
    <row r="13252" spans="2:7" ht="11.25" hidden="1" customHeight="1" outlineLevel="2" x14ac:dyDescent="0.25">
      <c r="B13252" s="704" t="s">
        <v>690</v>
      </c>
      <c r="C13252" s="704" t="s">
        <v>725</v>
      </c>
      <c r="D13252" s="704" t="s">
        <v>563</v>
      </c>
      <c r="E13252" s="704" t="s">
        <v>448</v>
      </c>
      <c r="F13252" s="705">
        <v>1.2971569028998905E-3</v>
      </c>
      <c r="G13252" s="705">
        <v>0.58151257957200941</v>
      </c>
    </row>
    <row r="13253" spans="2:7" ht="11.25" hidden="1" customHeight="1" outlineLevel="2" x14ac:dyDescent="0.25">
      <c r="B13253" s="704" t="s">
        <v>690</v>
      </c>
      <c r="C13253" s="704" t="s">
        <v>726</v>
      </c>
      <c r="D13253" s="704" t="s">
        <v>563</v>
      </c>
      <c r="E13253" s="704" t="s">
        <v>448</v>
      </c>
      <c r="F13253" s="705">
        <v>1.0216266790839285E-4</v>
      </c>
      <c r="G13253" s="705">
        <v>4.5799177590048368E-2</v>
      </c>
    </row>
    <row r="13254" spans="2:7" ht="11.25" hidden="1" customHeight="1" outlineLevel="2" x14ac:dyDescent="0.25">
      <c r="B13254" s="704" t="s">
        <v>690</v>
      </c>
      <c r="C13254" s="704" t="s">
        <v>769</v>
      </c>
      <c r="D13254" s="704" t="s">
        <v>563</v>
      </c>
      <c r="E13254" s="704" t="s">
        <v>448</v>
      </c>
      <c r="F13254" s="705">
        <v>6.6229954265306451E-2</v>
      </c>
      <c r="G13254" s="705">
        <v>70.732053087906706</v>
      </c>
    </row>
    <row r="13255" spans="2:7" ht="11.25" hidden="1" customHeight="1" outlineLevel="2" x14ac:dyDescent="0.25">
      <c r="B13255" s="704" t="s">
        <v>690</v>
      </c>
      <c r="C13255" s="704" t="s">
        <v>770</v>
      </c>
      <c r="D13255" s="704" t="s">
        <v>563</v>
      </c>
      <c r="E13255" s="704" t="s">
        <v>448</v>
      </c>
      <c r="F13255" s="705">
        <v>6.0210442373786151E-2</v>
      </c>
      <c r="G13255" s="705">
        <v>209.45676887995367</v>
      </c>
    </row>
    <row r="13256" spans="2:7" ht="11.25" hidden="1" customHeight="1" outlineLevel="2" x14ac:dyDescent="0.25">
      <c r="B13256" s="704" t="s">
        <v>690</v>
      </c>
      <c r="C13256" s="704" t="s">
        <v>771</v>
      </c>
      <c r="D13256" s="704" t="s">
        <v>563</v>
      </c>
      <c r="E13256" s="704" t="s">
        <v>448</v>
      </c>
      <c r="F13256" s="705">
        <v>2.2512011149707068E-2</v>
      </c>
      <c r="G13256" s="705">
        <v>52.898797048878428</v>
      </c>
    </row>
    <row r="13257" spans="2:7" ht="11.25" hidden="1" customHeight="1" outlineLevel="2" x14ac:dyDescent="0.25">
      <c r="B13257" s="704" t="s">
        <v>690</v>
      </c>
      <c r="C13257" s="704" t="s">
        <v>772</v>
      </c>
      <c r="D13257" s="704" t="s">
        <v>563</v>
      </c>
      <c r="E13257" s="704" t="s">
        <v>448</v>
      </c>
      <c r="F13257" s="705">
        <v>7.5520103689415974E-2</v>
      </c>
      <c r="G13257" s="705">
        <v>98.600959519767329</v>
      </c>
    </row>
    <row r="13258" spans="2:7" ht="11.25" hidden="1" customHeight="1" outlineLevel="2" x14ac:dyDescent="0.25">
      <c r="B13258" s="704" t="s">
        <v>690</v>
      </c>
      <c r="C13258" s="704" t="s">
        <v>773</v>
      </c>
      <c r="D13258" s="704" t="s">
        <v>563</v>
      </c>
      <c r="E13258" s="704" t="s">
        <v>448</v>
      </c>
      <c r="F13258" s="705">
        <v>4.2306560866032785E-3</v>
      </c>
      <c r="G13258" s="705">
        <v>4.8445319263122704</v>
      </c>
    </row>
    <row r="13259" spans="2:7" ht="11.25" hidden="1" customHeight="1" outlineLevel="2" x14ac:dyDescent="0.25">
      <c r="B13259" s="704" t="s">
        <v>690</v>
      </c>
      <c r="C13259" s="704" t="s">
        <v>774</v>
      </c>
      <c r="D13259" s="704" t="s">
        <v>563</v>
      </c>
      <c r="E13259" s="704" t="s">
        <v>448</v>
      </c>
      <c r="F13259" s="705">
        <v>4.5777593717603081E-3</v>
      </c>
      <c r="G13259" s="705">
        <v>6.1968609689659724</v>
      </c>
    </row>
    <row r="13260" spans="2:7" ht="11.25" hidden="1" customHeight="1" outlineLevel="2" x14ac:dyDescent="0.25">
      <c r="B13260" s="704" t="s">
        <v>690</v>
      </c>
      <c r="C13260" s="704" t="s">
        <v>775</v>
      </c>
      <c r="D13260" s="704" t="s">
        <v>563</v>
      </c>
      <c r="E13260" s="704" t="s">
        <v>448</v>
      </c>
      <c r="F13260" s="705">
        <v>1.6609631478459186E-3</v>
      </c>
      <c r="G13260" s="705">
        <v>21.358017978790173</v>
      </c>
    </row>
    <row r="13261" spans="2:7" ht="11.25" hidden="1" customHeight="1" outlineLevel="2" x14ac:dyDescent="0.25">
      <c r="B13261" s="704" t="s">
        <v>690</v>
      </c>
      <c r="C13261" s="704" t="s">
        <v>839</v>
      </c>
      <c r="D13261" s="704" t="s">
        <v>563</v>
      </c>
      <c r="E13261" s="704" t="s">
        <v>824</v>
      </c>
      <c r="F13261" s="705">
        <v>7.383971435484217E-2</v>
      </c>
      <c r="G13261" s="705">
        <v>179.18405288603662</v>
      </c>
    </row>
    <row r="13262" spans="2:7" ht="11.25" hidden="1" customHeight="1" outlineLevel="2" x14ac:dyDescent="0.25">
      <c r="B13262" s="704" t="s">
        <v>690</v>
      </c>
      <c r="C13262" s="704" t="s">
        <v>840</v>
      </c>
      <c r="D13262" s="704" t="s">
        <v>563</v>
      </c>
      <c r="E13262" s="704" t="s">
        <v>824</v>
      </c>
      <c r="F13262" s="705">
        <v>2.1518602007222092</v>
      </c>
      <c r="G13262" s="705">
        <v>15842.649600742825</v>
      </c>
    </row>
    <row r="13263" spans="2:7" ht="11.25" hidden="1" customHeight="1" outlineLevel="2" x14ac:dyDescent="0.25">
      <c r="B13263" s="704" t="s">
        <v>690</v>
      </c>
      <c r="C13263" s="704" t="s">
        <v>841</v>
      </c>
      <c r="D13263" s="704" t="s">
        <v>563</v>
      </c>
      <c r="E13263" s="704" t="s">
        <v>824</v>
      </c>
      <c r="F13263" s="705">
        <v>1.0466526282762678E-2</v>
      </c>
      <c r="G13263" s="705">
        <v>119.77074958424072</v>
      </c>
    </row>
    <row r="13264" spans="2:7" ht="11.25" hidden="1" customHeight="1" outlineLevel="2" x14ac:dyDescent="0.25">
      <c r="B13264" s="704" t="s">
        <v>690</v>
      </c>
      <c r="C13264" s="704" t="s">
        <v>842</v>
      </c>
      <c r="D13264" s="704" t="s">
        <v>563</v>
      </c>
      <c r="E13264" s="704" t="s">
        <v>824</v>
      </c>
      <c r="F13264" s="705">
        <v>3.7928102515697205E-3</v>
      </c>
      <c r="G13264" s="705">
        <v>37.123385677538877</v>
      </c>
    </row>
    <row r="13265" spans="2:7" ht="11.25" hidden="1" customHeight="1" outlineLevel="2" x14ac:dyDescent="0.25">
      <c r="B13265" s="704" t="s">
        <v>690</v>
      </c>
      <c r="C13265" s="704" t="s">
        <v>843</v>
      </c>
      <c r="D13265" s="704" t="s">
        <v>563</v>
      </c>
      <c r="E13265" s="704" t="s">
        <v>824</v>
      </c>
      <c r="F13265" s="705">
        <v>3.6659667181837227E-3</v>
      </c>
      <c r="G13265" s="705">
        <v>9.5784707315886557</v>
      </c>
    </row>
    <row r="13266" spans="2:7" ht="11.25" hidden="1" customHeight="1" outlineLevel="2" x14ac:dyDescent="0.25">
      <c r="B13266" s="704" t="s">
        <v>690</v>
      </c>
      <c r="C13266" s="704" t="s">
        <v>844</v>
      </c>
      <c r="D13266" s="704" t="s">
        <v>563</v>
      </c>
      <c r="E13266" s="704" t="s">
        <v>824</v>
      </c>
      <c r="F13266" s="705">
        <v>3.6661205804965286E-3</v>
      </c>
      <c r="G13266" s="705">
        <v>72.85558480367358</v>
      </c>
    </row>
    <row r="13267" spans="2:7" ht="11.25" hidden="1" customHeight="1" outlineLevel="2" x14ac:dyDescent="0.25">
      <c r="B13267" s="704" t="s">
        <v>690</v>
      </c>
      <c r="C13267" s="704" t="s">
        <v>700</v>
      </c>
      <c r="D13267" s="704" t="s">
        <v>563</v>
      </c>
      <c r="E13267" s="704" t="s">
        <v>676</v>
      </c>
      <c r="F13267" s="705">
        <v>11.113288835372778</v>
      </c>
      <c r="G13267" s="705">
        <v>935.24610107167052</v>
      </c>
    </row>
    <row r="13268" spans="2:7" ht="11.25" hidden="1" customHeight="1" outlineLevel="2" x14ac:dyDescent="0.25">
      <c r="B13268" s="704" t="s">
        <v>690</v>
      </c>
      <c r="C13268" s="704" t="s">
        <v>701</v>
      </c>
      <c r="D13268" s="704" t="s">
        <v>563</v>
      </c>
      <c r="E13268" s="704" t="s">
        <v>676</v>
      </c>
      <c r="F13268" s="705">
        <v>1.2138550695201257E-2</v>
      </c>
      <c r="G13268" s="705">
        <v>1.0629416503572149</v>
      </c>
    </row>
    <row r="13269" spans="2:7" ht="11.25" hidden="1" customHeight="1" outlineLevel="2" x14ac:dyDescent="0.25">
      <c r="B13269" s="704" t="s">
        <v>690</v>
      </c>
      <c r="C13269" s="704" t="s">
        <v>702</v>
      </c>
      <c r="D13269" s="704" t="s">
        <v>563</v>
      </c>
      <c r="E13269" s="704" t="s">
        <v>676</v>
      </c>
      <c r="F13269" s="705">
        <v>5.6638350063655625E-3</v>
      </c>
      <c r="G13269" s="705">
        <v>0.58048437271119324</v>
      </c>
    </row>
    <row r="13270" spans="2:7" ht="11.25" hidden="1" customHeight="1" outlineLevel="2" x14ac:dyDescent="0.25">
      <c r="B13270" s="704" t="s">
        <v>690</v>
      </c>
      <c r="C13270" s="704" t="s">
        <v>703</v>
      </c>
      <c r="D13270" s="704" t="s">
        <v>563</v>
      </c>
      <c r="E13270" s="704" t="s">
        <v>676</v>
      </c>
      <c r="F13270" s="705">
        <v>5.9404895362686887E-2</v>
      </c>
      <c r="G13270" s="705">
        <v>5.8498384358372366</v>
      </c>
    </row>
    <row r="13271" spans="2:7" ht="11.25" hidden="1" customHeight="1" outlineLevel="2" x14ac:dyDescent="0.25">
      <c r="B13271" s="704" t="s">
        <v>690</v>
      </c>
      <c r="C13271" s="704" t="s">
        <v>704</v>
      </c>
      <c r="D13271" s="704" t="s">
        <v>563</v>
      </c>
      <c r="E13271" s="704" t="s">
        <v>676</v>
      </c>
      <c r="F13271" s="705">
        <v>1.9287872620061427E-2</v>
      </c>
      <c r="G13271" s="705">
        <v>4.3374215486181953</v>
      </c>
    </row>
    <row r="13272" spans="2:7" ht="11.25" hidden="1" customHeight="1" outlineLevel="2" x14ac:dyDescent="0.25">
      <c r="B13272" s="704" t="s">
        <v>690</v>
      </c>
      <c r="C13272" s="704" t="s">
        <v>887</v>
      </c>
      <c r="D13272" s="704" t="s">
        <v>563</v>
      </c>
      <c r="E13272" s="704" t="s">
        <v>861</v>
      </c>
      <c r="F13272" s="709"/>
      <c r="G13272" s="705">
        <v>291.52569676993608</v>
      </c>
    </row>
    <row r="13273" spans="2:7" ht="11.25" hidden="1" customHeight="1" outlineLevel="2" x14ac:dyDescent="0.25">
      <c r="B13273" s="704" t="s">
        <v>690</v>
      </c>
      <c r="C13273" s="704" t="s">
        <v>888</v>
      </c>
      <c r="D13273" s="704" t="s">
        <v>563</v>
      </c>
      <c r="E13273" s="704" t="s">
        <v>861</v>
      </c>
      <c r="F13273" s="709"/>
      <c r="G13273" s="705">
        <v>4230.2041324484071</v>
      </c>
    </row>
    <row r="13274" spans="2:7" ht="11.25" hidden="1" customHeight="1" outlineLevel="2" x14ac:dyDescent="0.25">
      <c r="B13274" s="704" t="s">
        <v>690</v>
      </c>
      <c r="C13274" s="704" t="s">
        <v>889</v>
      </c>
      <c r="D13274" s="704" t="s">
        <v>563</v>
      </c>
      <c r="E13274" s="704" t="s">
        <v>861</v>
      </c>
      <c r="F13274" s="709"/>
      <c r="G13274" s="705">
        <v>1846.3459179634647</v>
      </c>
    </row>
    <row r="13275" spans="2:7" ht="11.25" hidden="1" customHeight="1" outlineLevel="2" x14ac:dyDescent="0.25">
      <c r="B13275" s="704" t="s">
        <v>690</v>
      </c>
      <c r="C13275" s="704" t="s">
        <v>890</v>
      </c>
      <c r="D13275" s="704" t="s">
        <v>563</v>
      </c>
      <c r="E13275" s="704" t="s">
        <v>861</v>
      </c>
      <c r="F13275" s="709"/>
      <c r="G13275" s="705">
        <v>1874.0200226123509</v>
      </c>
    </row>
    <row r="13276" spans="2:7" ht="11.25" hidden="1" customHeight="1" outlineLevel="2" x14ac:dyDescent="0.25">
      <c r="B13276" s="704" t="s">
        <v>690</v>
      </c>
      <c r="C13276" s="704" t="s">
        <v>891</v>
      </c>
      <c r="D13276" s="704" t="s">
        <v>563</v>
      </c>
      <c r="E13276" s="704" t="s">
        <v>861</v>
      </c>
      <c r="F13276" s="709"/>
      <c r="G13276" s="705">
        <v>72.043985497047956</v>
      </c>
    </row>
    <row r="13277" spans="2:7" ht="11.25" hidden="1" customHeight="1" outlineLevel="2" x14ac:dyDescent="0.25">
      <c r="B13277" s="704" t="s">
        <v>690</v>
      </c>
      <c r="C13277" s="704" t="s">
        <v>892</v>
      </c>
      <c r="D13277" s="704" t="s">
        <v>563</v>
      </c>
      <c r="E13277" s="704" t="s">
        <v>861</v>
      </c>
      <c r="F13277" s="709"/>
      <c r="G13277" s="705">
        <v>17015.696469152448</v>
      </c>
    </row>
    <row r="13278" spans="2:7" ht="11.25" hidden="1" customHeight="1" outlineLevel="2" x14ac:dyDescent="0.25">
      <c r="B13278" s="704" t="s">
        <v>690</v>
      </c>
      <c r="C13278" s="704" t="s">
        <v>893</v>
      </c>
      <c r="D13278" s="704" t="s">
        <v>563</v>
      </c>
      <c r="E13278" s="704" t="s">
        <v>861</v>
      </c>
      <c r="F13278" s="709"/>
      <c r="G13278" s="705">
        <v>2663.2389956805355</v>
      </c>
    </row>
    <row r="13279" spans="2:7" ht="11.25" hidden="1" customHeight="1" outlineLevel="2" x14ac:dyDescent="0.25">
      <c r="B13279" s="704" t="s">
        <v>690</v>
      </c>
      <c r="C13279" s="704" t="s">
        <v>727</v>
      </c>
      <c r="D13279" s="704" t="s">
        <v>728</v>
      </c>
      <c r="E13279" s="704" t="s">
        <v>448</v>
      </c>
      <c r="F13279" s="705">
        <v>6.3500289116457387E-2</v>
      </c>
      <c r="G13279" s="705">
        <v>34.776028469762615</v>
      </c>
    </row>
    <row r="13280" spans="2:7" ht="11.25" hidden="1" customHeight="1" outlineLevel="2" x14ac:dyDescent="0.25">
      <c r="B13280" s="704" t="s">
        <v>690</v>
      </c>
      <c r="C13280" s="704" t="s">
        <v>729</v>
      </c>
      <c r="D13280" s="704" t="s">
        <v>728</v>
      </c>
      <c r="E13280" s="704" t="s">
        <v>448</v>
      </c>
      <c r="F13280" s="705">
        <v>0.72267897403535108</v>
      </c>
      <c r="G13280" s="705">
        <v>390.00944570253438</v>
      </c>
    </row>
    <row r="13281" spans="2:7" ht="11.25" hidden="1" customHeight="1" outlineLevel="2" x14ac:dyDescent="0.25">
      <c r="B13281" s="704" t="s">
        <v>690</v>
      </c>
      <c r="C13281" s="704" t="s">
        <v>730</v>
      </c>
      <c r="D13281" s="704" t="s">
        <v>728</v>
      </c>
      <c r="E13281" s="704" t="s">
        <v>448</v>
      </c>
      <c r="F13281" s="705">
        <v>0.91109170347466861</v>
      </c>
      <c r="G13281" s="705">
        <v>475.06938273817013</v>
      </c>
    </row>
    <row r="13282" spans="2:7" ht="11.25" hidden="1" customHeight="1" outlineLevel="2" x14ac:dyDescent="0.25">
      <c r="B13282" s="704" t="s">
        <v>690</v>
      </c>
      <c r="C13282" s="704" t="s">
        <v>731</v>
      </c>
      <c r="D13282" s="704" t="s">
        <v>728</v>
      </c>
      <c r="E13282" s="704" t="s">
        <v>448</v>
      </c>
      <c r="F13282" s="705">
        <v>7.9157510985661741</v>
      </c>
      <c r="G13282" s="705">
        <v>4340.3865681003299</v>
      </c>
    </row>
    <row r="13283" spans="2:7" ht="11.25" hidden="1" customHeight="1" outlineLevel="2" x14ac:dyDescent="0.25">
      <c r="B13283" s="704" t="s">
        <v>690</v>
      </c>
      <c r="C13283" s="704" t="s">
        <v>732</v>
      </c>
      <c r="D13283" s="704" t="s">
        <v>728</v>
      </c>
      <c r="E13283" s="704" t="s">
        <v>448</v>
      </c>
      <c r="F13283" s="705">
        <v>1.1234208844732974</v>
      </c>
      <c r="G13283" s="705">
        <v>662.03188349107904</v>
      </c>
    </row>
    <row r="13284" spans="2:7" ht="11.25" hidden="1" customHeight="1" outlineLevel="2" x14ac:dyDescent="0.25">
      <c r="B13284" s="704" t="s">
        <v>690</v>
      </c>
      <c r="C13284" s="704" t="s">
        <v>733</v>
      </c>
      <c r="D13284" s="704" t="s">
        <v>728</v>
      </c>
      <c r="E13284" s="704" t="s">
        <v>448</v>
      </c>
      <c r="F13284" s="705">
        <v>7.4749929779883839</v>
      </c>
      <c r="G13284" s="705">
        <v>3784.7428901301801</v>
      </c>
    </row>
    <row r="13285" spans="2:7" ht="11.25" hidden="1" customHeight="1" outlineLevel="2" x14ac:dyDescent="0.25">
      <c r="B13285" s="704" t="s">
        <v>690</v>
      </c>
      <c r="C13285" s="704" t="s">
        <v>734</v>
      </c>
      <c r="D13285" s="704" t="s">
        <v>728</v>
      </c>
      <c r="E13285" s="704" t="s">
        <v>448</v>
      </c>
      <c r="F13285" s="705">
        <v>0.79185771868745247</v>
      </c>
      <c r="G13285" s="705">
        <v>426.08232660224161</v>
      </c>
    </row>
    <row r="13286" spans="2:7" ht="11.25" hidden="1" customHeight="1" outlineLevel="2" x14ac:dyDescent="0.25">
      <c r="B13286" s="704" t="s">
        <v>690</v>
      </c>
      <c r="C13286" s="704" t="s">
        <v>735</v>
      </c>
      <c r="D13286" s="704" t="s">
        <v>728</v>
      </c>
      <c r="E13286" s="704" t="s">
        <v>448</v>
      </c>
      <c r="F13286" s="705">
        <v>6.5975082230540725</v>
      </c>
      <c r="G13286" s="705">
        <v>3534.0494739974606</v>
      </c>
    </row>
    <row r="13287" spans="2:7" ht="11.25" hidden="1" customHeight="1" outlineLevel="2" x14ac:dyDescent="0.25">
      <c r="B13287" s="704" t="s">
        <v>690</v>
      </c>
      <c r="C13287" s="704" t="s">
        <v>736</v>
      </c>
      <c r="D13287" s="704" t="s">
        <v>728</v>
      </c>
      <c r="E13287" s="704" t="s">
        <v>448</v>
      </c>
      <c r="F13287" s="705">
        <v>1.3777028249947108</v>
      </c>
      <c r="G13287" s="705">
        <v>202.79054393194093</v>
      </c>
    </row>
    <row r="13288" spans="2:7" ht="11.25" hidden="1" customHeight="1" outlineLevel="2" x14ac:dyDescent="0.25">
      <c r="B13288" s="704" t="s">
        <v>690</v>
      </c>
      <c r="C13288" s="704" t="s">
        <v>737</v>
      </c>
      <c r="D13288" s="704" t="s">
        <v>728</v>
      </c>
      <c r="E13288" s="704" t="s">
        <v>448</v>
      </c>
      <c r="F13288" s="705">
        <v>7.6720698415783719</v>
      </c>
      <c r="G13288" s="705">
        <v>1129.2994959672799</v>
      </c>
    </row>
    <row r="13289" spans="2:7" ht="11.25" hidden="1" customHeight="1" outlineLevel="2" x14ac:dyDescent="0.25">
      <c r="B13289" s="704" t="s">
        <v>690</v>
      </c>
      <c r="C13289" s="704" t="s">
        <v>738</v>
      </c>
      <c r="D13289" s="704" t="s">
        <v>728</v>
      </c>
      <c r="E13289" s="704" t="s">
        <v>448</v>
      </c>
      <c r="F13289" s="705">
        <v>3.2321343652388021E-3</v>
      </c>
      <c r="G13289" s="705">
        <v>1.6153601711763252</v>
      </c>
    </row>
    <row r="13290" spans="2:7" ht="11.25" hidden="1" customHeight="1" outlineLevel="2" x14ac:dyDescent="0.25">
      <c r="B13290" s="704" t="s">
        <v>690</v>
      </c>
      <c r="C13290" s="704" t="s">
        <v>776</v>
      </c>
      <c r="D13290" s="704" t="s">
        <v>728</v>
      </c>
      <c r="E13290" s="704" t="s">
        <v>448</v>
      </c>
      <c r="F13290" s="705">
        <v>9.5581488770674383</v>
      </c>
      <c r="G13290" s="705">
        <v>5935.050573343965</v>
      </c>
    </row>
    <row r="13291" spans="2:7" ht="11.25" hidden="1" customHeight="1" outlineLevel="2" x14ac:dyDescent="0.25">
      <c r="B13291" s="704" t="s">
        <v>690</v>
      </c>
      <c r="C13291" s="704" t="s">
        <v>777</v>
      </c>
      <c r="D13291" s="704" t="s">
        <v>728</v>
      </c>
      <c r="E13291" s="704" t="s">
        <v>448</v>
      </c>
      <c r="F13291" s="705">
        <v>9.2485863957064929</v>
      </c>
      <c r="G13291" s="705">
        <v>11032.472451265405</v>
      </c>
    </row>
    <row r="13292" spans="2:7" ht="11.25" hidden="1" customHeight="1" outlineLevel="2" x14ac:dyDescent="0.25">
      <c r="B13292" s="704" t="s">
        <v>690</v>
      </c>
      <c r="C13292" s="704" t="s">
        <v>778</v>
      </c>
      <c r="D13292" s="704" t="s">
        <v>728</v>
      </c>
      <c r="E13292" s="704" t="s">
        <v>448</v>
      </c>
      <c r="F13292" s="705">
        <v>0.80800048946855096</v>
      </c>
      <c r="G13292" s="705">
        <v>497.66191666199398</v>
      </c>
    </row>
    <row r="13293" spans="2:7" ht="11.25" hidden="1" customHeight="1" outlineLevel="2" x14ac:dyDescent="0.25">
      <c r="B13293" s="704" t="s">
        <v>690</v>
      </c>
      <c r="C13293" s="704" t="s">
        <v>779</v>
      </c>
      <c r="D13293" s="704" t="s">
        <v>728</v>
      </c>
      <c r="E13293" s="704" t="s">
        <v>448</v>
      </c>
      <c r="F13293" s="705">
        <v>7.4965801255609588</v>
      </c>
      <c r="G13293" s="705">
        <v>5615.6269396657945</v>
      </c>
    </row>
    <row r="13294" spans="2:7" ht="11.25" hidden="1" customHeight="1" outlineLevel="2" x14ac:dyDescent="0.25">
      <c r="B13294" s="704" t="s">
        <v>690</v>
      </c>
      <c r="C13294" s="704" t="s">
        <v>780</v>
      </c>
      <c r="D13294" s="704" t="s">
        <v>728</v>
      </c>
      <c r="E13294" s="704" t="s">
        <v>448</v>
      </c>
      <c r="F13294" s="705">
        <v>4.3794712554457459E-2</v>
      </c>
      <c r="G13294" s="705">
        <v>33.040350895167691</v>
      </c>
    </row>
    <row r="13295" spans="2:7" ht="11.25" hidden="1" customHeight="1" outlineLevel="2" x14ac:dyDescent="0.25">
      <c r="B13295" s="704" t="s">
        <v>690</v>
      </c>
      <c r="C13295" s="704" t="s">
        <v>781</v>
      </c>
      <c r="D13295" s="704" t="s">
        <v>728</v>
      </c>
      <c r="E13295" s="704" t="s">
        <v>448</v>
      </c>
      <c r="F13295" s="705">
        <v>0.20552443354877667</v>
      </c>
      <c r="G13295" s="705">
        <v>255.56581943046629</v>
      </c>
    </row>
    <row r="13296" spans="2:7" ht="11.25" hidden="1" customHeight="1" outlineLevel="2" x14ac:dyDescent="0.25">
      <c r="B13296" s="704" t="s">
        <v>690</v>
      </c>
      <c r="C13296" s="704" t="s">
        <v>782</v>
      </c>
      <c r="D13296" s="704" t="s">
        <v>728</v>
      </c>
      <c r="E13296" s="704" t="s">
        <v>448</v>
      </c>
      <c r="F13296" s="705">
        <v>8.3352681215213081E-2</v>
      </c>
      <c r="G13296" s="705">
        <v>63.035076563080395</v>
      </c>
    </row>
    <row r="13297" spans="2:7" ht="11.25" hidden="1" customHeight="1" outlineLevel="2" x14ac:dyDescent="0.25">
      <c r="B13297" s="704" t="s">
        <v>690</v>
      </c>
      <c r="C13297" s="704" t="s">
        <v>783</v>
      </c>
      <c r="D13297" s="704" t="s">
        <v>728</v>
      </c>
      <c r="E13297" s="704" t="s">
        <v>448</v>
      </c>
      <c r="F13297" s="705">
        <v>6.7474845280753755</v>
      </c>
      <c r="G13297" s="705">
        <v>10543.395074097274</v>
      </c>
    </row>
    <row r="13298" spans="2:7" ht="11.25" hidden="1" customHeight="1" outlineLevel="2" x14ac:dyDescent="0.25">
      <c r="B13298" s="704" t="s">
        <v>690</v>
      </c>
      <c r="C13298" s="704" t="s">
        <v>784</v>
      </c>
      <c r="D13298" s="704" t="s">
        <v>728</v>
      </c>
      <c r="E13298" s="704" t="s">
        <v>448</v>
      </c>
      <c r="F13298" s="705">
        <v>1.1923395344509016</v>
      </c>
      <c r="G13298" s="705">
        <v>655.18506109760767</v>
      </c>
    </row>
    <row r="13299" spans="2:7" ht="11.25" hidden="1" customHeight="1" outlineLevel="2" x14ac:dyDescent="0.25">
      <c r="B13299" s="704" t="s">
        <v>690</v>
      </c>
      <c r="C13299" s="704" t="s">
        <v>785</v>
      </c>
      <c r="D13299" s="704" t="s">
        <v>728</v>
      </c>
      <c r="E13299" s="704" t="s">
        <v>448</v>
      </c>
      <c r="F13299" s="705">
        <v>6.64087649387365</v>
      </c>
      <c r="G13299" s="705">
        <v>3648.5907794703398</v>
      </c>
    </row>
    <row r="13300" spans="2:7" ht="11.25" hidden="1" customHeight="1" outlineLevel="2" x14ac:dyDescent="0.25">
      <c r="B13300" s="704" t="s">
        <v>690</v>
      </c>
      <c r="C13300" s="704" t="s">
        <v>786</v>
      </c>
      <c r="D13300" s="704" t="s">
        <v>728</v>
      </c>
      <c r="E13300" s="704" t="s">
        <v>448</v>
      </c>
      <c r="F13300" s="705">
        <v>0.94017933742189774</v>
      </c>
      <c r="G13300" s="705">
        <v>1190.8451641301654</v>
      </c>
    </row>
    <row r="13301" spans="2:7" ht="11.25" hidden="1" customHeight="1" outlineLevel="2" x14ac:dyDescent="0.25">
      <c r="B13301" s="704" t="s">
        <v>690</v>
      </c>
      <c r="C13301" s="704" t="s">
        <v>787</v>
      </c>
      <c r="D13301" s="704" t="s">
        <v>728</v>
      </c>
      <c r="E13301" s="704" t="s">
        <v>448</v>
      </c>
      <c r="F13301" s="705">
        <v>0.86177083214165207</v>
      </c>
      <c r="G13301" s="705">
        <v>1218.1101139123061</v>
      </c>
    </row>
    <row r="13302" spans="2:7" ht="11.25" hidden="1" customHeight="1" outlineLevel="2" x14ac:dyDescent="0.25">
      <c r="B13302" s="704" t="s">
        <v>690</v>
      </c>
      <c r="C13302" s="704" t="s">
        <v>788</v>
      </c>
      <c r="D13302" s="704" t="s">
        <v>728</v>
      </c>
      <c r="E13302" s="704" t="s">
        <v>448</v>
      </c>
      <c r="F13302" s="705">
        <v>1.2146515518764025</v>
      </c>
      <c r="G13302" s="705">
        <v>1386.4592699974771</v>
      </c>
    </row>
    <row r="13303" spans="2:7" ht="11.25" hidden="1" customHeight="1" outlineLevel="2" x14ac:dyDescent="0.25">
      <c r="B13303" s="704" t="s">
        <v>690</v>
      </c>
      <c r="C13303" s="704" t="s">
        <v>789</v>
      </c>
      <c r="D13303" s="704" t="s">
        <v>728</v>
      </c>
      <c r="E13303" s="704" t="s">
        <v>448</v>
      </c>
      <c r="F13303" s="705">
        <v>0.93607878744153783</v>
      </c>
      <c r="G13303" s="705">
        <v>645.62651435798011</v>
      </c>
    </row>
    <row r="13304" spans="2:7" ht="11.25" hidden="1" customHeight="1" outlineLevel="2" x14ac:dyDescent="0.25">
      <c r="B13304" s="704" t="s">
        <v>690</v>
      </c>
      <c r="C13304" s="704" t="s">
        <v>790</v>
      </c>
      <c r="D13304" s="704" t="s">
        <v>728</v>
      </c>
      <c r="E13304" s="704" t="s">
        <v>448</v>
      </c>
      <c r="F13304" s="705">
        <v>12.572048433629616</v>
      </c>
      <c r="G13304" s="705">
        <v>15962.454425927719</v>
      </c>
    </row>
    <row r="13305" spans="2:7" ht="11.25" hidden="1" customHeight="1" outlineLevel="2" x14ac:dyDescent="0.25">
      <c r="B13305" s="704" t="s">
        <v>690</v>
      </c>
      <c r="C13305" s="704" t="s">
        <v>791</v>
      </c>
      <c r="D13305" s="704" t="s">
        <v>728</v>
      </c>
      <c r="E13305" s="704" t="s">
        <v>448</v>
      </c>
      <c r="F13305" s="705">
        <v>11.709415169861535</v>
      </c>
      <c r="G13305" s="705">
        <v>16554.635813954741</v>
      </c>
    </row>
    <row r="13306" spans="2:7" ht="11.25" hidden="1" customHeight="1" outlineLevel="2" x14ac:dyDescent="0.25">
      <c r="B13306" s="704" t="s">
        <v>690</v>
      </c>
      <c r="C13306" s="704" t="s">
        <v>792</v>
      </c>
      <c r="D13306" s="704" t="s">
        <v>728</v>
      </c>
      <c r="E13306" s="704" t="s">
        <v>448</v>
      </c>
      <c r="F13306" s="705">
        <v>1.3182924372319673</v>
      </c>
      <c r="G13306" s="705">
        <v>2771.5935124536718</v>
      </c>
    </row>
    <row r="13307" spans="2:7" ht="11.25" hidden="1" customHeight="1" outlineLevel="2" x14ac:dyDescent="0.25">
      <c r="B13307" s="704" t="s">
        <v>690</v>
      </c>
      <c r="C13307" s="704" t="s">
        <v>793</v>
      </c>
      <c r="D13307" s="704" t="s">
        <v>728</v>
      </c>
      <c r="E13307" s="704" t="s">
        <v>448</v>
      </c>
      <c r="F13307" s="705">
        <v>36.670852629048511</v>
      </c>
      <c r="G13307" s="705">
        <v>53406.353060423637</v>
      </c>
    </row>
    <row r="13308" spans="2:7" ht="11.25" hidden="1" customHeight="1" outlineLevel="2" x14ac:dyDescent="0.25">
      <c r="B13308" s="704" t="s">
        <v>690</v>
      </c>
      <c r="C13308" s="704" t="s">
        <v>794</v>
      </c>
      <c r="D13308" s="704" t="s">
        <v>728</v>
      </c>
      <c r="E13308" s="704" t="s">
        <v>448</v>
      </c>
      <c r="F13308" s="705">
        <v>0.72303531398203813</v>
      </c>
      <c r="G13308" s="705">
        <v>565.41043309778502</v>
      </c>
    </row>
    <row r="13309" spans="2:7" ht="11.25" hidden="1" customHeight="1" outlineLevel="2" x14ac:dyDescent="0.25">
      <c r="B13309" s="704" t="s">
        <v>690</v>
      </c>
      <c r="C13309" s="704" t="s">
        <v>795</v>
      </c>
      <c r="D13309" s="704" t="s">
        <v>728</v>
      </c>
      <c r="E13309" s="704" t="s">
        <v>448</v>
      </c>
      <c r="F13309" s="705">
        <v>2.0883268067926104</v>
      </c>
      <c r="G13309" s="705">
        <v>1636.3486047262375</v>
      </c>
    </row>
    <row r="13310" spans="2:7" ht="11.25" hidden="1" customHeight="1" outlineLevel="2" x14ac:dyDescent="0.25">
      <c r="B13310" s="704" t="s">
        <v>690</v>
      </c>
      <c r="C13310" s="704" t="s">
        <v>845</v>
      </c>
      <c r="D13310" s="704" t="s">
        <v>728</v>
      </c>
      <c r="E13310" s="704" t="s">
        <v>824</v>
      </c>
      <c r="F13310" s="705">
        <v>0.1030699066162611</v>
      </c>
      <c r="G13310" s="705">
        <v>919.42611444259853</v>
      </c>
    </row>
    <row r="13311" spans="2:7" ht="11.25" hidden="1" customHeight="1" outlineLevel="2" x14ac:dyDescent="0.25">
      <c r="B13311" s="704" t="s">
        <v>690</v>
      </c>
      <c r="C13311" s="704" t="s">
        <v>894</v>
      </c>
      <c r="D13311" s="704" t="s">
        <v>728</v>
      </c>
      <c r="E13311" s="704" t="s">
        <v>861</v>
      </c>
      <c r="F13311" s="709"/>
      <c r="G13311" s="705">
        <v>1.4292205341455246</v>
      </c>
    </row>
    <row r="13312" spans="2:7" ht="11.25" hidden="1" customHeight="1" outlineLevel="2" x14ac:dyDescent="0.25">
      <c r="B13312" s="704" t="s">
        <v>690</v>
      </c>
      <c r="C13312" s="704" t="s">
        <v>895</v>
      </c>
      <c r="D13312" s="704" t="s">
        <v>728</v>
      </c>
      <c r="E13312" s="704" t="s">
        <v>861</v>
      </c>
      <c r="F13312" s="709"/>
      <c r="G13312" s="705">
        <v>381.94785105815777</v>
      </c>
    </row>
    <row r="13313" spans="2:7" ht="11.25" hidden="1" customHeight="1" outlineLevel="2" x14ac:dyDescent="0.25">
      <c r="B13313" s="704" t="s">
        <v>690</v>
      </c>
      <c r="C13313" s="704" t="s">
        <v>896</v>
      </c>
      <c r="D13313" s="704" t="s">
        <v>728</v>
      </c>
      <c r="E13313" s="704" t="s">
        <v>861</v>
      </c>
      <c r="F13313" s="709"/>
      <c r="G13313" s="705">
        <v>9994.2693129035761</v>
      </c>
    </row>
    <row r="13314" spans="2:7" ht="11.25" hidden="1" customHeight="1" outlineLevel="2" x14ac:dyDescent="0.25">
      <c r="B13314" s="704" t="s">
        <v>690</v>
      </c>
      <c r="C13314" s="704" t="s">
        <v>897</v>
      </c>
      <c r="D13314" s="704" t="s">
        <v>728</v>
      </c>
      <c r="E13314" s="704" t="s">
        <v>861</v>
      </c>
      <c r="F13314" s="709"/>
      <c r="G13314" s="705">
        <v>2062.4786077436861</v>
      </c>
    </row>
    <row r="13315" spans="2:7" ht="11.25" hidden="1" customHeight="1" outlineLevel="2" x14ac:dyDescent="0.25">
      <c r="B13315" s="704" t="s">
        <v>690</v>
      </c>
      <c r="C13315" s="704" t="s">
        <v>898</v>
      </c>
      <c r="D13315" s="704" t="s">
        <v>728</v>
      </c>
      <c r="E13315" s="704" t="s">
        <v>861</v>
      </c>
      <c r="F13315" s="709"/>
      <c r="G13315" s="705">
        <v>13606.934012804872</v>
      </c>
    </row>
    <row r="13316" spans="2:7" ht="11.25" hidden="1" customHeight="1" outlineLevel="2" x14ac:dyDescent="0.25">
      <c r="B13316" s="704" t="s">
        <v>690</v>
      </c>
      <c r="C13316" s="704" t="s">
        <v>899</v>
      </c>
      <c r="D13316" s="704" t="s">
        <v>728</v>
      </c>
      <c r="E13316" s="704" t="s">
        <v>861</v>
      </c>
      <c r="F13316" s="709"/>
      <c r="G13316" s="705">
        <v>1604.3747800744782</v>
      </c>
    </row>
    <row r="13317" spans="2:7" ht="11.25" hidden="1" customHeight="1" outlineLevel="2" x14ac:dyDescent="0.25">
      <c r="B13317" s="704" t="s">
        <v>690</v>
      </c>
      <c r="C13317" s="704" t="s">
        <v>900</v>
      </c>
      <c r="D13317" s="704" t="s">
        <v>728</v>
      </c>
      <c r="E13317" s="704" t="s">
        <v>861</v>
      </c>
      <c r="F13317" s="709"/>
      <c r="G13317" s="705">
        <v>38.217216136923085</v>
      </c>
    </row>
    <row r="13318" spans="2:7" ht="11.25" hidden="1" customHeight="1" outlineLevel="2" x14ac:dyDescent="0.25">
      <c r="B13318" s="704" t="s">
        <v>690</v>
      </c>
      <c r="C13318" s="704" t="s">
        <v>744</v>
      </c>
      <c r="D13318" s="704" t="s">
        <v>745</v>
      </c>
      <c r="E13318" s="704" t="s">
        <v>448</v>
      </c>
      <c r="F13318" s="705">
        <v>6.1009399200485509E-3</v>
      </c>
      <c r="G13318" s="705">
        <v>3.5281699332147705</v>
      </c>
    </row>
    <row r="13319" spans="2:7" ht="11.25" hidden="1" customHeight="1" outlineLevel="2" x14ac:dyDescent="0.25">
      <c r="B13319" s="704" t="s">
        <v>690</v>
      </c>
      <c r="C13319" s="704" t="s">
        <v>812</v>
      </c>
      <c r="D13319" s="704" t="s">
        <v>745</v>
      </c>
      <c r="E13319" s="704" t="s">
        <v>448</v>
      </c>
      <c r="F13319" s="705">
        <v>7.1403258042166641E-3</v>
      </c>
      <c r="G13319" s="705">
        <v>7.9442156402234207</v>
      </c>
    </row>
    <row r="13320" spans="2:7" ht="11.25" hidden="1" customHeight="1" outlineLevel="2" x14ac:dyDescent="0.25">
      <c r="B13320" s="704" t="s">
        <v>690</v>
      </c>
      <c r="C13320" s="704" t="s">
        <v>813</v>
      </c>
      <c r="D13320" s="704" t="s">
        <v>745</v>
      </c>
      <c r="E13320" s="704" t="s">
        <v>448</v>
      </c>
      <c r="F13320" s="705">
        <v>7.3242126924426645E-5</v>
      </c>
      <c r="G13320" s="705">
        <v>9.3326475797485542E-2</v>
      </c>
    </row>
    <row r="13321" spans="2:7" ht="11.25" hidden="1" customHeight="1" outlineLevel="2" x14ac:dyDescent="0.25">
      <c r="B13321" s="704" t="s">
        <v>690</v>
      </c>
      <c r="C13321" s="704" t="s">
        <v>917</v>
      </c>
      <c r="D13321" s="704" t="s">
        <v>745</v>
      </c>
      <c r="E13321" s="704" t="s">
        <v>861</v>
      </c>
      <c r="F13321" s="709"/>
      <c r="G13321" s="705">
        <v>105.72095573337965</v>
      </c>
    </row>
    <row r="13322" spans="2:7" ht="11.25" hidden="1" customHeight="1" outlineLevel="2" x14ac:dyDescent="0.25">
      <c r="B13322" s="704" t="s">
        <v>690</v>
      </c>
      <c r="C13322" s="704" t="s">
        <v>816</v>
      </c>
      <c r="D13322" s="704" t="s">
        <v>712</v>
      </c>
      <c r="E13322" s="704" t="s">
        <v>448</v>
      </c>
      <c r="F13322" s="705">
        <v>1.1887021458895242E-33</v>
      </c>
      <c r="G13322" s="705">
        <v>1.390752821155065E-30</v>
      </c>
    </row>
    <row r="13323" spans="2:7" ht="11.25" hidden="1" customHeight="1" outlineLevel="2" x14ac:dyDescent="0.25">
      <c r="B13323" s="704" t="s">
        <v>690</v>
      </c>
      <c r="C13323" s="704" t="s">
        <v>711</v>
      </c>
      <c r="D13323" s="704" t="s">
        <v>712</v>
      </c>
      <c r="E13323" s="704" t="s">
        <v>676</v>
      </c>
      <c r="F13323" s="705">
        <v>3.136151520901011E-33</v>
      </c>
      <c r="G13323" s="705">
        <v>7.3601632656396319E-31</v>
      </c>
    </row>
    <row r="13324" spans="2:7" ht="11.25" hidden="1" customHeight="1" outlineLevel="2" x14ac:dyDescent="0.25">
      <c r="B13324" s="704" t="s">
        <v>690</v>
      </c>
      <c r="C13324" s="704" t="s">
        <v>921</v>
      </c>
      <c r="D13324" s="704" t="s">
        <v>712</v>
      </c>
      <c r="E13324" s="704" t="s">
        <v>861</v>
      </c>
      <c r="F13324" s="709"/>
      <c r="G13324" s="705">
        <v>7.9720101268876722E-32</v>
      </c>
    </row>
    <row r="13325" spans="2:7" ht="11.25" hidden="1" customHeight="1" outlineLevel="2" x14ac:dyDescent="0.25">
      <c r="B13325" s="704" t="s">
        <v>690</v>
      </c>
      <c r="C13325" s="704" t="s">
        <v>817</v>
      </c>
      <c r="D13325" s="704" t="s">
        <v>818</v>
      </c>
      <c r="E13325" s="704" t="s">
        <v>448</v>
      </c>
      <c r="F13325" s="705">
        <v>2.1982293795386298</v>
      </c>
      <c r="G13325" s="705">
        <v>1806.0306274049431</v>
      </c>
    </row>
    <row r="13326" spans="2:7" ht="11.25" hidden="1" customHeight="1" outlineLevel="2" x14ac:dyDescent="0.25">
      <c r="B13326" s="704" t="s">
        <v>690</v>
      </c>
      <c r="C13326" s="704" t="s">
        <v>819</v>
      </c>
      <c r="D13326" s="704" t="s">
        <v>818</v>
      </c>
      <c r="E13326" s="704" t="s">
        <v>448</v>
      </c>
      <c r="F13326" s="705">
        <v>0.95721208843369088</v>
      </c>
      <c r="G13326" s="705">
        <v>762.14015301691666</v>
      </c>
    </row>
    <row r="13327" spans="2:7" ht="11.25" hidden="1" customHeight="1" outlineLevel="2" x14ac:dyDescent="0.25">
      <c r="B13327" s="704" t="s">
        <v>690</v>
      </c>
      <c r="C13327" s="704" t="s">
        <v>820</v>
      </c>
      <c r="D13327" s="704" t="s">
        <v>818</v>
      </c>
      <c r="E13327" s="704" t="s">
        <v>448</v>
      </c>
      <c r="F13327" s="705">
        <v>0.36564167633053946</v>
      </c>
      <c r="G13327" s="705">
        <v>568.87827791595441</v>
      </c>
    </row>
    <row r="13328" spans="2:7" ht="11.25" hidden="1" customHeight="1" outlineLevel="2" x14ac:dyDescent="0.25">
      <c r="B13328" s="704" t="s">
        <v>690</v>
      </c>
      <c r="C13328" s="704" t="s">
        <v>857</v>
      </c>
      <c r="D13328" s="704" t="s">
        <v>818</v>
      </c>
      <c r="E13328" s="704" t="s">
        <v>664</v>
      </c>
      <c r="F13328" s="709"/>
      <c r="G13328" s="705">
        <v>506.50924310003296</v>
      </c>
    </row>
    <row r="13329" spans="2:7" ht="11.25" hidden="1" customHeight="1" outlineLevel="2" x14ac:dyDescent="0.25">
      <c r="B13329" s="704" t="s">
        <v>690</v>
      </c>
      <c r="C13329" s="704" t="s">
        <v>858</v>
      </c>
      <c r="D13329" s="704" t="s">
        <v>818</v>
      </c>
      <c r="E13329" s="704" t="s">
        <v>664</v>
      </c>
      <c r="F13329" s="709"/>
      <c r="G13329" s="705">
        <v>4.2295396937791532</v>
      </c>
    </row>
    <row r="13330" spans="2:7" ht="11.25" hidden="1" customHeight="1" outlineLevel="2" x14ac:dyDescent="0.25">
      <c r="B13330" s="704" t="s">
        <v>690</v>
      </c>
      <c r="C13330" s="704" t="s">
        <v>922</v>
      </c>
      <c r="D13330" s="704" t="s">
        <v>822</v>
      </c>
      <c r="E13330" s="704" t="s">
        <v>861</v>
      </c>
      <c r="F13330" s="709"/>
      <c r="G13330" s="705">
        <v>236.50807771485592</v>
      </c>
    </row>
    <row r="13331" spans="2:7" ht="11.25" hidden="1" customHeight="1" outlineLevel="2" x14ac:dyDescent="0.25">
      <c r="B13331" s="704" t="s">
        <v>690</v>
      </c>
      <c r="C13331" s="704" t="s">
        <v>821</v>
      </c>
      <c r="D13331" s="704" t="s">
        <v>822</v>
      </c>
      <c r="E13331" s="704" t="s">
        <v>448</v>
      </c>
      <c r="F13331" s="705">
        <v>7.4628050578419269E-3</v>
      </c>
      <c r="G13331" s="705">
        <v>10.129353351378866</v>
      </c>
    </row>
    <row r="13332" spans="2:7" ht="11.25" hidden="1" customHeight="1" outlineLevel="2" x14ac:dyDescent="0.25">
      <c r="B13332" s="704" t="s">
        <v>690</v>
      </c>
      <c r="C13332" s="704" t="s">
        <v>855</v>
      </c>
      <c r="D13332" s="704" t="s">
        <v>822</v>
      </c>
      <c r="E13332" s="704" t="s">
        <v>824</v>
      </c>
      <c r="F13332" s="705">
        <v>1.1908781446108619E-4</v>
      </c>
      <c r="G13332" s="705">
        <v>0.34471234949977914</v>
      </c>
    </row>
    <row r="13333" spans="2:7" ht="11.25" hidden="1" customHeight="1" outlineLevel="2" x14ac:dyDescent="0.25">
      <c r="B13333" s="704" t="s">
        <v>690</v>
      </c>
      <c r="C13333" s="704" t="s">
        <v>714</v>
      </c>
      <c r="D13333" s="704" t="s">
        <v>715</v>
      </c>
      <c r="E13333" s="704" t="s">
        <v>448</v>
      </c>
      <c r="F13333" s="705">
        <v>2.8230314851747247</v>
      </c>
      <c r="G13333" s="705">
        <v>715.67271940801993</v>
      </c>
    </row>
    <row r="13334" spans="2:7" ht="11.25" hidden="1" customHeight="1" outlineLevel="2" x14ac:dyDescent="0.25">
      <c r="B13334" s="704" t="s">
        <v>690</v>
      </c>
      <c r="C13334" s="704" t="s">
        <v>716</v>
      </c>
      <c r="D13334" s="704" t="s">
        <v>715</v>
      </c>
      <c r="E13334" s="704" t="s">
        <v>448</v>
      </c>
      <c r="F13334" s="705">
        <v>4.2794073780183934E-35</v>
      </c>
      <c r="G13334" s="705">
        <v>5.2178122498499936E-32</v>
      </c>
    </row>
    <row r="13335" spans="2:7" ht="11.25" hidden="1" customHeight="1" outlineLevel="2" x14ac:dyDescent="0.25">
      <c r="B13335" s="704" t="s">
        <v>690</v>
      </c>
      <c r="C13335" s="704" t="s">
        <v>717</v>
      </c>
      <c r="D13335" s="704" t="s">
        <v>715</v>
      </c>
      <c r="E13335" s="704" t="s">
        <v>448</v>
      </c>
      <c r="F13335" s="705">
        <v>3.0238444471910184</v>
      </c>
      <c r="G13335" s="705">
        <v>826.36984331692997</v>
      </c>
    </row>
    <row r="13336" spans="2:7" ht="11.25" hidden="1" customHeight="1" outlineLevel="2" x14ac:dyDescent="0.25">
      <c r="B13336" s="704" t="s">
        <v>690</v>
      </c>
      <c r="C13336" s="704" t="s">
        <v>718</v>
      </c>
      <c r="D13336" s="704" t="s">
        <v>715</v>
      </c>
      <c r="E13336" s="704" t="s">
        <v>448</v>
      </c>
      <c r="F13336" s="705">
        <v>0.19363265633184704</v>
      </c>
      <c r="G13336" s="705">
        <v>212.45914634475341</v>
      </c>
    </row>
    <row r="13337" spans="2:7" ht="11.25" hidden="1" customHeight="1" outlineLevel="2" x14ac:dyDescent="0.25">
      <c r="B13337" s="704" t="s">
        <v>690</v>
      </c>
      <c r="C13337" s="704" t="s">
        <v>746</v>
      </c>
      <c r="D13337" s="704" t="s">
        <v>715</v>
      </c>
      <c r="E13337" s="704" t="s">
        <v>448</v>
      </c>
      <c r="F13337" s="705">
        <v>0.49719541933541239</v>
      </c>
      <c r="G13337" s="705">
        <v>345.82096709269433</v>
      </c>
    </row>
    <row r="13338" spans="2:7" ht="11.25" hidden="1" customHeight="1" outlineLevel="2" x14ac:dyDescent="0.25">
      <c r="B13338" s="704" t="s">
        <v>690</v>
      </c>
      <c r="C13338" s="704" t="s">
        <v>747</v>
      </c>
      <c r="D13338" s="704" t="s">
        <v>715</v>
      </c>
      <c r="E13338" s="704" t="s">
        <v>448</v>
      </c>
      <c r="F13338" s="705">
        <v>4.3048996387418095</v>
      </c>
      <c r="G13338" s="705">
        <v>3686.0027520717504</v>
      </c>
    </row>
    <row r="13339" spans="2:7" ht="11.25" hidden="1" customHeight="1" outlineLevel="2" x14ac:dyDescent="0.25">
      <c r="B13339" s="704" t="s">
        <v>690</v>
      </c>
      <c r="C13339" s="704" t="s">
        <v>748</v>
      </c>
      <c r="D13339" s="704" t="s">
        <v>715</v>
      </c>
      <c r="E13339" s="704" t="s">
        <v>448</v>
      </c>
      <c r="F13339" s="705">
        <v>1.5283074236315448</v>
      </c>
      <c r="G13339" s="705">
        <v>1985.6121574312101</v>
      </c>
    </row>
    <row r="13340" spans="2:7" ht="11.25" hidden="1" customHeight="1" outlineLevel="2" x14ac:dyDescent="0.25">
      <c r="B13340" s="704" t="s">
        <v>690</v>
      </c>
      <c r="C13340" s="704" t="s">
        <v>749</v>
      </c>
      <c r="D13340" s="704" t="s">
        <v>715</v>
      </c>
      <c r="E13340" s="704" t="s">
        <v>448</v>
      </c>
      <c r="F13340" s="705">
        <v>0.26288508667706811</v>
      </c>
      <c r="G13340" s="705">
        <v>207.31125697019095</v>
      </c>
    </row>
    <row r="13341" spans="2:7" ht="11.25" hidden="1" customHeight="1" outlineLevel="2" x14ac:dyDescent="0.25">
      <c r="B13341" s="704" t="s">
        <v>690</v>
      </c>
      <c r="C13341" s="704" t="s">
        <v>823</v>
      </c>
      <c r="D13341" s="704" t="s">
        <v>715</v>
      </c>
      <c r="E13341" s="704" t="s">
        <v>824</v>
      </c>
      <c r="F13341" s="705">
        <v>8.5824269271227577E-3</v>
      </c>
      <c r="G13341" s="705">
        <v>14.338478267024716</v>
      </c>
    </row>
    <row r="13342" spans="2:7" ht="11.25" hidden="1" customHeight="1" outlineLevel="2" x14ac:dyDescent="0.25">
      <c r="B13342" s="704" t="s">
        <v>690</v>
      </c>
      <c r="C13342" s="704" t="s">
        <v>860</v>
      </c>
      <c r="D13342" s="704" t="s">
        <v>715</v>
      </c>
      <c r="E13342" s="704" t="s">
        <v>861</v>
      </c>
      <c r="F13342" s="709"/>
      <c r="G13342" s="705">
        <v>284.18749510955115</v>
      </c>
    </row>
    <row r="13343" spans="2:7" ht="11.25" hidden="1" customHeight="1" outlineLevel="2" x14ac:dyDescent="0.25">
      <c r="B13343" s="704" t="s">
        <v>690</v>
      </c>
      <c r="C13343" s="704" t="s">
        <v>919</v>
      </c>
      <c r="D13343" s="704" t="s">
        <v>920</v>
      </c>
      <c r="E13343" s="704" t="s">
        <v>861</v>
      </c>
      <c r="F13343" s="709"/>
      <c r="G13343" s="705">
        <v>1.6409817621205942E-29</v>
      </c>
    </row>
    <row r="13344" spans="2:7" ht="11.25" hidden="1" customHeight="1" outlineLevel="1" x14ac:dyDescent="0.25">
      <c r="B13344" s="707" t="s">
        <v>956</v>
      </c>
      <c r="C13344" s="704"/>
      <c r="D13344" s="704"/>
      <c r="E13344" s="704"/>
      <c r="F13344" s="709">
        <f t="shared" ref="F13344:G13344" si="41">SUBTOTAL(9,F13133:F13343)</f>
        <v>211.86811288101285</v>
      </c>
      <c r="G13344" s="705">
        <f t="shared" si="41"/>
        <v>481944.77553639025</v>
      </c>
    </row>
    <row r="13345" spans="2:7" ht="11.25" hidden="1" customHeight="1" outlineLevel="2" x14ac:dyDescent="0.25">
      <c r="B13345" s="704" t="s">
        <v>691</v>
      </c>
      <c r="C13345" s="704" t="s">
        <v>739</v>
      </c>
      <c r="D13345" s="704" t="s">
        <v>44</v>
      </c>
      <c r="E13345" s="704" t="s">
        <v>448</v>
      </c>
      <c r="F13345" s="705">
        <v>5.3496567486231955E-4</v>
      </c>
      <c r="G13345" s="705">
        <v>0.32625641658943949</v>
      </c>
    </row>
    <row r="13346" spans="2:7" ht="11.25" hidden="1" customHeight="1" outlineLevel="2" x14ac:dyDescent="0.25">
      <c r="B13346" s="704" t="s">
        <v>691</v>
      </c>
      <c r="C13346" s="704" t="s">
        <v>796</v>
      </c>
      <c r="D13346" s="704" t="s">
        <v>44</v>
      </c>
      <c r="E13346" s="704" t="s">
        <v>448</v>
      </c>
      <c r="F13346" s="705">
        <v>5.6161512201095311E-4</v>
      </c>
      <c r="G13346" s="705">
        <v>0.79145158689685846</v>
      </c>
    </row>
    <row r="13347" spans="2:7" ht="11.25" hidden="1" customHeight="1" outlineLevel="2" x14ac:dyDescent="0.25">
      <c r="B13347" s="704" t="s">
        <v>691</v>
      </c>
      <c r="C13347" s="704" t="s">
        <v>797</v>
      </c>
      <c r="D13347" s="704" t="s">
        <v>44</v>
      </c>
      <c r="E13347" s="704" t="s">
        <v>448</v>
      </c>
      <c r="F13347" s="705">
        <v>8.9738750846535481E-4</v>
      </c>
      <c r="G13347" s="705">
        <v>3.0794944862783331</v>
      </c>
    </row>
    <row r="13348" spans="2:7" ht="11.25" hidden="1" customHeight="1" outlineLevel="2" x14ac:dyDescent="0.25">
      <c r="B13348" s="704" t="s">
        <v>691</v>
      </c>
      <c r="C13348" s="704" t="s">
        <v>798</v>
      </c>
      <c r="D13348" s="704" t="s">
        <v>44</v>
      </c>
      <c r="E13348" s="704" t="s">
        <v>448</v>
      </c>
      <c r="F13348" s="705">
        <v>1.4751278886446963E-5</v>
      </c>
      <c r="G13348" s="705">
        <v>1.9396420221807636E-2</v>
      </c>
    </row>
    <row r="13349" spans="2:7" ht="11.25" hidden="1" customHeight="1" outlineLevel="2" x14ac:dyDescent="0.25">
      <c r="B13349" s="704" t="s">
        <v>691</v>
      </c>
      <c r="C13349" s="704" t="s">
        <v>799</v>
      </c>
      <c r="D13349" s="704" t="s">
        <v>44</v>
      </c>
      <c r="E13349" s="704" t="s">
        <v>448</v>
      </c>
      <c r="F13349" s="705">
        <v>1.5935900939354603E-3</v>
      </c>
      <c r="G13349" s="705">
        <v>2.0938095890717583</v>
      </c>
    </row>
    <row r="13350" spans="2:7" ht="11.25" hidden="1" customHeight="1" outlineLevel="2" x14ac:dyDescent="0.25">
      <c r="B13350" s="704" t="s">
        <v>691</v>
      </c>
      <c r="C13350" s="704" t="s">
        <v>800</v>
      </c>
      <c r="D13350" s="704" t="s">
        <v>44</v>
      </c>
      <c r="E13350" s="704" t="s">
        <v>448</v>
      </c>
      <c r="F13350" s="705">
        <v>5.2448425894817906E-4</v>
      </c>
      <c r="G13350" s="705">
        <v>0.6558717520718037</v>
      </c>
    </row>
    <row r="13351" spans="2:7" ht="11.25" hidden="1" customHeight="1" outlineLevel="2" x14ac:dyDescent="0.25">
      <c r="B13351" s="704" t="s">
        <v>691</v>
      </c>
      <c r="C13351" s="704" t="s">
        <v>801</v>
      </c>
      <c r="D13351" s="704" t="s">
        <v>44</v>
      </c>
      <c r="E13351" s="704" t="s">
        <v>448</v>
      </c>
      <c r="F13351" s="705">
        <v>6.8431073461608519E-3</v>
      </c>
      <c r="G13351" s="705">
        <v>7.1248593543095451</v>
      </c>
    </row>
    <row r="13352" spans="2:7" ht="11.25" hidden="1" customHeight="1" outlineLevel="2" x14ac:dyDescent="0.25">
      <c r="B13352" s="704" t="s">
        <v>691</v>
      </c>
      <c r="C13352" s="704" t="s">
        <v>802</v>
      </c>
      <c r="D13352" s="704" t="s">
        <v>44</v>
      </c>
      <c r="E13352" s="704" t="s">
        <v>448</v>
      </c>
      <c r="F13352" s="705">
        <v>2.2501150080422909E-2</v>
      </c>
      <c r="G13352" s="705">
        <v>15.272156507810053</v>
      </c>
    </row>
    <row r="13353" spans="2:7" ht="11.25" hidden="1" customHeight="1" outlineLevel="2" x14ac:dyDescent="0.25">
      <c r="B13353" s="704" t="s">
        <v>691</v>
      </c>
      <c r="C13353" s="704" t="s">
        <v>803</v>
      </c>
      <c r="D13353" s="704" t="s">
        <v>44</v>
      </c>
      <c r="E13353" s="704" t="s">
        <v>448</v>
      </c>
      <c r="F13353" s="705">
        <v>2.5288582676869609E-3</v>
      </c>
      <c r="G13353" s="705">
        <v>3.3226547161907241</v>
      </c>
    </row>
    <row r="13354" spans="2:7" ht="11.25" hidden="1" customHeight="1" outlineLevel="2" x14ac:dyDescent="0.25">
      <c r="B13354" s="704" t="s">
        <v>691</v>
      </c>
      <c r="C13354" s="704" t="s">
        <v>804</v>
      </c>
      <c r="D13354" s="704" t="s">
        <v>44</v>
      </c>
      <c r="E13354" s="704" t="s">
        <v>448</v>
      </c>
      <c r="F13354" s="705">
        <v>3.7646825324488364E-3</v>
      </c>
      <c r="G13354" s="705">
        <v>4.8111892509149765</v>
      </c>
    </row>
    <row r="13355" spans="2:7" ht="11.25" hidden="1" customHeight="1" outlineLevel="2" x14ac:dyDescent="0.25">
      <c r="B13355" s="704" t="s">
        <v>691</v>
      </c>
      <c r="C13355" s="704" t="s">
        <v>805</v>
      </c>
      <c r="D13355" s="704" t="s">
        <v>44</v>
      </c>
      <c r="E13355" s="704" t="s">
        <v>448</v>
      </c>
      <c r="F13355" s="705">
        <v>7.5501911501571473E-4</v>
      </c>
      <c r="G13355" s="705">
        <v>5.3372720479562723</v>
      </c>
    </row>
    <row r="13356" spans="2:7" ht="11.25" hidden="1" customHeight="1" outlineLevel="2" x14ac:dyDescent="0.25">
      <c r="B13356" s="704" t="s">
        <v>691</v>
      </c>
      <c r="C13356" s="704" t="s">
        <v>846</v>
      </c>
      <c r="D13356" s="704" t="s">
        <v>44</v>
      </c>
      <c r="E13356" s="704" t="s">
        <v>824</v>
      </c>
      <c r="F13356" s="705">
        <v>1.8384088485587773E-5</v>
      </c>
      <c r="G13356" s="705">
        <v>2.9211487241755617E-2</v>
      </c>
    </row>
    <row r="13357" spans="2:7" ht="11.25" hidden="1" customHeight="1" outlineLevel="2" x14ac:dyDescent="0.25">
      <c r="B13357" s="704" t="s">
        <v>691</v>
      </c>
      <c r="C13357" s="704" t="s">
        <v>847</v>
      </c>
      <c r="D13357" s="704" t="s">
        <v>44</v>
      </c>
      <c r="E13357" s="704" t="s">
        <v>824</v>
      </c>
      <c r="F13357" s="705">
        <v>3.7723839916919854E-6</v>
      </c>
      <c r="G13357" s="705">
        <v>3.9756516203079545E-2</v>
      </c>
    </row>
    <row r="13358" spans="2:7" ht="11.25" hidden="1" customHeight="1" outlineLevel="2" x14ac:dyDescent="0.25">
      <c r="B13358" s="704" t="s">
        <v>691</v>
      </c>
      <c r="C13358" s="704" t="s">
        <v>705</v>
      </c>
      <c r="D13358" s="704" t="s">
        <v>44</v>
      </c>
      <c r="E13358" s="704" t="s">
        <v>676</v>
      </c>
      <c r="F13358" s="705">
        <v>7.3592815236315904E-4</v>
      </c>
      <c r="G13358" s="705">
        <v>7.7165293315870015E-3</v>
      </c>
    </row>
    <row r="13359" spans="2:7" ht="11.25" hidden="1" customHeight="1" outlineLevel="2" x14ac:dyDescent="0.25">
      <c r="B13359" s="704" t="s">
        <v>691</v>
      </c>
      <c r="C13359" s="704" t="s">
        <v>706</v>
      </c>
      <c r="D13359" s="704" t="s">
        <v>44</v>
      </c>
      <c r="E13359" s="704" t="s">
        <v>676</v>
      </c>
      <c r="F13359" s="705">
        <v>2.3358868129536717E-4</v>
      </c>
      <c r="G13359" s="705">
        <v>2.448542456148312E-3</v>
      </c>
    </row>
    <row r="13360" spans="2:7" ht="11.25" hidden="1" customHeight="1" outlineLevel="2" x14ac:dyDescent="0.25">
      <c r="B13360" s="704" t="s">
        <v>691</v>
      </c>
      <c r="C13360" s="704" t="s">
        <v>901</v>
      </c>
      <c r="D13360" s="704" t="s">
        <v>44</v>
      </c>
      <c r="E13360" s="704" t="s">
        <v>861</v>
      </c>
      <c r="F13360" s="709"/>
      <c r="G13360" s="705">
        <v>5.7064151977385943E-2</v>
      </c>
    </row>
    <row r="13361" spans="2:7" ht="11.25" hidden="1" customHeight="1" outlineLevel="2" x14ac:dyDescent="0.25">
      <c r="B13361" s="704" t="s">
        <v>691</v>
      </c>
      <c r="C13361" s="704" t="s">
        <v>902</v>
      </c>
      <c r="D13361" s="704" t="s">
        <v>44</v>
      </c>
      <c r="E13361" s="704" t="s">
        <v>861</v>
      </c>
      <c r="F13361" s="709"/>
      <c r="G13361" s="705">
        <v>2467.0189766709268</v>
      </c>
    </row>
    <row r="13362" spans="2:7" ht="11.25" hidden="1" customHeight="1" outlineLevel="2" x14ac:dyDescent="0.25">
      <c r="B13362" s="704" t="s">
        <v>691</v>
      </c>
      <c r="C13362" s="704" t="s">
        <v>903</v>
      </c>
      <c r="D13362" s="704" t="s">
        <v>44</v>
      </c>
      <c r="E13362" s="704" t="s">
        <v>861</v>
      </c>
      <c r="F13362" s="709"/>
      <c r="G13362" s="705">
        <v>221.36696082244919</v>
      </c>
    </row>
    <row r="13363" spans="2:7" ht="11.25" hidden="1" customHeight="1" outlineLevel="2" x14ac:dyDescent="0.25">
      <c r="B13363" s="704" t="s">
        <v>691</v>
      </c>
      <c r="C13363" s="704" t="s">
        <v>904</v>
      </c>
      <c r="D13363" s="704" t="s">
        <v>44</v>
      </c>
      <c r="E13363" s="704" t="s">
        <v>861</v>
      </c>
      <c r="F13363" s="709"/>
      <c r="G13363" s="705">
        <v>1.2304974979885466</v>
      </c>
    </row>
    <row r="13364" spans="2:7" ht="11.25" hidden="1" customHeight="1" outlineLevel="2" x14ac:dyDescent="0.25">
      <c r="B13364" s="704" t="s">
        <v>691</v>
      </c>
      <c r="C13364" s="704" t="s">
        <v>905</v>
      </c>
      <c r="D13364" s="704" t="s">
        <v>44</v>
      </c>
      <c r="E13364" s="704" t="s">
        <v>861</v>
      </c>
      <c r="F13364" s="709"/>
      <c r="G13364" s="705">
        <v>0.25255776988333783</v>
      </c>
    </row>
    <row r="13365" spans="2:7" ht="11.25" hidden="1" customHeight="1" outlineLevel="2" x14ac:dyDescent="0.25">
      <c r="B13365" s="704" t="s">
        <v>691</v>
      </c>
      <c r="C13365" s="704" t="s">
        <v>906</v>
      </c>
      <c r="D13365" s="704" t="s">
        <v>44</v>
      </c>
      <c r="E13365" s="704" t="s">
        <v>861</v>
      </c>
      <c r="F13365" s="709"/>
      <c r="G13365" s="705">
        <v>18.791377593876206</v>
      </c>
    </row>
    <row r="13366" spans="2:7" ht="11.25" hidden="1" customHeight="1" outlineLevel="2" x14ac:dyDescent="0.25">
      <c r="B13366" s="704" t="s">
        <v>691</v>
      </c>
      <c r="C13366" s="704" t="s">
        <v>907</v>
      </c>
      <c r="D13366" s="704" t="s">
        <v>44</v>
      </c>
      <c r="E13366" s="704" t="s">
        <v>861</v>
      </c>
      <c r="F13366" s="709"/>
      <c r="G13366" s="705">
        <v>4.7065496591518374E-2</v>
      </c>
    </row>
    <row r="13367" spans="2:7" ht="11.25" hidden="1" customHeight="1" outlineLevel="2" x14ac:dyDescent="0.25">
      <c r="B13367" s="704" t="s">
        <v>691</v>
      </c>
      <c r="C13367" s="704" t="s">
        <v>908</v>
      </c>
      <c r="D13367" s="704" t="s">
        <v>44</v>
      </c>
      <c r="E13367" s="704" t="s">
        <v>861</v>
      </c>
      <c r="F13367" s="709"/>
      <c r="G13367" s="705">
        <v>17.368372866302117</v>
      </c>
    </row>
    <row r="13368" spans="2:7" ht="11.25" hidden="1" customHeight="1" outlineLevel="2" x14ac:dyDescent="0.25">
      <c r="B13368" s="704" t="s">
        <v>691</v>
      </c>
      <c r="C13368" s="704" t="s">
        <v>909</v>
      </c>
      <c r="D13368" s="704" t="s">
        <v>44</v>
      </c>
      <c r="E13368" s="704" t="s">
        <v>861</v>
      </c>
      <c r="F13368" s="709"/>
      <c r="G13368" s="705">
        <v>48.244788491639881</v>
      </c>
    </row>
    <row r="13369" spans="2:7" ht="11.25" hidden="1" customHeight="1" outlineLevel="2" x14ac:dyDescent="0.25">
      <c r="B13369" s="704" t="s">
        <v>691</v>
      </c>
      <c r="C13369" s="704" t="s">
        <v>910</v>
      </c>
      <c r="D13369" s="704" t="s">
        <v>44</v>
      </c>
      <c r="E13369" s="704" t="s">
        <v>861</v>
      </c>
      <c r="F13369" s="709"/>
      <c r="G13369" s="705">
        <v>35.469307378178527</v>
      </c>
    </row>
    <row r="13370" spans="2:7" ht="11.25" hidden="1" customHeight="1" outlineLevel="2" x14ac:dyDescent="0.25">
      <c r="B13370" s="704" t="s">
        <v>691</v>
      </c>
      <c r="C13370" s="704" t="s">
        <v>814</v>
      </c>
      <c r="D13370" s="704" t="s">
        <v>815</v>
      </c>
      <c r="E13370" s="704" t="s">
        <v>448</v>
      </c>
      <c r="F13370" s="705">
        <v>4.0916936318717795E-6</v>
      </c>
      <c r="G13370" s="705">
        <v>1.1938599343622174E-2</v>
      </c>
    </row>
    <row r="13371" spans="2:7" ht="11.25" hidden="1" customHeight="1" outlineLevel="2" x14ac:dyDescent="0.25">
      <c r="B13371" s="704" t="s">
        <v>691</v>
      </c>
      <c r="C13371" s="704" t="s">
        <v>854</v>
      </c>
      <c r="D13371" s="704" t="s">
        <v>815</v>
      </c>
      <c r="E13371" s="704" t="s">
        <v>824</v>
      </c>
      <c r="F13371" s="705">
        <v>1.1876625467322E-6</v>
      </c>
      <c r="G13371" s="705">
        <v>1.0912109511452375E-2</v>
      </c>
    </row>
    <row r="13372" spans="2:7" ht="11.25" hidden="1" customHeight="1" outlineLevel="2" x14ac:dyDescent="0.25">
      <c r="B13372" s="704" t="s">
        <v>691</v>
      </c>
      <c r="C13372" s="704" t="s">
        <v>918</v>
      </c>
      <c r="D13372" s="704" t="s">
        <v>815</v>
      </c>
      <c r="E13372" s="704" t="s">
        <v>861</v>
      </c>
      <c r="F13372" s="709"/>
      <c r="G13372" s="705">
        <v>0.75035403335883288</v>
      </c>
    </row>
    <row r="13373" spans="2:7" ht="11.25" hidden="1" customHeight="1" outlineLevel="2" x14ac:dyDescent="0.25">
      <c r="B13373" s="704" t="s">
        <v>691</v>
      </c>
      <c r="C13373" s="704" t="s">
        <v>740</v>
      </c>
      <c r="D13373" s="704" t="s">
        <v>562</v>
      </c>
      <c r="E13373" s="704" t="s">
        <v>448</v>
      </c>
      <c r="F13373" s="705">
        <v>7.6304440369809129E-2</v>
      </c>
      <c r="G13373" s="705">
        <v>37.813999433017415</v>
      </c>
    </row>
    <row r="13374" spans="2:7" ht="11.25" hidden="1" customHeight="1" outlineLevel="2" x14ac:dyDescent="0.25">
      <c r="B13374" s="704" t="s">
        <v>691</v>
      </c>
      <c r="C13374" s="704" t="s">
        <v>741</v>
      </c>
      <c r="D13374" s="704" t="s">
        <v>562</v>
      </c>
      <c r="E13374" s="704" t="s">
        <v>448</v>
      </c>
      <c r="F13374" s="705">
        <v>0.4875815242652749</v>
      </c>
      <c r="G13374" s="705">
        <v>252.28274321037858</v>
      </c>
    </row>
    <row r="13375" spans="2:7" ht="11.25" hidden="1" customHeight="1" outlineLevel="2" x14ac:dyDescent="0.25">
      <c r="B13375" s="704" t="s">
        <v>691</v>
      </c>
      <c r="C13375" s="704" t="s">
        <v>742</v>
      </c>
      <c r="D13375" s="704" t="s">
        <v>562</v>
      </c>
      <c r="E13375" s="704" t="s">
        <v>448</v>
      </c>
      <c r="F13375" s="705">
        <v>2.1703821382478786E-4</v>
      </c>
      <c r="G13375" s="705">
        <v>9.7297832973537959E-2</v>
      </c>
    </row>
    <row r="13376" spans="2:7" ht="11.25" hidden="1" customHeight="1" outlineLevel="2" x14ac:dyDescent="0.25">
      <c r="B13376" s="704" t="s">
        <v>691</v>
      </c>
      <c r="C13376" s="704" t="s">
        <v>743</v>
      </c>
      <c r="D13376" s="704" t="s">
        <v>562</v>
      </c>
      <c r="E13376" s="704" t="s">
        <v>448</v>
      </c>
      <c r="F13376" s="705">
        <v>3.4150545834343428E-3</v>
      </c>
      <c r="G13376" s="705">
        <v>1.5309618260523825</v>
      </c>
    </row>
    <row r="13377" spans="2:7" ht="11.25" hidden="1" customHeight="1" outlineLevel="2" x14ac:dyDescent="0.25">
      <c r="B13377" s="704" t="s">
        <v>691</v>
      </c>
      <c r="C13377" s="704" t="s">
        <v>806</v>
      </c>
      <c r="D13377" s="704" t="s">
        <v>562</v>
      </c>
      <c r="E13377" s="704" t="s">
        <v>448</v>
      </c>
      <c r="F13377" s="705">
        <v>6.4419821077171537</v>
      </c>
      <c r="G13377" s="705">
        <v>7783.8205391545462</v>
      </c>
    </row>
    <row r="13378" spans="2:7" ht="11.25" hidden="1" customHeight="1" outlineLevel="2" x14ac:dyDescent="0.25">
      <c r="B13378" s="704" t="s">
        <v>691</v>
      </c>
      <c r="C13378" s="704" t="s">
        <v>807</v>
      </c>
      <c r="D13378" s="704" t="s">
        <v>562</v>
      </c>
      <c r="E13378" s="704" t="s">
        <v>448</v>
      </c>
      <c r="F13378" s="705">
        <v>1.386693922478782</v>
      </c>
      <c r="G13378" s="705">
        <v>1947.8227184046455</v>
      </c>
    </row>
    <row r="13379" spans="2:7" ht="11.25" hidden="1" customHeight="1" outlineLevel="2" x14ac:dyDescent="0.25">
      <c r="B13379" s="704" t="s">
        <v>691</v>
      </c>
      <c r="C13379" s="704" t="s">
        <v>808</v>
      </c>
      <c r="D13379" s="704" t="s">
        <v>562</v>
      </c>
      <c r="E13379" s="704" t="s">
        <v>448</v>
      </c>
      <c r="F13379" s="705">
        <v>0.64011188036513567</v>
      </c>
      <c r="G13379" s="705">
        <v>1032.9162570947967</v>
      </c>
    </row>
    <row r="13380" spans="2:7" ht="11.25" hidden="1" customHeight="1" outlineLevel="2" x14ac:dyDescent="0.25">
      <c r="B13380" s="704" t="s">
        <v>691</v>
      </c>
      <c r="C13380" s="704" t="s">
        <v>809</v>
      </c>
      <c r="D13380" s="704" t="s">
        <v>562</v>
      </c>
      <c r="E13380" s="704" t="s">
        <v>448</v>
      </c>
      <c r="F13380" s="705">
        <v>1.4749403806671226</v>
      </c>
      <c r="G13380" s="705">
        <v>2216.2633736554017</v>
      </c>
    </row>
    <row r="13381" spans="2:7" ht="11.25" hidden="1" customHeight="1" outlineLevel="2" x14ac:dyDescent="0.25">
      <c r="B13381" s="704" t="s">
        <v>691</v>
      </c>
      <c r="C13381" s="704" t="s">
        <v>810</v>
      </c>
      <c r="D13381" s="704" t="s">
        <v>562</v>
      </c>
      <c r="E13381" s="704" t="s">
        <v>448</v>
      </c>
      <c r="F13381" s="705">
        <v>2.7855611929633168</v>
      </c>
      <c r="G13381" s="705">
        <v>3491.5301087410762</v>
      </c>
    </row>
    <row r="13382" spans="2:7" ht="11.25" hidden="1" customHeight="1" outlineLevel="2" x14ac:dyDescent="0.25">
      <c r="B13382" s="704" t="s">
        <v>691</v>
      </c>
      <c r="C13382" s="704" t="s">
        <v>811</v>
      </c>
      <c r="D13382" s="704" t="s">
        <v>562</v>
      </c>
      <c r="E13382" s="704" t="s">
        <v>448</v>
      </c>
      <c r="F13382" s="705">
        <v>0.11858730079874923</v>
      </c>
      <c r="G13382" s="705">
        <v>164.22215945919541</v>
      </c>
    </row>
    <row r="13383" spans="2:7" ht="11.25" hidden="1" customHeight="1" outlineLevel="2" x14ac:dyDescent="0.25">
      <c r="B13383" s="704" t="s">
        <v>691</v>
      </c>
      <c r="C13383" s="704" t="s">
        <v>848</v>
      </c>
      <c r="D13383" s="704" t="s">
        <v>562</v>
      </c>
      <c r="E13383" s="704" t="s">
        <v>824</v>
      </c>
      <c r="F13383" s="705">
        <v>0.37671817912642153</v>
      </c>
      <c r="G13383" s="705">
        <v>1035.6750464783363</v>
      </c>
    </row>
    <row r="13384" spans="2:7" ht="11.25" hidden="1" customHeight="1" outlineLevel="2" x14ac:dyDescent="0.25">
      <c r="B13384" s="704" t="s">
        <v>691</v>
      </c>
      <c r="C13384" s="704" t="s">
        <v>849</v>
      </c>
      <c r="D13384" s="704" t="s">
        <v>562</v>
      </c>
      <c r="E13384" s="704" t="s">
        <v>824</v>
      </c>
      <c r="F13384" s="705">
        <v>5.4695411285579656E-2</v>
      </c>
      <c r="G13384" s="705">
        <v>230.68085301253305</v>
      </c>
    </row>
    <row r="13385" spans="2:7" ht="11.25" hidden="1" customHeight="1" outlineLevel="2" x14ac:dyDescent="0.25">
      <c r="B13385" s="704" t="s">
        <v>691</v>
      </c>
      <c r="C13385" s="704" t="s">
        <v>850</v>
      </c>
      <c r="D13385" s="704" t="s">
        <v>562</v>
      </c>
      <c r="E13385" s="704" t="s">
        <v>824</v>
      </c>
      <c r="F13385" s="705">
        <v>4.046472867951504E-2</v>
      </c>
      <c r="G13385" s="705">
        <v>270.39956327360318</v>
      </c>
    </row>
    <row r="13386" spans="2:7" ht="11.25" hidden="1" customHeight="1" outlineLevel="2" x14ac:dyDescent="0.25">
      <c r="B13386" s="704" t="s">
        <v>691</v>
      </c>
      <c r="C13386" s="704" t="s">
        <v>851</v>
      </c>
      <c r="D13386" s="704" t="s">
        <v>562</v>
      </c>
      <c r="E13386" s="704" t="s">
        <v>824</v>
      </c>
      <c r="F13386" s="705">
        <v>7.0879094562371708E-2</v>
      </c>
      <c r="G13386" s="705">
        <v>335.90399297824308</v>
      </c>
    </row>
    <row r="13387" spans="2:7" ht="11.25" hidden="1" customHeight="1" outlineLevel="2" x14ac:dyDescent="0.25">
      <c r="B13387" s="704" t="s">
        <v>691</v>
      </c>
      <c r="C13387" s="704" t="s">
        <v>852</v>
      </c>
      <c r="D13387" s="704" t="s">
        <v>562</v>
      </c>
      <c r="E13387" s="704" t="s">
        <v>824</v>
      </c>
      <c r="F13387" s="705">
        <v>1.7698105964725312E-3</v>
      </c>
      <c r="G13387" s="705">
        <v>4.5406645073565439</v>
      </c>
    </row>
    <row r="13388" spans="2:7" ht="11.25" hidden="1" customHeight="1" outlineLevel="2" x14ac:dyDescent="0.25">
      <c r="B13388" s="704" t="s">
        <v>691</v>
      </c>
      <c r="C13388" s="704" t="s">
        <v>853</v>
      </c>
      <c r="D13388" s="704" t="s">
        <v>562</v>
      </c>
      <c r="E13388" s="704" t="s">
        <v>824</v>
      </c>
      <c r="F13388" s="705">
        <v>5.1634473004307858E-4</v>
      </c>
      <c r="G13388" s="705">
        <v>4.2176769212382297</v>
      </c>
    </row>
    <row r="13389" spans="2:7" ht="11.25" hidden="1" customHeight="1" outlineLevel="2" x14ac:dyDescent="0.25">
      <c r="B13389" s="704" t="s">
        <v>691</v>
      </c>
      <c r="C13389" s="704" t="s">
        <v>707</v>
      </c>
      <c r="D13389" s="704" t="s">
        <v>562</v>
      </c>
      <c r="E13389" s="704" t="s">
        <v>676</v>
      </c>
      <c r="F13389" s="705">
        <v>8.3233571286583228</v>
      </c>
      <c r="G13389" s="705">
        <v>231.13105238481612</v>
      </c>
    </row>
    <row r="13390" spans="2:7" ht="11.25" hidden="1" customHeight="1" outlineLevel="2" x14ac:dyDescent="0.25">
      <c r="B13390" s="704" t="s">
        <v>691</v>
      </c>
      <c r="C13390" s="704" t="s">
        <v>708</v>
      </c>
      <c r="D13390" s="704" t="s">
        <v>562</v>
      </c>
      <c r="E13390" s="704" t="s">
        <v>676</v>
      </c>
      <c r="F13390" s="705">
        <v>0.31910583205520271</v>
      </c>
      <c r="G13390" s="705">
        <v>11.5999817643679</v>
      </c>
    </row>
    <row r="13391" spans="2:7" ht="11.25" hidden="1" customHeight="1" outlineLevel="2" x14ac:dyDescent="0.25">
      <c r="B13391" s="704" t="s">
        <v>691</v>
      </c>
      <c r="C13391" s="704" t="s">
        <v>709</v>
      </c>
      <c r="D13391" s="704" t="s">
        <v>562</v>
      </c>
      <c r="E13391" s="704" t="s">
        <v>676</v>
      </c>
      <c r="F13391" s="705">
        <v>0.22909449030175949</v>
      </c>
      <c r="G13391" s="705">
        <v>16.067940127399936</v>
      </c>
    </row>
    <row r="13392" spans="2:7" ht="11.25" hidden="1" customHeight="1" outlineLevel="2" x14ac:dyDescent="0.25">
      <c r="B13392" s="704" t="s">
        <v>691</v>
      </c>
      <c r="C13392" s="704" t="s">
        <v>710</v>
      </c>
      <c r="D13392" s="704" t="s">
        <v>562</v>
      </c>
      <c r="E13392" s="704" t="s">
        <v>676</v>
      </c>
      <c r="F13392" s="705">
        <v>2.683956332832051</v>
      </c>
      <c r="G13392" s="705">
        <v>561.6596612133518</v>
      </c>
    </row>
    <row r="13393" spans="2:7" ht="11.25" hidden="1" customHeight="1" outlineLevel="2" x14ac:dyDescent="0.25">
      <c r="B13393" s="704" t="s">
        <v>691</v>
      </c>
      <c r="C13393" s="704" t="s">
        <v>911</v>
      </c>
      <c r="D13393" s="704" t="s">
        <v>562</v>
      </c>
      <c r="E13393" s="704" t="s">
        <v>861</v>
      </c>
      <c r="F13393" s="709"/>
      <c r="G13393" s="705">
        <v>5989.3749209399357</v>
      </c>
    </row>
    <row r="13394" spans="2:7" ht="11.25" hidden="1" customHeight="1" outlineLevel="2" x14ac:dyDescent="0.25">
      <c r="B13394" s="704" t="s">
        <v>691</v>
      </c>
      <c r="C13394" s="704" t="s">
        <v>912</v>
      </c>
      <c r="D13394" s="704" t="s">
        <v>562</v>
      </c>
      <c r="E13394" s="704" t="s">
        <v>861</v>
      </c>
      <c r="F13394" s="709"/>
      <c r="G13394" s="705">
        <v>1413.1296793462102</v>
      </c>
    </row>
    <row r="13395" spans="2:7" ht="11.25" hidden="1" customHeight="1" outlineLevel="2" x14ac:dyDescent="0.25">
      <c r="B13395" s="704" t="s">
        <v>691</v>
      </c>
      <c r="C13395" s="704" t="s">
        <v>913</v>
      </c>
      <c r="D13395" s="704" t="s">
        <v>562</v>
      </c>
      <c r="E13395" s="704" t="s">
        <v>861</v>
      </c>
      <c r="F13395" s="709"/>
      <c r="G13395" s="705">
        <v>3920.8877081330338</v>
      </c>
    </row>
    <row r="13396" spans="2:7" ht="11.25" hidden="1" customHeight="1" outlineLevel="2" x14ac:dyDescent="0.25">
      <c r="B13396" s="704" t="s">
        <v>691</v>
      </c>
      <c r="C13396" s="704" t="s">
        <v>914</v>
      </c>
      <c r="D13396" s="704" t="s">
        <v>562</v>
      </c>
      <c r="E13396" s="704" t="s">
        <v>861</v>
      </c>
      <c r="F13396" s="709"/>
      <c r="G13396" s="705">
        <v>1990.8990980372341</v>
      </c>
    </row>
    <row r="13397" spans="2:7" ht="11.25" hidden="1" customHeight="1" outlineLevel="2" x14ac:dyDescent="0.25">
      <c r="B13397" s="704" t="s">
        <v>691</v>
      </c>
      <c r="C13397" s="704" t="s">
        <v>915</v>
      </c>
      <c r="D13397" s="704" t="s">
        <v>562</v>
      </c>
      <c r="E13397" s="704" t="s">
        <v>861</v>
      </c>
      <c r="F13397" s="709"/>
      <c r="G13397" s="705">
        <v>191.25824905285347</v>
      </c>
    </row>
    <row r="13398" spans="2:7" ht="11.25" hidden="1" customHeight="1" outlineLevel="2" x14ac:dyDescent="0.25">
      <c r="B13398" s="704" t="s">
        <v>691</v>
      </c>
      <c r="C13398" s="704" t="s">
        <v>916</v>
      </c>
      <c r="D13398" s="704" t="s">
        <v>562</v>
      </c>
      <c r="E13398" s="704" t="s">
        <v>861</v>
      </c>
      <c r="F13398" s="709"/>
      <c r="G13398" s="705">
        <v>169.68934005574718</v>
      </c>
    </row>
    <row r="13399" spans="2:7" ht="11.25" hidden="1" customHeight="1" outlineLevel="2" x14ac:dyDescent="0.25">
      <c r="B13399" s="704" t="s">
        <v>691</v>
      </c>
      <c r="C13399" s="704" t="s">
        <v>719</v>
      </c>
      <c r="D13399" s="704" t="s">
        <v>675</v>
      </c>
      <c r="E13399" s="704" t="s">
        <v>448</v>
      </c>
      <c r="F13399" s="705">
        <v>0.18134529092924773</v>
      </c>
      <c r="G13399" s="705">
        <v>111.81691434088999</v>
      </c>
    </row>
    <row r="13400" spans="2:7" ht="11.25" hidden="1" customHeight="1" outlineLevel="2" x14ac:dyDescent="0.25">
      <c r="B13400" s="704" t="s">
        <v>691</v>
      </c>
      <c r="C13400" s="704" t="s">
        <v>720</v>
      </c>
      <c r="D13400" s="704" t="s">
        <v>675</v>
      </c>
      <c r="E13400" s="704" t="s">
        <v>448</v>
      </c>
      <c r="F13400" s="705">
        <v>1.4987029963989262E-2</v>
      </c>
      <c r="G13400" s="705">
        <v>7.2521749093737817</v>
      </c>
    </row>
    <row r="13401" spans="2:7" ht="11.25" hidden="1" customHeight="1" outlineLevel="2" x14ac:dyDescent="0.25">
      <c r="B13401" s="704" t="s">
        <v>691</v>
      </c>
      <c r="C13401" s="704" t="s">
        <v>721</v>
      </c>
      <c r="D13401" s="704" t="s">
        <v>675</v>
      </c>
      <c r="E13401" s="704" t="s">
        <v>448</v>
      </c>
      <c r="F13401" s="705">
        <v>1.8149742295306144E-2</v>
      </c>
      <c r="G13401" s="705">
        <v>8.6695588916122048</v>
      </c>
    </row>
    <row r="13402" spans="2:7" ht="11.25" hidden="1" customHeight="1" outlineLevel="2" x14ac:dyDescent="0.25">
      <c r="B13402" s="704" t="s">
        <v>691</v>
      </c>
      <c r="C13402" s="704" t="s">
        <v>722</v>
      </c>
      <c r="D13402" s="704" t="s">
        <v>675</v>
      </c>
      <c r="E13402" s="704" t="s">
        <v>448</v>
      </c>
      <c r="F13402" s="705">
        <v>1.4482940935460384E-4</v>
      </c>
      <c r="G13402" s="705">
        <v>6.4922215028536318E-2</v>
      </c>
    </row>
    <row r="13403" spans="2:7" ht="11.25" hidden="1" customHeight="1" outlineLevel="2" x14ac:dyDescent="0.25">
      <c r="B13403" s="704" t="s">
        <v>691</v>
      </c>
      <c r="C13403" s="704" t="s">
        <v>723</v>
      </c>
      <c r="D13403" s="704" t="s">
        <v>675</v>
      </c>
      <c r="E13403" s="704" t="s">
        <v>448</v>
      </c>
      <c r="F13403" s="705">
        <v>0.51664672378625776</v>
      </c>
      <c r="G13403" s="705">
        <v>288.9521880981851</v>
      </c>
    </row>
    <row r="13404" spans="2:7" ht="11.25" hidden="1" customHeight="1" outlineLevel="2" x14ac:dyDescent="0.25">
      <c r="B13404" s="704" t="s">
        <v>691</v>
      </c>
      <c r="C13404" s="704" t="s">
        <v>724</v>
      </c>
      <c r="D13404" s="704" t="s">
        <v>675</v>
      </c>
      <c r="E13404" s="704" t="s">
        <v>448</v>
      </c>
      <c r="F13404" s="705">
        <v>3.7712407010094982E-3</v>
      </c>
      <c r="G13404" s="705">
        <v>1.6905223059936356</v>
      </c>
    </row>
    <row r="13405" spans="2:7" ht="11.25" hidden="1" customHeight="1" outlineLevel="2" x14ac:dyDescent="0.25">
      <c r="B13405" s="704" t="s">
        <v>691</v>
      </c>
      <c r="C13405" s="704" t="s">
        <v>750</v>
      </c>
      <c r="D13405" s="704" t="s">
        <v>675</v>
      </c>
      <c r="E13405" s="704" t="s">
        <v>448</v>
      </c>
      <c r="F13405" s="705">
        <v>6.3820549705336641E-2</v>
      </c>
      <c r="G13405" s="705">
        <v>99.402951302301162</v>
      </c>
    </row>
    <row r="13406" spans="2:7" ht="11.25" hidden="1" customHeight="1" outlineLevel="2" x14ac:dyDescent="0.25">
      <c r="B13406" s="704" t="s">
        <v>691</v>
      </c>
      <c r="C13406" s="704" t="s">
        <v>751</v>
      </c>
      <c r="D13406" s="704" t="s">
        <v>675</v>
      </c>
      <c r="E13406" s="704" t="s">
        <v>448</v>
      </c>
      <c r="F13406" s="705">
        <v>5.652717718504837E-4</v>
      </c>
      <c r="G13406" s="705">
        <v>0.73456207968541143</v>
      </c>
    </row>
    <row r="13407" spans="2:7" ht="11.25" hidden="1" customHeight="1" outlineLevel="2" x14ac:dyDescent="0.25">
      <c r="B13407" s="704" t="s">
        <v>691</v>
      </c>
      <c r="C13407" s="704" t="s">
        <v>752</v>
      </c>
      <c r="D13407" s="704" t="s">
        <v>675</v>
      </c>
      <c r="E13407" s="704" t="s">
        <v>448</v>
      </c>
      <c r="F13407" s="705">
        <v>0.15549186586636338</v>
      </c>
      <c r="G13407" s="705">
        <v>186.01249488639067</v>
      </c>
    </row>
    <row r="13408" spans="2:7" ht="11.25" hidden="1" customHeight="1" outlineLevel="2" x14ac:dyDescent="0.25">
      <c r="B13408" s="704" t="s">
        <v>691</v>
      </c>
      <c r="C13408" s="704" t="s">
        <v>753</v>
      </c>
      <c r="D13408" s="704" t="s">
        <v>675</v>
      </c>
      <c r="E13408" s="704" t="s">
        <v>448</v>
      </c>
      <c r="F13408" s="705">
        <v>0.11138023400817618</v>
      </c>
      <c r="G13408" s="705">
        <v>175.77033987204032</v>
      </c>
    </row>
    <row r="13409" spans="2:7" ht="11.25" hidden="1" customHeight="1" outlineLevel="2" x14ac:dyDescent="0.25">
      <c r="B13409" s="704" t="s">
        <v>691</v>
      </c>
      <c r="C13409" s="704" t="s">
        <v>754</v>
      </c>
      <c r="D13409" s="704" t="s">
        <v>675</v>
      </c>
      <c r="E13409" s="704" t="s">
        <v>448</v>
      </c>
      <c r="F13409" s="705">
        <v>0.27423797208565281</v>
      </c>
      <c r="G13409" s="705">
        <v>349.84230726718607</v>
      </c>
    </row>
    <row r="13410" spans="2:7" ht="11.25" hidden="1" customHeight="1" outlineLevel="2" x14ac:dyDescent="0.25">
      <c r="B13410" s="704" t="s">
        <v>691</v>
      </c>
      <c r="C13410" s="704" t="s">
        <v>755</v>
      </c>
      <c r="D13410" s="704" t="s">
        <v>675</v>
      </c>
      <c r="E13410" s="704" t="s">
        <v>448</v>
      </c>
      <c r="F13410" s="705">
        <v>0.10726595777636527</v>
      </c>
      <c r="G13410" s="705">
        <v>147.52860446090148</v>
      </c>
    </row>
    <row r="13411" spans="2:7" ht="11.25" hidden="1" customHeight="1" outlineLevel="2" x14ac:dyDescent="0.25">
      <c r="B13411" s="704" t="s">
        <v>691</v>
      </c>
      <c r="C13411" s="704" t="s">
        <v>756</v>
      </c>
      <c r="D13411" s="704" t="s">
        <v>675</v>
      </c>
      <c r="E13411" s="704" t="s">
        <v>448</v>
      </c>
      <c r="F13411" s="705">
        <v>5.7805337967976704E-3</v>
      </c>
      <c r="G13411" s="705">
        <v>7.6595859810700446</v>
      </c>
    </row>
    <row r="13412" spans="2:7" ht="11.25" hidden="1" customHeight="1" outlineLevel="2" x14ac:dyDescent="0.25">
      <c r="B13412" s="704" t="s">
        <v>691</v>
      </c>
      <c r="C13412" s="704" t="s">
        <v>757</v>
      </c>
      <c r="D13412" s="704" t="s">
        <v>675</v>
      </c>
      <c r="E13412" s="704" t="s">
        <v>448</v>
      </c>
      <c r="F13412" s="705">
        <v>0.20440750781713052</v>
      </c>
      <c r="G13412" s="705">
        <v>308.84719825140365</v>
      </c>
    </row>
    <row r="13413" spans="2:7" ht="11.25" hidden="1" customHeight="1" outlineLevel="2" x14ac:dyDescent="0.25">
      <c r="B13413" s="704" t="s">
        <v>691</v>
      </c>
      <c r="C13413" s="704" t="s">
        <v>758</v>
      </c>
      <c r="D13413" s="704" t="s">
        <v>675</v>
      </c>
      <c r="E13413" s="704" t="s">
        <v>448</v>
      </c>
      <c r="F13413" s="705">
        <v>9.2033804787490431E-2</v>
      </c>
      <c r="G13413" s="705">
        <v>106.37190937548402</v>
      </c>
    </row>
    <row r="13414" spans="2:7" ht="11.25" hidden="1" customHeight="1" outlineLevel="2" x14ac:dyDescent="0.25">
      <c r="B13414" s="704" t="s">
        <v>691</v>
      </c>
      <c r="C13414" s="704" t="s">
        <v>759</v>
      </c>
      <c r="D13414" s="704" t="s">
        <v>675</v>
      </c>
      <c r="E13414" s="704" t="s">
        <v>448</v>
      </c>
      <c r="F13414" s="705">
        <v>0.45531476404442262</v>
      </c>
      <c r="G13414" s="705">
        <v>643.26750601179947</v>
      </c>
    </row>
    <row r="13415" spans="2:7" ht="11.25" hidden="1" customHeight="1" outlineLevel="2" x14ac:dyDescent="0.25">
      <c r="B13415" s="704" t="s">
        <v>691</v>
      </c>
      <c r="C13415" s="704" t="s">
        <v>760</v>
      </c>
      <c r="D13415" s="704" t="s">
        <v>675</v>
      </c>
      <c r="E13415" s="704" t="s">
        <v>448</v>
      </c>
      <c r="F13415" s="705">
        <v>0.30685410671388086</v>
      </c>
      <c r="G13415" s="705">
        <v>308.15900092940763</v>
      </c>
    </row>
    <row r="13416" spans="2:7" ht="11.25" hidden="1" customHeight="1" outlineLevel="2" x14ac:dyDescent="0.25">
      <c r="B13416" s="704" t="s">
        <v>691</v>
      </c>
      <c r="C13416" s="704" t="s">
        <v>761</v>
      </c>
      <c r="D13416" s="704" t="s">
        <v>675</v>
      </c>
      <c r="E13416" s="704" t="s">
        <v>448</v>
      </c>
      <c r="F13416" s="705">
        <v>1.4592072382607756E-2</v>
      </c>
      <c r="G13416" s="705">
        <v>24.565110961894387</v>
      </c>
    </row>
    <row r="13417" spans="2:7" ht="11.25" hidden="1" customHeight="1" outlineLevel="2" x14ac:dyDescent="0.25">
      <c r="B13417" s="704" t="s">
        <v>691</v>
      </c>
      <c r="C13417" s="704" t="s">
        <v>762</v>
      </c>
      <c r="D13417" s="704" t="s">
        <v>675</v>
      </c>
      <c r="E13417" s="704" t="s">
        <v>448</v>
      </c>
      <c r="F13417" s="705">
        <v>2.9651512352541268E-2</v>
      </c>
      <c r="G13417" s="705">
        <v>41.6535575811968</v>
      </c>
    </row>
    <row r="13418" spans="2:7" ht="11.25" hidden="1" customHeight="1" outlineLevel="2" x14ac:dyDescent="0.25">
      <c r="B13418" s="704" t="s">
        <v>691</v>
      </c>
      <c r="C13418" s="704" t="s">
        <v>763</v>
      </c>
      <c r="D13418" s="704" t="s">
        <v>675</v>
      </c>
      <c r="E13418" s="704" t="s">
        <v>448</v>
      </c>
      <c r="F13418" s="705">
        <v>1.318244012631755E-2</v>
      </c>
      <c r="G13418" s="705">
        <v>37.325349481311214</v>
      </c>
    </row>
    <row r="13419" spans="2:7" ht="11.25" hidden="1" customHeight="1" outlineLevel="2" x14ac:dyDescent="0.25">
      <c r="B13419" s="704" t="s">
        <v>691</v>
      </c>
      <c r="C13419" s="704" t="s">
        <v>764</v>
      </c>
      <c r="D13419" s="704" t="s">
        <v>675</v>
      </c>
      <c r="E13419" s="704" t="s">
        <v>448</v>
      </c>
      <c r="F13419" s="705">
        <v>1.5353339045219674E-2</v>
      </c>
      <c r="G13419" s="705">
        <v>89.14942914289027</v>
      </c>
    </row>
    <row r="13420" spans="2:7" ht="11.25" hidden="1" customHeight="1" outlineLevel="2" x14ac:dyDescent="0.25">
      <c r="B13420" s="704" t="s">
        <v>691</v>
      </c>
      <c r="C13420" s="704" t="s">
        <v>765</v>
      </c>
      <c r="D13420" s="704" t="s">
        <v>675</v>
      </c>
      <c r="E13420" s="704" t="s">
        <v>448</v>
      </c>
      <c r="F13420" s="705">
        <v>0.14516478400622432</v>
      </c>
      <c r="G13420" s="705">
        <v>211.26091058153278</v>
      </c>
    </row>
    <row r="13421" spans="2:7" ht="11.25" hidden="1" customHeight="1" outlineLevel="2" x14ac:dyDescent="0.25">
      <c r="B13421" s="704" t="s">
        <v>691</v>
      </c>
      <c r="C13421" s="704" t="s">
        <v>766</v>
      </c>
      <c r="D13421" s="704" t="s">
        <v>675</v>
      </c>
      <c r="E13421" s="704" t="s">
        <v>448</v>
      </c>
      <c r="F13421" s="705">
        <v>9.0078171615274011E-2</v>
      </c>
      <c r="G13421" s="705">
        <v>144.99114397208555</v>
      </c>
    </row>
    <row r="13422" spans="2:7" ht="11.25" hidden="1" customHeight="1" outlineLevel="2" x14ac:dyDescent="0.25">
      <c r="B13422" s="704" t="s">
        <v>691</v>
      </c>
      <c r="C13422" s="704" t="s">
        <v>767</v>
      </c>
      <c r="D13422" s="704" t="s">
        <v>675</v>
      </c>
      <c r="E13422" s="704" t="s">
        <v>448</v>
      </c>
      <c r="F13422" s="705">
        <v>4.5342535818840353E-2</v>
      </c>
      <c r="G13422" s="705">
        <v>47.773265304127733</v>
      </c>
    </row>
    <row r="13423" spans="2:7" ht="11.25" hidden="1" customHeight="1" outlineLevel="2" x14ac:dyDescent="0.25">
      <c r="B13423" s="704" t="s">
        <v>691</v>
      </c>
      <c r="C13423" s="704" t="s">
        <v>768</v>
      </c>
      <c r="D13423" s="704" t="s">
        <v>675</v>
      </c>
      <c r="E13423" s="704" t="s">
        <v>448</v>
      </c>
      <c r="F13423" s="705">
        <v>2.1167384282546501E-2</v>
      </c>
      <c r="G13423" s="705">
        <v>33.748545599238625</v>
      </c>
    </row>
    <row r="13424" spans="2:7" ht="11.25" hidden="1" customHeight="1" outlineLevel="2" x14ac:dyDescent="0.25">
      <c r="B13424" s="704" t="s">
        <v>691</v>
      </c>
      <c r="C13424" s="704" t="s">
        <v>825</v>
      </c>
      <c r="D13424" s="704" t="s">
        <v>675</v>
      </c>
      <c r="E13424" s="704" t="s">
        <v>824</v>
      </c>
      <c r="F13424" s="705">
        <v>4.0372676904417981E-3</v>
      </c>
      <c r="G13424" s="705">
        <v>19.115701903041526</v>
      </c>
    </row>
    <row r="13425" spans="2:7" ht="11.25" hidden="1" customHeight="1" outlineLevel="2" x14ac:dyDescent="0.25">
      <c r="B13425" s="704" t="s">
        <v>691</v>
      </c>
      <c r="C13425" s="704" t="s">
        <v>826</v>
      </c>
      <c r="D13425" s="704" t="s">
        <v>675</v>
      </c>
      <c r="E13425" s="704" t="s">
        <v>824</v>
      </c>
      <c r="F13425" s="705">
        <v>3.0011760625375393E-3</v>
      </c>
      <c r="G13425" s="705">
        <v>32.079750328051951</v>
      </c>
    </row>
    <row r="13426" spans="2:7" ht="11.25" hidden="1" customHeight="1" outlineLevel="2" x14ac:dyDescent="0.25">
      <c r="B13426" s="704" t="s">
        <v>691</v>
      </c>
      <c r="C13426" s="704" t="s">
        <v>827</v>
      </c>
      <c r="D13426" s="704" t="s">
        <v>675</v>
      </c>
      <c r="E13426" s="704" t="s">
        <v>824</v>
      </c>
      <c r="F13426" s="705">
        <v>2.2223190897344247E-3</v>
      </c>
      <c r="G13426" s="705">
        <v>5.306953160014193</v>
      </c>
    </row>
    <row r="13427" spans="2:7" ht="11.25" hidden="1" customHeight="1" outlineLevel="2" x14ac:dyDescent="0.25">
      <c r="B13427" s="704" t="s">
        <v>691</v>
      </c>
      <c r="C13427" s="704" t="s">
        <v>828</v>
      </c>
      <c r="D13427" s="704" t="s">
        <v>675</v>
      </c>
      <c r="E13427" s="704" t="s">
        <v>824</v>
      </c>
      <c r="F13427" s="705">
        <v>6.0597878674622683E-4</v>
      </c>
      <c r="G13427" s="705">
        <v>3.3254547455024253</v>
      </c>
    </row>
    <row r="13428" spans="2:7" ht="11.25" hidden="1" customHeight="1" outlineLevel="2" x14ac:dyDescent="0.25">
      <c r="B13428" s="704" t="s">
        <v>691</v>
      </c>
      <c r="C13428" s="704" t="s">
        <v>829</v>
      </c>
      <c r="D13428" s="704" t="s">
        <v>675</v>
      </c>
      <c r="E13428" s="704" t="s">
        <v>824</v>
      </c>
      <c r="F13428" s="705">
        <v>1.3113800447251059E-2</v>
      </c>
      <c r="G13428" s="705">
        <v>58.849315100366567</v>
      </c>
    </row>
    <row r="13429" spans="2:7" ht="11.25" hidden="1" customHeight="1" outlineLevel="2" x14ac:dyDescent="0.25">
      <c r="B13429" s="704" t="s">
        <v>691</v>
      </c>
      <c r="C13429" s="704" t="s">
        <v>830</v>
      </c>
      <c r="D13429" s="704" t="s">
        <v>675</v>
      </c>
      <c r="E13429" s="704" t="s">
        <v>824</v>
      </c>
      <c r="F13429" s="705">
        <v>1.1897238442763206E-2</v>
      </c>
      <c r="G13429" s="705">
        <v>21.189139707261539</v>
      </c>
    </row>
    <row r="13430" spans="2:7" ht="11.25" hidden="1" customHeight="1" outlineLevel="2" x14ac:dyDescent="0.25">
      <c r="B13430" s="704" t="s">
        <v>691</v>
      </c>
      <c r="C13430" s="704" t="s">
        <v>831</v>
      </c>
      <c r="D13430" s="704" t="s">
        <v>675</v>
      </c>
      <c r="E13430" s="704" t="s">
        <v>824</v>
      </c>
      <c r="F13430" s="705">
        <v>3.3009351290839554E-3</v>
      </c>
      <c r="G13430" s="705">
        <v>54.445051288217073</v>
      </c>
    </row>
    <row r="13431" spans="2:7" ht="11.25" hidden="1" customHeight="1" outlineLevel="2" x14ac:dyDescent="0.25">
      <c r="B13431" s="704" t="s">
        <v>691</v>
      </c>
      <c r="C13431" s="704" t="s">
        <v>832</v>
      </c>
      <c r="D13431" s="704" t="s">
        <v>675</v>
      </c>
      <c r="E13431" s="704" t="s">
        <v>824</v>
      </c>
      <c r="F13431" s="705">
        <v>9.0229942582440714E-3</v>
      </c>
      <c r="G13431" s="705">
        <v>21.684878112376325</v>
      </c>
    </row>
    <row r="13432" spans="2:7" ht="11.25" hidden="1" customHeight="1" outlineLevel="2" x14ac:dyDescent="0.25">
      <c r="B13432" s="704" t="s">
        <v>691</v>
      </c>
      <c r="C13432" s="704" t="s">
        <v>833</v>
      </c>
      <c r="D13432" s="704" t="s">
        <v>675</v>
      </c>
      <c r="E13432" s="704" t="s">
        <v>824</v>
      </c>
      <c r="F13432" s="705">
        <v>1.3780582172519438E-3</v>
      </c>
      <c r="G13432" s="705">
        <v>3.4894153374824302</v>
      </c>
    </row>
    <row r="13433" spans="2:7" ht="11.25" hidden="1" customHeight="1" outlineLevel="2" x14ac:dyDescent="0.25">
      <c r="B13433" s="704" t="s">
        <v>691</v>
      </c>
      <c r="C13433" s="704" t="s">
        <v>834</v>
      </c>
      <c r="D13433" s="704" t="s">
        <v>675</v>
      </c>
      <c r="E13433" s="704" t="s">
        <v>824</v>
      </c>
      <c r="F13433" s="705">
        <v>9.9815440061412943E-3</v>
      </c>
      <c r="G13433" s="705">
        <v>37.747868040945349</v>
      </c>
    </row>
    <row r="13434" spans="2:7" ht="11.25" hidden="1" customHeight="1" outlineLevel="2" x14ac:dyDescent="0.25">
      <c r="B13434" s="704" t="s">
        <v>691</v>
      </c>
      <c r="C13434" s="704" t="s">
        <v>835</v>
      </c>
      <c r="D13434" s="704" t="s">
        <v>675</v>
      </c>
      <c r="E13434" s="704" t="s">
        <v>824</v>
      </c>
      <c r="F13434" s="705">
        <v>1.25190193133778E-2</v>
      </c>
      <c r="G13434" s="705">
        <v>91.917947081502746</v>
      </c>
    </row>
    <row r="13435" spans="2:7" ht="11.25" hidden="1" customHeight="1" outlineLevel="2" x14ac:dyDescent="0.25">
      <c r="B13435" s="704" t="s">
        <v>691</v>
      </c>
      <c r="C13435" s="704" t="s">
        <v>836</v>
      </c>
      <c r="D13435" s="704" t="s">
        <v>675</v>
      </c>
      <c r="E13435" s="704" t="s">
        <v>824</v>
      </c>
      <c r="F13435" s="705">
        <v>8.7351680582700936E-4</v>
      </c>
      <c r="G13435" s="705">
        <v>9.6018810944133115</v>
      </c>
    </row>
    <row r="13436" spans="2:7" ht="11.25" hidden="1" customHeight="1" outlineLevel="2" x14ac:dyDescent="0.25">
      <c r="B13436" s="704" t="s">
        <v>691</v>
      </c>
      <c r="C13436" s="704" t="s">
        <v>837</v>
      </c>
      <c r="D13436" s="704" t="s">
        <v>675</v>
      </c>
      <c r="E13436" s="704" t="s">
        <v>824</v>
      </c>
      <c r="F13436" s="705">
        <v>2.8807789416624648E-2</v>
      </c>
      <c r="G13436" s="705">
        <v>79.538491945031438</v>
      </c>
    </row>
    <row r="13437" spans="2:7" ht="11.25" hidden="1" customHeight="1" outlineLevel="2" x14ac:dyDescent="0.25">
      <c r="B13437" s="704" t="s">
        <v>691</v>
      </c>
      <c r="C13437" s="704" t="s">
        <v>838</v>
      </c>
      <c r="D13437" s="704" t="s">
        <v>675</v>
      </c>
      <c r="E13437" s="704" t="s">
        <v>824</v>
      </c>
      <c r="F13437" s="705">
        <v>1.4859883754257378E-2</v>
      </c>
      <c r="G13437" s="705">
        <v>32.892469063302165</v>
      </c>
    </row>
    <row r="13438" spans="2:7" ht="11.25" hidden="1" customHeight="1" outlineLevel="2" x14ac:dyDescent="0.25">
      <c r="B13438" s="704" t="s">
        <v>691</v>
      </c>
      <c r="C13438" s="704" t="s">
        <v>674</v>
      </c>
      <c r="D13438" s="704" t="s">
        <v>675</v>
      </c>
      <c r="E13438" s="704" t="s">
        <v>676</v>
      </c>
      <c r="F13438" s="705">
        <v>4.2139372298977934E-2</v>
      </c>
      <c r="G13438" s="705">
        <v>1.0428584449083387</v>
      </c>
    </row>
    <row r="13439" spans="2:7" ht="11.25" hidden="1" customHeight="1" outlineLevel="2" x14ac:dyDescent="0.25">
      <c r="B13439" s="704" t="s">
        <v>691</v>
      </c>
      <c r="C13439" s="704" t="s">
        <v>862</v>
      </c>
      <c r="D13439" s="704" t="s">
        <v>675</v>
      </c>
      <c r="E13439" s="704" t="s">
        <v>861</v>
      </c>
      <c r="F13439" s="709"/>
      <c r="G13439" s="705">
        <v>3096.3665845338423</v>
      </c>
    </row>
    <row r="13440" spans="2:7" ht="11.25" hidden="1" customHeight="1" outlineLevel="2" x14ac:dyDescent="0.25">
      <c r="B13440" s="704" t="s">
        <v>691</v>
      </c>
      <c r="C13440" s="704" t="s">
        <v>863</v>
      </c>
      <c r="D13440" s="704" t="s">
        <v>675</v>
      </c>
      <c r="E13440" s="704" t="s">
        <v>861</v>
      </c>
      <c r="F13440" s="709"/>
      <c r="G13440" s="705">
        <v>5.0472903490246139</v>
      </c>
    </row>
    <row r="13441" spans="2:7" ht="11.25" hidden="1" customHeight="1" outlineLevel="2" x14ac:dyDescent="0.25">
      <c r="B13441" s="704" t="s">
        <v>691</v>
      </c>
      <c r="C13441" s="704" t="s">
        <v>864</v>
      </c>
      <c r="D13441" s="704" t="s">
        <v>675</v>
      </c>
      <c r="E13441" s="704" t="s">
        <v>861</v>
      </c>
      <c r="F13441" s="709"/>
      <c r="G13441" s="705">
        <v>83.152305028815064</v>
      </c>
    </row>
    <row r="13442" spans="2:7" ht="11.25" hidden="1" customHeight="1" outlineLevel="2" x14ac:dyDescent="0.25">
      <c r="B13442" s="704" t="s">
        <v>691</v>
      </c>
      <c r="C13442" s="704" t="s">
        <v>865</v>
      </c>
      <c r="D13442" s="704" t="s">
        <v>675</v>
      </c>
      <c r="E13442" s="704" t="s">
        <v>861</v>
      </c>
      <c r="F13442" s="709"/>
      <c r="G13442" s="705">
        <v>7750.5724765012646</v>
      </c>
    </row>
    <row r="13443" spans="2:7" ht="11.25" hidden="1" customHeight="1" outlineLevel="2" x14ac:dyDescent="0.25">
      <c r="B13443" s="704" t="s">
        <v>691</v>
      </c>
      <c r="C13443" s="704" t="s">
        <v>866</v>
      </c>
      <c r="D13443" s="704" t="s">
        <v>675</v>
      </c>
      <c r="E13443" s="704" t="s">
        <v>861</v>
      </c>
      <c r="F13443" s="709"/>
      <c r="G13443" s="705">
        <v>8430.9901174119241</v>
      </c>
    </row>
    <row r="13444" spans="2:7" ht="11.25" hidden="1" customHeight="1" outlineLevel="2" x14ac:dyDescent="0.25">
      <c r="B13444" s="704" t="s">
        <v>691</v>
      </c>
      <c r="C13444" s="704" t="s">
        <v>867</v>
      </c>
      <c r="D13444" s="704" t="s">
        <v>675</v>
      </c>
      <c r="E13444" s="704" t="s">
        <v>861</v>
      </c>
      <c r="F13444" s="709"/>
      <c r="G13444" s="705">
        <v>464.49204120692912</v>
      </c>
    </row>
    <row r="13445" spans="2:7" ht="11.25" hidden="1" customHeight="1" outlineLevel="2" x14ac:dyDescent="0.25">
      <c r="B13445" s="704" t="s">
        <v>691</v>
      </c>
      <c r="C13445" s="704" t="s">
        <v>868</v>
      </c>
      <c r="D13445" s="704" t="s">
        <v>675</v>
      </c>
      <c r="E13445" s="704" t="s">
        <v>861</v>
      </c>
      <c r="F13445" s="709"/>
      <c r="G13445" s="705">
        <v>286.69836751273556</v>
      </c>
    </row>
    <row r="13446" spans="2:7" ht="11.25" hidden="1" customHeight="1" outlineLevel="2" x14ac:dyDescent="0.25">
      <c r="B13446" s="704" t="s">
        <v>691</v>
      </c>
      <c r="C13446" s="704" t="s">
        <v>869</v>
      </c>
      <c r="D13446" s="704" t="s">
        <v>675</v>
      </c>
      <c r="E13446" s="704" t="s">
        <v>861</v>
      </c>
      <c r="F13446" s="709"/>
      <c r="G13446" s="705">
        <v>856.06689677784027</v>
      </c>
    </row>
    <row r="13447" spans="2:7" ht="11.25" hidden="1" customHeight="1" outlineLevel="2" x14ac:dyDescent="0.25">
      <c r="B13447" s="704" t="s">
        <v>691</v>
      </c>
      <c r="C13447" s="704" t="s">
        <v>870</v>
      </c>
      <c r="D13447" s="704" t="s">
        <v>675</v>
      </c>
      <c r="E13447" s="704" t="s">
        <v>861</v>
      </c>
      <c r="F13447" s="709"/>
      <c r="G13447" s="705">
        <v>3676.9739966893185</v>
      </c>
    </row>
    <row r="13448" spans="2:7" ht="11.25" hidden="1" customHeight="1" outlineLevel="2" x14ac:dyDescent="0.25">
      <c r="B13448" s="704" t="s">
        <v>691</v>
      </c>
      <c r="C13448" s="704" t="s">
        <v>871</v>
      </c>
      <c r="D13448" s="704" t="s">
        <v>675</v>
      </c>
      <c r="E13448" s="704" t="s">
        <v>861</v>
      </c>
      <c r="F13448" s="709"/>
      <c r="G13448" s="705">
        <v>3161.7667972816766</v>
      </c>
    </row>
    <row r="13449" spans="2:7" ht="11.25" hidden="1" customHeight="1" outlineLevel="2" x14ac:dyDescent="0.25">
      <c r="B13449" s="704" t="s">
        <v>691</v>
      </c>
      <c r="C13449" s="704" t="s">
        <v>872</v>
      </c>
      <c r="D13449" s="704" t="s">
        <v>675</v>
      </c>
      <c r="E13449" s="704" t="s">
        <v>861</v>
      </c>
      <c r="F13449" s="709"/>
      <c r="G13449" s="705">
        <v>31410.101341556714</v>
      </c>
    </row>
    <row r="13450" spans="2:7" ht="11.25" hidden="1" customHeight="1" outlineLevel="2" x14ac:dyDescent="0.25">
      <c r="B13450" s="704" t="s">
        <v>691</v>
      </c>
      <c r="C13450" s="704" t="s">
        <v>873</v>
      </c>
      <c r="D13450" s="704" t="s">
        <v>675</v>
      </c>
      <c r="E13450" s="704" t="s">
        <v>861</v>
      </c>
      <c r="F13450" s="709"/>
      <c r="G13450" s="705">
        <v>260.54534638524541</v>
      </c>
    </row>
    <row r="13451" spans="2:7" ht="11.25" hidden="1" customHeight="1" outlineLevel="2" x14ac:dyDescent="0.25">
      <c r="B13451" s="704" t="s">
        <v>691</v>
      </c>
      <c r="C13451" s="704" t="s">
        <v>874</v>
      </c>
      <c r="D13451" s="704" t="s">
        <v>675</v>
      </c>
      <c r="E13451" s="704" t="s">
        <v>861</v>
      </c>
      <c r="F13451" s="709"/>
      <c r="G13451" s="705">
        <v>123.0674720858278</v>
      </c>
    </row>
    <row r="13452" spans="2:7" ht="11.25" hidden="1" customHeight="1" outlineLevel="2" x14ac:dyDescent="0.25">
      <c r="B13452" s="704" t="s">
        <v>691</v>
      </c>
      <c r="C13452" s="704" t="s">
        <v>875</v>
      </c>
      <c r="D13452" s="704" t="s">
        <v>675</v>
      </c>
      <c r="E13452" s="704" t="s">
        <v>861</v>
      </c>
      <c r="F13452" s="709"/>
      <c r="G13452" s="705">
        <v>7173.7950866485207</v>
      </c>
    </row>
    <row r="13453" spans="2:7" ht="11.25" hidden="1" customHeight="1" outlineLevel="2" x14ac:dyDescent="0.25">
      <c r="B13453" s="704" t="s">
        <v>691</v>
      </c>
      <c r="C13453" s="704" t="s">
        <v>876</v>
      </c>
      <c r="D13453" s="704" t="s">
        <v>675</v>
      </c>
      <c r="E13453" s="704" t="s">
        <v>861</v>
      </c>
      <c r="F13453" s="709"/>
      <c r="G13453" s="705">
        <v>7814.6377280241695</v>
      </c>
    </row>
    <row r="13454" spans="2:7" ht="11.25" hidden="1" customHeight="1" outlineLevel="2" x14ac:dyDescent="0.25">
      <c r="B13454" s="704" t="s">
        <v>691</v>
      </c>
      <c r="C13454" s="704" t="s">
        <v>877</v>
      </c>
      <c r="D13454" s="704" t="s">
        <v>675</v>
      </c>
      <c r="E13454" s="704" t="s">
        <v>861</v>
      </c>
      <c r="F13454" s="709"/>
      <c r="G13454" s="705">
        <v>26864.850377018585</v>
      </c>
    </row>
    <row r="13455" spans="2:7" ht="11.25" hidden="1" customHeight="1" outlineLevel="2" x14ac:dyDescent="0.25">
      <c r="B13455" s="704" t="s">
        <v>691</v>
      </c>
      <c r="C13455" s="704" t="s">
        <v>878</v>
      </c>
      <c r="D13455" s="704" t="s">
        <v>675</v>
      </c>
      <c r="E13455" s="704" t="s">
        <v>861</v>
      </c>
      <c r="F13455" s="709"/>
      <c r="G13455" s="705">
        <v>1264.7603190684365</v>
      </c>
    </row>
    <row r="13456" spans="2:7" ht="11.25" hidden="1" customHeight="1" outlineLevel="2" x14ac:dyDescent="0.25">
      <c r="B13456" s="704" t="s">
        <v>691</v>
      </c>
      <c r="C13456" s="704" t="s">
        <v>879</v>
      </c>
      <c r="D13456" s="704" t="s">
        <v>675</v>
      </c>
      <c r="E13456" s="704" t="s">
        <v>861</v>
      </c>
      <c r="F13456" s="709"/>
      <c r="G13456" s="705">
        <v>10053.993133455449</v>
      </c>
    </row>
    <row r="13457" spans="2:7" ht="11.25" hidden="1" customHeight="1" outlineLevel="2" x14ac:dyDescent="0.25">
      <c r="B13457" s="704" t="s">
        <v>691</v>
      </c>
      <c r="C13457" s="704" t="s">
        <v>880</v>
      </c>
      <c r="D13457" s="704" t="s">
        <v>675</v>
      </c>
      <c r="E13457" s="704" t="s">
        <v>861</v>
      </c>
      <c r="F13457" s="709"/>
      <c r="G13457" s="705">
        <v>34188.582656890903</v>
      </c>
    </row>
    <row r="13458" spans="2:7" ht="11.25" hidden="1" customHeight="1" outlineLevel="2" x14ac:dyDescent="0.25">
      <c r="B13458" s="704" t="s">
        <v>691</v>
      </c>
      <c r="C13458" s="704" t="s">
        <v>881</v>
      </c>
      <c r="D13458" s="704" t="s">
        <v>675</v>
      </c>
      <c r="E13458" s="704" t="s">
        <v>861</v>
      </c>
      <c r="F13458" s="709"/>
      <c r="G13458" s="705">
        <v>20733.301638259847</v>
      </c>
    </row>
    <row r="13459" spans="2:7" ht="11.25" hidden="1" customHeight="1" outlineLevel="2" x14ac:dyDescent="0.25">
      <c r="B13459" s="704" t="s">
        <v>691</v>
      </c>
      <c r="C13459" s="704" t="s">
        <v>882</v>
      </c>
      <c r="D13459" s="704" t="s">
        <v>675</v>
      </c>
      <c r="E13459" s="704" t="s">
        <v>861</v>
      </c>
      <c r="F13459" s="709"/>
      <c r="G13459" s="705">
        <v>31289.235859260683</v>
      </c>
    </row>
    <row r="13460" spans="2:7" ht="11.25" hidden="1" customHeight="1" outlineLevel="2" x14ac:dyDescent="0.25">
      <c r="B13460" s="704" t="s">
        <v>691</v>
      </c>
      <c r="C13460" s="704" t="s">
        <v>883</v>
      </c>
      <c r="D13460" s="704" t="s">
        <v>675</v>
      </c>
      <c r="E13460" s="704" t="s">
        <v>861</v>
      </c>
      <c r="F13460" s="709"/>
      <c r="G13460" s="705">
        <v>14216.641502417462</v>
      </c>
    </row>
    <row r="13461" spans="2:7" ht="11.25" hidden="1" customHeight="1" outlineLevel="2" x14ac:dyDescent="0.25">
      <c r="B13461" s="704" t="s">
        <v>691</v>
      </c>
      <c r="C13461" s="704" t="s">
        <v>884</v>
      </c>
      <c r="D13461" s="704" t="s">
        <v>675</v>
      </c>
      <c r="E13461" s="704" t="s">
        <v>861</v>
      </c>
      <c r="F13461" s="709"/>
      <c r="G13461" s="705">
        <v>3365.5298133812789</v>
      </c>
    </row>
    <row r="13462" spans="2:7" ht="11.25" hidden="1" customHeight="1" outlineLevel="2" x14ac:dyDescent="0.25">
      <c r="B13462" s="704" t="s">
        <v>691</v>
      </c>
      <c r="C13462" s="704" t="s">
        <v>885</v>
      </c>
      <c r="D13462" s="704" t="s">
        <v>675</v>
      </c>
      <c r="E13462" s="704" t="s">
        <v>861</v>
      </c>
      <c r="F13462" s="709"/>
      <c r="G13462" s="705">
        <v>43.802554201068588</v>
      </c>
    </row>
    <row r="13463" spans="2:7" ht="11.25" hidden="1" customHeight="1" outlineLevel="2" x14ac:dyDescent="0.25">
      <c r="B13463" s="704" t="s">
        <v>691</v>
      </c>
      <c r="C13463" s="704" t="s">
        <v>886</v>
      </c>
      <c r="D13463" s="704" t="s">
        <v>675</v>
      </c>
      <c r="E13463" s="704" t="s">
        <v>861</v>
      </c>
      <c r="F13463" s="709"/>
      <c r="G13463" s="705">
        <v>3224.9783770331637</v>
      </c>
    </row>
    <row r="13464" spans="2:7" ht="11.25" hidden="1" customHeight="1" outlineLevel="2" x14ac:dyDescent="0.25">
      <c r="B13464" s="704" t="s">
        <v>691</v>
      </c>
      <c r="C13464" s="704" t="s">
        <v>725</v>
      </c>
      <c r="D13464" s="704" t="s">
        <v>563</v>
      </c>
      <c r="E13464" s="704" t="s">
        <v>448</v>
      </c>
      <c r="F13464" s="705">
        <v>9.5240740220013784E-4</v>
      </c>
      <c r="G13464" s="705">
        <v>0.42696200896341263</v>
      </c>
    </row>
    <row r="13465" spans="2:7" ht="11.25" hidden="1" customHeight="1" outlineLevel="2" x14ac:dyDescent="0.25">
      <c r="B13465" s="704" t="s">
        <v>691</v>
      </c>
      <c r="C13465" s="704" t="s">
        <v>726</v>
      </c>
      <c r="D13465" s="704" t="s">
        <v>563</v>
      </c>
      <c r="E13465" s="704" t="s">
        <v>448</v>
      </c>
      <c r="F13465" s="705">
        <v>7.501047641007647E-5</v>
      </c>
      <c r="G13465" s="705">
        <v>3.3627050195433543E-2</v>
      </c>
    </row>
    <row r="13466" spans="2:7" ht="11.25" hidden="1" customHeight="1" outlineLevel="2" x14ac:dyDescent="0.25">
      <c r="B13466" s="704" t="s">
        <v>691</v>
      </c>
      <c r="C13466" s="704" t="s">
        <v>769</v>
      </c>
      <c r="D13466" s="704" t="s">
        <v>563</v>
      </c>
      <c r="E13466" s="704" t="s">
        <v>448</v>
      </c>
      <c r="F13466" s="705">
        <v>4.8627803536123622E-2</v>
      </c>
      <c r="G13466" s="705">
        <v>51.933390848799085</v>
      </c>
    </row>
    <row r="13467" spans="2:7" ht="11.25" hidden="1" customHeight="1" outlineLevel="2" x14ac:dyDescent="0.25">
      <c r="B13467" s="704" t="s">
        <v>691</v>
      </c>
      <c r="C13467" s="704" t="s">
        <v>770</v>
      </c>
      <c r="D13467" s="704" t="s">
        <v>563</v>
      </c>
      <c r="E13467" s="704" t="s">
        <v>448</v>
      </c>
      <c r="F13467" s="705">
        <v>4.4208126217943559E-2</v>
      </c>
      <c r="G13467" s="705">
        <v>153.78869560900375</v>
      </c>
    </row>
    <row r="13468" spans="2:7" ht="11.25" hidden="1" customHeight="1" outlineLevel="2" x14ac:dyDescent="0.25">
      <c r="B13468" s="704" t="s">
        <v>691</v>
      </c>
      <c r="C13468" s="704" t="s">
        <v>771</v>
      </c>
      <c r="D13468" s="704" t="s">
        <v>563</v>
      </c>
      <c r="E13468" s="704" t="s">
        <v>448</v>
      </c>
      <c r="F13468" s="705">
        <v>1.6528925800354269E-2</v>
      </c>
      <c r="G13468" s="705">
        <v>38.839712351212874</v>
      </c>
    </row>
    <row r="13469" spans="2:7" ht="11.25" hidden="1" customHeight="1" outlineLevel="2" x14ac:dyDescent="0.25">
      <c r="B13469" s="704" t="s">
        <v>691</v>
      </c>
      <c r="C13469" s="704" t="s">
        <v>772</v>
      </c>
      <c r="D13469" s="704" t="s">
        <v>563</v>
      </c>
      <c r="E13469" s="704" t="s">
        <v>448</v>
      </c>
      <c r="F13469" s="705">
        <v>5.5448880770526475E-2</v>
      </c>
      <c r="G13469" s="705">
        <v>72.395463214597271</v>
      </c>
    </row>
    <row r="13470" spans="2:7" ht="11.25" hidden="1" customHeight="1" outlineLevel="2" x14ac:dyDescent="0.25">
      <c r="B13470" s="704" t="s">
        <v>691</v>
      </c>
      <c r="C13470" s="704" t="s">
        <v>773</v>
      </c>
      <c r="D13470" s="704" t="s">
        <v>563</v>
      </c>
      <c r="E13470" s="704" t="s">
        <v>448</v>
      </c>
      <c r="F13470" s="705">
        <v>3.1062616410176057E-3</v>
      </c>
      <c r="G13470" s="705">
        <v>3.5569839577936095</v>
      </c>
    </row>
    <row r="13471" spans="2:7" ht="11.25" hidden="1" customHeight="1" outlineLevel="2" x14ac:dyDescent="0.25">
      <c r="B13471" s="704" t="s">
        <v>691</v>
      </c>
      <c r="C13471" s="704" t="s">
        <v>774</v>
      </c>
      <c r="D13471" s="704" t="s">
        <v>563</v>
      </c>
      <c r="E13471" s="704" t="s">
        <v>448</v>
      </c>
      <c r="F13471" s="705">
        <v>4.1821746874444159E-3</v>
      </c>
      <c r="G13471" s="705">
        <v>5.6613650240587958</v>
      </c>
    </row>
    <row r="13472" spans="2:7" ht="11.25" hidden="1" customHeight="1" outlineLevel="2" x14ac:dyDescent="0.25">
      <c r="B13472" s="704" t="s">
        <v>691</v>
      </c>
      <c r="C13472" s="704" t="s">
        <v>775</v>
      </c>
      <c r="D13472" s="704" t="s">
        <v>563</v>
      </c>
      <c r="E13472" s="704" t="s">
        <v>448</v>
      </c>
      <c r="F13472" s="705">
        <v>1.219524075342692E-3</v>
      </c>
      <c r="G13472" s="705">
        <v>15.681627753870949</v>
      </c>
    </row>
    <row r="13473" spans="2:7" ht="11.25" hidden="1" customHeight="1" outlineLevel="2" x14ac:dyDescent="0.25">
      <c r="B13473" s="704" t="s">
        <v>691</v>
      </c>
      <c r="C13473" s="704" t="s">
        <v>839</v>
      </c>
      <c r="D13473" s="704" t="s">
        <v>563</v>
      </c>
      <c r="E13473" s="704" t="s">
        <v>824</v>
      </c>
      <c r="F13473" s="705">
        <v>5.421501868855666E-2</v>
      </c>
      <c r="G13473" s="705">
        <v>131.56191213173574</v>
      </c>
    </row>
    <row r="13474" spans="2:7" ht="11.25" hidden="1" customHeight="1" outlineLevel="2" x14ac:dyDescent="0.25">
      <c r="B13474" s="704" t="s">
        <v>691</v>
      </c>
      <c r="C13474" s="704" t="s">
        <v>840</v>
      </c>
      <c r="D13474" s="704" t="s">
        <v>563</v>
      </c>
      <c r="E13474" s="704" t="s">
        <v>824</v>
      </c>
      <c r="F13474" s="705">
        <v>1.5799529286285863</v>
      </c>
      <c r="G13474" s="705">
        <v>11632.090134036021</v>
      </c>
    </row>
    <row r="13475" spans="2:7" ht="11.25" hidden="1" customHeight="1" outlineLevel="2" x14ac:dyDescent="0.25">
      <c r="B13475" s="704" t="s">
        <v>691</v>
      </c>
      <c r="C13475" s="704" t="s">
        <v>841</v>
      </c>
      <c r="D13475" s="704" t="s">
        <v>563</v>
      </c>
      <c r="E13475" s="704" t="s">
        <v>824</v>
      </c>
      <c r="F13475" s="705">
        <v>7.684805720649379E-3</v>
      </c>
      <c r="G13475" s="705">
        <v>87.938894821083608</v>
      </c>
    </row>
    <row r="13476" spans="2:7" ht="11.25" hidden="1" customHeight="1" outlineLevel="2" x14ac:dyDescent="0.25">
      <c r="B13476" s="704" t="s">
        <v>691</v>
      </c>
      <c r="C13476" s="704" t="s">
        <v>842</v>
      </c>
      <c r="D13476" s="704" t="s">
        <v>563</v>
      </c>
      <c r="E13476" s="704" t="s">
        <v>824</v>
      </c>
      <c r="F13476" s="705">
        <v>2.7847852343186354E-3</v>
      </c>
      <c r="G13476" s="705">
        <v>27.25698604891722</v>
      </c>
    </row>
    <row r="13477" spans="2:7" ht="11.25" hidden="1" customHeight="1" outlineLevel="2" x14ac:dyDescent="0.25">
      <c r="B13477" s="704" t="s">
        <v>691</v>
      </c>
      <c r="C13477" s="704" t="s">
        <v>843</v>
      </c>
      <c r="D13477" s="704" t="s">
        <v>563</v>
      </c>
      <c r="E13477" s="704" t="s">
        <v>824</v>
      </c>
      <c r="F13477" s="705">
        <v>2.6916525583095237E-3</v>
      </c>
      <c r="G13477" s="705">
        <v>7.0327739100111133</v>
      </c>
    </row>
    <row r="13478" spans="2:7" ht="11.25" hidden="1" customHeight="1" outlineLevel="2" x14ac:dyDescent="0.25">
      <c r="B13478" s="704" t="s">
        <v>691</v>
      </c>
      <c r="C13478" s="704" t="s">
        <v>844</v>
      </c>
      <c r="D13478" s="704" t="s">
        <v>563</v>
      </c>
      <c r="E13478" s="704" t="s">
        <v>824</v>
      </c>
      <c r="F13478" s="705">
        <v>2.6917663638550385E-3</v>
      </c>
      <c r="G13478" s="705">
        <v>53.492551777725268</v>
      </c>
    </row>
    <row r="13479" spans="2:7" ht="11.25" hidden="1" customHeight="1" outlineLevel="2" x14ac:dyDescent="0.25">
      <c r="B13479" s="704" t="s">
        <v>691</v>
      </c>
      <c r="C13479" s="704" t="s">
        <v>700</v>
      </c>
      <c r="D13479" s="704" t="s">
        <v>563</v>
      </c>
      <c r="E13479" s="704" t="s">
        <v>676</v>
      </c>
      <c r="F13479" s="705">
        <v>8.1596736414453552</v>
      </c>
      <c r="G13479" s="705">
        <v>686.68232802853174</v>
      </c>
    </row>
    <row r="13480" spans="2:7" ht="11.25" hidden="1" customHeight="1" outlineLevel="2" x14ac:dyDescent="0.25">
      <c r="B13480" s="704" t="s">
        <v>691</v>
      </c>
      <c r="C13480" s="704" t="s">
        <v>701</v>
      </c>
      <c r="D13480" s="704" t="s">
        <v>563</v>
      </c>
      <c r="E13480" s="704" t="s">
        <v>676</v>
      </c>
      <c r="F13480" s="705">
        <v>8.9124537392952959E-3</v>
      </c>
      <c r="G13480" s="705">
        <v>0.78044015430036018</v>
      </c>
    </row>
    <row r="13481" spans="2:7" ht="11.25" hidden="1" customHeight="1" outlineLevel="2" x14ac:dyDescent="0.25">
      <c r="B13481" s="704" t="s">
        <v>691</v>
      </c>
      <c r="C13481" s="704" t="s">
        <v>702</v>
      </c>
      <c r="D13481" s="704" t="s">
        <v>563</v>
      </c>
      <c r="E13481" s="704" t="s">
        <v>676</v>
      </c>
      <c r="F13481" s="705">
        <v>4.1585450109260253E-3</v>
      </c>
      <c r="G13481" s="705">
        <v>0.42620699644563298</v>
      </c>
    </row>
    <row r="13482" spans="2:7" ht="11.25" hidden="1" customHeight="1" outlineLevel="2" x14ac:dyDescent="0.25">
      <c r="B13482" s="704" t="s">
        <v>691</v>
      </c>
      <c r="C13482" s="704" t="s">
        <v>703</v>
      </c>
      <c r="D13482" s="704" t="s">
        <v>563</v>
      </c>
      <c r="E13482" s="704" t="s">
        <v>676</v>
      </c>
      <c r="F13482" s="705">
        <v>5.4271433616563024E-2</v>
      </c>
      <c r="G13482" s="705">
        <v>5.3443289568528032</v>
      </c>
    </row>
    <row r="13483" spans="2:7" ht="11.25" hidden="1" customHeight="1" outlineLevel="2" x14ac:dyDescent="0.25">
      <c r="B13483" s="704" t="s">
        <v>691</v>
      </c>
      <c r="C13483" s="704" t="s">
        <v>704</v>
      </c>
      <c r="D13483" s="704" t="s">
        <v>563</v>
      </c>
      <c r="E13483" s="704" t="s">
        <v>676</v>
      </c>
      <c r="F13483" s="705">
        <v>1.4161659329402389E-2</v>
      </c>
      <c r="G13483" s="705">
        <v>3.1846512598461714</v>
      </c>
    </row>
    <row r="13484" spans="2:7" ht="11.25" hidden="1" customHeight="1" outlineLevel="2" x14ac:dyDescent="0.25">
      <c r="B13484" s="704" t="s">
        <v>691</v>
      </c>
      <c r="C13484" s="704" t="s">
        <v>887</v>
      </c>
      <c r="D13484" s="704" t="s">
        <v>563</v>
      </c>
      <c r="E13484" s="704" t="s">
        <v>861</v>
      </c>
      <c r="F13484" s="709"/>
      <c r="G13484" s="705">
        <v>214.04601545325977</v>
      </c>
    </row>
    <row r="13485" spans="2:7" ht="11.25" hidden="1" customHeight="1" outlineLevel="2" x14ac:dyDescent="0.25">
      <c r="B13485" s="704" t="s">
        <v>691</v>
      </c>
      <c r="C13485" s="704" t="s">
        <v>888</v>
      </c>
      <c r="D13485" s="704" t="s">
        <v>563</v>
      </c>
      <c r="E13485" s="704" t="s">
        <v>861</v>
      </c>
      <c r="F13485" s="709"/>
      <c r="G13485" s="705">
        <v>3105.9309503026934</v>
      </c>
    </row>
    <row r="13486" spans="2:7" ht="11.25" hidden="1" customHeight="1" outlineLevel="2" x14ac:dyDescent="0.25">
      <c r="B13486" s="704" t="s">
        <v>691</v>
      </c>
      <c r="C13486" s="704" t="s">
        <v>889</v>
      </c>
      <c r="D13486" s="704" t="s">
        <v>563</v>
      </c>
      <c r="E13486" s="704" t="s">
        <v>861</v>
      </c>
      <c r="F13486" s="709"/>
      <c r="G13486" s="705">
        <v>1355.6365313813378</v>
      </c>
    </row>
    <row r="13487" spans="2:7" ht="11.25" hidden="1" customHeight="1" outlineLevel="2" x14ac:dyDescent="0.25">
      <c r="B13487" s="704" t="s">
        <v>691</v>
      </c>
      <c r="C13487" s="704" t="s">
        <v>890</v>
      </c>
      <c r="D13487" s="704" t="s">
        <v>563</v>
      </c>
      <c r="E13487" s="704" t="s">
        <v>861</v>
      </c>
      <c r="F13487" s="709"/>
      <c r="G13487" s="705">
        <v>1375.9563533279991</v>
      </c>
    </row>
    <row r="13488" spans="2:7" ht="11.25" hidden="1" customHeight="1" outlineLevel="2" x14ac:dyDescent="0.25">
      <c r="B13488" s="704" t="s">
        <v>691</v>
      </c>
      <c r="C13488" s="704" t="s">
        <v>891</v>
      </c>
      <c r="D13488" s="704" t="s">
        <v>563</v>
      </c>
      <c r="E13488" s="704" t="s">
        <v>861</v>
      </c>
      <c r="F13488" s="709"/>
      <c r="G13488" s="705">
        <v>52.896664725519564</v>
      </c>
    </row>
    <row r="13489" spans="2:7" ht="11.25" hidden="1" customHeight="1" outlineLevel="2" x14ac:dyDescent="0.25">
      <c r="B13489" s="704" t="s">
        <v>691</v>
      </c>
      <c r="C13489" s="704" t="s">
        <v>892</v>
      </c>
      <c r="D13489" s="704" t="s">
        <v>563</v>
      </c>
      <c r="E13489" s="704" t="s">
        <v>861</v>
      </c>
      <c r="F13489" s="709"/>
      <c r="G13489" s="705">
        <v>15545.302471621861</v>
      </c>
    </row>
    <row r="13490" spans="2:7" ht="11.25" hidden="1" customHeight="1" outlineLevel="2" x14ac:dyDescent="0.25">
      <c r="B13490" s="704" t="s">
        <v>691</v>
      </c>
      <c r="C13490" s="704" t="s">
        <v>893</v>
      </c>
      <c r="D13490" s="704" t="s">
        <v>563</v>
      </c>
      <c r="E13490" s="704" t="s">
        <v>861</v>
      </c>
      <c r="F13490" s="709"/>
      <c r="G13490" s="705">
        <v>1955.4222215357438</v>
      </c>
    </row>
    <row r="13491" spans="2:7" ht="11.25" hidden="1" customHeight="1" outlineLevel="2" x14ac:dyDescent="0.25">
      <c r="B13491" s="704" t="s">
        <v>691</v>
      </c>
      <c r="C13491" s="704" t="s">
        <v>727</v>
      </c>
      <c r="D13491" s="704" t="s">
        <v>728</v>
      </c>
      <c r="E13491" s="704" t="s">
        <v>448</v>
      </c>
      <c r="F13491" s="705">
        <v>5.6844270044687534E-2</v>
      </c>
      <c r="G13491" s="705">
        <v>31.130852625913001</v>
      </c>
    </row>
    <row r="13492" spans="2:7" ht="11.25" hidden="1" customHeight="1" outlineLevel="2" x14ac:dyDescent="0.25">
      <c r="B13492" s="704" t="s">
        <v>691</v>
      </c>
      <c r="C13492" s="704" t="s">
        <v>729</v>
      </c>
      <c r="D13492" s="704" t="s">
        <v>728</v>
      </c>
      <c r="E13492" s="704" t="s">
        <v>448</v>
      </c>
      <c r="F13492" s="705">
        <v>0.35308885871357498</v>
      </c>
      <c r="G13492" s="705">
        <v>190.55201093279871</v>
      </c>
    </row>
    <row r="13493" spans="2:7" ht="11.25" hidden="1" customHeight="1" outlineLevel="2" x14ac:dyDescent="0.25">
      <c r="B13493" s="704" t="s">
        <v>691</v>
      </c>
      <c r="C13493" s="704" t="s">
        <v>730</v>
      </c>
      <c r="D13493" s="704" t="s">
        <v>728</v>
      </c>
      <c r="E13493" s="704" t="s">
        <v>448</v>
      </c>
      <c r="F13493" s="705">
        <v>0.815592931436667</v>
      </c>
      <c r="G13493" s="705">
        <v>425.27313916790996</v>
      </c>
    </row>
    <row r="13494" spans="2:7" ht="11.25" hidden="1" customHeight="1" outlineLevel="2" x14ac:dyDescent="0.25">
      <c r="B13494" s="704" t="s">
        <v>691</v>
      </c>
      <c r="C13494" s="704" t="s">
        <v>731</v>
      </c>
      <c r="D13494" s="704" t="s">
        <v>728</v>
      </c>
      <c r="E13494" s="704" t="s">
        <v>448</v>
      </c>
      <c r="F13494" s="705">
        <v>3.8675014829247756</v>
      </c>
      <c r="G13494" s="705">
        <v>2120.64049170611</v>
      </c>
    </row>
    <row r="13495" spans="2:7" ht="11.25" hidden="1" customHeight="1" outlineLevel="2" x14ac:dyDescent="0.25">
      <c r="B13495" s="704" t="s">
        <v>691</v>
      </c>
      <c r="C13495" s="704" t="s">
        <v>732</v>
      </c>
      <c r="D13495" s="704" t="s">
        <v>728</v>
      </c>
      <c r="E13495" s="704" t="s">
        <v>448</v>
      </c>
      <c r="F13495" s="705">
        <v>1.0056662383109296</v>
      </c>
      <c r="G13495" s="705">
        <v>592.63869303085403</v>
      </c>
    </row>
    <row r="13496" spans="2:7" ht="11.25" hidden="1" customHeight="1" outlineLevel="2" x14ac:dyDescent="0.25">
      <c r="B13496" s="704" t="s">
        <v>691</v>
      </c>
      <c r="C13496" s="704" t="s">
        <v>733</v>
      </c>
      <c r="D13496" s="704" t="s">
        <v>728</v>
      </c>
      <c r="E13496" s="704" t="s">
        <v>448</v>
      </c>
      <c r="F13496" s="705">
        <v>3.6521520129274716</v>
      </c>
      <c r="G13496" s="705">
        <v>1849.1615913088087</v>
      </c>
    </row>
    <row r="13497" spans="2:7" ht="11.25" hidden="1" customHeight="1" outlineLevel="2" x14ac:dyDescent="0.25">
      <c r="B13497" s="704" t="s">
        <v>691</v>
      </c>
      <c r="C13497" s="704" t="s">
        <v>734</v>
      </c>
      <c r="D13497" s="704" t="s">
        <v>728</v>
      </c>
      <c r="E13497" s="704" t="s">
        <v>448</v>
      </c>
      <c r="F13497" s="705">
        <v>0.70885670416222013</v>
      </c>
      <c r="G13497" s="705">
        <v>381.42120793259079</v>
      </c>
    </row>
    <row r="13498" spans="2:7" ht="11.25" hidden="1" customHeight="1" outlineLevel="2" x14ac:dyDescent="0.25">
      <c r="B13498" s="704" t="s">
        <v>691</v>
      </c>
      <c r="C13498" s="704" t="s">
        <v>735</v>
      </c>
      <c r="D13498" s="704" t="s">
        <v>728</v>
      </c>
      <c r="E13498" s="704" t="s">
        <v>448</v>
      </c>
      <c r="F13498" s="705">
        <v>3.2234286115465851</v>
      </c>
      <c r="G13498" s="705">
        <v>1726.6762498268934</v>
      </c>
    </row>
    <row r="13499" spans="2:7" ht="11.25" hidden="1" customHeight="1" outlineLevel="2" x14ac:dyDescent="0.25">
      <c r="B13499" s="704" t="s">
        <v>691</v>
      </c>
      <c r="C13499" s="704" t="s">
        <v>736</v>
      </c>
      <c r="D13499" s="704" t="s">
        <v>728</v>
      </c>
      <c r="E13499" s="704" t="s">
        <v>448</v>
      </c>
      <c r="F13499" s="705">
        <v>1.2332944002917117</v>
      </c>
      <c r="G13499" s="705">
        <v>181.53453181719902</v>
      </c>
    </row>
    <row r="13500" spans="2:7" ht="11.25" hidden="1" customHeight="1" outlineLevel="2" x14ac:dyDescent="0.25">
      <c r="B13500" s="704" t="s">
        <v>691</v>
      </c>
      <c r="C13500" s="704" t="s">
        <v>737</v>
      </c>
      <c r="D13500" s="704" t="s">
        <v>728</v>
      </c>
      <c r="E13500" s="704" t="s">
        <v>448</v>
      </c>
      <c r="F13500" s="705">
        <v>3.7484435343477323</v>
      </c>
      <c r="G13500" s="705">
        <v>551.75671355046006</v>
      </c>
    </row>
    <row r="13501" spans="2:7" ht="11.25" hidden="1" customHeight="1" outlineLevel="2" x14ac:dyDescent="0.25">
      <c r="B13501" s="704" t="s">
        <v>691</v>
      </c>
      <c r="C13501" s="704" t="s">
        <v>738</v>
      </c>
      <c r="D13501" s="704" t="s">
        <v>728</v>
      </c>
      <c r="E13501" s="704" t="s">
        <v>448</v>
      </c>
      <c r="F13501" s="705">
        <v>1.5791665061667718E-3</v>
      </c>
      <c r="G13501" s="705">
        <v>0.78923764756665715</v>
      </c>
    </row>
    <row r="13502" spans="2:7" ht="11.25" hidden="1" customHeight="1" outlineLevel="2" x14ac:dyDescent="0.25">
      <c r="B13502" s="704" t="s">
        <v>691</v>
      </c>
      <c r="C13502" s="704" t="s">
        <v>776</v>
      </c>
      <c r="D13502" s="704" t="s">
        <v>728</v>
      </c>
      <c r="E13502" s="704" t="s">
        <v>448</v>
      </c>
      <c r="F13502" s="705">
        <v>8.5562796408432629</v>
      </c>
      <c r="G13502" s="705">
        <v>5312.9472412177165</v>
      </c>
    </row>
    <row r="13503" spans="2:7" ht="11.25" hidden="1" customHeight="1" outlineLevel="2" x14ac:dyDescent="0.25">
      <c r="B13503" s="704" t="s">
        <v>691</v>
      </c>
      <c r="C13503" s="704" t="s">
        <v>777</v>
      </c>
      <c r="D13503" s="704" t="s">
        <v>728</v>
      </c>
      <c r="E13503" s="704" t="s">
        <v>448</v>
      </c>
      <c r="F13503" s="705">
        <v>4.5187012086987339</v>
      </c>
      <c r="G13503" s="705">
        <v>5390.2768245761563</v>
      </c>
    </row>
    <row r="13504" spans="2:7" ht="11.25" hidden="1" customHeight="1" outlineLevel="2" x14ac:dyDescent="0.25">
      <c r="B13504" s="704" t="s">
        <v>691</v>
      </c>
      <c r="C13504" s="704" t="s">
        <v>778</v>
      </c>
      <c r="D13504" s="704" t="s">
        <v>728</v>
      </c>
      <c r="E13504" s="704" t="s">
        <v>448</v>
      </c>
      <c r="F13504" s="705">
        <v>0.72330730688715095</v>
      </c>
      <c r="G13504" s="705">
        <v>445.49774777083979</v>
      </c>
    </row>
    <row r="13505" spans="2:7" ht="11.25" hidden="1" customHeight="1" outlineLevel="2" x14ac:dyDescent="0.25">
      <c r="B13505" s="704" t="s">
        <v>691</v>
      </c>
      <c r="C13505" s="704" t="s">
        <v>779</v>
      </c>
      <c r="D13505" s="704" t="s">
        <v>728</v>
      </c>
      <c r="E13505" s="704" t="s">
        <v>448</v>
      </c>
      <c r="F13505" s="705">
        <v>3.6627030226113635</v>
      </c>
      <c r="G13505" s="705">
        <v>2743.6994991906613</v>
      </c>
    </row>
    <row r="13506" spans="2:7" ht="11.25" hidden="1" customHeight="1" outlineLevel="2" x14ac:dyDescent="0.25">
      <c r="B13506" s="704" t="s">
        <v>691</v>
      </c>
      <c r="C13506" s="704" t="s">
        <v>780</v>
      </c>
      <c r="D13506" s="704" t="s">
        <v>728</v>
      </c>
      <c r="E13506" s="704" t="s">
        <v>448</v>
      </c>
      <c r="F13506" s="705">
        <v>3.920421132097348E-2</v>
      </c>
      <c r="G13506" s="705">
        <v>29.577094794905726</v>
      </c>
    </row>
    <row r="13507" spans="2:7" ht="11.25" hidden="1" customHeight="1" outlineLevel="2" x14ac:dyDescent="0.25">
      <c r="B13507" s="704" t="s">
        <v>691</v>
      </c>
      <c r="C13507" s="704" t="s">
        <v>781</v>
      </c>
      <c r="D13507" s="704" t="s">
        <v>728</v>
      </c>
      <c r="E13507" s="704" t="s">
        <v>448</v>
      </c>
      <c r="F13507" s="705">
        <v>0.10041574967168394</v>
      </c>
      <c r="G13507" s="705">
        <v>124.86514184879769</v>
      </c>
    </row>
    <row r="13508" spans="2:7" ht="11.25" hidden="1" customHeight="1" outlineLevel="2" x14ac:dyDescent="0.25">
      <c r="B13508" s="704" t="s">
        <v>691</v>
      </c>
      <c r="C13508" s="704" t="s">
        <v>782</v>
      </c>
      <c r="D13508" s="704" t="s">
        <v>728</v>
      </c>
      <c r="E13508" s="704" t="s">
        <v>448</v>
      </c>
      <c r="F13508" s="705">
        <v>7.4615803472281333E-2</v>
      </c>
      <c r="G13508" s="705">
        <v>56.427838455203428</v>
      </c>
    </row>
    <row r="13509" spans="2:7" ht="11.25" hidden="1" customHeight="1" outlineLevel="2" x14ac:dyDescent="0.25">
      <c r="B13509" s="704" t="s">
        <v>691</v>
      </c>
      <c r="C13509" s="704" t="s">
        <v>783</v>
      </c>
      <c r="D13509" s="704" t="s">
        <v>728</v>
      </c>
      <c r="E13509" s="704" t="s">
        <v>448</v>
      </c>
      <c r="F13509" s="705">
        <v>3.296706948415201</v>
      </c>
      <c r="G13509" s="705">
        <v>5151.3258413413114</v>
      </c>
    </row>
    <row r="13510" spans="2:7" ht="11.25" hidden="1" customHeight="1" outlineLevel="2" x14ac:dyDescent="0.25">
      <c r="B13510" s="704" t="s">
        <v>691</v>
      </c>
      <c r="C13510" s="704" t="s">
        <v>784</v>
      </c>
      <c r="D13510" s="704" t="s">
        <v>728</v>
      </c>
      <c r="E13510" s="704" t="s">
        <v>448</v>
      </c>
      <c r="F13510" s="705">
        <v>1.0673596003268115</v>
      </c>
      <c r="G13510" s="705">
        <v>586.50965129724523</v>
      </c>
    </row>
    <row r="13511" spans="2:7" ht="11.25" hidden="1" customHeight="1" outlineLevel="2" x14ac:dyDescent="0.25">
      <c r="B13511" s="704" t="s">
        <v>691</v>
      </c>
      <c r="C13511" s="704" t="s">
        <v>785</v>
      </c>
      <c r="D13511" s="704" t="s">
        <v>728</v>
      </c>
      <c r="E13511" s="704" t="s">
        <v>448</v>
      </c>
      <c r="F13511" s="705">
        <v>3.2446194431459134</v>
      </c>
      <c r="G13511" s="705">
        <v>1782.64103600308</v>
      </c>
    </row>
    <row r="13512" spans="2:7" ht="11.25" hidden="1" customHeight="1" outlineLevel="2" x14ac:dyDescent="0.25">
      <c r="B13512" s="704" t="s">
        <v>691</v>
      </c>
      <c r="C13512" s="704" t="s">
        <v>786</v>
      </c>
      <c r="D13512" s="704" t="s">
        <v>728</v>
      </c>
      <c r="E13512" s="704" t="s">
        <v>448</v>
      </c>
      <c r="F13512" s="705">
        <v>0.84163135812168632</v>
      </c>
      <c r="G13512" s="705">
        <v>1066.0232742313394</v>
      </c>
    </row>
    <row r="13513" spans="2:7" ht="11.25" hidden="1" customHeight="1" outlineLevel="2" x14ac:dyDescent="0.25">
      <c r="B13513" s="704" t="s">
        <v>691</v>
      </c>
      <c r="C13513" s="704" t="s">
        <v>787</v>
      </c>
      <c r="D13513" s="704" t="s">
        <v>728</v>
      </c>
      <c r="E13513" s="704" t="s">
        <v>448</v>
      </c>
      <c r="F13513" s="705">
        <v>0.42104648856707638</v>
      </c>
      <c r="G13513" s="705">
        <v>595.14775520075432</v>
      </c>
    </row>
    <row r="13514" spans="2:7" ht="11.25" hidden="1" customHeight="1" outlineLevel="2" x14ac:dyDescent="0.25">
      <c r="B13514" s="704" t="s">
        <v>691</v>
      </c>
      <c r="C13514" s="704" t="s">
        <v>788</v>
      </c>
      <c r="D13514" s="704" t="s">
        <v>728</v>
      </c>
      <c r="E13514" s="704" t="s">
        <v>448</v>
      </c>
      <c r="F13514" s="705">
        <v>0.59345782994561258</v>
      </c>
      <c r="G13514" s="705">
        <v>677.40075170310331</v>
      </c>
    </row>
    <row r="13515" spans="2:7" ht="11.25" hidden="1" customHeight="1" outlineLevel="2" x14ac:dyDescent="0.25">
      <c r="B13515" s="704" t="s">
        <v>691</v>
      </c>
      <c r="C13515" s="704" t="s">
        <v>789</v>
      </c>
      <c r="D13515" s="704" t="s">
        <v>728</v>
      </c>
      <c r="E13515" s="704" t="s">
        <v>448</v>
      </c>
      <c r="F13515" s="705">
        <v>0.45735214180069833</v>
      </c>
      <c r="G13515" s="705">
        <v>315.44206036977732</v>
      </c>
    </row>
    <row r="13516" spans="2:7" ht="11.25" hidden="1" customHeight="1" outlineLevel="2" x14ac:dyDescent="0.25">
      <c r="B13516" s="704" t="s">
        <v>691</v>
      </c>
      <c r="C13516" s="704" t="s">
        <v>790</v>
      </c>
      <c r="D13516" s="704" t="s">
        <v>728</v>
      </c>
      <c r="E13516" s="704" t="s">
        <v>448</v>
      </c>
      <c r="F13516" s="705">
        <v>11.25426698434277</v>
      </c>
      <c r="G13516" s="705">
        <v>14289.30448952854</v>
      </c>
    </row>
    <row r="13517" spans="2:7" ht="11.25" hidden="1" customHeight="1" outlineLevel="2" x14ac:dyDescent="0.25">
      <c r="B13517" s="704" t="s">
        <v>691</v>
      </c>
      <c r="C13517" s="704" t="s">
        <v>791</v>
      </c>
      <c r="D13517" s="704" t="s">
        <v>728</v>
      </c>
      <c r="E13517" s="704" t="s">
        <v>448</v>
      </c>
      <c r="F13517" s="705">
        <v>5.7210165253943561</v>
      </c>
      <c r="G13517" s="705">
        <v>8088.3208295379363</v>
      </c>
    </row>
    <row r="13518" spans="2:7" ht="11.25" hidden="1" customHeight="1" outlineLevel="2" x14ac:dyDescent="0.25">
      <c r="B13518" s="704" t="s">
        <v>691</v>
      </c>
      <c r="C13518" s="704" t="s">
        <v>792</v>
      </c>
      <c r="D13518" s="704" t="s">
        <v>728</v>
      </c>
      <c r="E13518" s="704" t="s">
        <v>448</v>
      </c>
      <c r="F13518" s="705">
        <v>0.64409537570168574</v>
      </c>
      <c r="G13518" s="705">
        <v>1354.1535765046028</v>
      </c>
    </row>
    <row r="13519" spans="2:7" ht="11.25" hidden="1" customHeight="1" outlineLevel="2" x14ac:dyDescent="0.25">
      <c r="B13519" s="704" t="s">
        <v>691</v>
      </c>
      <c r="C13519" s="704" t="s">
        <v>793</v>
      </c>
      <c r="D13519" s="704" t="s">
        <v>728</v>
      </c>
      <c r="E13519" s="704" t="s">
        <v>448</v>
      </c>
      <c r="F13519" s="705">
        <v>17.916751636228618</v>
      </c>
      <c r="G13519" s="705">
        <v>26093.420432488885</v>
      </c>
    </row>
    <row r="13520" spans="2:7" ht="11.25" hidden="1" customHeight="1" outlineLevel="2" x14ac:dyDescent="0.25">
      <c r="B13520" s="704" t="s">
        <v>691</v>
      </c>
      <c r="C13520" s="704" t="s">
        <v>794</v>
      </c>
      <c r="D13520" s="704" t="s">
        <v>728</v>
      </c>
      <c r="E13520" s="704" t="s">
        <v>448</v>
      </c>
      <c r="F13520" s="705">
        <v>0.64724806274674718</v>
      </c>
      <c r="G13520" s="705">
        <v>506.1451253619644</v>
      </c>
    </row>
    <row r="13521" spans="2:7" ht="11.25" hidden="1" customHeight="1" outlineLevel="2" x14ac:dyDescent="0.25">
      <c r="B13521" s="704" t="s">
        <v>691</v>
      </c>
      <c r="C13521" s="704" t="s">
        <v>795</v>
      </c>
      <c r="D13521" s="704" t="s">
        <v>728</v>
      </c>
      <c r="E13521" s="704" t="s">
        <v>448</v>
      </c>
      <c r="F13521" s="705">
        <v>1.0203209726209621</v>
      </c>
      <c r="G13521" s="705">
        <v>799.49231157691975</v>
      </c>
    </row>
    <row r="13522" spans="2:7" ht="11.25" hidden="1" customHeight="1" outlineLevel="2" x14ac:dyDescent="0.25">
      <c r="B13522" s="704" t="s">
        <v>691</v>
      </c>
      <c r="C13522" s="704" t="s">
        <v>845</v>
      </c>
      <c r="D13522" s="704" t="s">
        <v>728</v>
      </c>
      <c r="E13522" s="704" t="s">
        <v>824</v>
      </c>
      <c r="F13522" s="705">
        <v>5.0358208299942739E-2</v>
      </c>
      <c r="G13522" s="705">
        <v>449.21642301512151</v>
      </c>
    </row>
    <row r="13523" spans="2:7" ht="11.25" hidden="1" customHeight="1" outlineLevel="2" x14ac:dyDescent="0.25">
      <c r="B13523" s="704" t="s">
        <v>691</v>
      </c>
      <c r="C13523" s="704" t="s">
        <v>894</v>
      </c>
      <c r="D13523" s="704" t="s">
        <v>728</v>
      </c>
      <c r="E13523" s="704" t="s">
        <v>861</v>
      </c>
      <c r="F13523" s="709"/>
      <c r="G13523" s="705">
        <v>0.69829299392000821</v>
      </c>
    </row>
    <row r="13524" spans="2:7" ht="11.25" hidden="1" customHeight="1" outlineLevel="2" x14ac:dyDescent="0.25">
      <c r="B13524" s="704" t="s">
        <v>691</v>
      </c>
      <c r="C13524" s="704" t="s">
        <v>895</v>
      </c>
      <c r="D13524" s="704" t="s">
        <v>728</v>
      </c>
      <c r="E13524" s="704" t="s">
        <v>861</v>
      </c>
      <c r="F13524" s="709"/>
      <c r="G13524" s="705">
        <v>186.61316161515191</v>
      </c>
    </row>
    <row r="13525" spans="2:7" ht="11.25" hidden="1" customHeight="1" outlineLevel="2" x14ac:dyDescent="0.25">
      <c r="B13525" s="704" t="s">
        <v>691</v>
      </c>
      <c r="C13525" s="704" t="s">
        <v>896</v>
      </c>
      <c r="D13525" s="704" t="s">
        <v>728</v>
      </c>
      <c r="E13525" s="704" t="s">
        <v>861</v>
      </c>
      <c r="F13525" s="709"/>
      <c r="G13525" s="705">
        <v>4883.0292888303475</v>
      </c>
    </row>
    <row r="13526" spans="2:7" ht="11.25" hidden="1" customHeight="1" outlineLevel="2" x14ac:dyDescent="0.25">
      <c r="B13526" s="704" t="s">
        <v>691</v>
      </c>
      <c r="C13526" s="704" t="s">
        <v>897</v>
      </c>
      <c r="D13526" s="704" t="s">
        <v>728</v>
      </c>
      <c r="E13526" s="704" t="s">
        <v>861</v>
      </c>
      <c r="F13526" s="709"/>
      <c r="G13526" s="705">
        <v>1007.6922529913478</v>
      </c>
    </row>
    <row r="13527" spans="2:7" ht="11.25" hidden="1" customHeight="1" outlineLevel="2" x14ac:dyDescent="0.25">
      <c r="B13527" s="704" t="s">
        <v>691</v>
      </c>
      <c r="C13527" s="704" t="s">
        <v>898</v>
      </c>
      <c r="D13527" s="704" t="s">
        <v>728</v>
      </c>
      <c r="E13527" s="704" t="s">
        <v>861</v>
      </c>
      <c r="F13527" s="709"/>
      <c r="G13527" s="705">
        <v>6648.1161081175915</v>
      </c>
    </row>
    <row r="13528" spans="2:7" ht="11.25" hidden="1" customHeight="1" outlineLevel="2" x14ac:dyDescent="0.25">
      <c r="B13528" s="704" t="s">
        <v>691</v>
      </c>
      <c r="C13528" s="704" t="s">
        <v>899</v>
      </c>
      <c r="D13528" s="704" t="s">
        <v>728</v>
      </c>
      <c r="E13528" s="704" t="s">
        <v>861</v>
      </c>
      <c r="F13528" s="709"/>
      <c r="G13528" s="705">
        <v>783.87033198002428</v>
      </c>
    </row>
    <row r="13529" spans="2:7" ht="11.25" hidden="1" customHeight="1" outlineLevel="2" x14ac:dyDescent="0.25">
      <c r="B13529" s="704" t="s">
        <v>691</v>
      </c>
      <c r="C13529" s="704" t="s">
        <v>900</v>
      </c>
      <c r="D13529" s="704" t="s">
        <v>728</v>
      </c>
      <c r="E13529" s="704" t="s">
        <v>861</v>
      </c>
      <c r="F13529" s="709"/>
      <c r="G13529" s="705">
        <v>18.672277556558132</v>
      </c>
    </row>
    <row r="13530" spans="2:7" ht="11.25" hidden="1" customHeight="1" outlineLevel="2" x14ac:dyDescent="0.25">
      <c r="B13530" s="704" t="s">
        <v>691</v>
      </c>
      <c r="C13530" s="704" t="s">
        <v>744</v>
      </c>
      <c r="D13530" s="704" t="s">
        <v>745</v>
      </c>
      <c r="E13530" s="704" t="s">
        <v>448</v>
      </c>
      <c r="F13530" s="705">
        <v>2.3196895746819345E-2</v>
      </c>
      <c r="G13530" s="705">
        <v>13.414724784136812</v>
      </c>
    </row>
    <row r="13531" spans="2:7" ht="11.25" hidden="1" customHeight="1" outlineLevel="2" x14ac:dyDescent="0.25">
      <c r="B13531" s="704" t="s">
        <v>691</v>
      </c>
      <c r="C13531" s="704" t="s">
        <v>812</v>
      </c>
      <c r="D13531" s="704" t="s">
        <v>745</v>
      </c>
      <c r="E13531" s="704" t="s">
        <v>448</v>
      </c>
      <c r="F13531" s="705">
        <v>2.714881356159362E-2</v>
      </c>
      <c r="G13531" s="705">
        <v>30.205350399230664</v>
      </c>
    </row>
    <row r="13532" spans="2:7" ht="11.25" hidden="1" customHeight="1" outlineLevel="2" x14ac:dyDescent="0.25">
      <c r="B13532" s="704" t="s">
        <v>691</v>
      </c>
      <c r="C13532" s="704" t="s">
        <v>813</v>
      </c>
      <c r="D13532" s="704" t="s">
        <v>745</v>
      </c>
      <c r="E13532" s="704" t="s">
        <v>448</v>
      </c>
      <c r="F13532" s="705">
        <v>2.7847994546511547E-4</v>
      </c>
      <c r="G13532" s="705">
        <v>0.35484456008728227</v>
      </c>
    </row>
    <row r="13533" spans="2:7" ht="11.25" hidden="1" customHeight="1" outlineLevel="2" x14ac:dyDescent="0.25">
      <c r="B13533" s="704" t="s">
        <v>691</v>
      </c>
      <c r="C13533" s="704" t="s">
        <v>917</v>
      </c>
      <c r="D13533" s="704" t="s">
        <v>745</v>
      </c>
      <c r="E13533" s="704" t="s">
        <v>861</v>
      </c>
      <c r="F13533" s="709"/>
      <c r="G13533" s="705">
        <v>401.97059524972798</v>
      </c>
    </row>
    <row r="13534" spans="2:7" ht="11.25" hidden="1" customHeight="1" outlineLevel="2" x14ac:dyDescent="0.25">
      <c r="B13534" s="704" t="s">
        <v>691</v>
      </c>
      <c r="C13534" s="704" t="s">
        <v>816</v>
      </c>
      <c r="D13534" s="704" t="s">
        <v>712</v>
      </c>
      <c r="E13534" s="704" t="s">
        <v>448</v>
      </c>
      <c r="F13534" s="705">
        <v>2.1844146577000001E-33</v>
      </c>
      <c r="G13534" s="705">
        <v>2.6641730390000002E-30</v>
      </c>
    </row>
    <row r="13535" spans="2:7" ht="11.25" hidden="1" customHeight="1" outlineLevel="2" x14ac:dyDescent="0.25">
      <c r="B13535" s="704" t="s">
        <v>691</v>
      </c>
      <c r="C13535" s="704" t="s">
        <v>711</v>
      </c>
      <c r="D13535" s="704" t="s">
        <v>712</v>
      </c>
      <c r="E13535" s="704" t="s">
        <v>676</v>
      </c>
      <c r="F13535" s="705">
        <v>3.1359396728E-33</v>
      </c>
      <c r="G13535" s="705">
        <v>7.3524077000000003E-31</v>
      </c>
    </row>
    <row r="13536" spans="2:7" ht="11.25" hidden="1" customHeight="1" outlineLevel="2" x14ac:dyDescent="0.25">
      <c r="B13536" s="704" t="s">
        <v>691</v>
      </c>
      <c r="C13536" s="704" t="s">
        <v>921</v>
      </c>
      <c r="D13536" s="704" t="s">
        <v>712</v>
      </c>
      <c r="E13536" s="704" t="s">
        <v>861</v>
      </c>
      <c r="F13536" s="709"/>
      <c r="G13536" s="705">
        <v>7.9710240719999993E-32</v>
      </c>
    </row>
    <row r="13537" spans="2:7" ht="11.25" hidden="1" customHeight="1" outlineLevel="2" x14ac:dyDescent="0.25">
      <c r="B13537" s="704" t="s">
        <v>691</v>
      </c>
      <c r="C13537" s="704" t="s">
        <v>817</v>
      </c>
      <c r="D13537" s="704" t="s">
        <v>818</v>
      </c>
      <c r="E13537" s="704" t="s">
        <v>448</v>
      </c>
      <c r="F13537" s="705">
        <v>2.4913268220116276</v>
      </c>
      <c r="G13537" s="705">
        <v>2046.8345687168089</v>
      </c>
    </row>
    <row r="13538" spans="2:7" ht="11.25" hidden="1" customHeight="1" outlineLevel="2" x14ac:dyDescent="0.25">
      <c r="B13538" s="704" t="s">
        <v>691</v>
      </c>
      <c r="C13538" s="704" t="s">
        <v>819</v>
      </c>
      <c r="D13538" s="704" t="s">
        <v>818</v>
      </c>
      <c r="E13538" s="704" t="s">
        <v>448</v>
      </c>
      <c r="F13538" s="705">
        <v>1.0848401219767652</v>
      </c>
      <c r="G13538" s="705">
        <v>863.75867379838689</v>
      </c>
    </row>
    <row r="13539" spans="2:7" ht="11.25" hidden="1" customHeight="1" outlineLevel="2" x14ac:dyDescent="0.25">
      <c r="B13539" s="704" t="s">
        <v>691</v>
      </c>
      <c r="C13539" s="704" t="s">
        <v>820</v>
      </c>
      <c r="D13539" s="704" t="s">
        <v>818</v>
      </c>
      <c r="E13539" s="704" t="s">
        <v>448</v>
      </c>
      <c r="F13539" s="705">
        <v>0.41439380982024698</v>
      </c>
      <c r="G13539" s="705">
        <v>644.72865848592994</v>
      </c>
    </row>
    <row r="13540" spans="2:7" ht="11.25" hidden="1" customHeight="1" outlineLevel="2" x14ac:dyDescent="0.25">
      <c r="B13540" s="704" t="s">
        <v>691</v>
      </c>
      <c r="C13540" s="704" t="s">
        <v>857</v>
      </c>
      <c r="D13540" s="704" t="s">
        <v>818</v>
      </c>
      <c r="E13540" s="704" t="s">
        <v>664</v>
      </c>
      <c r="F13540" s="709"/>
      <c r="G13540" s="705">
        <v>574.04376572272133</v>
      </c>
    </row>
    <row r="13541" spans="2:7" ht="11.25" hidden="1" customHeight="1" outlineLevel="2" x14ac:dyDescent="0.25">
      <c r="B13541" s="704" t="s">
        <v>691</v>
      </c>
      <c r="C13541" s="704" t="s">
        <v>858</v>
      </c>
      <c r="D13541" s="704" t="s">
        <v>818</v>
      </c>
      <c r="E13541" s="704" t="s">
        <v>664</v>
      </c>
      <c r="F13541" s="709"/>
      <c r="G13541" s="705">
        <v>4.7934830138798947</v>
      </c>
    </row>
    <row r="13542" spans="2:7" ht="11.25" hidden="1" customHeight="1" outlineLevel="2" x14ac:dyDescent="0.25">
      <c r="B13542" s="704" t="s">
        <v>691</v>
      </c>
      <c r="C13542" s="704" t="s">
        <v>922</v>
      </c>
      <c r="D13542" s="704" t="s">
        <v>822</v>
      </c>
      <c r="E13542" s="704" t="s">
        <v>861</v>
      </c>
      <c r="F13542" s="709"/>
      <c r="G13542" s="705">
        <v>154.76207798803901</v>
      </c>
    </row>
    <row r="13543" spans="2:7" ht="11.25" hidden="1" customHeight="1" outlineLevel="2" x14ac:dyDescent="0.25">
      <c r="B13543" s="704" t="s">
        <v>691</v>
      </c>
      <c r="C13543" s="704" t="s">
        <v>821</v>
      </c>
      <c r="D13543" s="704" t="s">
        <v>822</v>
      </c>
      <c r="E13543" s="704" t="s">
        <v>448</v>
      </c>
      <c r="F13543" s="705">
        <v>4.8833825772056014E-3</v>
      </c>
      <c r="G13543" s="705">
        <v>6.628275164213294</v>
      </c>
    </row>
    <row r="13544" spans="2:7" ht="11.25" hidden="1" customHeight="1" outlineLevel="2" x14ac:dyDescent="0.25">
      <c r="B13544" s="704" t="s">
        <v>691</v>
      </c>
      <c r="C13544" s="704" t="s">
        <v>855</v>
      </c>
      <c r="D13544" s="704" t="s">
        <v>822</v>
      </c>
      <c r="E13544" s="704" t="s">
        <v>824</v>
      </c>
      <c r="F13544" s="705">
        <v>7.7926602703024382E-5</v>
      </c>
      <c r="G13544" s="705">
        <v>0.22556683544568845</v>
      </c>
    </row>
    <row r="13545" spans="2:7" ht="11.25" hidden="1" customHeight="1" outlineLevel="2" x14ac:dyDescent="0.25">
      <c r="B13545" s="704" t="s">
        <v>691</v>
      </c>
      <c r="C13545" s="704" t="s">
        <v>714</v>
      </c>
      <c r="D13545" s="704" t="s">
        <v>715</v>
      </c>
      <c r="E13545" s="704" t="s">
        <v>448</v>
      </c>
      <c r="F13545" s="705">
        <v>1.4115162663082719</v>
      </c>
      <c r="G13545" s="705">
        <v>357.83638726176002</v>
      </c>
    </row>
    <row r="13546" spans="2:7" ht="11.25" hidden="1" customHeight="1" outlineLevel="2" x14ac:dyDescent="0.25">
      <c r="B13546" s="704" t="s">
        <v>691</v>
      </c>
      <c r="C13546" s="704" t="s">
        <v>716</v>
      </c>
      <c r="D13546" s="704" t="s">
        <v>715</v>
      </c>
      <c r="E13546" s="704" t="s">
        <v>448</v>
      </c>
      <c r="F13546" s="705">
        <v>1.2211720872999998E-33</v>
      </c>
      <c r="G13546" s="705">
        <v>1.4909845060000002E-30</v>
      </c>
    </row>
    <row r="13547" spans="2:7" ht="11.25" hidden="1" customHeight="1" outlineLevel="2" x14ac:dyDescent="0.25">
      <c r="B13547" s="704" t="s">
        <v>691</v>
      </c>
      <c r="C13547" s="704" t="s">
        <v>717</v>
      </c>
      <c r="D13547" s="704" t="s">
        <v>715</v>
      </c>
      <c r="E13547" s="704" t="s">
        <v>448</v>
      </c>
      <c r="F13547" s="705">
        <v>1.5119219198637137</v>
      </c>
      <c r="G13547" s="705">
        <v>413.18481786782138</v>
      </c>
    </row>
    <row r="13548" spans="2:7" ht="11.25" hidden="1" customHeight="1" outlineLevel="2" x14ac:dyDescent="0.25">
      <c r="B13548" s="704" t="s">
        <v>691</v>
      </c>
      <c r="C13548" s="704" t="s">
        <v>718</v>
      </c>
      <c r="D13548" s="704" t="s">
        <v>715</v>
      </c>
      <c r="E13548" s="704" t="s">
        <v>448</v>
      </c>
      <c r="F13548" s="705">
        <v>9.681632042604961E-2</v>
      </c>
      <c r="G13548" s="705">
        <v>106.22956157090668</v>
      </c>
    </row>
    <row r="13549" spans="2:7" ht="11.25" hidden="1" customHeight="1" outlineLevel="2" x14ac:dyDescent="0.25">
      <c r="B13549" s="704" t="s">
        <v>691</v>
      </c>
      <c r="C13549" s="704" t="s">
        <v>746</v>
      </c>
      <c r="D13549" s="704" t="s">
        <v>715</v>
      </c>
      <c r="E13549" s="704" t="s">
        <v>448</v>
      </c>
      <c r="F13549" s="705">
        <v>0.24859778284179687</v>
      </c>
      <c r="G13549" s="705">
        <v>172.91043027123987</v>
      </c>
    </row>
    <row r="13550" spans="2:7" ht="11.25" hidden="1" customHeight="1" outlineLevel="2" x14ac:dyDescent="0.25">
      <c r="B13550" s="704" t="s">
        <v>691</v>
      </c>
      <c r="C13550" s="704" t="s">
        <v>747</v>
      </c>
      <c r="D13550" s="704" t="s">
        <v>715</v>
      </c>
      <c r="E13550" s="704" t="s">
        <v>448</v>
      </c>
      <c r="F13550" s="705">
        <v>2.15244889587568</v>
      </c>
      <c r="G13550" s="705">
        <v>1843.0009775508097</v>
      </c>
    </row>
    <row r="13551" spans="2:7" ht="11.25" hidden="1" customHeight="1" outlineLevel="2" x14ac:dyDescent="0.25">
      <c r="B13551" s="704" t="s">
        <v>691</v>
      </c>
      <c r="C13551" s="704" t="s">
        <v>748</v>
      </c>
      <c r="D13551" s="704" t="s">
        <v>715</v>
      </c>
      <c r="E13551" s="704" t="s">
        <v>448</v>
      </c>
      <c r="F13551" s="705">
        <v>0.6644813452097541</v>
      </c>
      <c r="G13551" s="705">
        <v>863.30920182332113</v>
      </c>
    </row>
    <row r="13552" spans="2:7" ht="11.25" hidden="1" customHeight="1" outlineLevel="2" x14ac:dyDescent="0.25">
      <c r="B13552" s="704" t="s">
        <v>691</v>
      </c>
      <c r="C13552" s="704" t="s">
        <v>749</v>
      </c>
      <c r="D13552" s="704" t="s">
        <v>715</v>
      </c>
      <c r="E13552" s="704" t="s">
        <v>448</v>
      </c>
      <c r="F13552" s="705">
        <v>0.13144255639584618</v>
      </c>
      <c r="G13552" s="705">
        <v>103.65559872787497</v>
      </c>
    </row>
    <row r="13553" spans="2:7" ht="11.25" hidden="1" customHeight="1" outlineLevel="2" x14ac:dyDescent="0.25">
      <c r="B13553" s="704" t="s">
        <v>691</v>
      </c>
      <c r="C13553" s="704" t="s">
        <v>823</v>
      </c>
      <c r="D13553" s="704" t="s">
        <v>715</v>
      </c>
      <c r="E13553" s="704" t="s">
        <v>824</v>
      </c>
      <c r="F13553" s="705">
        <v>4.2912131951980698E-3</v>
      </c>
      <c r="G13553" s="705">
        <v>7.169238569826927</v>
      </c>
    </row>
    <row r="13554" spans="2:7" ht="11.25" hidden="1" customHeight="1" outlineLevel="2" x14ac:dyDescent="0.25">
      <c r="B13554" s="704" t="s">
        <v>691</v>
      </c>
      <c r="C13554" s="704" t="s">
        <v>860</v>
      </c>
      <c r="D13554" s="704" t="s">
        <v>715</v>
      </c>
      <c r="E13554" s="704" t="s">
        <v>861</v>
      </c>
      <c r="F13554" s="709"/>
      <c r="G13554" s="705">
        <v>142.09373670146664</v>
      </c>
    </row>
    <row r="13555" spans="2:7" ht="11.25" hidden="1" customHeight="1" outlineLevel="2" x14ac:dyDescent="0.25">
      <c r="B13555" s="704" t="s">
        <v>691</v>
      </c>
      <c r="C13555" s="704" t="s">
        <v>919</v>
      </c>
      <c r="D13555" s="704" t="s">
        <v>920</v>
      </c>
      <c r="E13555" s="704" t="s">
        <v>861</v>
      </c>
      <c r="F13555" s="709"/>
      <c r="G13555" s="705">
        <v>1.6411632203999995E-29</v>
      </c>
    </row>
    <row r="13556" spans="2:7" ht="11.25" hidden="1" customHeight="1" outlineLevel="1" x14ac:dyDescent="0.25">
      <c r="B13556" s="707" t="s">
        <v>957</v>
      </c>
      <c r="C13556" s="704"/>
      <c r="D13556" s="704"/>
      <c r="E13556" s="704"/>
      <c r="F13556" s="709">
        <f t="shared" ref="F13556:G13556" si="42">SUBTOTAL(9,F13345:F13555)</f>
        <v>132.45307640567697</v>
      </c>
      <c r="G13556" s="705">
        <f t="shared" si="42"/>
        <v>402626.14877285913</v>
      </c>
    </row>
    <row r="13557" spans="2:7" ht="11.25" hidden="1" customHeight="1" outlineLevel="2" x14ac:dyDescent="0.25">
      <c r="B13557" s="704" t="s">
        <v>692</v>
      </c>
      <c r="C13557" s="704" t="s">
        <v>739</v>
      </c>
      <c r="D13557" s="704" t="s">
        <v>44</v>
      </c>
      <c r="E13557" s="704" t="s">
        <v>448</v>
      </c>
      <c r="F13557" s="705">
        <v>3.8563973149799051E-3</v>
      </c>
      <c r="G13557" s="705">
        <v>2.3518767540235155</v>
      </c>
    </row>
    <row r="13558" spans="2:7" ht="11.25" hidden="1" customHeight="1" outlineLevel="2" x14ac:dyDescent="0.25">
      <c r="B13558" s="704" t="s">
        <v>692</v>
      </c>
      <c r="C13558" s="704" t="s">
        <v>796</v>
      </c>
      <c r="D13558" s="704" t="s">
        <v>44</v>
      </c>
      <c r="E13558" s="704" t="s">
        <v>448</v>
      </c>
      <c r="F13558" s="705">
        <v>4.0608758011232045E-3</v>
      </c>
      <c r="G13558" s="705">
        <v>5.7053192347224719</v>
      </c>
    </row>
    <row r="13559" spans="2:7" ht="11.25" hidden="1" customHeight="1" outlineLevel="2" x14ac:dyDescent="0.25">
      <c r="B13559" s="704" t="s">
        <v>692</v>
      </c>
      <c r="C13559" s="704" t="s">
        <v>797</v>
      </c>
      <c r="D13559" s="704" t="s">
        <v>44</v>
      </c>
      <c r="E13559" s="704" t="s">
        <v>448</v>
      </c>
      <c r="F13559" s="705">
        <v>6.4873532194281444E-3</v>
      </c>
      <c r="G13559" s="705">
        <v>22.199075422477559</v>
      </c>
    </row>
    <row r="13560" spans="2:7" ht="11.25" hidden="1" customHeight="1" outlineLevel="2" x14ac:dyDescent="0.25">
      <c r="B13560" s="704" t="s">
        <v>692</v>
      </c>
      <c r="C13560" s="704" t="s">
        <v>798</v>
      </c>
      <c r="D13560" s="704" t="s">
        <v>44</v>
      </c>
      <c r="E13560" s="704" t="s">
        <v>448</v>
      </c>
      <c r="F13560" s="705">
        <v>1.0657599152028385E-4</v>
      </c>
      <c r="G13560" s="705">
        <v>0.13982249711693656</v>
      </c>
    </row>
    <row r="13561" spans="2:7" ht="11.25" hidden="1" customHeight="1" outlineLevel="2" x14ac:dyDescent="0.25">
      <c r="B13561" s="704" t="s">
        <v>692</v>
      </c>
      <c r="C13561" s="704" t="s">
        <v>799</v>
      </c>
      <c r="D13561" s="704" t="s">
        <v>44</v>
      </c>
      <c r="E13561" s="704" t="s">
        <v>448</v>
      </c>
      <c r="F13561" s="705">
        <v>1.1513479615290086E-2</v>
      </c>
      <c r="G13561" s="705">
        <v>15.093593859471019</v>
      </c>
    </row>
    <row r="13562" spans="2:7" ht="11.25" hidden="1" customHeight="1" outlineLevel="2" x14ac:dyDescent="0.25">
      <c r="B13562" s="704" t="s">
        <v>692</v>
      </c>
      <c r="C13562" s="704" t="s">
        <v>800</v>
      </c>
      <c r="D13562" s="704" t="s">
        <v>44</v>
      </c>
      <c r="E13562" s="704" t="s">
        <v>448</v>
      </c>
      <c r="F13562" s="705">
        <v>3.7923923913146793E-3</v>
      </c>
      <c r="G13562" s="705">
        <v>4.7279663763727804</v>
      </c>
    </row>
    <row r="13563" spans="2:7" ht="11.25" hidden="1" customHeight="1" outlineLevel="2" x14ac:dyDescent="0.25">
      <c r="B13563" s="704" t="s">
        <v>692</v>
      </c>
      <c r="C13563" s="704" t="s">
        <v>801</v>
      </c>
      <c r="D13563" s="704" t="s">
        <v>44</v>
      </c>
      <c r="E13563" s="704" t="s">
        <v>448</v>
      </c>
      <c r="F13563" s="705">
        <v>4.9470071073057571E-2</v>
      </c>
      <c r="G13563" s="705">
        <v>51.360815695897756</v>
      </c>
    </row>
    <row r="13564" spans="2:7" ht="11.25" hidden="1" customHeight="1" outlineLevel="2" x14ac:dyDescent="0.25">
      <c r="B13564" s="704" t="s">
        <v>692</v>
      </c>
      <c r="C13564" s="704" t="s">
        <v>802</v>
      </c>
      <c r="D13564" s="704" t="s">
        <v>44</v>
      </c>
      <c r="E13564" s="704" t="s">
        <v>448</v>
      </c>
      <c r="F13564" s="705">
        <v>0.16261972144537795</v>
      </c>
      <c r="G13564" s="705">
        <v>110.09187011362901</v>
      </c>
    </row>
    <row r="13565" spans="2:7" ht="11.25" hidden="1" customHeight="1" outlineLevel="2" x14ac:dyDescent="0.25">
      <c r="B13565" s="704" t="s">
        <v>692</v>
      </c>
      <c r="C13565" s="704" t="s">
        <v>803</v>
      </c>
      <c r="D13565" s="704" t="s">
        <v>44</v>
      </c>
      <c r="E13565" s="704" t="s">
        <v>448</v>
      </c>
      <c r="F13565" s="705">
        <v>1.8270670175817405E-2</v>
      </c>
      <c r="G13565" s="705">
        <v>23.951939243276328</v>
      </c>
    </row>
    <row r="13566" spans="2:7" ht="11.25" hidden="1" customHeight="1" outlineLevel="2" x14ac:dyDescent="0.25">
      <c r="B13566" s="704" t="s">
        <v>692</v>
      </c>
      <c r="C13566" s="704" t="s">
        <v>804</v>
      </c>
      <c r="D13566" s="704" t="s">
        <v>44</v>
      </c>
      <c r="E13566" s="704" t="s">
        <v>448</v>
      </c>
      <c r="F13566" s="705">
        <v>2.720534114247768E-2</v>
      </c>
      <c r="G13566" s="705">
        <v>34.682310343300664</v>
      </c>
    </row>
    <row r="13567" spans="2:7" ht="11.25" hidden="1" customHeight="1" outlineLevel="2" x14ac:dyDescent="0.25">
      <c r="B13567" s="704" t="s">
        <v>692</v>
      </c>
      <c r="C13567" s="704" t="s">
        <v>805</v>
      </c>
      <c r="D13567" s="704" t="s">
        <v>44</v>
      </c>
      <c r="E13567" s="704" t="s">
        <v>448</v>
      </c>
      <c r="F13567" s="705">
        <v>5.4583376137682721E-3</v>
      </c>
      <c r="G13567" s="705">
        <v>38.474657890932569</v>
      </c>
    </row>
    <row r="13568" spans="2:7" ht="11.25" hidden="1" customHeight="1" outlineLevel="2" x14ac:dyDescent="0.25">
      <c r="B13568" s="704" t="s">
        <v>692</v>
      </c>
      <c r="C13568" s="704" t="s">
        <v>846</v>
      </c>
      <c r="D13568" s="704" t="s">
        <v>44</v>
      </c>
      <c r="E13568" s="704" t="s">
        <v>824</v>
      </c>
      <c r="F13568" s="705">
        <v>1.325250323798442E-4</v>
      </c>
      <c r="G13568" s="705">
        <v>0.21057622520236288</v>
      </c>
    </row>
    <row r="13569" spans="2:7" ht="11.25" hidden="1" customHeight="1" outlineLevel="2" x14ac:dyDescent="0.25">
      <c r="B13569" s="704" t="s">
        <v>692</v>
      </c>
      <c r="C13569" s="704" t="s">
        <v>847</v>
      </c>
      <c r="D13569" s="704" t="s">
        <v>44</v>
      </c>
      <c r="E13569" s="704" t="s">
        <v>824</v>
      </c>
      <c r="F13569" s="705">
        <v>2.7193898241967984E-5</v>
      </c>
      <c r="G13569" s="705">
        <v>0.28659183016845224</v>
      </c>
    </row>
    <row r="13570" spans="2:7" ht="11.25" hidden="1" customHeight="1" outlineLevel="2" x14ac:dyDescent="0.25">
      <c r="B13570" s="704" t="s">
        <v>692</v>
      </c>
      <c r="C13570" s="704" t="s">
        <v>705</v>
      </c>
      <c r="D13570" s="704" t="s">
        <v>44</v>
      </c>
      <c r="E13570" s="704" t="s">
        <v>676</v>
      </c>
      <c r="F13570" s="705">
        <v>5.3050709967671899E-3</v>
      </c>
      <c r="G13570" s="705">
        <v>5.5625941880867565E-2</v>
      </c>
    </row>
    <row r="13571" spans="2:7" ht="11.25" hidden="1" customHeight="1" outlineLevel="2" x14ac:dyDescent="0.25">
      <c r="B13571" s="704" t="s">
        <v>692</v>
      </c>
      <c r="C13571" s="704" t="s">
        <v>706</v>
      </c>
      <c r="D13571" s="704" t="s">
        <v>44</v>
      </c>
      <c r="E13571" s="704" t="s">
        <v>676</v>
      </c>
      <c r="F13571" s="705">
        <v>1.6838655096871808E-3</v>
      </c>
      <c r="G13571" s="705">
        <v>1.7650753244989902E-2</v>
      </c>
    </row>
    <row r="13572" spans="2:7" ht="11.25" hidden="1" customHeight="1" outlineLevel="2" x14ac:dyDescent="0.25">
      <c r="B13572" s="704" t="s">
        <v>692</v>
      </c>
      <c r="C13572" s="704" t="s">
        <v>901</v>
      </c>
      <c r="D13572" s="704" t="s">
        <v>44</v>
      </c>
      <c r="E13572" s="704" t="s">
        <v>861</v>
      </c>
      <c r="F13572" s="709"/>
      <c r="G13572" s="705">
        <v>0.41135675082889311</v>
      </c>
    </row>
    <row r="13573" spans="2:7" ht="11.25" hidden="1" customHeight="1" outlineLevel="2" x14ac:dyDescent="0.25">
      <c r="B13573" s="704" t="s">
        <v>692</v>
      </c>
      <c r="C13573" s="704" t="s">
        <v>902</v>
      </c>
      <c r="D13573" s="704" t="s">
        <v>44</v>
      </c>
      <c r="E13573" s="704" t="s">
        <v>861</v>
      </c>
      <c r="F13573" s="709"/>
      <c r="G13573" s="705">
        <v>17783.940385431873</v>
      </c>
    </row>
    <row r="13574" spans="2:7" ht="11.25" hidden="1" customHeight="1" outlineLevel="2" x14ac:dyDescent="0.25">
      <c r="B13574" s="704" t="s">
        <v>692</v>
      </c>
      <c r="C13574" s="704" t="s">
        <v>903</v>
      </c>
      <c r="D13574" s="704" t="s">
        <v>44</v>
      </c>
      <c r="E13574" s="704" t="s">
        <v>861</v>
      </c>
      <c r="F13574" s="709"/>
      <c r="G13574" s="705">
        <v>1595.7621144784241</v>
      </c>
    </row>
    <row r="13575" spans="2:7" ht="11.25" hidden="1" customHeight="1" outlineLevel="2" x14ac:dyDescent="0.25">
      <c r="B13575" s="704" t="s">
        <v>692</v>
      </c>
      <c r="C13575" s="704" t="s">
        <v>904</v>
      </c>
      <c r="D13575" s="704" t="s">
        <v>44</v>
      </c>
      <c r="E13575" s="704" t="s">
        <v>861</v>
      </c>
      <c r="F13575" s="709"/>
      <c r="G13575" s="705">
        <v>8.870256988129297</v>
      </c>
    </row>
    <row r="13576" spans="2:7" ht="11.25" hidden="1" customHeight="1" outlineLevel="2" x14ac:dyDescent="0.25">
      <c r="B13576" s="704" t="s">
        <v>692</v>
      </c>
      <c r="C13576" s="704" t="s">
        <v>905</v>
      </c>
      <c r="D13576" s="704" t="s">
        <v>44</v>
      </c>
      <c r="E13576" s="704" t="s">
        <v>861</v>
      </c>
      <c r="F13576" s="709"/>
      <c r="G13576" s="705">
        <v>1.8206077339672686</v>
      </c>
    </row>
    <row r="13577" spans="2:7" ht="11.25" hidden="1" customHeight="1" outlineLevel="2" x14ac:dyDescent="0.25">
      <c r="B13577" s="704" t="s">
        <v>692</v>
      </c>
      <c r="C13577" s="704" t="s">
        <v>906</v>
      </c>
      <c r="D13577" s="704" t="s">
        <v>44</v>
      </c>
      <c r="E13577" s="704" t="s">
        <v>861</v>
      </c>
      <c r="F13577" s="709"/>
      <c r="G13577" s="705">
        <v>135.46096728331955</v>
      </c>
    </row>
    <row r="13578" spans="2:7" ht="11.25" hidden="1" customHeight="1" outlineLevel="2" x14ac:dyDescent="0.25">
      <c r="B13578" s="704" t="s">
        <v>692</v>
      </c>
      <c r="C13578" s="704" t="s">
        <v>907</v>
      </c>
      <c r="D13578" s="704" t="s">
        <v>44</v>
      </c>
      <c r="E13578" s="704" t="s">
        <v>861</v>
      </c>
      <c r="F13578" s="709"/>
      <c r="G13578" s="705">
        <v>0.33928011739530589</v>
      </c>
    </row>
    <row r="13579" spans="2:7" ht="11.25" hidden="1" customHeight="1" outlineLevel="2" x14ac:dyDescent="0.25">
      <c r="B13579" s="704" t="s">
        <v>692</v>
      </c>
      <c r="C13579" s="704" t="s">
        <v>908</v>
      </c>
      <c r="D13579" s="704" t="s">
        <v>44</v>
      </c>
      <c r="E13579" s="704" t="s">
        <v>861</v>
      </c>
      <c r="F13579" s="709"/>
      <c r="G13579" s="705">
        <v>125.20301293654849</v>
      </c>
    </row>
    <row r="13580" spans="2:7" ht="11.25" hidden="1" customHeight="1" outlineLevel="2" x14ac:dyDescent="0.25">
      <c r="B13580" s="704" t="s">
        <v>692</v>
      </c>
      <c r="C13580" s="704" t="s">
        <v>909</v>
      </c>
      <c r="D13580" s="704" t="s">
        <v>44</v>
      </c>
      <c r="E13580" s="704" t="s">
        <v>861</v>
      </c>
      <c r="F13580" s="709"/>
      <c r="G13580" s="705">
        <v>347.78101059718119</v>
      </c>
    </row>
    <row r="13581" spans="2:7" ht="11.25" hidden="1" customHeight="1" outlineLevel="2" x14ac:dyDescent="0.25">
      <c r="B13581" s="704" t="s">
        <v>692</v>
      </c>
      <c r="C13581" s="704" t="s">
        <v>910</v>
      </c>
      <c r="D13581" s="704" t="s">
        <v>44</v>
      </c>
      <c r="E13581" s="704" t="s">
        <v>861</v>
      </c>
      <c r="F13581" s="709"/>
      <c r="G13581" s="705">
        <v>255.68679495760557</v>
      </c>
    </row>
    <row r="13582" spans="2:7" ht="11.25" hidden="1" customHeight="1" outlineLevel="2" x14ac:dyDescent="0.25">
      <c r="B13582" s="704" t="s">
        <v>692</v>
      </c>
      <c r="C13582" s="704" t="s">
        <v>814</v>
      </c>
      <c r="D13582" s="704" t="s">
        <v>815</v>
      </c>
      <c r="E13582" s="704" t="s">
        <v>448</v>
      </c>
      <c r="F13582" s="705">
        <v>6.6137027373922643E-6</v>
      </c>
      <c r="G13582" s="705">
        <v>1.9205561446003747E-2</v>
      </c>
    </row>
    <row r="13583" spans="2:7" ht="11.25" hidden="1" customHeight="1" outlineLevel="2" x14ac:dyDescent="0.25">
      <c r="B13583" s="704" t="s">
        <v>692</v>
      </c>
      <c r="C13583" s="704" t="s">
        <v>854</v>
      </c>
      <c r="D13583" s="704" t="s">
        <v>815</v>
      </c>
      <c r="E13583" s="704" t="s">
        <v>824</v>
      </c>
      <c r="F13583" s="705">
        <v>1.9105900215015999E-6</v>
      </c>
      <c r="G13583" s="705">
        <v>1.7554250384832895E-2</v>
      </c>
    </row>
    <row r="13584" spans="2:7" ht="11.25" hidden="1" customHeight="1" outlineLevel="2" x14ac:dyDescent="0.25">
      <c r="B13584" s="704" t="s">
        <v>692</v>
      </c>
      <c r="C13584" s="704" t="s">
        <v>918</v>
      </c>
      <c r="D13584" s="704" t="s">
        <v>815</v>
      </c>
      <c r="E13584" s="704" t="s">
        <v>861</v>
      </c>
      <c r="F13584" s="709"/>
      <c r="G13584" s="705">
        <v>1.2070919861616314</v>
      </c>
    </row>
    <row r="13585" spans="2:7" ht="11.25" hidden="1" customHeight="1" outlineLevel="2" x14ac:dyDescent="0.25">
      <c r="B13585" s="704" t="s">
        <v>692</v>
      </c>
      <c r="C13585" s="704" t="s">
        <v>740</v>
      </c>
      <c r="D13585" s="704" t="s">
        <v>562</v>
      </c>
      <c r="E13585" s="704" t="s">
        <v>448</v>
      </c>
      <c r="F13585" s="705">
        <v>8.9569829503893146E-3</v>
      </c>
      <c r="G13585" s="705">
        <v>4.4387925046226124</v>
      </c>
    </row>
    <row r="13586" spans="2:7" ht="11.25" hidden="1" customHeight="1" outlineLevel="2" x14ac:dyDescent="0.25">
      <c r="B13586" s="704" t="s">
        <v>692</v>
      </c>
      <c r="C13586" s="704" t="s">
        <v>741</v>
      </c>
      <c r="D13586" s="704" t="s">
        <v>562</v>
      </c>
      <c r="E13586" s="704" t="s">
        <v>448</v>
      </c>
      <c r="F13586" s="705">
        <v>5.7234713543070269E-2</v>
      </c>
      <c r="G13586" s="705">
        <v>29.614182688886988</v>
      </c>
    </row>
    <row r="13587" spans="2:7" ht="11.25" hidden="1" customHeight="1" outlineLevel="2" x14ac:dyDescent="0.25">
      <c r="B13587" s="704" t="s">
        <v>692</v>
      </c>
      <c r="C13587" s="704" t="s">
        <v>742</v>
      </c>
      <c r="D13587" s="704" t="s">
        <v>562</v>
      </c>
      <c r="E13587" s="704" t="s">
        <v>448</v>
      </c>
      <c r="F13587" s="705">
        <v>2.5477006676748293E-5</v>
      </c>
      <c r="G13587" s="705">
        <v>1.1421290353531734E-2</v>
      </c>
    </row>
    <row r="13588" spans="2:7" ht="11.25" hidden="1" customHeight="1" outlineLevel="2" x14ac:dyDescent="0.25">
      <c r="B13588" s="704" t="s">
        <v>692</v>
      </c>
      <c r="C13588" s="704" t="s">
        <v>743</v>
      </c>
      <c r="D13588" s="704" t="s">
        <v>562</v>
      </c>
      <c r="E13588" s="704" t="s">
        <v>448</v>
      </c>
      <c r="F13588" s="705">
        <v>4.0087562959592051E-4</v>
      </c>
      <c r="G13588" s="705">
        <v>0.17971188386085449</v>
      </c>
    </row>
    <row r="13589" spans="2:7" ht="11.25" hidden="1" customHeight="1" outlineLevel="2" x14ac:dyDescent="0.25">
      <c r="B13589" s="704" t="s">
        <v>692</v>
      </c>
      <c r="C13589" s="704" t="s">
        <v>806</v>
      </c>
      <c r="D13589" s="704" t="s">
        <v>562</v>
      </c>
      <c r="E13589" s="704" t="s">
        <v>448</v>
      </c>
      <c r="F13589" s="705">
        <v>0.75994646202777494</v>
      </c>
      <c r="G13589" s="705">
        <v>913.70271961065737</v>
      </c>
    </row>
    <row r="13590" spans="2:7" ht="11.25" hidden="1" customHeight="1" outlineLevel="2" x14ac:dyDescent="0.25">
      <c r="B13590" s="704" t="s">
        <v>692</v>
      </c>
      <c r="C13590" s="704" t="s">
        <v>807</v>
      </c>
      <c r="D13590" s="704" t="s">
        <v>562</v>
      </c>
      <c r="E13590" s="704" t="s">
        <v>448</v>
      </c>
      <c r="F13590" s="705">
        <v>0.16357541052000124</v>
      </c>
      <c r="G13590" s="705">
        <v>228.64512447361099</v>
      </c>
    </row>
    <row r="13591" spans="2:7" ht="11.25" hidden="1" customHeight="1" outlineLevel="2" x14ac:dyDescent="0.25">
      <c r="B13591" s="704" t="s">
        <v>692</v>
      </c>
      <c r="C13591" s="704" t="s">
        <v>808</v>
      </c>
      <c r="D13591" s="704" t="s">
        <v>562</v>
      </c>
      <c r="E13591" s="704" t="s">
        <v>448</v>
      </c>
      <c r="F13591" s="705">
        <v>7.5506474242336266E-2</v>
      </c>
      <c r="G13591" s="705">
        <v>121.24863966101067</v>
      </c>
    </row>
    <row r="13592" spans="2:7" ht="11.25" hidden="1" customHeight="1" outlineLevel="2" x14ac:dyDescent="0.25">
      <c r="B13592" s="704" t="s">
        <v>692</v>
      </c>
      <c r="C13592" s="704" t="s">
        <v>809</v>
      </c>
      <c r="D13592" s="704" t="s">
        <v>562</v>
      </c>
      <c r="E13592" s="704" t="s">
        <v>448</v>
      </c>
      <c r="F13592" s="705">
        <v>0.17398757882652927</v>
      </c>
      <c r="G13592" s="705">
        <v>260.15560875552171</v>
      </c>
    </row>
    <row r="13593" spans="2:7" ht="11.25" hidden="1" customHeight="1" outlineLevel="2" x14ac:dyDescent="0.25">
      <c r="B13593" s="704" t="s">
        <v>692</v>
      </c>
      <c r="C13593" s="704" t="s">
        <v>810</v>
      </c>
      <c r="D13593" s="704" t="s">
        <v>562</v>
      </c>
      <c r="E13593" s="704" t="s">
        <v>448</v>
      </c>
      <c r="F13593" s="705">
        <v>0.32860710657978875</v>
      </c>
      <c r="G13593" s="705">
        <v>409.85242677404693</v>
      </c>
    </row>
    <row r="13594" spans="2:7" ht="11.25" hidden="1" customHeight="1" outlineLevel="2" x14ac:dyDescent="0.25">
      <c r="B13594" s="704" t="s">
        <v>692</v>
      </c>
      <c r="C13594" s="704" t="s">
        <v>811</v>
      </c>
      <c r="D13594" s="704" t="s">
        <v>562</v>
      </c>
      <c r="E13594" s="704" t="s">
        <v>448</v>
      </c>
      <c r="F13594" s="705">
        <v>1.3989451211373211E-2</v>
      </c>
      <c r="G13594" s="705">
        <v>19.277202222636564</v>
      </c>
    </row>
    <row r="13595" spans="2:7" ht="11.25" hidden="1" customHeight="1" outlineLevel="2" x14ac:dyDescent="0.25">
      <c r="B13595" s="704" t="s">
        <v>692</v>
      </c>
      <c r="C13595" s="704" t="s">
        <v>848</v>
      </c>
      <c r="D13595" s="704" t="s">
        <v>562</v>
      </c>
      <c r="E13595" s="704" t="s">
        <v>824</v>
      </c>
      <c r="F13595" s="705">
        <v>4.4220978668541813E-2</v>
      </c>
      <c r="G13595" s="705">
        <v>121.57258981697566</v>
      </c>
    </row>
    <row r="13596" spans="2:7" ht="11.25" hidden="1" customHeight="1" outlineLevel="2" x14ac:dyDescent="0.25">
      <c r="B13596" s="704" t="s">
        <v>692</v>
      </c>
      <c r="C13596" s="704" t="s">
        <v>849</v>
      </c>
      <c r="D13596" s="704" t="s">
        <v>562</v>
      </c>
      <c r="E13596" s="704" t="s">
        <v>824</v>
      </c>
      <c r="F13596" s="705">
        <v>6.4204122836250856E-3</v>
      </c>
      <c r="G13596" s="705">
        <v>27.07844479771374</v>
      </c>
    </row>
    <row r="13597" spans="2:7" ht="11.25" hidden="1" customHeight="1" outlineLevel="2" x14ac:dyDescent="0.25">
      <c r="B13597" s="704" t="s">
        <v>692</v>
      </c>
      <c r="C13597" s="704" t="s">
        <v>850</v>
      </c>
      <c r="D13597" s="704" t="s">
        <v>562</v>
      </c>
      <c r="E13597" s="704" t="s">
        <v>824</v>
      </c>
      <c r="F13597" s="705">
        <v>4.7499463464159217E-3</v>
      </c>
      <c r="G13597" s="705">
        <v>31.740795516228921</v>
      </c>
    </row>
    <row r="13598" spans="2:7" ht="11.25" hidden="1" customHeight="1" outlineLevel="2" x14ac:dyDescent="0.25">
      <c r="B13598" s="704" t="s">
        <v>692</v>
      </c>
      <c r="C13598" s="704" t="s">
        <v>851</v>
      </c>
      <c r="D13598" s="704" t="s">
        <v>562</v>
      </c>
      <c r="E13598" s="704" t="s">
        <v>824</v>
      </c>
      <c r="F13598" s="705">
        <v>8.3201323583173697E-3</v>
      </c>
      <c r="G13598" s="705">
        <v>39.430046143649669</v>
      </c>
    </row>
    <row r="13599" spans="2:7" ht="11.25" hidden="1" customHeight="1" outlineLevel="2" x14ac:dyDescent="0.25">
      <c r="B13599" s="704" t="s">
        <v>692</v>
      </c>
      <c r="C13599" s="704" t="s">
        <v>852</v>
      </c>
      <c r="D13599" s="704" t="s">
        <v>562</v>
      </c>
      <c r="E13599" s="704" t="s">
        <v>824</v>
      </c>
      <c r="F13599" s="705">
        <v>2.0774890753981262E-4</v>
      </c>
      <c r="G13599" s="705">
        <v>0.5330049369897959</v>
      </c>
    </row>
    <row r="13600" spans="2:7" ht="11.25" hidden="1" customHeight="1" outlineLevel="2" x14ac:dyDescent="0.25">
      <c r="B13600" s="704" t="s">
        <v>692</v>
      </c>
      <c r="C13600" s="704" t="s">
        <v>853</v>
      </c>
      <c r="D13600" s="704" t="s">
        <v>562</v>
      </c>
      <c r="E13600" s="704" t="s">
        <v>824</v>
      </c>
      <c r="F13600" s="705">
        <v>6.061101700046418E-5</v>
      </c>
      <c r="G13600" s="705">
        <v>0.49509134192358573</v>
      </c>
    </row>
    <row r="13601" spans="2:7" ht="11.25" hidden="1" customHeight="1" outlineLevel="2" x14ac:dyDescent="0.25">
      <c r="B13601" s="704" t="s">
        <v>692</v>
      </c>
      <c r="C13601" s="704" t="s">
        <v>707</v>
      </c>
      <c r="D13601" s="704" t="s">
        <v>562</v>
      </c>
      <c r="E13601" s="704" t="s">
        <v>676</v>
      </c>
      <c r="F13601" s="705">
        <v>0.97703593809878764</v>
      </c>
      <c r="G13601" s="705">
        <v>27.131288254133135</v>
      </c>
    </row>
    <row r="13602" spans="2:7" ht="11.25" hidden="1" customHeight="1" outlineLevel="2" x14ac:dyDescent="0.25">
      <c r="B13602" s="704" t="s">
        <v>692</v>
      </c>
      <c r="C13602" s="704" t="s">
        <v>708</v>
      </c>
      <c r="D13602" s="704" t="s">
        <v>562</v>
      </c>
      <c r="E13602" s="704" t="s">
        <v>676</v>
      </c>
      <c r="F13602" s="705">
        <v>3.7458184472513867E-2</v>
      </c>
      <c r="G13602" s="705">
        <v>1.3616620042505496</v>
      </c>
    </row>
    <row r="13603" spans="2:7" ht="11.25" hidden="1" customHeight="1" outlineLevel="2" x14ac:dyDescent="0.25">
      <c r="B13603" s="704" t="s">
        <v>692</v>
      </c>
      <c r="C13603" s="704" t="s">
        <v>709</v>
      </c>
      <c r="D13603" s="704" t="s">
        <v>562</v>
      </c>
      <c r="E13603" s="704" t="s">
        <v>676</v>
      </c>
      <c r="F13603" s="705">
        <v>2.6892229931785205E-2</v>
      </c>
      <c r="G13603" s="705">
        <v>1.8861312120538736</v>
      </c>
    </row>
    <row r="13604" spans="2:7" ht="11.25" hidden="1" customHeight="1" outlineLevel="2" x14ac:dyDescent="0.25">
      <c r="B13604" s="704" t="s">
        <v>692</v>
      </c>
      <c r="C13604" s="704" t="s">
        <v>710</v>
      </c>
      <c r="D13604" s="704" t="s">
        <v>562</v>
      </c>
      <c r="E13604" s="704" t="s">
        <v>676</v>
      </c>
      <c r="F13604" s="705">
        <v>0.31505591050933679</v>
      </c>
      <c r="G13604" s="705">
        <v>65.93032710244583</v>
      </c>
    </row>
    <row r="13605" spans="2:7" ht="11.25" hidden="1" customHeight="1" outlineLevel="2" x14ac:dyDescent="0.25">
      <c r="B13605" s="704" t="s">
        <v>692</v>
      </c>
      <c r="C13605" s="704" t="s">
        <v>911</v>
      </c>
      <c r="D13605" s="704" t="s">
        <v>562</v>
      </c>
      <c r="E13605" s="704" t="s">
        <v>861</v>
      </c>
      <c r="F13605" s="709"/>
      <c r="G13605" s="705">
        <v>703.06191334968537</v>
      </c>
    </row>
    <row r="13606" spans="2:7" ht="11.25" hidden="1" customHeight="1" outlineLevel="2" x14ac:dyDescent="0.25">
      <c r="B13606" s="704" t="s">
        <v>692</v>
      </c>
      <c r="C13606" s="704" t="s">
        <v>912</v>
      </c>
      <c r="D13606" s="704" t="s">
        <v>562</v>
      </c>
      <c r="E13606" s="704" t="s">
        <v>861</v>
      </c>
      <c r="F13606" s="709"/>
      <c r="G13606" s="705">
        <v>165.87999447565525</v>
      </c>
    </row>
    <row r="13607" spans="2:7" ht="11.25" hidden="1" customHeight="1" outlineLevel="2" x14ac:dyDescent="0.25">
      <c r="B13607" s="704" t="s">
        <v>692</v>
      </c>
      <c r="C13607" s="704" t="s">
        <v>913</v>
      </c>
      <c r="D13607" s="704" t="s">
        <v>562</v>
      </c>
      <c r="E13607" s="704" t="s">
        <v>861</v>
      </c>
      <c r="F13607" s="709"/>
      <c r="G13607" s="705">
        <v>460.25289164395497</v>
      </c>
    </row>
    <row r="13608" spans="2:7" ht="11.25" hidden="1" customHeight="1" outlineLevel="2" x14ac:dyDescent="0.25">
      <c r="B13608" s="704" t="s">
        <v>692</v>
      </c>
      <c r="C13608" s="704" t="s">
        <v>914</v>
      </c>
      <c r="D13608" s="704" t="s">
        <v>562</v>
      </c>
      <c r="E13608" s="704" t="s">
        <v>861</v>
      </c>
      <c r="F13608" s="709"/>
      <c r="G13608" s="705">
        <v>233.7013781967953</v>
      </c>
    </row>
    <row r="13609" spans="2:7" ht="11.25" hidden="1" customHeight="1" outlineLevel="2" x14ac:dyDescent="0.25">
      <c r="B13609" s="704" t="s">
        <v>692</v>
      </c>
      <c r="C13609" s="704" t="s">
        <v>915</v>
      </c>
      <c r="D13609" s="704" t="s">
        <v>562</v>
      </c>
      <c r="E13609" s="704" t="s">
        <v>861</v>
      </c>
      <c r="F13609" s="709"/>
      <c r="G13609" s="705">
        <v>22.450821852183669</v>
      </c>
    </row>
    <row r="13610" spans="2:7" ht="11.25" hidden="1" customHeight="1" outlineLevel="2" x14ac:dyDescent="0.25">
      <c r="B13610" s="704" t="s">
        <v>692</v>
      </c>
      <c r="C13610" s="704" t="s">
        <v>916</v>
      </c>
      <c r="D13610" s="704" t="s">
        <v>562</v>
      </c>
      <c r="E13610" s="704" t="s">
        <v>861</v>
      </c>
      <c r="F13610" s="709"/>
      <c r="G13610" s="705">
        <v>19.918962585036532</v>
      </c>
    </row>
    <row r="13611" spans="2:7" ht="11.25" hidden="1" customHeight="1" outlineLevel="2" x14ac:dyDescent="0.25">
      <c r="B13611" s="704" t="s">
        <v>692</v>
      </c>
      <c r="C13611" s="704" t="s">
        <v>719</v>
      </c>
      <c r="D13611" s="704" t="s">
        <v>675</v>
      </c>
      <c r="E13611" s="704" t="s">
        <v>448</v>
      </c>
      <c r="F13611" s="705">
        <v>1.0604619274059066E-2</v>
      </c>
      <c r="G13611" s="705">
        <v>6.5387739529594233</v>
      </c>
    </row>
    <row r="13612" spans="2:7" ht="11.25" hidden="1" customHeight="1" outlineLevel="2" x14ac:dyDescent="0.25">
      <c r="B13612" s="704" t="s">
        <v>692</v>
      </c>
      <c r="C13612" s="704" t="s">
        <v>720</v>
      </c>
      <c r="D13612" s="704" t="s">
        <v>675</v>
      </c>
      <c r="E13612" s="704" t="s">
        <v>448</v>
      </c>
      <c r="F13612" s="705">
        <v>8.7640416714515081E-4</v>
      </c>
      <c r="G13612" s="705">
        <v>0.42408910148486262</v>
      </c>
    </row>
    <row r="13613" spans="2:7" ht="11.25" hidden="1" customHeight="1" outlineLevel="2" x14ac:dyDescent="0.25">
      <c r="B13613" s="704" t="s">
        <v>692</v>
      </c>
      <c r="C13613" s="704" t="s">
        <v>721</v>
      </c>
      <c r="D13613" s="704" t="s">
        <v>675</v>
      </c>
      <c r="E13613" s="704" t="s">
        <v>448</v>
      </c>
      <c r="F13613" s="705">
        <v>1.0613511505053344E-3</v>
      </c>
      <c r="G13613" s="705">
        <v>0.50697402839239536</v>
      </c>
    </row>
    <row r="13614" spans="2:7" ht="11.25" hidden="1" customHeight="1" outlineLevel="2" x14ac:dyDescent="0.25">
      <c r="B13614" s="704" t="s">
        <v>692</v>
      </c>
      <c r="C13614" s="704" t="s">
        <v>722</v>
      </c>
      <c r="D13614" s="704" t="s">
        <v>675</v>
      </c>
      <c r="E13614" s="704" t="s">
        <v>448</v>
      </c>
      <c r="F13614" s="705">
        <v>8.4692604743269945E-6</v>
      </c>
      <c r="G13614" s="705">
        <v>3.7964862597865139E-3</v>
      </c>
    </row>
    <row r="13615" spans="2:7" ht="11.25" hidden="1" customHeight="1" outlineLevel="2" x14ac:dyDescent="0.25">
      <c r="B13615" s="704" t="s">
        <v>692</v>
      </c>
      <c r="C13615" s="704" t="s">
        <v>723</v>
      </c>
      <c r="D13615" s="704" t="s">
        <v>675</v>
      </c>
      <c r="E13615" s="704" t="s">
        <v>448</v>
      </c>
      <c r="F13615" s="705">
        <v>3.0212162275097796E-2</v>
      </c>
      <c r="G13615" s="705">
        <v>16.89719814415351</v>
      </c>
    </row>
    <row r="13616" spans="2:7" ht="11.25" hidden="1" customHeight="1" outlineLevel="2" x14ac:dyDescent="0.25">
      <c r="B13616" s="704" t="s">
        <v>692</v>
      </c>
      <c r="C13616" s="704" t="s">
        <v>724</v>
      </c>
      <c r="D13616" s="704" t="s">
        <v>675</v>
      </c>
      <c r="E13616" s="704" t="s">
        <v>448</v>
      </c>
      <c r="F13616" s="705">
        <v>2.2053276006338173E-4</v>
      </c>
      <c r="G13616" s="705">
        <v>9.8857518859681429E-2</v>
      </c>
    </row>
    <row r="13617" spans="2:7" ht="11.25" hidden="1" customHeight="1" outlineLevel="2" x14ac:dyDescent="0.25">
      <c r="B13617" s="704" t="s">
        <v>692</v>
      </c>
      <c r="C13617" s="704" t="s">
        <v>750</v>
      </c>
      <c r="D13617" s="704" t="s">
        <v>675</v>
      </c>
      <c r="E13617" s="704" t="s">
        <v>448</v>
      </c>
      <c r="F13617" s="705">
        <v>3.7484536668522094E-3</v>
      </c>
      <c r="G13617" s="705">
        <v>5.8128370859771934</v>
      </c>
    </row>
    <row r="13618" spans="2:7" ht="11.25" hidden="1" customHeight="1" outlineLevel="2" x14ac:dyDescent="0.25">
      <c r="B13618" s="704" t="s">
        <v>692</v>
      </c>
      <c r="C13618" s="704" t="s">
        <v>751</v>
      </c>
      <c r="D13618" s="704" t="s">
        <v>675</v>
      </c>
      <c r="E13618" s="704" t="s">
        <v>448</v>
      </c>
      <c r="F13618" s="705">
        <v>3.3203110162359887E-5</v>
      </c>
      <c r="G13618" s="705">
        <v>4.2955341744417494E-2</v>
      </c>
    </row>
    <row r="13619" spans="2:7" ht="11.25" hidden="1" customHeight="1" outlineLevel="2" x14ac:dyDescent="0.25">
      <c r="B13619" s="704" t="s">
        <v>692</v>
      </c>
      <c r="C13619" s="704" t="s">
        <v>752</v>
      </c>
      <c r="D13619" s="704" t="s">
        <v>675</v>
      </c>
      <c r="E13619" s="704" t="s">
        <v>448</v>
      </c>
      <c r="F13619" s="705">
        <v>9.1333270592567056E-3</v>
      </c>
      <c r="G13619" s="705">
        <v>10.87754550107802</v>
      </c>
    </row>
    <row r="13620" spans="2:7" ht="11.25" hidden="1" customHeight="1" outlineLevel="2" x14ac:dyDescent="0.25">
      <c r="B13620" s="704" t="s">
        <v>692</v>
      </c>
      <c r="C13620" s="704" t="s">
        <v>753</v>
      </c>
      <c r="D13620" s="704" t="s">
        <v>675</v>
      </c>
      <c r="E13620" s="704" t="s">
        <v>448</v>
      </c>
      <c r="F13620" s="705">
        <v>6.5421808827049038E-3</v>
      </c>
      <c r="G13620" s="705">
        <v>10.278611511291659</v>
      </c>
    </row>
    <row r="13621" spans="2:7" ht="11.25" hidden="1" customHeight="1" outlineLevel="2" x14ac:dyDescent="0.25">
      <c r="B13621" s="704" t="s">
        <v>692</v>
      </c>
      <c r="C13621" s="704" t="s">
        <v>754</v>
      </c>
      <c r="D13621" s="704" t="s">
        <v>675</v>
      </c>
      <c r="E13621" s="704" t="s">
        <v>448</v>
      </c>
      <c r="F13621" s="705">
        <v>1.6108082566619226E-2</v>
      </c>
      <c r="G13621" s="705">
        <v>20.457905842967438</v>
      </c>
    </row>
    <row r="13622" spans="2:7" ht="11.25" hidden="1" customHeight="1" outlineLevel="2" x14ac:dyDescent="0.25">
      <c r="B13622" s="704" t="s">
        <v>692</v>
      </c>
      <c r="C13622" s="704" t="s">
        <v>755</v>
      </c>
      <c r="D13622" s="704" t="s">
        <v>675</v>
      </c>
      <c r="E13622" s="704" t="s">
        <v>448</v>
      </c>
      <c r="F13622" s="705">
        <v>6.3005791237491313E-3</v>
      </c>
      <c r="G13622" s="705">
        <v>8.6271011815780003</v>
      </c>
    </row>
    <row r="13623" spans="2:7" ht="11.25" hidden="1" customHeight="1" outlineLevel="2" x14ac:dyDescent="0.25">
      <c r="B13623" s="704" t="s">
        <v>692</v>
      </c>
      <c r="C13623" s="704" t="s">
        <v>756</v>
      </c>
      <c r="D13623" s="704" t="s">
        <v>675</v>
      </c>
      <c r="E13623" s="704" t="s">
        <v>448</v>
      </c>
      <c r="F13623" s="705">
        <v>3.3953858530170832E-4</v>
      </c>
      <c r="G13623" s="705">
        <v>0.4479135190870025</v>
      </c>
    </row>
    <row r="13624" spans="2:7" ht="11.25" hidden="1" customHeight="1" outlineLevel="2" x14ac:dyDescent="0.25">
      <c r="B13624" s="704" t="s">
        <v>692</v>
      </c>
      <c r="C13624" s="704" t="s">
        <v>757</v>
      </c>
      <c r="D13624" s="704" t="s">
        <v>675</v>
      </c>
      <c r="E13624" s="704" t="s">
        <v>448</v>
      </c>
      <c r="F13624" s="705">
        <v>1.2005711011566219E-2</v>
      </c>
      <c r="G13624" s="705">
        <v>18.060603768148411</v>
      </c>
    </row>
    <row r="13625" spans="2:7" ht="11.25" hidden="1" customHeight="1" outlineLevel="2" x14ac:dyDescent="0.25">
      <c r="B13625" s="704" t="s">
        <v>692</v>
      </c>
      <c r="C13625" s="704" t="s">
        <v>758</v>
      </c>
      <c r="D13625" s="704" t="s">
        <v>675</v>
      </c>
      <c r="E13625" s="704" t="s">
        <v>448</v>
      </c>
      <c r="F13625" s="705">
        <v>5.4047830001928464E-3</v>
      </c>
      <c r="G13625" s="705">
        <v>6.2203623999652615</v>
      </c>
    </row>
    <row r="13626" spans="2:7" ht="11.25" hidden="1" customHeight="1" outlineLevel="2" x14ac:dyDescent="0.25">
      <c r="B13626" s="704" t="s">
        <v>692</v>
      </c>
      <c r="C13626" s="704" t="s">
        <v>759</v>
      </c>
      <c r="D13626" s="704" t="s">
        <v>675</v>
      </c>
      <c r="E13626" s="704" t="s">
        <v>448</v>
      </c>
      <c r="F13626" s="705">
        <v>2.6744366171713493E-2</v>
      </c>
      <c r="G13626" s="705">
        <v>37.616678066826395</v>
      </c>
    </row>
    <row r="13627" spans="2:7" ht="11.25" hidden="1" customHeight="1" outlineLevel="2" x14ac:dyDescent="0.25">
      <c r="B13627" s="704" t="s">
        <v>692</v>
      </c>
      <c r="C13627" s="704" t="s">
        <v>760</v>
      </c>
      <c r="D13627" s="704" t="s">
        <v>675</v>
      </c>
      <c r="E13627" s="704" t="s">
        <v>448</v>
      </c>
      <c r="F13627" s="705">
        <v>1.8023887461879308E-2</v>
      </c>
      <c r="G13627" s="705">
        <v>18.02036169880089</v>
      </c>
    </row>
    <row r="13628" spans="2:7" ht="11.25" hidden="1" customHeight="1" outlineLevel="2" x14ac:dyDescent="0.25">
      <c r="B13628" s="704" t="s">
        <v>692</v>
      </c>
      <c r="C13628" s="704" t="s">
        <v>761</v>
      </c>
      <c r="D13628" s="704" t="s">
        <v>675</v>
      </c>
      <c r="E13628" s="704" t="s">
        <v>448</v>
      </c>
      <c r="F13628" s="705">
        <v>8.5633817005928913E-4</v>
      </c>
      <c r="G13628" s="705">
        <v>1.436506758695151</v>
      </c>
    </row>
    <row r="13629" spans="2:7" ht="11.25" hidden="1" customHeight="1" outlineLevel="2" x14ac:dyDescent="0.25">
      <c r="B13629" s="704" t="s">
        <v>692</v>
      </c>
      <c r="C13629" s="704" t="s">
        <v>762</v>
      </c>
      <c r="D13629" s="704" t="s">
        <v>675</v>
      </c>
      <c r="E13629" s="704" t="s">
        <v>448</v>
      </c>
      <c r="F13629" s="705">
        <v>1.7415631602668662E-3</v>
      </c>
      <c r="G13629" s="705">
        <v>2.4357952855144025</v>
      </c>
    </row>
    <row r="13630" spans="2:7" ht="11.25" hidden="1" customHeight="1" outlineLevel="2" x14ac:dyDescent="0.25">
      <c r="B13630" s="704" t="s">
        <v>692</v>
      </c>
      <c r="C13630" s="704" t="s">
        <v>763</v>
      </c>
      <c r="D13630" s="704" t="s">
        <v>675</v>
      </c>
      <c r="E13630" s="704" t="s">
        <v>448</v>
      </c>
      <c r="F13630" s="705">
        <v>7.7363294790251398E-4</v>
      </c>
      <c r="G13630" s="705">
        <v>2.1826931432762917</v>
      </c>
    </row>
    <row r="13631" spans="2:7" ht="11.25" hidden="1" customHeight="1" outlineLevel="2" x14ac:dyDescent="0.25">
      <c r="B13631" s="704" t="s">
        <v>692</v>
      </c>
      <c r="C13631" s="704" t="s">
        <v>764</v>
      </c>
      <c r="D13631" s="704" t="s">
        <v>675</v>
      </c>
      <c r="E13631" s="704" t="s">
        <v>448</v>
      </c>
      <c r="F13631" s="705">
        <v>9.0130322356434586E-4</v>
      </c>
      <c r="G13631" s="705">
        <v>5.2132310758119624</v>
      </c>
    </row>
    <row r="13632" spans="2:7" ht="11.25" hidden="1" customHeight="1" outlineLevel="2" x14ac:dyDescent="0.25">
      <c r="B13632" s="704" t="s">
        <v>692</v>
      </c>
      <c r="C13632" s="704" t="s">
        <v>765</v>
      </c>
      <c r="D13632" s="704" t="s">
        <v>675</v>
      </c>
      <c r="E13632" s="704" t="s">
        <v>448</v>
      </c>
      <c r="F13632" s="705">
        <v>8.5267046324393678E-3</v>
      </c>
      <c r="G13632" s="705">
        <v>12.354007941666024</v>
      </c>
    </row>
    <row r="13633" spans="2:7" ht="11.25" hidden="1" customHeight="1" outlineLevel="2" x14ac:dyDescent="0.25">
      <c r="B13633" s="704" t="s">
        <v>692</v>
      </c>
      <c r="C13633" s="704" t="s">
        <v>766</v>
      </c>
      <c r="D13633" s="704" t="s">
        <v>675</v>
      </c>
      <c r="E13633" s="704" t="s">
        <v>448</v>
      </c>
      <c r="F13633" s="705">
        <v>5.2886386641339692E-3</v>
      </c>
      <c r="G13633" s="705">
        <v>8.4787187325651416</v>
      </c>
    </row>
    <row r="13634" spans="2:7" ht="11.25" hidden="1" customHeight="1" outlineLevel="2" x14ac:dyDescent="0.25">
      <c r="B13634" s="704" t="s">
        <v>692</v>
      </c>
      <c r="C13634" s="704" t="s">
        <v>767</v>
      </c>
      <c r="D13634" s="704" t="s">
        <v>675</v>
      </c>
      <c r="E13634" s="704" t="s">
        <v>448</v>
      </c>
      <c r="F13634" s="705">
        <v>2.6631252024846902E-3</v>
      </c>
      <c r="G13634" s="705">
        <v>2.7936613719433252</v>
      </c>
    </row>
    <row r="13635" spans="2:7" ht="11.25" hidden="1" customHeight="1" outlineLevel="2" x14ac:dyDescent="0.25">
      <c r="B13635" s="704" t="s">
        <v>692</v>
      </c>
      <c r="C13635" s="704" t="s">
        <v>768</v>
      </c>
      <c r="D13635" s="704" t="s">
        <v>675</v>
      </c>
      <c r="E13635" s="704" t="s">
        <v>448</v>
      </c>
      <c r="F13635" s="705">
        <v>1.2419587380555338E-3</v>
      </c>
      <c r="G13635" s="705">
        <v>1.9735309144422348</v>
      </c>
    </row>
    <row r="13636" spans="2:7" ht="11.25" hidden="1" customHeight="1" outlineLevel="2" x14ac:dyDescent="0.25">
      <c r="B13636" s="704" t="s">
        <v>692</v>
      </c>
      <c r="C13636" s="704" t="s">
        <v>825</v>
      </c>
      <c r="D13636" s="704" t="s">
        <v>675</v>
      </c>
      <c r="E13636" s="704" t="s">
        <v>824</v>
      </c>
      <c r="F13636" s="705">
        <v>2.3608933797217741E-4</v>
      </c>
      <c r="G13636" s="705">
        <v>1.1178389158044668</v>
      </c>
    </row>
    <row r="13637" spans="2:7" ht="11.25" hidden="1" customHeight="1" outlineLevel="2" x14ac:dyDescent="0.25">
      <c r="B13637" s="704" t="s">
        <v>692</v>
      </c>
      <c r="C13637" s="704" t="s">
        <v>826</v>
      </c>
      <c r="D13637" s="704" t="s">
        <v>675</v>
      </c>
      <c r="E13637" s="704" t="s">
        <v>824</v>
      </c>
      <c r="F13637" s="705">
        <v>1.7550119298132975E-4</v>
      </c>
      <c r="G13637" s="705">
        <v>1.8759443372812226</v>
      </c>
    </row>
    <row r="13638" spans="2:7" ht="11.25" hidden="1" customHeight="1" outlineLevel="2" x14ac:dyDescent="0.25">
      <c r="B13638" s="704" t="s">
        <v>692</v>
      </c>
      <c r="C13638" s="704" t="s">
        <v>827</v>
      </c>
      <c r="D13638" s="704" t="s">
        <v>675</v>
      </c>
      <c r="E13638" s="704" t="s">
        <v>824</v>
      </c>
      <c r="F13638" s="705">
        <v>1.2995571054126465E-4</v>
      </c>
      <c r="G13638" s="705">
        <v>0.31033741896608463</v>
      </c>
    </row>
    <row r="13639" spans="2:7" ht="11.25" hidden="1" customHeight="1" outlineLevel="2" x14ac:dyDescent="0.25">
      <c r="B13639" s="704" t="s">
        <v>692</v>
      </c>
      <c r="C13639" s="704" t="s">
        <v>828</v>
      </c>
      <c r="D13639" s="704" t="s">
        <v>675</v>
      </c>
      <c r="E13639" s="704" t="s">
        <v>824</v>
      </c>
      <c r="F13639" s="705">
        <v>3.5436137779463197E-5</v>
      </c>
      <c r="G13639" s="705">
        <v>0.19446432570965158</v>
      </c>
    </row>
    <row r="13640" spans="2:7" ht="11.25" hidden="1" customHeight="1" outlineLevel="2" x14ac:dyDescent="0.25">
      <c r="B13640" s="704" t="s">
        <v>692</v>
      </c>
      <c r="C13640" s="704" t="s">
        <v>829</v>
      </c>
      <c r="D13640" s="704" t="s">
        <v>675</v>
      </c>
      <c r="E13640" s="704" t="s">
        <v>824</v>
      </c>
      <c r="F13640" s="705">
        <v>7.6686204388195687E-4</v>
      </c>
      <c r="G13640" s="705">
        <v>3.4413602633579008</v>
      </c>
    </row>
    <row r="13641" spans="2:7" ht="11.25" hidden="1" customHeight="1" outlineLevel="2" x14ac:dyDescent="0.25">
      <c r="B13641" s="704" t="s">
        <v>692</v>
      </c>
      <c r="C13641" s="704" t="s">
        <v>830</v>
      </c>
      <c r="D13641" s="704" t="s">
        <v>675</v>
      </c>
      <c r="E13641" s="704" t="s">
        <v>824</v>
      </c>
      <c r="F13641" s="705">
        <v>6.9572099285788449E-4</v>
      </c>
      <c r="G13641" s="705">
        <v>1.2390878977874078</v>
      </c>
    </row>
    <row r="13642" spans="2:7" ht="11.25" hidden="1" customHeight="1" outlineLevel="2" x14ac:dyDescent="0.25">
      <c r="B13642" s="704" t="s">
        <v>692</v>
      </c>
      <c r="C13642" s="704" t="s">
        <v>831</v>
      </c>
      <c r="D13642" s="704" t="s">
        <v>675</v>
      </c>
      <c r="E13642" s="704" t="s">
        <v>824</v>
      </c>
      <c r="F13642" s="705">
        <v>1.9303048581571325E-4</v>
      </c>
      <c r="G13642" s="705">
        <v>3.1838116406986194</v>
      </c>
    </row>
    <row r="13643" spans="2:7" ht="11.25" hidden="1" customHeight="1" outlineLevel="2" x14ac:dyDescent="0.25">
      <c r="B13643" s="704" t="s">
        <v>692</v>
      </c>
      <c r="C13643" s="704" t="s">
        <v>832</v>
      </c>
      <c r="D13643" s="704" t="s">
        <v>675</v>
      </c>
      <c r="E13643" s="704" t="s">
        <v>824</v>
      </c>
      <c r="F13643" s="705">
        <v>5.2764218091916272E-4</v>
      </c>
      <c r="G13643" s="705">
        <v>1.2680786430598392</v>
      </c>
    </row>
    <row r="13644" spans="2:7" ht="11.25" hidden="1" customHeight="1" outlineLevel="2" x14ac:dyDescent="0.25">
      <c r="B13644" s="704" t="s">
        <v>692</v>
      </c>
      <c r="C13644" s="704" t="s">
        <v>833</v>
      </c>
      <c r="D13644" s="704" t="s">
        <v>675</v>
      </c>
      <c r="E13644" s="704" t="s">
        <v>824</v>
      </c>
      <c r="F13644" s="705">
        <v>8.0585429639697329E-5</v>
      </c>
      <c r="G13644" s="705">
        <v>0.20405229643734488</v>
      </c>
    </row>
    <row r="13645" spans="2:7" ht="11.25" hidden="1" customHeight="1" outlineLevel="2" x14ac:dyDescent="0.25">
      <c r="B13645" s="704" t="s">
        <v>692</v>
      </c>
      <c r="C13645" s="704" t="s">
        <v>834</v>
      </c>
      <c r="D13645" s="704" t="s">
        <v>675</v>
      </c>
      <c r="E13645" s="704" t="s">
        <v>824</v>
      </c>
      <c r="F13645" s="705">
        <v>5.8369579392739319E-4</v>
      </c>
      <c r="G13645" s="705">
        <v>2.2074004973738268</v>
      </c>
    </row>
    <row r="13646" spans="2:7" ht="11.25" hidden="1" customHeight="1" outlineLevel="2" x14ac:dyDescent="0.25">
      <c r="B13646" s="704" t="s">
        <v>692</v>
      </c>
      <c r="C13646" s="704" t="s">
        <v>835</v>
      </c>
      <c r="D13646" s="704" t="s">
        <v>675</v>
      </c>
      <c r="E13646" s="704" t="s">
        <v>824</v>
      </c>
      <c r="F13646" s="705">
        <v>7.3208080467443968E-4</v>
      </c>
      <c r="G13646" s="705">
        <v>5.3751369460617378</v>
      </c>
    </row>
    <row r="13647" spans="2:7" ht="11.25" hidden="1" customHeight="1" outlineLevel="2" x14ac:dyDescent="0.25">
      <c r="B13647" s="704" t="s">
        <v>692</v>
      </c>
      <c r="C13647" s="704" t="s">
        <v>836</v>
      </c>
      <c r="D13647" s="704" t="s">
        <v>675</v>
      </c>
      <c r="E13647" s="704" t="s">
        <v>824</v>
      </c>
      <c r="F13647" s="705">
        <v>5.1081081904668311E-5</v>
      </c>
      <c r="G13647" s="705">
        <v>0.56149434600610026</v>
      </c>
    </row>
    <row r="13648" spans="2:7" ht="11.25" hidden="1" customHeight="1" outlineLevel="2" x14ac:dyDescent="0.25">
      <c r="B13648" s="704" t="s">
        <v>692</v>
      </c>
      <c r="C13648" s="704" t="s">
        <v>837</v>
      </c>
      <c r="D13648" s="704" t="s">
        <v>675</v>
      </c>
      <c r="E13648" s="704" t="s">
        <v>824</v>
      </c>
      <c r="F13648" s="705">
        <v>1.6846074023102822E-3</v>
      </c>
      <c r="G13648" s="705">
        <v>4.6512135284501657</v>
      </c>
    </row>
    <row r="13649" spans="2:7" ht="11.25" hidden="1" customHeight="1" outlineLevel="2" x14ac:dyDescent="0.25">
      <c r="B13649" s="704" t="s">
        <v>692</v>
      </c>
      <c r="C13649" s="704" t="s">
        <v>838</v>
      </c>
      <c r="D13649" s="704" t="s">
        <v>675</v>
      </c>
      <c r="E13649" s="704" t="s">
        <v>824</v>
      </c>
      <c r="F13649" s="705">
        <v>8.6896885393872411E-4</v>
      </c>
      <c r="G13649" s="705">
        <v>1.9234701997945758</v>
      </c>
    </row>
    <row r="13650" spans="2:7" ht="11.25" hidden="1" customHeight="1" outlineLevel="2" x14ac:dyDescent="0.25">
      <c r="B13650" s="704" t="s">
        <v>692</v>
      </c>
      <c r="C13650" s="704" t="s">
        <v>674</v>
      </c>
      <c r="D13650" s="704" t="s">
        <v>675</v>
      </c>
      <c r="E13650" s="704" t="s">
        <v>676</v>
      </c>
      <c r="F13650" s="705">
        <v>2.4642046781924443E-3</v>
      </c>
      <c r="G13650" s="705">
        <v>6.0983751720908128E-2</v>
      </c>
    </row>
    <row r="13651" spans="2:7" ht="11.25" hidden="1" customHeight="1" outlineLevel="2" x14ac:dyDescent="0.25">
      <c r="B13651" s="704" t="s">
        <v>692</v>
      </c>
      <c r="C13651" s="704" t="s">
        <v>862</v>
      </c>
      <c r="D13651" s="704" t="s">
        <v>675</v>
      </c>
      <c r="E13651" s="704" t="s">
        <v>861</v>
      </c>
      <c r="F13651" s="709"/>
      <c r="G13651" s="705">
        <v>181.06783786850019</v>
      </c>
    </row>
    <row r="13652" spans="2:7" ht="11.25" hidden="1" customHeight="1" outlineLevel="2" x14ac:dyDescent="0.25">
      <c r="B13652" s="704" t="s">
        <v>692</v>
      </c>
      <c r="C13652" s="704" t="s">
        <v>863</v>
      </c>
      <c r="D13652" s="704" t="s">
        <v>675</v>
      </c>
      <c r="E13652" s="704" t="s">
        <v>861</v>
      </c>
      <c r="F13652" s="709"/>
      <c r="G13652" s="705">
        <v>0.29515285363729743</v>
      </c>
    </row>
    <row r="13653" spans="2:7" ht="11.25" hidden="1" customHeight="1" outlineLevel="2" x14ac:dyDescent="0.25">
      <c r="B13653" s="704" t="s">
        <v>692</v>
      </c>
      <c r="C13653" s="704" t="s">
        <v>864</v>
      </c>
      <c r="D13653" s="704" t="s">
        <v>675</v>
      </c>
      <c r="E13653" s="704" t="s">
        <v>861</v>
      </c>
      <c r="F13653" s="709"/>
      <c r="G13653" s="705">
        <v>4.8625395398210305</v>
      </c>
    </row>
    <row r="13654" spans="2:7" ht="11.25" hidden="1" customHeight="1" outlineLevel="2" x14ac:dyDescent="0.25">
      <c r="B13654" s="704" t="s">
        <v>692</v>
      </c>
      <c r="C13654" s="704" t="s">
        <v>865</v>
      </c>
      <c r="D13654" s="704" t="s">
        <v>675</v>
      </c>
      <c r="E13654" s="704" t="s">
        <v>861</v>
      </c>
      <c r="F13654" s="709"/>
      <c r="G13654" s="705">
        <v>453.23406519921525</v>
      </c>
    </row>
    <row r="13655" spans="2:7" ht="11.25" hidden="1" customHeight="1" outlineLevel="2" x14ac:dyDescent="0.25">
      <c r="B13655" s="704" t="s">
        <v>692</v>
      </c>
      <c r="C13655" s="704" t="s">
        <v>866</v>
      </c>
      <c r="D13655" s="704" t="s">
        <v>675</v>
      </c>
      <c r="E13655" s="704" t="s">
        <v>861</v>
      </c>
      <c r="F13655" s="709"/>
      <c r="G13655" s="705">
        <v>493.02326910069604</v>
      </c>
    </row>
    <row r="13656" spans="2:7" ht="11.25" hidden="1" customHeight="1" outlineLevel="2" x14ac:dyDescent="0.25">
      <c r="B13656" s="704" t="s">
        <v>692</v>
      </c>
      <c r="C13656" s="704" t="s">
        <v>867</v>
      </c>
      <c r="D13656" s="704" t="s">
        <v>675</v>
      </c>
      <c r="E13656" s="704" t="s">
        <v>861</v>
      </c>
      <c r="F13656" s="709"/>
      <c r="G13656" s="705">
        <v>27.162338682803796</v>
      </c>
    </row>
    <row r="13657" spans="2:7" ht="11.25" hidden="1" customHeight="1" outlineLevel="2" x14ac:dyDescent="0.25">
      <c r="B13657" s="704" t="s">
        <v>692</v>
      </c>
      <c r="C13657" s="704" t="s">
        <v>868</v>
      </c>
      <c r="D13657" s="704" t="s">
        <v>675</v>
      </c>
      <c r="E13657" s="704" t="s">
        <v>861</v>
      </c>
      <c r="F13657" s="709"/>
      <c r="G13657" s="705">
        <v>16.765403730806362</v>
      </c>
    </row>
    <row r="13658" spans="2:7" ht="11.25" hidden="1" customHeight="1" outlineLevel="2" x14ac:dyDescent="0.25">
      <c r="B13658" s="704" t="s">
        <v>692</v>
      </c>
      <c r="C13658" s="704" t="s">
        <v>869</v>
      </c>
      <c r="D13658" s="704" t="s">
        <v>675</v>
      </c>
      <c r="E13658" s="704" t="s">
        <v>861</v>
      </c>
      <c r="F13658" s="709"/>
      <c r="G13658" s="705">
        <v>50.060648739364822</v>
      </c>
    </row>
    <row r="13659" spans="2:7" ht="11.25" hidden="1" customHeight="1" outlineLevel="2" x14ac:dyDescent="0.25">
      <c r="B13659" s="704" t="s">
        <v>692</v>
      </c>
      <c r="C13659" s="704" t="s">
        <v>870</v>
      </c>
      <c r="D13659" s="704" t="s">
        <v>675</v>
      </c>
      <c r="E13659" s="704" t="s">
        <v>861</v>
      </c>
      <c r="F13659" s="709"/>
      <c r="G13659" s="705">
        <v>215.02023481796104</v>
      </c>
    </row>
    <row r="13660" spans="2:7" ht="11.25" hidden="1" customHeight="1" outlineLevel="2" x14ac:dyDescent="0.25">
      <c r="B13660" s="704" t="s">
        <v>692</v>
      </c>
      <c r="C13660" s="704" t="s">
        <v>871</v>
      </c>
      <c r="D13660" s="704" t="s">
        <v>675</v>
      </c>
      <c r="E13660" s="704" t="s">
        <v>861</v>
      </c>
      <c r="F13660" s="709"/>
      <c r="G13660" s="705">
        <v>184.89225734669745</v>
      </c>
    </row>
    <row r="13661" spans="2:7" ht="11.25" hidden="1" customHeight="1" outlineLevel="2" x14ac:dyDescent="0.25">
      <c r="B13661" s="704" t="s">
        <v>692</v>
      </c>
      <c r="C13661" s="704" t="s">
        <v>872</v>
      </c>
      <c r="D13661" s="704" t="s">
        <v>675</v>
      </c>
      <c r="E13661" s="704" t="s">
        <v>861</v>
      </c>
      <c r="F13661" s="709"/>
      <c r="G13661" s="705">
        <v>1836.7843482009732</v>
      </c>
    </row>
    <row r="13662" spans="2:7" ht="11.25" hidden="1" customHeight="1" outlineLevel="2" x14ac:dyDescent="0.25">
      <c r="B13662" s="704" t="s">
        <v>692</v>
      </c>
      <c r="C13662" s="704" t="s">
        <v>873</v>
      </c>
      <c r="D13662" s="704" t="s">
        <v>675</v>
      </c>
      <c r="E13662" s="704" t="s">
        <v>861</v>
      </c>
      <c r="F13662" s="709"/>
      <c r="G13662" s="705">
        <v>15.236038998859803</v>
      </c>
    </row>
    <row r="13663" spans="2:7" ht="11.25" hidden="1" customHeight="1" outlineLevel="2" x14ac:dyDescent="0.25">
      <c r="B13663" s="704" t="s">
        <v>692</v>
      </c>
      <c r="C13663" s="704" t="s">
        <v>874</v>
      </c>
      <c r="D13663" s="704" t="s">
        <v>675</v>
      </c>
      <c r="E13663" s="704" t="s">
        <v>861</v>
      </c>
      <c r="F13663" s="709"/>
      <c r="G13663" s="705">
        <v>7.196676554716908</v>
      </c>
    </row>
    <row r="13664" spans="2:7" ht="11.25" hidden="1" customHeight="1" outlineLevel="2" x14ac:dyDescent="0.25">
      <c r="B13664" s="704" t="s">
        <v>692</v>
      </c>
      <c r="C13664" s="704" t="s">
        <v>875</v>
      </c>
      <c r="D13664" s="704" t="s">
        <v>675</v>
      </c>
      <c r="E13664" s="704" t="s">
        <v>861</v>
      </c>
      <c r="F13664" s="709"/>
      <c r="G13664" s="705">
        <v>419.50558772218881</v>
      </c>
    </row>
    <row r="13665" spans="2:7" ht="11.25" hidden="1" customHeight="1" outlineLevel="2" x14ac:dyDescent="0.25">
      <c r="B13665" s="704" t="s">
        <v>692</v>
      </c>
      <c r="C13665" s="704" t="s">
        <v>876</v>
      </c>
      <c r="D13665" s="704" t="s">
        <v>675</v>
      </c>
      <c r="E13665" s="704" t="s">
        <v>861</v>
      </c>
      <c r="F13665" s="709"/>
      <c r="G13665" s="705">
        <v>456.98052691878041</v>
      </c>
    </row>
    <row r="13666" spans="2:7" ht="11.25" hidden="1" customHeight="1" outlineLevel="2" x14ac:dyDescent="0.25">
      <c r="B13666" s="704" t="s">
        <v>692</v>
      </c>
      <c r="C13666" s="704" t="s">
        <v>877</v>
      </c>
      <c r="D13666" s="704" t="s">
        <v>675</v>
      </c>
      <c r="E13666" s="704" t="s">
        <v>861</v>
      </c>
      <c r="F13666" s="709"/>
      <c r="G13666" s="705">
        <v>1570.9897941658785</v>
      </c>
    </row>
    <row r="13667" spans="2:7" ht="11.25" hidden="1" customHeight="1" outlineLevel="2" x14ac:dyDescent="0.25">
      <c r="B13667" s="704" t="s">
        <v>692</v>
      </c>
      <c r="C13667" s="704" t="s">
        <v>878</v>
      </c>
      <c r="D13667" s="704" t="s">
        <v>675</v>
      </c>
      <c r="E13667" s="704" t="s">
        <v>861</v>
      </c>
      <c r="F13667" s="709"/>
      <c r="G13667" s="705">
        <v>73.960017915935055</v>
      </c>
    </row>
    <row r="13668" spans="2:7" ht="11.25" hidden="1" customHeight="1" outlineLevel="2" x14ac:dyDescent="0.25">
      <c r="B13668" s="704" t="s">
        <v>692</v>
      </c>
      <c r="C13668" s="704" t="s">
        <v>879</v>
      </c>
      <c r="D13668" s="704" t="s">
        <v>675</v>
      </c>
      <c r="E13668" s="704" t="s">
        <v>861</v>
      </c>
      <c r="F13668" s="709"/>
      <c r="G13668" s="705">
        <v>587.93260276973638</v>
      </c>
    </row>
    <row r="13669" spans="2:7" ht="11.25" hidden="1" customHeight="1" outlineLevel="2" x14ac:dyDescent="0.25">
      <c r="B13669" s="704" t="s">
        <v>692</v>
      </c>
      <c r="C13669" s="704" t="s">
        <v>880</v>
      </c>
      <c r="D13669" s="704" t="s">
        <v>675</v>
      </c>
      <c r="E13669" s="704" t="s">
        <v>861</v>
      </c>
      <c r="F13669" s="709"/>
      <c r="G13669" s="705">
        <v>1999.2629935600512</v>
      </c>
    </row>
    <row r="13670" spans="2:7" ht="11.25" hidden="1" customHeight="1" outlineLevel="2" x14ac:dyDescent="0.25">
      <c r="B13670" s="704" t="s">
        <v>692</v>
      </c>
      <c r="C13670" s="704" t="s">
        <v>881</v>
      </c>
      <c r="D13670" s="704" t="s">
        <v>675</v>
      </c>
      <c r="E13670" s="704" t="s">
        <v>861</v>
      </c>
      <c r="F13670" s="709"/>
      <c r="G13670" s="705">
        <v>1212.4316585436497</v>
      </c>
    </row>
    <row r="13671" spans="2:7" ht="11.25" hidden="1" customHeight="1" outlineLevel="2" x14ac:dyDescent="0.25">
      <c r="B13671" s="704" t="s">
        <v>692</v>
      </c>
      <c r="C13671" s="704" t="s">
        <v>882</v>
      </c>
      <c r="D13671" s="704" t="s">
        <v>675</v>
      </c>
      <c r="E13671" s="704" t="s">
        <v>861</v>
      </c>
      <c r="F13671" s="709"/>
      <c r="G13671" s="705">
        <v>1829.7161603422257</v>
      </c>
    </row>
    <row r="13672" spans="2:7" ht="11.25" hidden="1" customHeight="1" outlineLevel="2" x14ac:dyDescent="0.25">
      <c r="B13672" s="704" t="s">
        <v>692</v>
      </c>
      <c r="C13672" s="704" t="s">
        <v>883</v>
      </c>
      <c r="D13672" s="704" t="s">
        <v>675</v>
      </c>
      <c r="E13672" s="704" t="s">
        <v>861</v>
      </c>
      <c r="F13672" s="709"/>
      <c r="G13672" s="705">
        <v>831.35375265490632</v>
      </c>
    </row>
    <row r="13673" spans="2:7" ht="11.25" hidden="1" customHeight="1" outlineLevel="2" x14ac:dyDescent="0.25">
      <c r="B13673" s="704" t="s">
        <v>692</v>
      </c>
      <c r="C13673" s="704" t="s">
        <v>884</v>
      </c>
      <c r="D13673" s="704" t="s">
        <v>675</v>
      </c>
      <c r="E13673" s="704" t="s">
        <v>861</v>
      </c>
      <c r="F13673" s="709"/>
      <c r="G13673" s="705">
        <v>196.80779134380657</v>
      </c>
    </row>
    <row r="13674" spans="2:7" ht="11.25" hidden="1" customHeight="1" outlineLevel="2" x14ac:dyDescent="0.25">
      <c r="B13674" s="704" t="s">
        <v>692</v>
      </c>
      <c r="C13674" s="704" t="s">
        <v>885</v>
      </c>
      <c r="D13674" s="704" t="s">
        <v>675</v>
      </c>
      <c r="E13674" s="704" t="s">
        <v>861</v>
      </c>
      <c r="F13674" s="709"/>
      <c r="G13674" s="705">
        <v>2.5614636093655632</v>
      </c>
    </row>
    <row r="13675" spans="2:7" ht="11.25" hidden="1" customHeight="1" outlineLevel="2" x14ac:dyDescent="0.25">
      <c r="B13675" s="704" t="s">
        <v>692</v>
      </c>
      <c r="C13675" s="704" t="s">
        <v>886</v>
      </c>
      <c r="D13675" s="704" t="s">
        <v>675</v>
      </c>
      <c r="E13675" s="704" t="s">
        <v>861</v>
      </c>
      <c r="F13675" s="709"/>
      <c r="G13675" s="705">
        <v>188.58865680609452</v>
      </c>
    </row>
    <row r="13676" spans="2:7" ht="11.25" hidden="1" customHeight="1" outlineLevel="2" x14ac:dyDescent="0.25">
      <c r="B13676" s="704" t="s">
        <v>692</v>
      </c>
      <c r="C13676" s="704" t="s">
        <v>725</v>
      </c>
      <c r="D13676" s="704" t="s">
        <v>563</v>
      </c>
      <c r="E13676" s="704" t="s">
        <v>448</v>
      </c>
      <c r="F13676" s="705">
        <v>7.8012321424761737E-5</v>
      </c>
      <c r="G13676" s="705">
        <v>3.4972755859109285E-2</v>
      </c>
    </row>
    <row r="13677" spans="2:7" ht="11.25" hidden="1" customHeight="1" outlineLevel="2" x14ac:dyDescent="0.25">
      <c r="B13677" s="704" t="s">
        <v>692</v>
      </c>
      <c r="C13677" s="704" t="s">
        <v>726</v>
      </c>
      <c r="D13677" s="704" t="s">
        <v>563</v>
      </c>
      <c r="E13677" s="704" t="s">
        <v>448</v>
      </c>
      <c r="F13677" s="705">
        <v>6.1441517122064699E-6</v>
      </c>
      <c r="G13677" s="705">
        <v>2.7544153879955108E-3</v>
      </c>
    </row>
    <row r="13678" spans="2:7" ht="11.25" hidden="1" customHeight="1" outlineLevel="2" x14ac:dyDescent="0.25">
      <c r="B13678" s="704" t="s">
        <v>692</v>
      </c>
      <c r="C13678" s="704" t="s">
        <v>769</v>
      </c>
      <c r="D13678" s="704" t="s">
        <v>563</v>
      </c>
      <c r="E13678" s="704" t="s">
        <v>448</v>
      </c>
      <c r="F13678" s="705">
        <v>3.9989941401296861E-3</v>
      </c>
      <c r="G13678" s="705">
        <v>4.2538944306374269</v>
      </c>
    </row>
    <row r="13679" spans="2:7" ht="11.25" hidden="1" customHeight="1" outlineLevel="2" x14ac:dyDescent="0.25">
      <c r="B13679" s="704" t="s">
        <v>692</v>
      </c>
      <c r="C13679" s="704" t="s">
        <v>770</v>
      </c>
      <c r="D13679" s="704" t="s">
        <v>563</v>
      </c>
      <c r="E13679" s="704" t="s">
        <v>448</v>
      </c>
      <c r="F13679" s="705">
        <v>3.6359566733543025E-3</v>
      </c>
      <c r="G13679" s="705">
        <v>12.59693507885504</v>
      </c>
    </row>
    <row r="13680" spans="2:7" ht="11.25" hidden="1" customHeight="1" outlineLevel="2" x14ac:dyDescent="0.25">
      <c r="B13680" s="704" t="s">
        <v>692</v>
      </c>
      <c r="C13680" s="704" t="s">
        <v>771</v>
      </c>
      <c r="D13680" s="704" t="s">
        <v>563</v>
      </c>
      <c r="E13680" s="704" t="s">
        <v>448</v>
      </c>
      <c r="F13680" s="705">
        <v>1.3604175515727467E-3</v>
      </c>
      <c r="G13680" s="705">
        <v>3.1813843841201241</v>
      </c>
    </row>
    <row r="13681" spans="2:7" ht="11.25" hidden="1" customHeight="1" outlineLevel="2" x14ac:dyDescent="0.25">
      <c r="B13681" s="704" t="s">
        <v>692</v>
      </c>
      <c r="C13681" s="704" t="s">
        <v>772</v>
      </c>
      <c r="D13681" s="704" t="s">
        <v>563</v>
      </c>
      <c r="E13681" s="704" t="s">
        <v>448</v>
      </c>
      <c r="F13681" s="705">
        <v>4.5643249844521429E-3</v>
      </c>
      <c r="G13681" s="705">
        <v>5.9299560942281166</v>
      </c>
    </row>
    <row r="13682" spans="2:7" ht="11.25" hidden="1" customHeight="1" outlineLevel="2" x14ac:dyDescent="0.25">
      <c r="B13682" s="704" t="s">
        <v>692</v>
      </c>
      <c r="C13682" s="704" t="s">
        <v>773</v>
      </c>
      <c r="D13682" s="704" t="s">
        <v>563</v>
      </c>
      <c r="E13682" s="704" t="s">
        <v>448</v>
      </c>
      <c r="F13682" s="705">
        <v>2.5547785497349244E-4</v>
      </c>
      <c r="G13682" s="705">
        <v>0.29135483954579589</v>
      </c>
    </row>
    <row r="13683" spans="2:7" ht="11.25" hidden="1" customHeight="1" outlineLevel="2" x14ac:dyDescent="0.25">
      <c r="B13683" s="704" t="s">
        <v>692</v>
      </c>
      <c r="C13683" s="704" t="s">
        <v>774</v>
      </c>
      <c r="D13683" s="704" t="s">
        <v>563</v>
      </c>
      <c r="E13683" s="704" t="s">
        <v>448</v>
      </c>
      <c r="F13683" s="705">
        <v>2.1771436670036334E-4</v>
      </c>
      <c r="G13683" s="705">
        <v>0.29326519810824753</v>
      </c>
    </row>
    <row r="13684" spans="2:7" ht="11.25" hidden="1" customHeight="1" outlineLevel="2" x14ac:dyDescent="0.25">
      <c r="B13684" s="704" t="s">
        <v>692</v>
      </c>
      <c r="C13684" s="704" t="s">
        <v>775</v>
      </c>
      <c r="D13684" s="704" t="s">
        <v>563</v>
      </c>
      <c r="E13684" s="704" t="s">
        <v>448</v>
      </c>
      <c r="F13684" s="705">
        <v>1.0038832431166092E-4</v>
      </c>
      <c r="G13684" s="705">
        <v>1.2844919049531394</v>
      </c>
    </row>
    <row r="13685" spans="2:7" ht="11.25" hidden="1" customHeight="1" outlineLevel="2" x14ac:dyDescent="0.25">
      <c r="B13685" s="704" t="s">
        <v>692</v>
      </c>
      <c r="C13685" s="704" t="s">
        <v>839</v>
      </c>
      <c r="D13685" s="704" t="s">
        <v>563</v>
      </c>
      <c r="E13685" s="704" t="s">
        <v>824</v>
      </c>
      <c r="F13685" s="705">
        <v>4.4407843579916126E-3</v>
      </c>
      <c r="G13685" s="705">
        <v>10.776319439406468</v>
      </c>
    </row>
    <row r="13686" spans="2:7" ht="11.25" hidden="1" customHeight="1" outlineLevel="2" x14ac:dyDescent="0.25">
      <c r="B13686" s="704" t="s">
        <v>692</v>
      </c>
      <c r="C13686" s="704" t="s">
        <v>840</v>
      </c>
      <c r="D13686" s="704" t="s">
        <v>563</v>
      </c>
      <c r="E13686" s="704" t="s">
        <v>824</v>
      </c>
      <c r="F13686" s="705">
        <v>0.12941497346061553</v>
      </c>
      <c r="G13686" s="705">
        <v>952.79175273595547</v>
      </c>
    </row>
    <row r="13687" spans="2:7" ht="11.25" hidden="1" customHeight="1" outlineLevel="2" x14ac:dyDescent="0.25">
      <c r="B13687" s="704" t="s">
        <v>692</v>
      </c>
      <c r="C13687" s="704" t="s">
        <v>841</v>
      </c>
      <c r="D13687" s="704" t="s">
        <v>563</v>
      </c>
      <c r="E13687" s="704" t="s">
        <v>824</v>
      </c>
      <c r="F13687" s="705">
        <v>6.2946669002454029E-4</v>
      </c>
      <c r="G13687" s="705">
        <v>7.2031293184143594</v>
      </c>
    </row>
    <row r="13688" spans="2:7" ht="11.25" hidden="1" customHeight="1" outlineLevel="2" x14ac:dyDescent="0.25">
      <c r="B13688" s="704" t="s">
        <v>692</v>
      </c>
      <c r="C13688" s="704" t="s">
        <v>842</v>
      </c>
      <c r="D13688" s="704" t="s">
        <v>563</v>
      </c>
      <c r="E13688" s="704" t="s">
        <v>824</v>
      </c>
      <c r="F13688" s="705">
        <v>2.2810347171911124E-4</v>
      </c>
      <c r="G13688" s="705">
        <v>2.2326355767438679</v>
      </c>
    </row>
    <row r="13689" spans="2:7" ht="11.25" hidden="1" customHeight="1" outlineLevel="2" x14ac:dyDescent="0.25">
      <c r="B13689" s="704" t="s">
        <v>692</v>
      </c>
      <c r="C13689" s="704" t="s">
        <v>843</v>
      </c>
      <c r="D13689" s="704" t="s">
        <v>563</v>
      </c>
      <c r="E13689" s="704" t="s">
        <v>824</v>
      </c>
      <c r="F13689" s="705">
        <v>2.2047488340397068E-4</v>
      </c>
      <c r="G13689" s="705">
        <v>0.57605920607223693</v>
      </c>
    </row>
    <row r="13690" spans="2:7" ht="11.25" hidden="1" customHeight="1" outlineLevel="2" x14ac:dyDescent="0.25">
      <c r="B13690" s="704" t="s">
        <v>692</v>
      </c>
      <c r="C13690" s="704" t="s">
        <v>844</v>
      </c>
      <c r="D13690" s="704" t="s">
        <v>563</v>
      </c>
      <c r="E13690" s="704" t="s">
        <v>824</v>
      </c>
      <c r="F13690" s="705">
        <v>2.2048398618481523E-4</v>
      </c>
      <c r="G13690" s="705">
        <v>4.3816096456382851</v>
      </c>
    </row>
    <row r="13691" spans="2:7" ht="11.25" hidden="1" customHeight="1" outlineLevel="2" x14ac:dyDescent="0.25">
      <c r="B13691" s="704" t="s">
        <v>692</v>
      </c>
      <c r="C13691" s="704" t="s">
        <v>700</v>
      </c>
      <c r="D13691" s="704" t="s">
        <v>563</v>
      </c>
      <c r="E13691" s="704" t="s">
        <v>676</v>
      </c>
      <c r="F13691" s="705">
        <v>0.66836366761285226</v>
      </c>
      <c r="G13691" s="705">
        <v>56.24675521920031</v>
      </c>
    </row>
    <row r="13692" spans="2:7" ht="11.25" hidden="1" customHeight="1" outlineLevel="2" x14ac:dyDescent="0.25">
      <c r="B13692" s="704" t="s">
        <v>692</v>
      </c>
      <c r="C13692" s="704" t="s">
        <v>701</v>
      </c>
      <c r="D13692" s="704" t="s">
        <v>563</v>
      </c>
      <c r="E13692" s="704" t="s">
        <v>676</v>
      </c>
      <c r="F13692" s="705">
        <v>7.3002420176954683E-4</v>
      </c>
      <c r="G13692" s="705">
        <v>6.3926292161045492E-2</v>
      </c>
    </row>
    <row r="13693" spans="2:7" ht="11.25" hidden="1" customHeight="1" outlineLevel="2" x14ac:dyDescent="0.25">
      <c r="B13693" s="704" t="s">
        <v>692</v>
      </c>
      <c r="C13693" s="704" t="s">
        <v>702</v>
      </c>
      <c r="D13693" s="704" t="s">
        <v>563</v>
      </c>
      <c r="E13693" s="704" t="s">
        <v>676</v>
      </c>
      <c r="F13693" s="705">
        <v>3.4062882605200891E-4</v>
      </c>
      <c r="G13693" s="705">
        <v>3.4910921467933669E-2</v>
      </c>
    </row>
    <row r="13694" spans="2:7" ht="11.25" hidden="1" customHeight="1" outlineLevel="2" x14ac:dyDescent="0.25">
      <c r="B13694" s="704" t="s">
        <v>692</v>
      </c>
      <c r="C13694" s="704" t="s">
        <v>703</v>
      </c>
      <c r="D13694" s="704" t="s">
        <v>563</v>
      </c>
      <c r="E13694" s="704" t="s">
        <v>676</v>
      </c>
      <c r="F13694" s="705">
        <v>2.8113244292540559E-3</v>
      </c>
      <c r="G13694" s="705">
        <v>0.27684210169633239</v>
      </c>
    </row>
    <row r="13695" spans="2:7" ht="11.25" hidden="1" customHeight="1" outlineLevel="2" x14ac:dyDescent="0.25">
      <c r="B13695" s="704" t="s">
        <v>692</v>
      </c>
      <c r="C13695" s="704" t="s">
        <v>704</v>
      </c>
      <c r="D13695" s="704" t="s">
        <v>563</v>
      </c>
      <c r="E13695" s="704" t="s">
        <v>676</v>
      </c>
      <c r="F13695" s="705">
        <v>1.1599918887828015E-3</v>
      </c>
      <c r="G13695" s="705">
        <v>0.26085683132209403</v>
      </c>
    </row>
    <row r="13696" spans="2:7" ht="11.25" hidden="1" customHeight="1" outlineLevel="2" x14ac:dyDescent="0.25">
      <c r="B13696" s="704" t="s">
        <v>692</v>
      </c>
      <c r="C13696" s="704" t="s">
        <v>887</v>
      </c>
      <c r="D13696" s="704" t="s">
        <v>563</v>
      </c>
      <c r="E13696" s="704" t="s">
        <v>861</v>
      </c>
      <c r="F13696" s="709"/>
      <c r="G13696" s="705">
        <v>17.532640108658658</v>
      </c>
    </row>
    <row r="13697" spans="2:7" ht="11.25" hidden="1" customHeight="1" outlineLevel="2" x14ac:dyDescent="0.25">
      <c r="B13697" s="704" t="s">
        <v>692</v>
      </c>
      <c r="C13697" s="704" t="s">
        <v>888</v>
      </c>
      <c r="D13697" s="704" t="s">
        <v>563</v>
      </c>
      <c r="E13697" s="704" t="s">
        <v>861</v>
      </c>
      <c r="F13697" s="709"/>
      <c r="G13697" s="705">
        <v>254.40841713546894</v>
      </c>
    </row>
    <row r="13698" spans="2:7" ht="11.25" hidden="1" customHeight="1" outlineLevel="2" x14ac:dyDescent="0.25">
      <c r="B13698" s="704" t="s">
        <v>692</v>
      </c>
      <c r="C13698" s="704" t="s">
        <v>889</v>
      </c>
      <c r="D13698" s="704" t="s">
        <v>563</v>
      </c>
      <c r="E13698" s="704" t="s">
        <v>861</v>
      </c>
      <c r="F13698" s="709"/>
      <c r="G13698" s="705">
        <v>111.04100873450035</v>
      </c>
    </row>
    <row r="13699" spans="2:7" ht="11.25" hidden="1" customHeight="1" outlineLevel="2" x14ac:dyDescent="0.25">
      <c r="B13699" s="704" t="s">
        <v>692</v>
      </c>
      <c r="C13699" s="704" t="s">
        <v>890</v>
      </c>
      <c r="D13699" s="704" t="s">
        <v>563</v>
      </c>
      <c r="E13699" s="704" t="s">
        <v>861</v>
      </c>
      <c r="F13699" s="709"/>
      <c r="G13699" s="705">
        <v>112.70538373622929</v>
      </c>
    </row>
    <row r="13700" spans="2:7" ht="11.25" hidden="1" customHeight="1" outlineLevel="2" x14ac:dyDescent="0.25">
      <c r="B13700" s="704" t="s">
        <v>692</v>
      </c>
      <c r="C13700" s="704" t="s">
        <v>891</v>
      </c>
      <c r="D13700" s="704" t="s">
        <v>563</v>
      </c>
      <c r="E13700" s="704" t="s">
        <v>861</v>
      </c>
      <c r="F13700" s="709"/>
      <c r="G13700" s="705">
        <v>4.3327957042858358</v>
      </c>
    </row>
    <row r="13701" spans="2:7" ht="11.25" hidden="1" customHeight="1" outlineLevel="2" x14ac:dyDescent="0.25">
      <c r="B13701" s="704" t="s">
        <v>692</v>
      </c>
      <c r="C13701" s="704" t="s">
        <v>892</v>
      </c>
      <c r="D13701" s="704" t="s">
        <v>563</v>
      </c>
      <c r="E13701" s="704" t="s">
        <v>861</v>
      </c>
      <c r="F13701" s="709"/>
      <c r="G13701" s="705">
        <v>805.26417078854342</v>
      </c>
    </row>
    <row r="13702" spans="2:7" ht="11.25" hidden="1" customHeight="1" outlineLevel="2" x14ac:dyDescent="0.25">
      <c r="B13702" s="704" t="s">
        <v>692</v>
      </c>
      <c r="C13702" s="704" t="s">
        <v>893</v>
      </c>
      <c r="D13702" s="704" t="s">
        <v>563</v>
      </c>
      <c r="E13702" s="704" t="s">
        <v>861</v>
      </c>
      <c r="F13702" s="709"/>
      <c r="G13702" s="705">
        <v>160.16994117996566</v>
      </c>
    </row>
    <row r="13703" spans="2:7" ht="11.25" hidden="1" customHeight="1" outlineLevel="2" x14ac:dyDescent="0.25">
      <c r="B13703" s="704" t="s">
        <v>692</v>
      </c>
      <c r="C13703" s="704" t="s">
        <v>727</v>
      </c>
      <c r="D13703" s="704" t="s">
        <v>728</v>
      </c>
      <c r="E13703" s="704" t="s">
        <v>448</v>
      </c>
      <c r="F13703" s="705">
        <v>3.2279893987211877E-3</v>
      </c>
      <c r="G13703" s="705">
        <v>1.7678116442371403</v>
      </c>
    </row>
    <row r="13704" spans="2:7" ht="11.25" hidden="1" customHeight="1" outlineLevel="2" x14ac:dyDescent="0.25">
      <c r="B13704" s="704" t="s">
        <v>692</v>
      </c>
      <c r="C13704" s="704" t="s">
        <v>729</v>
      </c>
      <c r="D13704" s="704" t="s">
        <v>728</v>
      </c>
      <c r="E13704" s="704" t="s">
        <v>448</v>
      </c>
      <c r="F13704" s="705">
        <v>2.305389681475517E-2</v>
      </c>
      <c r="G13704" s="705">
        <v>12.441540323518446</v>
      </c>
    </row>
    <row r="13705" spans="2:7" ht="11.25" hidden="1" customHeight="1" outlineLevel="2" x14ac:dyDescent="0.25">
      <c r="B13705" s="704" t="s">
        <v>692</v>
      </c>
      <c r="C13705" s="704" t="s">
        <v>730</v>
      </c>
      <c r="D13705" s="704" t="s">
        <v>728</v>
      </c>
      <c r="E13705" s="704" t="s">
        <v>448</v>
      </c>
      <c r="F13705" s="705">
        <v>4.6314686102606487E-2</v>
      </c>
      <c r="G13705" s="705">
        <v>24.14978190262805</v>
      </c>
    </row>
    <row r="13706" spans="2:7" ht="11.25" hidden="1" customHeight="1" outlineLevel="2" x14ac:dyDescent="0.25">
      <c r="B13706" s="704" t="s">
        <v>692</v>
      </c>
      <c r="C13706" s="704" t="s">
        <v>731</v>
      </c>
      <c r="D13706" s="704" t="s">
        <v>728</v>
      </c>
      <c r="E13706" s="704" t="s">
        <v>448</v>
      </c>
      <c r="F13706" s="705">
        <v>0.25251729605477263</v>
      </c>
      <c r="G13706" s="705">
        <v>138.46100559364416</v>
      </c>
    </row>
    <row r="13707" spans="2:7" ht="11.25" hidden="1" customHeight="1" outlineLevel="2" x14ac:dyDescent="0.25">
      <c r="B13707" s="704" t="s">
        <v>692</v>
      </c>
      <c r="C13707" s="704" t="s">
        <v>732</v>
      </c>
      <c r="D13707" s="704" t="s">
        <v>728</v>
      </c>
      <c r="E13707" s="704" t="s">
        <v>448</v>
      </c>
      <c r="F13707" s="705">
        <v>5.7108290397329495E-2</v>
      </c>
      <c r="G13707" s="705">
        <v>33.653883732180873</v>
      </c>
    </row>
    <row r="13708" spans="2:7" ht="11.25" hidden="1" customHeight="1" outlineLevel="2" x14ac:dyDescent="0.25">
      <c r="B13708" s="704" t="s">
        <v>692</v>
      </c>
      <c r="C13708" s="704" t="s">
        <v>733</v>
      </c>
      <c r="D13708" s="704" t="s">
        <v>728</v>
      </c>
      <c r="E13708" s="704" t="s">
        <v>448</v>
      </c>
      <c r="F13708" s="705">
        <v>0.23845677528658513</v>
      </c>
      <c r="G13708" s="705">
        <v>120.73558897304059</v>
      </c>
    </row>
    <row r="13709" spans="2:7" ht="11.25" hidden="1" customHeight="1" outlineLevel="2" x14ac:dyDescent="0.25">
      <c r="B13709" s="704" t="s">
        <v>692</v>
      </c>
      <c r="C13709" s="704" t="s">
        <v>734</v>
      </c>
      <c r="D13709" s="704" t="s">
        <v>728</v>
      </c>
      <c r="E13709" s="704" t="s">
        <v>448</v>
      </c>
      <c r="F13709" s="705">
        <v>4.025349446983028E-2</v>
      </c>
      <c r="G13709" s="705">
        <v>21.659575923813698</v>
      </c>
    </row>
    <row r="13710" spans="2:7" ht="11.25" hidden="1" customHeight="1" outlineLevel="2" x14ac:dyDescent="0.25">
      <c r="B13710" s="704" t="s">
        <v>692</v>
      </c>
      <c r="C13710" s="704" t="s">
        <v>735</v>
      </c>
      <c r="D13710" s="704" t="s">
        <v>728</v>
      </c>
      <c r="E13710" s="704" t="s">
        <v>448</v>
      </c>
      <c r="F13710" s="705">
        <v>0.21046445845364589</v>
      </c>
      <c r="G13710" s="705">
        <v>112.73842024248974</v>
      </c>
    </row>
    <row r="13711" spans="2:7" ht="11.25" hidden="1" customHeight="1" outlineLevel="2" x14ac:dyDescent="0.25">
      <c r="B13711" s="704" t="s">
        <v>692</v>
      </c>
      <c r="C13711" s="704" t="s">
        <v>736</v>
      </c>
      <c r="D13711" s="704" t="s">
        <v>728</v>
      </c>
      <c r="E13711" s="704" t="s">
        <v>448</v>
      </c>
      <c r="F13711" s="705">
        <v>6.2095682530123702E-35</v>
      </c>
      <c r="G13711" s="705">
        <v>9.1401560370201349E-33</v>
      </c>
    </row>
    <row r="13712" spans="2:7" ht="11.25" hidden="1" customHeight="1" outlineLevel="2" x14ac:dyDescent="0.25">
      <c r="B13712" s="704" t="s">
        <v>692</v>
      </c>
      <c r="C13712" s="704" t="s">
        <v>737</v>
      </c>
      <c r="D13712" s="704" t="s">
        <v>728</v>
      </c>
      <c r="E13712" s="704" t="s">
        <v>448</v>
      </c>
      <c r="F13712" s="705">
        <v>1.5050351894020445E-32</v>
      </c>
      <c r="G13712" s="705">
        <v>2.21535422210695E-30</v>
      </c>
    </row>
    <row r="13713" spans="2:7" ht="11.25" hidden="1" customHeight="1" outlineLevel="2" x14ac:dyDescent="0.25">
      <c r="B13713" s="704" t="s">
        <v>692</v>
      </c>
      <c r="C13713" s="704" t="s">
        <v>738</v>
      </c>
      <c r="D13713" s="704" t="s">
        <v>728</v>
      </c>
      <c r="E13713" s="704" t="s">
        <v>448</v>
      </c>
      <c r="F13713" s="705">
        <v>1.0310703220993256E-4</v>
      </c>
      <c r="G13713" s="705">
        <v>5.1531026095210743E-2</v>
      </c>
    </row>
    <row r="13714" spans="2:7" ht="11.25" hidden="1" customHeight="1" outlineLevel="2" x14ac:dyDescent="0.25">
      <c r="B13714" s="704" t="s">
        <v>692</v>
      </c>
      <c r="C13714" s="704" t="s">
        <v>776</v>
      </c>
      <c r="D13714" s="704" t="s">
        <v>728</v>
      </c>
      <c r="E13714" s="704" t="s">
        <v>448</v>
      </c>
      <c r="F13714" s="705">
        <v>0.48735117625956331</v>
      </c>
      <c r="G13714" s="705">
        <v>301.70364357940821</v>
      </c>
    </row>
    <row r="13715" spans="2:7" ht="11.25" hidden="1" customHeight="1" outlineLevel="2" x14ac:dyDescent="0.25">
      <c r="B13715" s="704" t="s">
        <v>692</v>
      </c>
      <c r="C13715" s="704" t="s">
        <v>777</v>
      </c>
      <c r="D13715" s="704" t="s">
        <v>728</v>
      </c>
      <c r="E13715" s="704" t="s">
        <v>448</v>
      </c>
      <c r="F13715" s="705">
        <v>0.29593611438135226</v>
      </c>
      <c r="G13715" s="705">
        <v>351.94245727383708</v>
      </c>
    </row>
    <row r="13716" spans="2:7" ht="11.25" hidden="1" customHeight="1" outlineLevel="2" x14ac:dyDescent="0.25">
      <c r="B13716" s="704" t="s">
        <v>692</v>
      </c>
      <c r="C13716" s="704" t="s">
        <v>778</v>
      </c>
      <c r="D13716" s="704" t="s">
        <v>728</v>
      </c>
      <c r="E13716" s="704" t="s">
        <v>448</v>
      </c>
      <c r="F13716" s="705">
        <v>4.1198362907856022E-2</v>
      </c>
      <c r="G13716" s="705">
        <v>25.298262586869807</v>
      </c>
    </row>
    <row r="13717" spans="2:7" ht="11.25" hidden="1" customHeight="1" outlineLevel="2" x14ac:dyDescent="0.25">
      <c r="B13717" s="704" t="s">
        <v>692</v>
      </c>
      <c r="C13717" s="704" t="s">
        <v>779</v>
      </c>
      <c r="D13717" s="704" t="s">
        <v>728</v>
      </c>
      <c r="E13717" s="704" t="s">
        <v>448</v>
      </c>
      <c r="F13717" s="705">
        <v>0.2398754986845324</v>
      </c>
      <c r="G13717" s="705">
        <v>179.14193895399345</v>
      </c>
    </row>
    <row r="13718" spans="2:7" ht="11.25" hidden="1" customHeight="1" outlineLevel="2" x14ac:dyDescent="0.25">
      <c r="B13718" s="704" t="s">
        <v>692</v>
      </c>
      <c r="C13718" s="704" t="s">
        <v>780</v>
      </c>
      <c r="D13718" s="704" t="s">
        <v>728</v>
      </c>
      <c r="E13718" s="704" t="s">
        <v>448</v>
      </c>
      <c r="F13718" s="705">
        <v>2.2330049679702567E-3</v>
      </c>
      <c r="G13718" s="705">
        <v>1.6795803670081322</v>
      </c>
    </row>
    <row r="13719" spans="2:7" ht="11.25" hidden="1" customHeight="1" outlineLevel="2" x14ac:dyDescent="0.25">
      <c r="B13719" s="704" t="s">
        <v>692</v>
      </c>
      <c r="C13719" s="704" t="s">
        <v>781</v>
      </c>
      <c r="D13719" s="704" t="s">
        <v>728</v>
      </c>
      <c r="E13719" s="704" t="s">
        <v>448</v>
      </c>
      <c r="F13719" s="705">
        <v>6.5763689810474117E-3</v>
      </c>
      <c r="G13719" s="705">
        <v>8.1526997287410623</v>
      </c>
    </row>
    <row r="13720" spans="2:7" ht="11.25" hidden="1" customHeight="1" outlineLevel="2" x14ac:dyDescent="0.25">
      <c r="B13720" s="704" t="s">
        <v>692</v>
      </c>
      <c r="C13720" s="704" t="s">
        <v>782</v>
      </c>
      <c r="D13720" s="704" t="s">
        <v>728</v>
      </c>
      <c r="E13720" s="704" t="s">
        <v>448</v>
      </c>
      <c r="F13720" s="705">
        <v>4.2499890304874711E-3</v>
      </c>
      <c r="G13720" s="705">
        <v>3.2043402270400527</v>
      </c>
    </row>
    <row r="13721" spans="2:7" ht="11.25" hidden="1" customHeight="1" outlineLevel="2" x14ac:dyDescent="0.25">
      <c r="B13721" s="704" t="s">
        <v>692</v>
      </c>
      <c r="C13721" s="704" t="s">
        <v>783</v>
      </c>
      <c r="D13721" s="704" t="s">
        <v>728</v>
      </c>
      <c r="E13721" s="704" t="s">
        <v>448</v>
      </c>
      <c r="F13721" s="705">
        <v>0.21589390174296622</v>
      </c>
      <c r="G13721" s="705">
        <v>336.34085120632568</v>
      </c>
    </row>
    <row r="13722" spans="2:7" ht="11.25" hidden="1" customHeight="1" outlineLevel="2" x14ac:dyDescent="0.25">
      <c r="B13722" s="704" t="s">
        <v>692</v>
      </c>
      <c r="C13722" s="704" t="s">
        <v>784</v>
      </c>
      <c r="D13722" s="704" t="s">
        <v>728</v>
      </c>
      <c r="E13722" s="704" t="s">
        <v>448</v>
      </c>
      <c r="F13722" s="705">
        <v>8.3108095202818622E-34</v>
      </c>
      <c r="G13722" s="705">
        <v>4.5305901526367279E-31</v>
      </c>
    </row>
    <row r="13723" spans="2:7" ht="11.25" hidden="1" customHeight="1" outlineLevel="2" x14ac:dyDescent="0.25">
      <c r="B13723" s="704" t="s">
        <v>692</v>
      </c>
      <c r="C13723" s="704" t="s">
        <v>785</v>
      </c>
      <c r="D13723" s="704" t="s">
        <v>728</v>
      </c>
      <c r="E13723" s="704" t="s">
        <v>448</v>
      </c>
      <c r="F13723" s="705">
        <v>1.4166399937974588E-33</v>
      </c>
      <c r="G13723" s="705">
        <v>7.7216496175236661E-31</v>
      </c>
    </row>
    <row r="13724" spans="2:7" ht="11.25" hidden="1" customHeight="1" outlineLevel="2" x14ac:dyDescent="0.25">
      <c r="B13724" s="704" t="s">
        <v>692</v>
      </c>
      <c r="C13724" s="704" t="s">
        <v>786</v>
      </c>
      <c r="D13724" s="704" t="s">
        <v>728</v>
      </c>
      <c r="E13724" s="704" t="s">
        <v>448</v>
      </c>
      <c r="F13724" s="705">
        <v>4.7937858050997498E-2</v>
      </c>
      <c r="G13724" s="705">
        <v>60.53571396103542</v>
      </c>
    </row>
    <row r="13725" spans="2:7" ht="11.25" hidden="1" customHeight="1" outlineLevel="2" x14ac:dyDescent="0.25">
      <c r="B13725" s="704" t="s">
        <v>692</v>
      </c>
      <c r="C13725" s="704" t="s">
        <v>787</v>
      </c>
      <c r="D13725" s="704" t="s">
        <v>728</v>
      </c>
      <c r="E13725" s="704" t="s">
        <v>448</v>
      </c>
      <c r="F13725" s="705">
        <v>2.7574941243579079E-2</v>
      </c>
      <c r="G13725" s="705">
        <v>38.858443660890018</v>
      </c>
    </row>
    <row r="13726" spans="2:7" ht="11.25" hidden="1" customHeight="1" outlineLevel="2" x14ac:dyDescent="0.25">
      <c r="B13726" s="704" t="s">
        <v>692</v>
      </c>
      <c r="C13726" s="704" t="s">
        <v>788</v>
      </c>
      <c r="D13726" s="704" t="s">
        <v>728</v>
      </c>
      <c r="E13726" s="704" t="s">
        <v>448</v>
      </c>
      <c r="F13726" s="705">
        <v>3.886589186089489E-2</v>
      </c>
      <c r="G13726" s="705">
        <v>44.228913452733536</v>
      </c>
    </row>
    <row r="13727" spans="2:7" ht="11.25" hidden="1" customHeight="1" outlineLevel="2" x14ac:dyDescent="0.25">
      <c r="B13727" s="704" t="s">
        <v>692</v>
      </c>
      <c r="C13727" s="704" t="s">
        <v>789</v>
      </c>
      <c r="D13727" s="704" t="s">
        <v>728</v>
      </c>
      <c r="E13727" s="704" t="s">
        <v>448</v>
      </c>
      <c r="F13727" s="705">
        <v>2.9952639208379993E-2</v>
      </c>
      <c r="G13727" s="705">
        <v>20.595875227278903</v>
      </c>
    </row>
    <row r="13728" spans="2:7" ht="11.25" hidden="1" customHeight="1" outlineLevel="2" x14ac:dyDescent="0.25">
      <c r="B13728" s="704" t="s">
        <v>692</v>
      </c>
      <c r="C13728" s="704" t="s">
        <v>790</v>
      </c>
      <c r="D13728" s="704" t="s">
        <v>728</v>
      </c>
      <c r="E13728" s="704" t="s">
        <v>448</v>
      </c>
      <c r="F13728" s="705">
        <v>0.64102394752360337</v>
      </c>
      <c r="G13728" s="705">
        <v>811.4392655361936</v>
      </c>
    </row>
    <row r="13729" spans="2:7" ht="11.25" hidden="1" customHeight="1" outlineLevel="2" x14ac:dyDescent="0.25">
      <c r="B13729" s="704" t="s">
        <v>692</v>
      </c>
      <c r="C13729" s="704" t="s">
        <v>791</v>
      </c>
      <c r="D13729" s="704" t="s">
        <v>728</v>
      </c>
      <c r="E13729" s="704" t="s">
        <v>448</v>
      </c>
      <c r="F13729" s="705">
        <v>0.37467760248391674</v>
      </c>
      <c r="G13729" s="705">
        <v>528.10327636359659</v>
      </c>
    </row>
    <row r="13730" spans="2:7" ht="11.25" hidden="1" customHeight="1" outlineLevel="2" x14ac:dyDescent="0.25">
      <c r="B13730" s="704" t="s">
        <v>692</v>
      </c>
      <c r="C13730" s="704" t="s">
        <v>792</v>
      </c>
      <c r="D13730" s="704" t="s">
        <v>728</v>
      </c>
      <c r="E13730" s="704" t="s">
        <v>448</v>
      </c>
      <c r="F13730" s="705">
        <v>4.2180962039840342E-2</v>
      </c>
      <c r="G13730" s="705">
        <v>88.41547822238465</v>
      </c>
    </row>
    <row r="13731" spans="2:7" ht="11.25" hidden="1" customHeight="1" outlineLevel="2" x14ac:dyDescent="0.25">
      <c r="B13731" s="704" t="s">
        <v>692</v>
      </c>
      <c r="C13731" s="704" t="s">
        <v>793</v>
      </c>
      <c r="D13731" s="704" t="s">
        <v>728</v>
      </c>
      <c r="E13731" s="704" t="s">
        <v>448</v>
      </c>
      <c r="F13731" s="705">
        <v>1.1733934741531256</v>
      </c>
      <c r="G13731" s="705">
        <v>1703.694372615621</v>
      </c>
    </row>
    <row r="13732" spans="2:7" ht="11.25" hidden="1" customHeight="1" outlineLevel="2" x14ac:dyDescent="0.25">
      <c r="B13732" s="704" t="s">
        <v>692</v>
      </c>
      <c r="C13732" s="704" t="s">
        <v>794</v>
      </c>
      <c r="D13732" s="704" t="s">
        <v>728</v>
      </c>
      <c r="E13732" s="704" t="s">
        <v>448</v>
      </c>
      <c r="F13732" s="705">
        <v>3.6865999516488356E-2</v>
      </c>
      <c r="G13732" s="705">
        <v>28.742216603192382</v>
      </c>
    </row>
    <row r="13733" spans="2:7" ht="11.25" hidden="1" customHeight="1" outlineLevel="2" x14ac:dyDescent="0.25">
      <c r="B13733" s="704" t="s">
        <v>692</v>
      </c>
      <c r="C13733" s="704" t="s">
        <v>795</v>
      </c>
      <c r="D13733" s="704" t="s">
        <v>728</v>
      </c>
      <c r="E13733" s="704" t="s">
        <v>448</v>
      </c>
      <c r="F13733" s="705">
        <v>6.6821869605947298E-2</v>
      </c>
      <c r="G13733" s="705">
        <v>52.200511820278557</v>
      </c>
    </row>
    <row r="13734" spans="2:7" ht="11.25" hidden="1" customHeight="1" outlineLevel="2" x14ac:dyDescent="0.25">
      <c r="B13734" s="704" t="s">
        <v>692</v>
      </c>
      <c r="C13734" s="704" t="s">
        <v>845</v>
      </c>
      <c r="D13734" s="704" t="s">
        <v>728</v>
      </c>
      <c r="E13734" s="704" t="s">
        <v>824</v>
      </c>
      <c r="F13734" s="705">
        <v>3.287993114765281E-3</v>
      </c>
      <c r="G13734" s="705">
        <v>29.330259726344813</v>
      </c>
    </row>
    <row r="13735" spans="2:7" ht="11.25" hidden="1" customHeight="1" outlineLevel="2" x14ac:dyDescent="0.25">
      <c r="B13735" s="704" t="s">
        <v>692</v>
      </c>
      <c r="C13735" s="704" t="s">
        <v>894</v>
      </c>
      <c r="D13735" s="704" t="s">
        <v>728</v>
      </c>
      <c r="E13735" s="704" t="s">
        <v>861</v>
      </c>
      <c r="F13735" s="709"/>
      <c r="G13735" s="705">
        <v>4.5593004670123588E-2</v>
      </c>
    </row>
    <row r="13736" spans="2:7" ht="11.25" hidden="1" customHeight="1" outlineLevel="2" x14ac:dyDescent="0.25">
      <c r="B13736" s="704" t="s">
        <v>692</v>
      </c>
      <c r="C13736" s="704" t="s">
        <v>895</v>
      </c>
      <c r="D13736" s="704" t="s">
        <v>728</v>
      </c>
      <c r="E13736" s="704" t="s">
        <v>861</v>
      </c>
      <c r="F13736" s="709"/>
      <c r="G13736" s="705">
        <v>2.6021645822646023E-29</v>
      </c>
    </row>
    <row r="13737" spans="2:7" ht="11.25" hidden="1" customHeight="1" outlineLevel="2" x14ac:dyDescent="0.25">
      <c r="B13737" s="704" t="s">
        <v>692</v>
      </c>
      <c r="C13737" s="704" t="s">
        <v>896</v>
      </c>
      <c r="D13737" s="704" t="s">
        <v>728</v>
      </c>
      <c r="E13737" s="704" t="s">
        <v>861</v>
      </c>
      <c r="F13737" s="709"/>
      <c r="G13737" s="705">
        <v>318.82329993485723</v>
      </c>
    </row>
    <row r="13738" spans="2:7" ht="11.25" hidden="1" customHeight="1" outlineLevel="2" x14ac:dyDescent="0.25">
      <c r="B13738" s="704" t="s">
        <v>692</v>
      </c>
      <c r="C13738" s="704" t="s">
        <v>897</v>
      </c>
      <c r="D13738" s="704" t="s">
        <v>728</v>
      </c>
      <c r="E13738" s="704" t="s">
        <v>861</v>
      </c>
      <c r="F13738" s="709"/>
      <c r="G13738" s="705">
        <v>65.79431006561272</v>
      </c>
    </row>
    <row r="13739" spans="2:7" ht="11.25" hidden="1" customHeight="1" outlineLevel="2" x14ac:dyDescent="0.25">
      <c r="B13739" s="704" t="s">
        <v>692</v>
      </c>
      <c r="C13739" s="704" t="s">
        <v>898</v>
      </c>
      <c r="D13739" s="704" t="s">
        <v>728</v>
      </c>
      <c r="E13739" s="704" t="s">
        <v>861</v>
      </c>
      <c r="F13739" s="709"/>
      <c r="G13739" s="705">
        <v>434.06943155049373</v>
      </c>
    </row>
    <row r="13740" spans="2:7" ht="11.25" hidden="1" customHeight="1" outlineLevel="2" x14ac:dyDescent="0.25">
      <c r="B13740" s="704" t="s">
        <v>692</v>
      </c>
      <c r="C13740" s="704" t="s">
        <v>899</v>
      </c>
      <c r="D13740" s="704" t="s">
        <v>728</v>
      </c>
      <c r="E13740" s="704" t="s">
        <v>861</v>
      </c>
      <c r="F13740" s="709"/>
      <c r="G13740" s="705">
        <v>51.180529217185828</v>
      </c>
    </row>
    <row r="13741" spans="2:7" ht="11.25" hidden="1" customHeight="1" outlineLevel="2" x14ac:dyDescent="0.25">
      <c r="B13741" s="704" t="s">
        <v>692</v>
      </c>
      <c r="C13741" s="704" t="s">
        <v>900</v>
      </c>
      <c r="D13741" s="704" t="s">
        <v>728</v>
      </c>
      <c r="E13741" s="704" t="s">
        <v>861</v>
      </c>
      <c r="F13741" s="709"/>
      <c r="G13741" s="705">
        <v>1.2191520005109011</v>
      </c>
    </row>
    <row r="13742" spans="2:7" ht="11.25" hidden="1" customHeight="1" outlineLevel="2" x14ac:dyDescent="0.25">
      <c r="B13742" s="704" t="s">
        <v>692</v>
      </c>
      <c r="C13742" s="704" t="s">
        <v>744</v>
      </c>
      <c r="D13742" s="704" t="s">
        <v>745</v>
      </c>
      <c r="E13742" s="704" t="s">
        <v>448</v>
      </c>
      <c r="F13742" s="705">
        <v>1.5881696837176152E-2</v>
      </c>
      <c r="G13742" s="705">
        <v>9.1843647376224222</v>
      </c>
    </row>
    <row r="13743" spans="2:7" ht="11.25" hidden="1" customHeight="1" outlineLevel="2" x14ac:dyDescent="0.25">
      <c r="B13743" s="704" t="s">
        <v>692</v>
      </c>
      <c r="C13743" s="704" t="s">
        <v>812</v>
      </c>
      <c r="D13743" s="704" t="s">
        <v>745</v>
      </c>
      <c r="E13743" s="704" t="s">
        <v>448</v>
      </c>
      <c r="F13743" s="705">
        <v>1.8679037591598099E-2</v>
      </c>
      <c r="G13743" s="705">
        <v>20.680005077299526</v>
      </c>
    </row>
    <row r="13744" spans="2:7" ht="11.25" hidden="1" customHeight="1" outlineLevel="2" x14ac:dyDescent="0.25">
      <c r="B13744" s="704" t="s">
        <v>692</v>
      </c>
      <c r="C13744" s="704" t="s">
        <v>813</v>
      </c>
      <c r="D13744" s="704" t="s">
        <v>745</v>
      </c>
      <c r="E13744" s="704" t="s">
        <v>448</v>
      </c>
      <c r="F13744" s="705">
        <v>1.9160783910620856E-4</v>
      </c>
      <c r="G13744" s="705">
        <v>0.24294332202182825</v>
      </c>
    </row>
    <row r="13745" spans="2:7" ht="11.25" hidden="1" customHeight="1" outlineLevel="2" x14ac:dyDescent="0.25">
      <c r="B13745" s="704" t="s">
        <v>692</v>
      </c>
      <c r="C13745" s="704" t="s">
        <v>917</v>
      </c>
      <c r="D13745" s="704" t="s">
        <v>745</v>
      </c>
      <c r="E13745" s="704" t="s">
        <v>861</v>
      </c>
      <c r="F13745" s="709"/>
      <c r="G13745" s="705">
        <v>275.20789235953862</v>
      </c>
    </row>
    <row r="13746" spans="2:7" ht="11.25" hidden="1" customHeight="1" outlineLevel="2" x14ac:dyDescent="0.25">
      <c r="B13746" s="704" t="s">
        <v>692</v>
      </c>
      <c r="C13746" s="704" t="s">
        <v>816</v>
      </c>
      <c r="D13746" s="704" t="s">
        <v>712</v>
      </c>
      <c r="E13746" s="704" t="s">
        <v>448</v>
      </c>
      <c r="F13746" s="705">
        <v>3.5159328099357565E-38</v>
      </c>
      <c r="G13746" s="705">
        <v>4.2522794678666422E-35</v>
      </c>
    </row>
    <row r="13747" spans="2:7" ht="11.25" hidden="1" customHeight="1" outlineLevel="2" x14ac:dyDescent="0.25">
      <c r="B13747" s="704" t="s">
        <v>692</v>
      </c>
      <c r="C13747" s="704" t="s">
        <v>711</v>
      </c>
      <c r="D13747" s="704" t="s">
        <v>712</v>
      </c>
      <c r="E13747" s="704" t="s">
        <v>676</v>
      </c>
      <c r="F13747" s="705">
        <v>3.1361515209010083E-33</v>
      </c>
      <c r="G13747" s="705">
        <v>7.3601632656396091E-31</v>
      </c>
    </row>
    <row r="13748" spans="2:7" ht="11.25" hidden="1" customHeight="1" outlineLevel="2" x14ac:dyDescent="0.25">
      <c r="B13748" s="704" t="s">
        <v>692</v>
      </c>
      <c r="C13748" s="704" t="s">
        <v>921</v>
      </c>
      <c r="D13748" s="704" t="s">
        <v>712</v>
      </c>
      <c r="E13748" s="704" t="s">
        <v>861</v>
      </c>
      <c r="F13748" s="709"/>
      <c r="G13748" s="705">
        <v>7.9720101268876426E-32</v>
      </c>
    </row>
    <row r="13749" spans="2:7" ht="11.25" hidden="1" customHeight="1" outlineLevel="2" x14ac:dyDescent="0.25">
      <c r="B13749" s="704" t="s">
        <v>692</v>
      </c>
      <c r="C13749" s="704" t="s">
        <v>817</v>
      </c>
      <c r="D13749" s="704" t="s">
        <v>818</v>
      </c>
      <c r="E13749" s="704" t="s">
        <v>448</v>
      </c>
      <c r="F13749" s="705">
        <v>6.8877848610785088</v>
      </c>
      <c r="G13749" s="705">
        <v>5658.8955671568156</v>
      </c>
    </row>
    <row r="13750" spans="2:7" ht="11.25" hidden="1" customHeight="1" outlineLevel="2" x14ac:dyDescent="0.25">
      <c r="B13750" s="704" t="s">
        <v>692</v>
      </c>
      <c r="C13750" s="704" t="s">
        <v>819</v>
      </c>
      <c r="D13750" s="704" t="s">
        <v>818</v>
      </c>
      <c r="E13750" s="704" t="s">
        <v>448</v>
      </c>
      <c r="F13750" s="705">
        <v>2.9992643496934219</v>
      </c>
      <c r="G13750" s="705">
        <v>2388.0395303941291</v>
      </c>
    </row>
    <row r="13751" spans="2:7" ht="11.25" hidden="1" customHeight="1" outlineLevel="2" x14ac:dyDescent="0.25">
      <c r="B13751" s="704" t="s">
        <v>692</v>
      </c>
      <c r="C13751" s="704" t="s">
        <v>820</v>
      </c>
      <c r="D13751" s="704" t="s">
        <v>818</v>
      </c>
      <c r="E13751" s="704" t="s">
        <v>448</v>
      </c>
      <c r="F13751" s="705">
        <v>3.0624103999620766</v>
      </c>
      <c r="G13751" s="705">
        <v>4759.6141277090555</v>
      </c>
    </row>
    <row r="13752" spans="2:7" ht="11.25" hidden="1" customHeight="1" outlineLevel="2" x14ac:dyDescent="0.25">
      <c r="B13752" s="704" t="s">
        <v>692</v>
      </c>
      <c r="C13752" s="704" t="s">
        <v>857</v>
      </c>
      <c r="D13752" s="704" t="s">
        <v>818</v>
      </c>
      <c r="E13752" s="704" t="s">
        <v>664</v>
      </c>
      <c r="F13752" s="709"/>
      <c r="G13752" s="705">
        <v>4237.7929754077741</v>
      </c>
    </row>
    <row r="13753" spans="2:7" ht="11.25" hidden="1" customHeight="1" outlineLevel="2" x14ac:dyDescent="0.25">
      <c r="B13753" s="704" t="s">
        <v>692</v>
      </c>
      <c r="C13753" s="704" t="s">
        <v>858</v>
      </c>
      <c r="D13753" s="704" t="s">
        <v>818</v>
      </c>
      <c r="E13753" s="704" t="s">
        <v>664</v>
      </c>
      <c r="F13753" s="709"/>
      <c r="G13753" s="705">
        <v>13.252565271885237</v>
      </c>
    </row>
    <row r="13754" spans="2:7" ht="11.25" hidden="1" customHeight="1" outlineLevel="2" x14ac:dyDescent="0.25">
      <c r="B13754" s="704" t="s">
        <v>692</v>
      </c>
      <c r="C13754" s="704" t="s">
        <v>922</v>
      </c>
      <c r="D13754" s="704" t="s">
        <v>822</v>
      </c>
      <c r="E13754" s="704" t="s">
        <v>861</v>
      </c>
      <c r="F13754" s="709"/>
      <c r="G13754" s="705">
        <v>1.0428807545197997E-29</v>
      </c>
    </row>
    <row r="13755" spans="2:7" ht="11.25" hidden="1" customHeight="1" outlineLevel="2" x14ac:dyDescent="0.25">
      <c r="B13755" s="704" t="s">
        <v>692</v>
      </c>
      <c r="C13755" s="704" t="s">
        <v>821</v>
      </c>
      <c r="D13755" s="704" t="s">
        <v>822</v>
      </c>
      <c r="E13755" s="704" t="s">
        <v>448</v>
      </c>
      <c r="F13755" s="705">
        <v>1.009667838308136E-34</v>
      </c>
      <c r="G13755" s="705">
        <v>1.3798314681467367E-31</v>
      </c>
    </row>
    <row r="13756" spans="2:7" ht="11.25" hidden="1" customHeight="1" outlineLevel="2" x14ac:dyDescent="0.25">
      <c r="B13756" s="704" t="s">
        <v>692</v>
      </c>
      <c r="C13756" s="704" t="s">
        <v>855</v>
      </c>
      <c r="D13756" s="704" t="s">
        <v>822</v>
      </c>
      <c r="E13756" s="704" t="s">
        <v>824</v>
      </c>
      <c r="F13756" s="705">
        <v>1.32122078885608E-40</v>
      </c>
      <c r="G13756" s="705">
        <v>3.8274928299855871E-37</v>
      </c>
    </row>
    <row r="13757" spans="2:7" ht="11.25" hidden="1" customHeight="1" outlineLevel="2" x14ac:dyDescent="0.25">
      <c r="B13757" s="704" t="s">
        <v>692</v>
      </c>
      <c r="C13757" s="704" t="s">
        <v>714</v>
      </c>
      <c r="D13757" s="704" t="s">
        <v>715</v>
      </c>
      <c r="E13757" s="704" t="s">
        <v>448</v>
      </c>
      <c r="F13757" s="705">
        <v>0.94101062915501865</v>
      </c>
      <c r="G13757" s="705">
        <v>238.55749708809904</v>
      </c>
    </row>
    <row r="13758" spans="2:7" ht="11.25" hidden="1" customHeight="1" outlineLevel="2" x14ac:dyDescent="0.25">
      <c r="B13758" s="704" t="s">
        <v>692</v>
      </c>
      <c r="C13758" s="704" t="s">
        <v>716</v>
      </c>
      <c r="D13758" s="704" t="s">
        <v>715</v>
      </c>
      <c r="E13758" s="704" t="s">
        <v>448</v>
      </c>
      <c r="F13758" s="705">
        <v>1.6991312156860277E-33</v>
      </c>
      <c r="G13758" s="705">
        <v>2.0717209505030632E-30</v>
      </c>
    </row>
    <row r="13759" spans="2:7" ht="11.25" hidden="1" customHeight="1" outlineLevel="2" x14ac:dyDescent="0.25">
      <c r="B13759" s="704" t="s">
        <v>692</v>
      </c>
      <c r="C13759" s="704" t="s">
        <v>717</v>
      </c>
      <c r="D13759" s="704" t="s">
        <v>715</v>
      </c>
      <c r="E13759" s="704" t="s">
        <v>448</v>
      </c>
      <c r="F13759" s="705">
        <v>1.0079476137810657</v>
      </c>
      <c r="G13759" s="705">
        <v>275.45650629490206</v>
      </c>
    </row>
    <row r="13760" spans="2:7" ht="11.25" hidden="1" customHeight="1" outlineLevel="2" x14ac:dyDescent="0.25">
      <c r="B13760" s="704" t="s">
        <v>692</v>
      </c>
      <c r="C13760" s="704" t="s">
        <v>718</v>
      </c>
      <c r="D13760" s="704" t="s">
        <v>715</v>
      </c>
      <c r="E13760" s="704" t="s">
        <v>448</v>
      </c>
      <c r="F13760" s="705">
        <v>6.4544225624817819E-2</v>
      </c>
      <c r="G13760" s="705">
        <v>70.81972060486072</v>
      </c>
    </row>
    <row r="13761" spans="2:7" ht="11.25" hidden="1" customHeight="1" outlineLevel="2" x14ac:dyDescent="0.25">
      <c r="B13761" s="704" t="s">
        <v>692</v>
      </c>
      <c r="C13761" s="704" t="s">
        <v>746</v>
      </c>
      <c r="D13761" s="704" t="s">
        <v>715</v>
      </c>
      <c r="E13761" s="704" t="s">
        <v>448</v>
      </c>
      <c r="F13761" s="705">
        <v>0.16621355563624429</v>
      </c>
      <c r="G13761" s="705">
        <v>115.27355122570387</v>
      </c>
    </row>
    <row r="13762" spans="2:7" ht="11.25" hidden="1" customHeight="1" outlineLevel="2" x14ac:dyDescent="0.25">
      <c r="B13762" s="704" t="s">
        <v>692</v>
      </c>
      <c r="C13762" s="704" t="s">
        <v>747</v>
      </c>
      <c r="D13762" s="704" t="s">
        <v>715</v>
      </c>
      <c r="E13762" s="704" t="s">
        <v>448</v>
      </c>
      <c r="F13762" s="705">
        <v>1.4391035310394586</v>
      </c>
      <c r="G13762" s="705">
        <v>1228.6675850515908</v>
      </c>
    </row>
    <row r="13763" spans="2:7" ht="11.25" hidden="1" customHeight="1" outlineLevel="2" x14ac:dyDescent="0.25">
      <c r="B13763" s="704" t="s">
        <v>692</v>
      </c>
      <c r="C13763" s="704" t="s">
        <v>748</v>
      </c>
      <c r="D13763" s="704" t="s">
        <v>715</v>
      </c>
      <c r="E13763" s="704" t="s">
        <v>448</v>
      </c>
      <c r="F13763" s="705">
        <v>0.13329244432360812</v>
      </c>
      <c r="G13763" s="705">
        <v>172.66211907688304</v>
      </c>
    </row>
    <row r="13764" spans="2:7" ht="11.25" hidden="1" customHeight="1" outlineLevel="2" x14ac:dyDescent="0.25">
      <c r="B13764" s="704" t="s">
        <v>692</v>
      </c>
      <c r="C13764" s="704" t="s">
        <v>749</v>
      </c>
      <c r="D13764" s="704" t="s">
        <v>715</v>
      </c>
      <c r="E13764" s="704" t="s">
        <v>448</v>
      </c>
      <c r="F13764" s="705">
        <v>8.7859788630252747E-2</v>
      </c>
      <c r="G13764" s="705">
        <v>69.103759182832647</v>
      </c>
    </row>
    <row r="13765" spans="2:7" ht="11.25" hidden="1" customHeight="1" outlineLevel="2" x14ac:dyDescent="0.25">
      <c r="B13765" s="704" t="s">
        <v>692</v>
      </c>
      <c r="C13765" s="704" t="s">
        <v>823</v>
      </c>
      <c r="D13765" s="704" t="s">
        <v>715</v>
      </c>
      <c r="E13765" s="704" t="s">
        <v>824</v>
      </c>
      <c r="F13765" s="705">
        <v>2.8608091219981288E-3</v>
      </c>
      <c r="G13765" s="705">
        <v>4.7794929595290334</v>
      </c>
    </row>
    <row r="13766" spans="2:7" ht="11.25" hidden="1" customHeight="1" outlineLevel="2" x14ac:dyDescent="0.25">
      <c r="B13766" s="704" t="s">
        <v>692</v>
      </c>
      <c r="C13766" s="704" t="s">
        <v>860</v>
      </c>
      <c r="D13766" s="704" t="s">
        <v>715</v>
      </c>
      <c r="E13766" s="704" t="s">
        <v>861</v>
      </c>
      <c r="F13766" s="709"/>
      <c r="G13766" s="705">
        <v>94.729131698517364</v>
      </c>
    </row>
    <row r="13767" spans="2:7" ht="11.25" hidden="1" customHeight="1" outlineLevel="2" x14ac:dyDescent="0.25">
      <c r="B13767" s="704" t="s">
        <v>692</v>
      </c>
      <c r="C13767" s="704" t="s">
        <v>919</v>
      </c>
      <c r="D13767" s="704" t="s">
        <v>920</v>
      </c>
      <c r="E13767" s="704" t="s">
        <v>861</v>
      </c>
      <c r="F13767" s="709"/>
      <c r="G13767" s="705">
        <v>1.0497217153884028E-29</v>
      </c>
    </row>
    <row r="13768" spans="2:7" ht="11.25" hidden="1" customHeight="1" outlineLevel="1" x14ac:dyDescent="0.25">
      <c r="B13768" s="707" t="s">
        <v>958</v>
      </c>
      <c r="C13768" s="704"/>
      <c r="D13768" s="704"/>
      <c r="E13768" s="704"/>
      <c r="F13768" s="709">
        <f t="shared" ref="F13768:G13768" si="43">SUBTOTAL(9,F13557:F13767)</f>
        <v>25.778456893298383</v>
      </c>
      <c r="G13768" s="705">
        <f t="shared" si="43"/>
        <v>65668.054762362779</v>
      </c>
    </row>
    <row r="13769" spans="2:7" ht="11.25" hidden="1" customHeight="1" outlineLevel="2" x14ac:dyDescent="0.25">
      <c r="B13769" s="704" t="s">
        <v>693</v>
      </c>
      <c r="C13769" s="704" t="s">
        <v>739</v>
      </c>
      <c r="D13769" s="704" t="s">
        <v>44</v>
      </c>
      <c r="E13769" s="704" t="s">
        <v>448</v>
      </c>
      <c r="F13769" s="705">
        <v>1.0574738608080301E-3</v>
      </c>
      <c r="G13769" s="705">
        <v>0.64499215720162451</v>
      </c>
    </row>
    <row r="13770" spans="2:7" ht="11.25" hidden="1" customHeight="1" outlineLevel="2" x14ac:dyDescent="0.25">
      <c r="B13770" s="704" t="s">
        <v>693</v>
      </c>
      <c r="C13770" s="704" t="s">
        <v>796</v>
      </c>
      <c r="D13770" s="704" t="s">
        <v>44</v>
      </c>
      <c r="E13770" s="704" t="s">
        <v>448</v>
      </c>
      <c r="F13770" s="705">
        <v>1.1076615543168151E-3</v>
      </c>
      <c r="G13770" s="705">
        <v>1.5646595563857857</v>
      </c>
    </row>
    <row r="13771" spans="2:7" ht="11.25" hidden="1" customHeight="1" outlineLevel="2" x14ac:dyDescent="0.25">
      <c r="B13771" s="704" t="s">
        <v>693</v>
      </c>
      <c r="C13771" s="704" t="s">
        <v>797</v>
      </c>
      <c r="D13771" s="704" t="s">
        <v>44</v>
      </c>
      <c r="E13771" s="704" t="s">
        <v>448</v>
      </c>
      <c r="F13771" s="705">
        <v>1.7701946246596288E-3</v>
      </c>
      <c r="G13771" s="705">
        <v>6.0880053664410454</v>
      </c>
    </row>
    <row r="13772" spans="2:7" ht="11.25" hidden="1" customHeight="1" outlineLevel="2" x14ac:dyDescent="0.25">
      <c r="B13772" s="704" t="s">
        <v>693</v>
      </c>
      <c r="C13772" s="704" t="s">
        <v>798</v>
      </c>
      <c r="D13772" s="704" t="s">
        <v>44</v>
      </c>
      <c r="E13772" s="704" t="s">
        <v>448</v>
      </c>
      <c r="F13772" s="705">
        <v>2.9111875327015196E-5</v>
      </c>
      <c r="G13772" s="705">
        <v>3.8345698941539143E-2</v>
      </c>
    </row>
    <row r="13773" spans="2:7" ht="11.25" hidden="1" customHeight="1" outlineLevel="2" x14ac:dyDescent="0.25">
      <c r="B13773" s="704" t="s">
        <v>693</v>
      </c>
      <c r="C13773" s="704" t="s">
        <v>799</v>
      </c>
      <c r="D13773" s="704" t="s">
        <v>44</v>
      </c>
      <c r="E13773" s="704" t="s">
        <v>448</v>
      </c>
      <c r="F13773" s="705">
        <v>3.1449747615885201E-3</v>
      </c>
      <c r="G13773" s="705">
        <v>4.1393555625878005</v>
      </c>
    </row>
    <row r="13774" spans="2:7" ht="11.25" hidden="1" customHeight="1" outlineLevel="2" x14ac:dyDescent="0.25">
      <c r="B13774" s="704" t="s">
        <v>693</v>
      </c>
      <c r="C13774" s="704" t="s">
        <v>800</v>
      </c>
      <c r="D13774" s="704" t="s">
        <v>44</v>
      </c>
      <c r="E13774" s="704" t="s">
        <v>448</v>
      </c>
      <c r="F13774" s="705">
        <v>1.0344291626603003E-3</v>
      </c>
      <c r="G13774" s="705">
        <v>1.2966248314806292</v>
      </c>
    </row>
    <row r="13775" spans="2:7" ht="11.25" hidden="1" customHeight="1" outlineLevel="2" x14ac:dyDescent="0.25">
      <c r="B13775" s="704" t="s">
        <v>693</v>
      </c>
      <c r="C13775" s="704" t="s">
        <v>801</v>
      </c>
      <c r="D13775" s="704" t="s">
        <v>44</v>
      </c>
      <c r="E13775" s="704" t="s">
        <v>448</v>
      </c>
      <c r="F13775" s="705">
        <v>1.3498737490036128E-2</v>
      </c>
      <c r="G13775" s="705">
        <v>14.085486023776323</v>
      </c>
    </row>
    <row r="13776" spans="2:7" ht="11.25" hidden="1" customHeight="1" outlineLevel="2" x14ac:dyDescent="0.25">
      <c r="B13776" s="704" t="s">
        <v>693</v>
      </c>
      <c r="C13776" s="704" t="s">
        <v>802</v>
      </c>
      <c r="D13776" s="704" t="s">
        <v>44</v>
      </c>
      <c r="E13776" s="704" t="s">
        <v>448</v>
      </c>
      <c r="F13776" s="705">
        <v>4.4395387385369509E-2</v>
      </c>
      <c r="G13776" s="705">
        <v>30.192255620822149</v>
      </c>
    </row>
    <row r="13777" spans="2:7" ht="11.25" hidden="1" customHeight="1" outlineLevel="2" x14ac:dyDescent="0.25">
      <c r="B13777" s="704" t="s">
        <v>693</v>
      </c>
      <c r="C13777" s="704" t="s">
        <v>803</v>
      </c>
      <c r="D13777" s="704" t="s">
        <v>44</v>
      </c>
      <c r="E13777" s="704" t="s">
        <v>448</v>
      </c>
      <c r="F13777" s="705">
        <v>4.9907448448321635E-3</v>
      </c>
      <c r="G13777" s="705">
        <v>6.568718095452768</v>
      </c>
    </row>
    <row r="13778" spans="2:7" ht="11.25" hidden="1" customHeight="1" outlineLevel="2" x14ac:dyDescent="0.25">
      <c r="B13778" s="704" t="s">
        <v>693</v>
      </c>
      <c r="C13778" s="704" t="s">
        <v>804</v>
      </c>
      <c r="D13778" s="704" t="s">
        <v>44</v>
      </c>
      <c r="E13778" s="704" t="s">
        <v>448</v>
      </c>
      <c r="F13778" s="705">
        <v>7.428399535118731E-3</v>
      </c>
      <c r="G13778" s="705">
        <v>9.5114765486622712</v>
      </c>
    </row>
    <row r="13779" spans="2:7" ht="11.25" hidden="1" customHeight="1" outlineLevel="2" x14ac:dyDescent="0.25">
      <c r="B13779" s="704" t="s">
        <v>693</v>
      </c>
      <c r="C13779" s="704" t="s">
        <v>805</v>
      </c>
      <c r="D13779" s="704" t="s">
        <v>44</v>
      </c>
      <c r="E13779" s="704" t="s">
        <v>448</v>
      </c>
      <c r="F13779" s="705">
        <v>1.4893164136066518E-3</v>
      </c>
      <c r="G13779" s="705">
        <v>10.551507874477634</v>
      </c>
    </row>
    <row r="13780" spans="2:7" ht="11.25" hidden="1" customHeight="1" outlineLevel="2" x14ac:dyDescent="0.25">
      <c r="B13780" s="704" t="s">
        <v>693</v>
      </c>
      <c r="C13780" s="704" t="s">
        <v>846</v>
      </c>
      <c r="D13780" s="704" t="s">
        <v>44</v>
      </c>
      <c r="E13780" s="704" t="s">
        <v>824</v>
      </c>
      <c r="F13780" s="705">
        <v>3.6344404156566337E-5</v>
      </c>
      <c r="G13780" s="705">
        <v>5.7749651134125418E-2</v>
      </c>
    </row>
    <row r="13781" spans="2:7" ht="11.25" hidden="1" customHeight="1" outlineLevel="2" x14ac:dyDescent="0.25">
      <c r="B13781" s="704" t="s">
        <v>693</v>
      </c>
      <c r="C13781" s="704" t="s">
        <v>847</v>
      </c>
      <c r="D13781" s="704" t="s">
        <v>44</v>
      </c>
      <c r="E13781" s="704" t="s">
        <v>824</v>
      </c>
      <c r="F13781" s="705">
        <v>7.4578058965349057E-6</v>
      </c>
      <c r="G13781" s="705">
        <v>7.8596529243642604E-2</v>
      </c>
    </row>
    <row r="13782" spans="2:7" ht="11.25" hidden="1" customHeight="1" outlineLevel="2" x14ac:dyDescent="0.25">
      <c r="B13782" s="704" t="s">
        <v>693</v>
      </c>
      <c r="C13782" s="704" t="s">
        <v>705</v>
      </c>
      <c r="D13782" s="704" t="s">
        <v>44</v>
      </c>
      <c r="E13782" s="704" t="s">
        <v>676</v>
      </c>
      <c r="F13782" s="705">
        <v>1.4548921803044272E-3</v>
      </c>
      <c r="G13782" s="705">
        <v>1.5255175063975276E-2</v>
      </c>
    </row>
    <row r="13783" spans="2:7" ht="11.25" hidden="1" customHeight="1" outlineLevel="2" x14ac:dyDescent="0.25">
      <c r="B13783" s="704" t="s">
        <v>693</v>
      </c>
      <c r="C13783" s="704" t="s">
        <v>706</v>
      </c>
      <c r="D13783" s="704" t="s">
        <v>44</v>
      </c>
      <c r="E13783" s="704" t="s">
        <v>676</v>
      </c>
      <c r="F13783" s="705">
        <v>4.6179308262847318E-4</v>
      </c>
      <c r="G13783" s="705">
        <v>4.8406461299982098E-3</v>
      </c>
    </row>
    <row r="13784" spans="2:7" ht="11.25" hidden="1" customHeight="1" outlineLevel="2" x14ac:dyDescent="0.25">
      <c r="B13784" s="704" t="s">
        <v>693</v>
      </c>
      <c r="C13784" s="704" t="s">
        <v>901</v>
      </c>
      <c r="D13784" s="704" t="s">
        <v>44</v>
      </c>
      <c r="E13784" s="704" t="s">
        <v>861</v>
      </c>
      <c r="F13784" s="709"/>
      <c r="G13784" s="705">
        <v>0.11281288140024114</v>
      </c>
    </row>
    <row r="13785" spans="2:7" ht="11.25" hidden="1" customHeight="1" outlineLevel="2" x14ac:dyDescent="0.25">
      <c r="B13785" s="704" t="s">
        <v>693</v>
      </c>
      <c r="C13785" s="704" t="s">
        <v>902</v>
      </c>
      <c r="D13785" s="704" t="s">
        <v>44</v>
      </c>
      <c r="E13785" s="704" t="s">
        <v>861</v>
      </c>
      <c r="F13785" s="709"/>
      <c r="G13785" s="705">
        <v>4877.1704471672283</v>
      </c>
    </row>
    <row r="13786" spans="2:7" ht="11.25" hidden="1" customHeight="1" outlineLevel="2" x14ac:dyDescent="0.25">
      <c r="B13786" s="704" t="s">
        <v>693</v>
      </c>
      <c r="C13786" s="704" t="s">
        <v>903</v>
      </c>
      <c r="D13786" s="704" t="s">
        <v>44</v>
      </c>
      <c r="E13786" s="704" t="s">
        <v>861</v>
      </c>
      <c r="F13786" s="709"/>
      <c r="G13786" s="705">
        <v>437.63109751607777</v>
      </c>
    </row>
    <row r="13787" spans="2:7" ht="11.25" hidden="1" customHeight="1" outlineLevel="2" x14ac:dyDescent="0.25">
      <c r="B13787" s="704" t="s">
        <v>693</v>
      </c>
      <c r="C13787" s="704" t="s">
        <v>904</v>
      </c>
      <c r="D13787" s="704" t="s">
        <v>44</v>
      </c>
      <c r="E13787" s="704" t="s">
        <v>861</v>
      </c>
      <c r="F13787" s="709"/>
      <c r="G13787" s="705">
        <v>2.4326309109128976</v>
      </c>
    </row>
    <row r="13788" spans="2:7" ht="11.25" hidden="1" customHeight="1" outlineLevel="2" x14ac:dyDescent="0.25">
      <c r="B13788" s="704" t="s">
        <v>693</v>
      </c>
      <c r="C13788" s="704" t="s">
        <v>905</v>
      </c>
      <c r="D13788" s="704" t="s">
        <v>44</v>
      </c>
      <c r="E13788" s="704" t="s">
        <v>861</v>
      </c>
      <c r="F13788" s="709"/>
      <c r="G13788" s="705">
        <v>0.49929406555280859</v>
      </c>
    </row>
    <row r="13789" spans="2:7" ht="11.25" hidden="1" customHeight="1" outlineLevel="2" x14ac:dyDescent="0.25">
      <c r="B13789" s="704" t="s">
        <v>693</v>
      </c>
      <c r="C13789" s="704" t="s">
        <v>906</v>
      </c>
      <c r="D13789" s="704" t="s">
        <v>44</v>
      </c>
      <c r="E13789" s="704" t="s">
        <v>861</v>
      </c>
      <c r="F13789" s="709"/>
      <c r="G13789" s="705">
        <v>37.149600597385636</v>
      </c>
    </row>
    <row r="13790" spans="2:7" ht="11.25" hidden="1" customHeight="1" outlineLevel="2" x14ac:dyDescent="0.25">
      <c r="B13790" s="704" t="s">
        <v>693</v>
      </c>
      <c r="C13790" s="704" t="s">
        <v>907</v>
      </c>
      <c r="D13790" s="704" t="s">
        <v>44</v>
      </c>
      <c r="E13790" s="704" t="s">
        <v>861</v>
      </c>
      <c r="F13790" s="709"/>
      <c r="G13790" s="705">
        <v>9.3046087829646407E-2</v>
      </c>
    </row>
    <row r="13791" spans="2:7" ht="11.25" hidden="1" customHeight="1" outlineLevel="2" x14ac:dyDescent="0.25">
      <c r="B13791" s="704" t="s">
        <v>693</v>
      </c>
      <c r="C13791" s="704" t="s">
        <v>908</v>
      </c>
      <c r="D13791" s="704" t="s">
        <v>44</v>
      </c>
      <c r="E13791" s="704" t="s">
        <v>861</v>
      </c>
      <c r="F13791" s="709"/>
      <c r="G13791" s="705">
        <v>34.336400085605774</v>
      </c>
    </row>
    <row r="13792" spans="2:7" ht="11.25" hidden="1" customHeight="1" outlineLevel="2" x14ac:dyDescent="0.25">
      <c r="B13792" s="704" t="s">
        <v>693</v>
      </c>
      <c r="C13792" s="704" t="s">
        <v>909</v>
      </c>
      <c r="D13792" s="704" t="s">
        <v>44</v>
      </c>
      <c r="E13792" s="704" t="s">
        <v>861</v>
      </c>
      <c r="F13792" s="709"/>
      <c r="G13792" s="705">
        <v>95.377505078119214</v>
      </c>
    </row>
    <row r="13793" spans="2:7" ht="11.25" hidden="1" customHeight="1" outlineLevel="2" x14ac:dyDescent="0.25">
      <c r="B13793" s="704" t="s">
        <v>693</v>
      </c>
      <c r="C13793" s="704" t="s">
        <v>910</v>
      </c>
      <c r="D13793" s="704" t="s">
        <v>44</v>
      </c>
      <c r="E13793" s="704" t="s">
        <v>861</v>
      </c>
      <c r="F13793" s="709"/>
      <c r="G13793" s="705">
        <v>70.121011811876031</v>
      </c>
    </row>
    <row r="13794" spans="2:7" ht="11.25" hidden="1" customHeight="1" outlineLevel="2" x14ac:dyDescent="0.25">
      <c r="B13794" s="704" t="s">
        <v>693</v>
      </c>
      <c r="C13794" s="704" t="s">
        <v>814</v>
      </c>
      <c r="D13794" s="704" t="s">
        <v>815</v>
      </c>
      <c r="E13794" s="704" t="s">
        <v>448</v>
      </c>
      <c r="F13794" s="705">
        <v>1.4306285918916574E-5</v>
      </c>
      <c r="G13794" s="705">
        <v>4.1785077518369469E-2</v>
      </c>
    </row>
    <row r="13795" spans="2:7" ht="11.25" hidden="1" customHeight="1" outlineLevel="2" x14ac:dyDescent="0.25">
      <c r="B13795" s="704" t="s">
        <v>693</v>
      </c>
      <c r="C13795" s="704" t="s">
        <v>854</v>
      </c>
      <c r="D13795" s="704" t="s">
        <v>815</v>
      </c>
      <c r="E13795" s="704" t="s">
        <v>824</v>
      </c>
      <c r="F13795" s="705">
        <v>4.1568208108736294E-6</v>
      </c>
      <c r="G13795" s="705">
        <v>3.8192345126437918E-2</v>
      </c>
    </row>
    <row r="13796" spans="2:7" ht="11.25" hidden="1" customHeight="1" outlineLevel="2" x14ac:dyDescent="0.25">
      <c r="B13796" s="704" t="s">
        <v>693</v>
      </c>
      <c r="C13796" s="704" t="s">
        <v>918</v>
      </c>
      <c r="D13796" s="704" t="s">
        <v>815</v>
      </c>
      <c r="E13796" s="704" t="s">
        <v>861</v>
      </c>
      <c r="F13796" s="709"/>
      <c r="G13796" s="705">
        <v>2.6262408646441644</v>
      </c>
    </row>
    <row r="13797" spans="2:7" ht="11.25" hidden="1" customHeight="1" outlineLevel="2" x14ac:dyDescent="0.25">
      <c r="B13797" s="704" t="s">
        <v>693</v>
      </c>
      <c r="C13797" s="704" t="s">
        <v>740</v>
      </c>
      <c r="D13797" s="704" t="s">
        <v>562</v>
      </c>
      <c r="E13797" s="704" t="s">
        <v>448</v>
      </c>
      <c r="F13797" s="705">
        <v>4.082007380452779E-3</v>
      </c>
      <c r="G13797" s="705">
        <v>2.0227394610086709</v>
      </c>
    </row>
    <row r="13798" spans="2:7" ht="11.25" hidden="1" customHeight="1" outlineLevel="2" x14ac:dyDescent="0.25">
      <c r="B13798" s="704" t="s">
        <v>693</v>
      </c>
      <c r="C13798" s="704" t="s">
        <v>741</v>
      </c>
      <c r="D13798" s="704" t="s">
        <v>562</v>
      </c>
      <c r="E13798" s="704" t="s">
        <v>448</v>
      </c>
      <c r="F13798" s="705">
        <v>2.6083822142005067E-2</v>
      </c>
      <c r="G13798" s="705">
        <v>13.495074849684986</v>
      </c>
    </row>
    <row r="13799" spans="2:7" ht="11.25" hidden="1" customHeight="1" outlineLevel="2" x14ac:dyDescent="0.25">
      <c r="B13799" s="704" t="s">
        <v>693</v>
      </c>
      <c r="C13799" s="704" t="s">
        <v>742</v>
      </c>
      <c r="D13799" s="704" t="s">
        <v>562</v>
      </c>
      <c r="E13799" s="704" t="s">
        <v>448</v>
      </c>
      <c r="F13799" s="705">
        <v>1.161074552443623E-5</v>
      </c>
      <c r="G13799" s="705">
        <v>5.2046318764360231E-3</v>
      </c>
    </row>
    <row r="13800" spans="2:7" ht="11.25" hidden="1" customHeight="1" outlineLevel="2" x14ac:dyDescent="0.25">
      <c r="B13800" s="704" t="s">
        <v>693</v>
      </c>
      <c r="C13800" s="704" t="s">
        <v>743</v>
      </c>
      <c r="D13800" s="704" t="s">
        <v>562</v>
      </c>
      <c r="E13800" s="704" t="s">
        <v>448</v>
      </c>
      <c r="F13800" s="705">
        <v>1.826929583234267E-4</v>
      </c>
      <c r="G13800" s="705">
        <v>8.1893980764602345E-2</v>
      </c>
    </row>
    <row r="13801" spans="2:7" ht="11.25" hidden="1" customHeight="1" outlineLevel="2" x14ac:dyDescent="0.25">
      <c r="B13801" s="704" t="s">
        <v>693</v>
      </c>
      <c r="C13801" s="704" t="s">
        <v>806</v>
      </c>
      <c r="D13801" s="704" t="s">
        <v>562</v>
      </c>
      <c r="E13801" s="704" t="s">
        <v>448</v>
      </c>
      <c r="F13801" s="705">
        <v>0.34422444894639931</v>
      </c>
      <c r="G13801" s="705">
        <v>416.37081979628192</v>
      </c>
    </row>
    <row r="13802" spans="2:7" ht="11.25" hidden="1" customHeight="1" outlineLevel="2" x14ac:dyDescent="0.25">
      <c r="B13802" s="704" t="s">
        <v>693</v>
      </c>
      <c r="C13802" s="704" t="s">
        <v>807</v>
      </c>
      <c r="D13802" s="704" t="s">
        <v>562</v>
      </c>
      <c r="E13802" s="704" t="s">
        <v>448</v>
      </c>
      <c r="F13802" s="705">
        <v>7.4098348554754001E-2</v>
      </c>
      <c r="G13802" s="705">
        <v>104.19269446692651</v>
      </c>
    </row>
    <row r="13803" spans="2:7" ht="11.25" hidden="1" customHeight="1" outlineLevel="2" x14ac:dyDescent="0.25">
      <c r="B13803" s="704" t="s">
        <v>693</v>
      </c>
      <c r="C13803" s="704" t="s">
        <v>808</v>
      </c>
      <c r="D13803" s="704" t="s">
        <v>562</v>
      </c>
      <c r="E13803" s="704" t="s">
        <v>448</v>
      </c>
      <c r="F13803" s="705">
        <v>3.4204688948351325E-2</v>
      </c>
      <c r="G13803" s="705">
        <v>55.25254305238127</v>
      </c>
    </row>
    <row r="13804" spans="2:7" ht="11.25" hidden="1" customHeight="1" outlineLevel="2" x14ac:dyDescent="0.25">
      <c r="B13804" s="704" t="s">
        <v>693</v>
      </c>
      <c r="C13804" s="704" t="s">
        <v>809</v>
      </c>
      <c r="D13804" s="704" t="s">
        <v>562</v>
      </c>
      <c r="E13804" s="704" t="s">
        <v>448</v>
      </c>
      <c r="F13804" s="705">
        <v>7.8813589588410476E-2</v>
      </c>
      <c r="G13804" s="705">
        <v>118.55187680576191</v>
      </c>
    </row>
    <row r="13805" spans="2:7" ht="11.25" hidden="1" customHeight="1" outlineLevel="2" x14ac:dyDescent="0.25">
      <c r="B13805" s="704" t="s">
        <v>693</v>
      </c>
      <c r="C13805" s="704" t="s">
        <v>810</v>
      </c>
      <c r="D13805" s="704" t="s">
        <v>562</v>
      </c>
      <c r="E13805" s="704" t="s">
        <v>448</v>
      </c>
      <c r="F13805" s="705">
        <v>0.14884514215540387</v>
      </c>
      <c r="G13805" s="705">
        <v>186.76818593676472</v>
      </c>
    </row>
    <row r="13806" spans="2:7" ht="11.25" hidden="1" customHeight="1" outlineLevel="2" x14ac:dyDescent="0.25">
      <c r="B13806" s="704" t="s">
        <v>693</v>
      </c>
      <c r="C13806" s="704" t="s">
        <v>811</v>
      </c>
      <c r="D13806" s="704" t="s">
        <v>562</v>
      </c>
      <c r="E13806" s="704" t="s">
        <v>448</v>
      </c>
      <c r="F13806" s="705">
        <v>6.3366638853253072E-3</v>
      </c>
      <c r="G13806" s="705">
        <v>8.7845364724666837</v>
      </c>
    </row>
    <row r="13807" spans="2:7" ht="11.25" hidden="1" customHeight="1" outlineLevel="2" x14ac:dyDescent="0.25">
      <c r="B13807" s="704" t="s">
        <v>693</v>
      </c>
      <c r="C13807" s="704" t="s">
        <v>848</v>
      </c>
      <c r="D13807" s="704" t="s">
        <v>562</v>
      </c>
      <c r="E13807" s="704" t="s">
        <v>824</v>
      </c>
      <c r="F13807" s="705">
        <v>2.0151327485214001E-2</v>
      </c>
      <c r="G13807" s="705">
        <v>55.4001698586885</v>
      </c>
    </row>
    <row r="13808" spans="2:7" ht="11.25" hidden="1" customHeight="1" outlineLevel="2" x14ac:dyDescent="0.25">
      <c r="B13808" s="704" t="s">
        <v>693</v>
      </c>
      <c r="C13808" s="704" t="s">
        <v>849</v>
      </c>
      <c r="D13808" s="704" t="s">
        <v>562</v>
      </c>
      <c r="E13808" s="704" t="s">
        <v>824</v>
      </c>
      <c r="F13808" s="705">
        <v>2.9257580851434297E-3</v>
      </c>
      <c r="G13808" s="705">
        <v>12.339536683638533</v>
      </c>
    </row>
    <row r="13809" spans="2:7" ht="11.25" hidden="1" customHeight="1" outlineLevel="2" x14ac:dyDescent="0.25">
      <c r="B13809" s="704" t="s">
        <v>693</v>
      </c>
      <c r="C13809" s="704" t="s">
        <v>850</v>
      </c>
      <c r="D13809" s="704" t="s">
        <v>562</v>
      </c>
      <c r="E13809" s="704" t="s">
        <v>824</v>
      </c>
      <c r="F13809" s="705">
        <v>2.1645316467214298E-3</v>
      </c>
      <c r="G13809" s="705">
        <v>14.464162998338544</v>
      </c>
    </row>
    <row r="13810" spans="2:7" ht="11.25" hidden="1" customHeight="1" outlineLevel="2" x14ac:dyDescent="0.25">
      <c r="B13810" s="704" t="s">
        <v>693</v>
      </c>
      <c r="C13810" s="704" t="s">
        <v>851</v>
      </c>
      <c r="D13810" s="704" t="s">
        <v>562</v>
      </c>
      <c r="E13810" s="704" t="s">
        <v>824</v>
      </c>
      <c r="F13810" s="705">
        <v>3.7914516929596844E-3</v>
      </c>
      <c r="G13810" s="705">
        <v>17.968112415058503</v>
      </c>
    </row>
    <row r="13811" spans="2:7" ht="11.25" hidden="1" customHeight="1" outlineLevel="2" x14ac:dyDescent="0.25">
      <c r="B13811" s="704" t="s">
        <v>693</v>
      </c>
      <c r="C13811" s="704" t="s">
        <v>852</v>
      </c>
      <c r="D13811" s="704" t="s">
        <v>562</v>
      </c>
      <c r="E13811" s="704" t="s">
        <v>824</v>
      </c>
      <c r="F13811" s="705">
        <v>9.4670453843990885E-5</v>
      </c>
      <c r="G13811" s="705">
        <v>0.2428882636025779</v>
      </c>
    </row>
    <row r="13812" spans="2:7" ht="11.25" hidden="1" customHeight="1" outlineLevel="2" x14ac:dyDescent="0.25">
      <c r="B13812" s="704" t="s">
        <v>693</v>
      </c>
      <c r="C13812" s="704" t="s">
        <v>853</v>
      </c>
      <c r="D13812" s="704" t="s">
        <v>562</v>
      </c>
      <c r="E13812" s="704" t="s">
        <v>824</v>
      </c>
      <c r="F13812" s="705">
        <v>2.7620205128656482E-5</v>
      </c>
      <c r="G13812" s="705">
        <v>0.22561112058680091</v>
      </c>
    </row>
    <row r="13813" spans="2:7" ht="11.25" hidden="1" customHeight="1" outlineLevel="2" x14ac:dyDescent="0.25">
      <c r="B13813" s="704" t="s">
        <v>693</v>
      </c>
      <c r="C13813" s="704" t="s">
        <v>707</v>
      </c>
      <c r="D13813" s="704" t="s">
        <v>562</v>
      </c>
      <c r="E13813" s="704" t="s">
        <v>676</v>
      </c>
      <c r="F13813" s="705">
        <v>0.44523152539822219</v>
      </c>
      <c r="G13813" s="705">
        <v>12.363623190069534</v>
      </c>
    </row>
    <row r="13814" spans="2:7" ht="11.25" hidden="1" customHeight="1" outlineLevel="2" x14ac:dyDescent="0.25">
      <c r="B13814" s="704" t="s">
        <v>693</v>
      </c>
      <c r="C13814" s="704" t="s">
        <v>708</v>
      </c>
      <c r="D13814" s="704" t="s">
        <v>562</v>
      </c>
      <c r="E13814" s="704" t="s">
        <v>676</v>
      </c>
      <c r="F13814" s="705">
        <v>1.7069548546124459E-2</v>
      </c>
      <c r="G13814" s="705">
        <v>0.62050435499914391</v>
      </c>
    </row>
    <row r="13815" spans="2:7" ht="11.25" hidden="1" customHeight="1" outlineLevel="2" x14ac:dyDescent="0.25">
      <c r="B13815" s="704" t="s">
        <v>693</v>
      </c>
      <c r="C13815" s="704" t="s">
        <v>709</v>
      </c>
      <c r="D13815" s="704" t="s">
        <v>562</v>
      </c>
      <c r="E13815" s="704" t="s">
        <v>676</v>
      </c>
      <c r="F13815" s="705">
        <v>1.2254690431152205E-2</v>
      </c>
      <c r="G13815" s="705">
        <v>0.85950329113721513</v>
      </c>
    </row>
    <row r="13816" spans="2:7" ht="11.25" hidden="1" customHeight="1" outlineLevel="2" x14ac:dyDescent="0.25">
      <c r="B13816" s="704" t="s">
        <v>693</v>
      </c>
      <c r="C13816" s="704" t="s">
        <v>710</v>
      </c>
      <c r="D13816" s="704" t="s">
        <v>562</v>
      </c>
      <c r="E13816" s="704" t="s">
        <v>676</v>
      </c>
      <c r="F13816" s="705">
        <v>0.14356985771390601</v>
      </c>
      <c r="G13816" s="705">
        <v>30.044210736543562</v>
      </c>
    </row>
    <row r="13817" spans="2:7" ht="11.25" hidden="1" customHeight="1" outlineLevel="2" x14ac:dyDescent="0.25">
      <c r="B13817" s="704" t="s">
        <v>693</v>
      </c>
      <c r="C13817" s="704" t="s">
        <v>911</v>
      </c>
      <c r="D13817" s="704" t="s">
        <v>562</v>
      </c>
      <c r="E13817" s="704" t="s">
        <v>861</v>
      </c>
      <c r="F13817" s="709"/>
      <c r="G13817" s="705">
        <v>320.38265623720895</v>
      </c>
    </row>
    <row r="13818" spans="2:7" ht="11.25" hidden="1" customHeight="1" outlineLevel="2" x14ac:dyDescent="0.25">
      <c r="B13818" s="704" t="s">
        <v>693</v>
      </c>
      <c r="C13818" s="704" t="s">
        <v>912</v>
      </c>
      <c r="D13818" s="704" t="s">
        <v>562</v>
      </c>
      <c r="E13818" s="704" t="s">
        <v>861</v>
      </c>
      <c r="F13818" s="709"/>
      <c r="G13818" s="705">
        <v>75.590882048864742</v>
      </c>
    </row>
    <row r="13819" spans="2:7" ht="11.25" hidden="1" customHeight="1" outlineLevel="2" x14ac:dyDescent="0.25">
      <c r="B13819" s="704" t="s">
        <v>693</v>
      </c>
      <c r="C13819" s="704" t="s">
        <v>913</v>
      </c>
      <c r="D13819" s="704" t="s">
        <v>562</v>
      </c>
      <c r="E13819" s="704" t="s">
        <v>861</v>
      </c>
      <c r="F13819" s="709"/>
      <c r="G13819" s="705">
        <v>209.73545299563699</v>
      </c>
    </row>
    <row r="13820" spans="2:7" ht="11.25" hidden="1" customHeight="1" outlineLevel="2" x14ac:dyDescent="0.25">
      <c r="B13820" s="704" t="s">
        <v>693</v>
      </c>
      <c r="C13820" s="704" t="s">
        <v>914</v>
      </c>
      <c r="D13820" s="704" t="s">
        <v>562</v>
      </c>
      <c r="E13820" s="704" t="s">
        <v>861</v>
      </c>
      <c r="F13820" s="709"/>
      <c r="G13820" s="705">
        <v>106.49685390972913</v>
      </c>
    </row>
    <row r="13821" spans="2:7" ht="11.25" hidden="1" customHeight="1" outlineLevel="2" x14ac:dyDescent="0.25">
      <c r="B13821" s="704" t="s">
        <v>693</v>
      </c>
      <c r="C13821" s="704" t="s">
        <v>915</v>
      </c>
      <c r="D13821" s="704" t="s">
        <v>562</v>
      </c>
      <c r="E13821" s="704" t="s">
        <v>861</v>
      </c>
      <c r="F13821" s="709"/>
      <c r="G13821" s="705">
        <v>10.230750147334179</v>
      </c>
    </row>
    <row r="13822" spans="2:7" ht="11.25" hidden="1" customHeight="1" outlineLevel="2" x14ac:dyDescent="0.25">
      <c r="B13822" s="704" t="s">
        <v>693</v>
      </c>
      <c r="C13822" s="704" t="s">
        <v>916</v>
      </c>
      <c r="D13822" s="704" t="s">
        <v>562</v>
      </c>
      <c r="E13822" s="704" t="s">
        <v>861</v>
      </c>
      <c r="F13822" s="709"/>
      <c r="G13822" s="705">
        <v>9.0769967728903111</v>
      </c>
    </row>
    <row r="13823" spans="2:7" ht="11.25" hidden="1" customHeight="1" outlineLevel="2" x14ac:dyDescent="0.25">
      <c r="B13823" s="704" t="s">
        <v>693</v>
      </c>
      <c r="C13823" s="704" t="s">
        <v>719</v>
      </c>
      <c r="D13823" s="704" t="s">
        <v>675</v>
      </c>
      <c r="E13823" s="704" t="s">
        <v>448</v>
      </c>
      <c r="F13823" s="705">
        <v>2.6472402191234014E-2</v>
      </c>
      <c r="G13823" s="705">
        <v>16.322078259626778</v>
      </c>
    </row>
    <row r="13824" spans="2:7" ht="11.25" hidden="1" customHeight="1" outlineLevel="2" x14ac:dyDescent="0.25">
      <c r="B13824" s="704" t="s">
        <v>693</v>
      </c>
      <c r="C13824" s="704" t="s">
        <v>720</v>
      </c>
      <c r="D13824" s="704" t="s">
        <v>675</v>
      </c>
      <c r="E13824" s="704" t="s">
        <v>448</v>
      </c>
      <c r="F13824" s="705">
        <v>2.1877739589571546E-3</v>
      </c>
      <c r="G13824" s="705">
        <v>1.0586112153629859</v>
      </c>
    </row>
    <row r="13825" spans="2:7" ht="11.25" hidden="1" customHeight="1" outlineLevel="2" x14ac:dyDescent="0.25">
      <c r="B13825" s="704" t="s">
        <v>693</v>
      </c>
      <c r="C13825" s="704" t="s">
        <v>721</v>
      </c>
      <c r="D13825" s="704" t="s">
        <v>675</v>
      </c>
      <c r="E13825" s="704" t="s">
        <v>448</v>
      </c>
      <c r="F13825" s="705">
        <v>2.6494584373682752E-3</v>
      </c>
      <c r="G13825" s="705">
        <v>1.2655084996041481</v>
      </c>
    </row>
    <row r="13826" spans="2:7" ht="11.25" hidden="1" customHeight="1" outlineLevel="2" x14ac:dyDescent="0.25">
      <c r="B13826" s="704" t="s">
        <v>693</v>
      </c>
      <c r="C13826" s="704" t="s">
        <v>722</v>
      </c>
      <c r="D13826" s="704" t="s">
        <v>675</v>
      </c>
      <c r="E13826" s="704" t="s">
        <v>448</v>
      </c>
      <c r="F13826" s="705">
        <v>2.1141876574597999E-5</v>
      </c>
      <c r="G13826" s="705">
        <v>9.476786163041543E-3</v>
      </c>
    </row>
    <row r="13827" spans="2:7" ht="11.25" hidden="1" customHeight="1" outlineLevel="2" x14ac:dyDescent="0.25">
      <c r="B13827" s="704" t="s">
        <v>693</v>
      </c>
      <c r="C13827" s="704" t="s">
        <v>723</v>
      </c>
      <c r="D13827" s="704" t="s">
        <v>675</v>
      </c>
      <c r="E13827" s="704" t="s">
        <v>448</v>
      </c>
      <c r="F13827" s="705">
        <v>7.5418824574261911E-2</v>
      </c>
      <c r="G13827" s="705">
        <v>42.178739371371776</v>
      </c>
    </row>
    <row r="13828" spans="2:7" ht="11.25" hidden="1" customHeight="1" outlineLevel="2" x14ac:dyDescent="0.25">
      <c r="B13828" s="704" t="s">
        <v>693</v>
      </c>
      <c r="C13828" s="704" t="s">
        <v>724</v>
      </c>
      <c r="D13828" s="704" t="s">
        <v>675</v>
      </c>
      <c r="E13828" s="704" t="s">
        <v>448</v>
      </c>
      <c r="F13828" s="705">
        <v>5.5051760495545502E-4</v>
      </c>
      <c r="G13828" s="705">
        <v>0.24676799376164682</v>
      </c>
    </row>
    <row r="13829" spans="2:7" ht="11.25" hidden="1" customHeight="1" outlineLevel="2" x14ac:dyDescent="0.25">
      <c r="B13829" s="704" t="s">
        <v>693</v>
      </c>
      <c r="C13829" s="704" t="s">
        <v>750</v>
      </c>
      <c r="D13829" s="704" t="s">
        <v>675</v>
      </c>
      <c r="E13829" s="704" t="s">
        <v>448</v>
      </c>
      <c r="F13829" s="705">
        <v>9.3039434698376378E-3</v>
      </c>
      <c r="G13829" s="705">
        <v>14.509986689938351</v>
      </c>
    </row>
    <row r="13830" spans="2:7" ht="11.25" hidden="1" customHeight="1" outlineLevel="2" x14ac:dyDescent="0.25">
      <c r="B13830" s="704" t="s">
        <v>693</v>
      </c>
      <c r="C13830" s="704" t="s">
        <v>751</v>
      </c>
      <c r="D13830" s="704" t="s">
        <v>675</v>
      </c>
      <c r="E13830" s="704" t="s">
        <v>448</v>
      </c>
      <c r="F13830" s="705">
        <v>8.2405339572797271E-5</v>
      </c>
      <c r="G13830" s="705">
        <v>0.10722508917003663</v>
      </c>
    </row>
    <row r="13831" spans="2:7" ht="11.25" hidden="1" customHeight="1" outlineLevel="2" x14ac:dyDescent="0.25">
      <c r="B13831" s="704" t="s">
        <v>693</v>
      </c>
      <c r="C13831" s="704" t="s">
        <v>752</v>
      </c>
      <c r="D13831" s="704" t="s">
        <v>675</v>
      </c>
      <c r="E13831" s="704" t="s">
        <v>448</v>
      </c>
      <c r="F13831" s="705">
        <v>2.2667596908859496E-2</v>
      </c>
      <c r="G13831" s="705">
        <v>27.152517357746092</v>
      </c>
    </row>
    <row r="13832" spans="2:7" ht="11.25" hidden="1" customHeight="1" outlineLevel="2" x14ac:dyDescent="0.25">
      <c r="B13832" s="704" t="s">
        <v>693</v>
      </c>
      <c r="C13832" s="704" t="s">
        <v>753</v>
      </c>
      <c r="D13832" s="704" t="s">
        <v>675</v>
      </c>
      <c r="E13832" s="704" t="s">
        <v>448</v>
      </c>
      <c r="F13832" s="705">
        <v>1.6237066587020368E-2</v>
      </c>
      <c r="G13832" s="705">
        <v>25.657445645214295</v>
      </c>
    </row>
    <row r="13833" spans="2:7" ht="11.25" hidden="1" customHeight="1" outlineLevel="2" x14ac:dyDescent="0.25">
      <c r="B13833" s="704" t="s">
        <v>693</v>
      </c>
      <c r="C13833" s="704" t="s">
        <v>754</v>
      </c>
      <c r="D13833" s="704" t="s">
        <v>675</v>
      </c>
      <c r="E13833" s="704" t="s">
        <v>448</v>
      </c>
      <c r="F13833" s="705">
        <v>3.9978540596252915E-2</v>
      </c>
      <c r="G13833" s="705">
        <v>51.067021772166463</v>
      </c>
    </row>
    <row r="13834" spans="2:7" ht="11.25" hidden="1" customHeight="1" outlineLevel="2" x14ac:dyDescent="0.25">
      <c r="B13834" s="704" t="s">
        <v>693</v>
      </c>
      <c r="C13834" s="704" t="s">
        <v>755</v>
      </c>
      <c r="D13834" s="704" t="s">
        <v>675</v>
      </c>
      <c r="E13834" s="704" t="s">
        <v>448</v>
      </c>
      <c r="F13834" s="705">
        <v>1.563724727563753E-2</v>
      </c>
      <c r="G13834" s="705">
        <v>21.534959633379145</v>
      </c>
    </row>
    <row r="13835" spans="2:7" ht="11.25" hidden="1" customHeight="1" outlineLevel="2" x14ac:dyDescent="0.25">
      <c r="B13835" s="704" t="s">
        <v>693</v>
      </c>
      <c r="C13835" s="704" t="s">
        <v>756</v>
      </c>
      <c r="D13835" s="704" t="s">
        <v>675</v>
      </c>
      <c r="E13835" s="704" t="s">
        <v>448</v>
      </c>
      <c r="F13835" s="705">
        <v>8.4268602086911659E-4</v>
      </c>
      <c r="G13835" s="705">
        <v>1.1180806003255719</v>
      </c>
    </row>
    <row r="13836" spans="2:7" ht="11.25" hidden="1" customHeight="1" outlineLevel="2" x14ac:dyDescent="0.25">
      <c r="B13836" s="704" t="s">
        <v>693</v>
      </c>
      <c r="C13836" s="704" t="s">
        <v>757</v>
      </c>
      <c r="D13836" s="704" t="s">
        <v>675</v>
      </c>
      <c r="E13836" s="704" t="s">
        <v>448</v>
      </c>
      <c r="F13836" s="705">
        <v>2.9799137563480658E-2</v>
      </c>
      <c r="G13836" s="705">
        <v>45.082870029187227</v>
      </c>
    </row>
    <row r="13837" spans="2:7" ht="11.25" hidden="1" customHeight="1" outlineLevel="2" x14ac:dyDescent="0.25">
      <c r="B13837" s="704" t="s">
        <v>693</v>
      </c>
      <c r="C13837" s="704" t="s">
        <v>758</v>
      </c>
      <c r="D13837" s="704" t="s">
        <v>675</v>
      </c>
      <c r="E13837" s="704" t="s">
        <v>448</v>
      </c>
      <c r="F13837" s="705">
        <v>1.3417508529465294E-2</v>
      </c>
      <c r="G13837" s="705">
        <v>15.527263686242458</v>
      </c>
    </row>
    <row r="13838" spans="2:7" ht="11.25" hidden="1" customHeight="1" outlineLevel="2" x14ac:dyDescent="0.25">
      <c r="B13838" s="704" t="s">
        <v>693</v>
      </c>
      <c r="C13838" s="704" t="s">
        <v>759</v>
      </c>
      <c r="D13838" s="704" t="s">
        <v>675</v>
      </c>
      <c r="E13838" s="704" t="s">
        <v>448</v>
      </c>
      <c r="F13838" s="705">
        <v>6.6375746536942518E-2</v>
      </c>
      <c r="G13838" s="705">
        <v>93.898745163547716</v>
      </c>
    </row>
    <row r="13839" spans="2:7" ht="11.25" hidden="1" customHeight="1" outlineLevel="2" x14ac:dyDescent="0.25">
      <c r="B13839" s="704" t="s">
        <v>693</v>
      </c>
      <c r="C13839" s="704" t="s">
        <v>760</v>
      </c>
      <c r="D13839" s="704" t="s">
        <v>675</v>
      </c>
      <c r="E13839" s="704" t="s">
        <v>448</v>
      </c>
      <c r="F13839" s="705">
        <v>4.4733322926005251E-2</v>
      </c>
      <c r="G13839" s="705">
        <v>44.982407973433411</v>
      </c>
    </row>
    <row r="13840" spans="2:7" ht="11.25" hidden="1" customHeight="1" outlineLevel="2" x14ac:dyDescent="0.25">
      <c r="B13840" s="704" t="s">
        <v>693</v>
      </c>
      <c r="C13840" s="704" t="s">
        <v>761</v>
      </c>
      <c r="D13840" s="704" t="s">
        <v>675</v>
      </c>
      <c r="E13840" s="704" t="s">
        <v>448</v>
      </c>
      <c r="F13840" s="705">
        <v>2.1278003550200754E-3</v>
      </c>
      <c r="G13840" s="705">
        <v>3.5858058765410328</v>
      </c>
    </row>
    <row r="13841" spans="2:7" ht="11.25" hidden="1" customHeight="1" outlineLevel="2" x14ac:dyDescent="0.25">
      <c r="B13841" s="704" t="s">
        <v>693</v>
      </c>
      <c r="C13841" s="704" t="s">
        <v>762</v>
      </c>
      <c r="D13841" s="704" t="s">
        <v>675</v>
      </c>
      <c r="E13841" s="704" t="s">
        <v>448</v>
      </c>
      <c r="F13841" s="705">
        <v>4.322679215563432E-3</v>
      </c>
      <c r="G13841" s="705">
        <v>6.0802321544497824</v>
      </c>
    </row>
    <row r="13842" spans="2:7" ht="11.25" hidden="1" customHeight="1" outlineLevel="2" x14ac:dyDescent="0.25">
      <c r="B13842" s="704" t="s">
        <v>693</v>
      </c>
      <c r="C13842" s="704" t="s">
        <v>763</v>
      </c>
      <c r="D13842" s="704" t="s">
        <v>675</v>
      </c>
      <c r="E13842" s="704" t="s">
        <v>448</v>
      </c>
      <c r="F13842" s="705">
        <v>1.9222357847168184E-3</v>
      </c>
      <c r="G13842" s="705">
        <v>5.4484362661178789</v>
      </c>
    </row>
    <row r="13843" spans="2:7" ht="11.25" hidden="1" customHeight="1" outlineLevel="2" x14ac:dyDescent="0.25">
      <c r="B13843" s="704" t="s">
        <v>693</v>
      </c>
      <c r="C13843" s="704" t="s">
        <v>764</v>
      </c>
      <c r="D13843" s="704" t="s">
        <v>675</v>
      </c>
      <c r="E13843" s="704" t="s">
        <v>448</v>
      </c>
      <c r="F13843" s="705">
        <v>2.2385956611903372E-3</v>
      </c>
      <c r="G13843" s="705">
        <v>13.01326872656902</v>
      </c>
    </row>
    <row r="13844" spans="2:7" ht="11.25" hidden="1" customHeight="1" outlineLevel="2" x14ac:dyDescent="0.25">
      <c r="B13844" s="704" t="s">
        <v>693</v>
      </c>
      <c r="C13844" s="704" t="s">
        <v>765</v>
      </c>
      <c r="D13844" s="704" t="s">
        <v>675</v>
      </c>
      <c r="E13844" s="704" t="s">
        <v>448</v>
      </c>
      <c r="F13844" s="705">
        <v>2.1162128358370197E-2</v>
      </c>
      <c r="G13844" s="705">
        <v>30.838064647628972</v>
      </c>
    </row>
    <row r="13845" spans="2:7" ht="11.25" hidden="1" customHeight="1" outlineLevel="2" x14ac:dyDescent="0.25">
      <c r="B13845" s="704" t="s">
        <v>693</v>
      </c>
      <c r="C13845" s="704" t="s">
        <v>766</v>
      </c>
      <c r="D13845" s="704" t="s">
        <v>675</v>
      </c>
      <c r="E13845" s="704" t="s">
        <v>448</v>
      </c>
      <c r="F13845" s="705">
        <v>1.3133351097044383E-2</v>
      </c>
      <c r="G13845" s="705">
        <v>21.164566221096404</v>
      </c>
    </row>
    <row r="13846" spans="2:7" ht="11.25" hidden="1" customHeight="1" outlineLevel="2" x14ac:dyDescent="0.25">
      <c r="B13846" s="704" t="s">
        <v>693</v>
      </c>
      <c r="C13846" s="704" t="s">
        <v>767</v>
      </c>
      <c r="D13846" s="704" t="s">
        <v>675</v>
      </c>
      <c r="E13846" s="704" t="s">
        <v>448</v>
      </c>
      <c r="F13846" s="705">
        <v>6.6101909650428748E-3</v>
      </c>
      <c r="G13846" s="705">
        <v>6.9735336102156591</v>
      </c>
    </row>
    <row r="13847" spans="2:7" ht="11.25" hidden="1" customHeight="1" outlineLevel="2" x14ac:dyDescent="0.25">
      <c r="B13847" s="704" t="s">
        <v>693</v>
      </c>
      <c r="C13847" s="704" t="s">
        <v>768</v>
      </c>
      <c r="D13847" s="704" t="s">
        <v>675</v>
      </c>
      <c r="E13847" s="704" t="s">
        <v>448</v>
      </c>
      <c r="F13847" s="705">
        <v>3.0867903854900204E-3</v>
      </c>
      <c r="G13847" s="705">
        <v>4.9263246421715374</v>
      </c>
    </row>
    <row r="13848" spans="2:7" ht="11.25" hidden="1" customHeight="1" outlineLevel="2" x14ac:dyDescent="0.25">
      <c r="B13848" s="704" t="s">
        <v>693</v>
      </c>
      <c r="C13848" s="704" t="s">
        <v>825</v>
      </c>
      <c r="D13848" s="704" t="s">
        <v>675</v>
      </c>
      <c r="E13848" s="704" t="s">
        <v>824</v>
      </c>
      <c r="F13848" s="705">
        <v>5.8932585297641696E-4</v>
      </c>
      <c r="G13848" s="705">
        <v>2.7903471672134463</v>
      </c>
    </row>
    <row r="13849" spans="2:7" ht="11.25" hidden="1" customHeight="1" outlineLevel="2" x14ac:dyDescent="0.25">
      <c r="B13849" s="704" t="s">
        <v>693</v>
      </c>
      <c r="C13849" s="704" t="s">
        <v>826</v>
      </c>
      <c r="D13849" s="704" t="s">
        <v>675</v>
      </c>
      <c r="E13849" s="704" t="s">
        <v>824</v>
      </c>
      <c r="F13849" s="705">
        <v>4.3808574253531503E-4</v>
      </c>
      <c r="G13849" s="705">
        <v>4.6827295468043717</v>
      </c>
    </row>
    <row r="13850" spans="2:7" ht="11.25" hidden="1" customHeight="1" outlineLevel="2" x14ac:dyDescent="0.25">
      <c r="B13850" s="704" t="s">
        <v>693</v>
      </c>
      <c r="C13850" s="704" t="s">
        <v>827</v>
      </c>
      <c r="D13850" s="704" t="s">
        <v>675</v>
      </c>
      <c r="E13850" s="704" t="s">
        <v>824</v>
      </c>
      <c r="F13850" s="705">
        <v>3.2439519633044371E-4</v>
      </c>
      <c r="G13850" s="705">
        <v>0.7746636682359338</v>
      </c>
    </row>
    <row r="13851" spans="2:7" ht="11.25" hidden="1" customHeight="1" outlineLevel="2" x14ac:dyDescent="0.25">
      <c r="B13851" s="704" t="s">
        <v>693</v>
      </c>
      <c r="C13851" s="704" t="s">
        <v>828</v>
      </c>
      <c r="D13851" s="704" t="s">
        <v>675</v>
      </c>
      <c r="E13851" s="704" t="s">
        <v>824</v>
      </c>
      <c r="F13851" s="705">
        <v>8.8455637919478207E-5</v>
      </c>
      <c r="G13851" s="705">
        <v>0.48542166858749047</v>
      </c>
    </row>
    <row r="13852" spans="2:7" ht="11.25" hidden="1" customHeight="1" outlineLevel="2" x14ac:dyDescent="0.25">
      <c r="B13852" s="704" t="s">
        <v>693</v>
      </c>
      <c r="C13852" s="704" t="s">
        <v>829</v>
      </c>
      <c r="D13852" s="704" t="s">
        <v>675</v>
      </c>
      <c r="E13852" s="704" t="s">
        <v>824</v>
      </c>
      <c r="F13852" s="705">
        <v>1.9142394976093644E-3</v>
      </c>
      <c r="G13852" s="705">
        <v>8.5903207259974508</v>
      </c>
    </row>
    <row r="13853" spans="2:7" ht="11.25" hidden="1" customHeight="1" outlineLevel="2" x14ac:dyDescent="0.25">
      <c r="B13853" s="704" t="s">
        <v>693</v>
      </c>
      <c r="C13853" s="704" t="s">
        <v>830</v>
      </c>
      <c r="D13853" s="704" t="s">
        <v>675</v>
      </c>
      <c r="E13853" s="704" t="s">
        <v>824</v>
      </c>
      <c r="F13853" s="705">
        <v>1.7366575941608012E-3</v>
      </c>
      <c r="G13853" s="705">
        <v>3.0930104515017298</v>
      </c>
    </row>
    <row r="13854" spans="2:7" ht="11.25" hidden="1" customHeight="1" outlineLevel="2" x14ac:dyDescent="0.25">
      <c r="B13854" s="704" t="s">
        <v>693</v>
      </c>
      <c r="C13854" s="704" t="s">
        <v>831</v>
      </c>
      <c r="D13854" s="704" t="s">
        <v>675</v>
      </c>
      <c r="E13854" s="704" t="s">
        <v>824</v>
      </c>
      <c r="F13854" s="705">
        <v>4.8184249121345187E-4</v>
      </c>
      <c r="G13854" s="705">
        <v>7.9474245446040248</v>
      </c>
    </row>
    <row r="13855" spans="2:7" ht="11.25" hidden="1" customHeight="1" outlineLevel="2" x14ac:dyDescent="0.25">
      <c r="B13855" s="704" t="s">
        <v>693</v>
      </c>
      <c r="C13855" s="704" t="s">
        <v>832</v>
      </c>
      <c r="D13855" s="704" t="s">
        <v>675</v>
      </c>
      <c r="E13855" s="704" t="s">
        <v>824</v>
      </c>
      <c r="F13855" s="705">
        <v>1.3170996808128761E-3</v>
      </c>
      <c r="G13855" s="705">
        <v>3.16537477112389</v>
      </c>
    </row>
    <row r="13856" spans="2:7" ht="11.25" hidden="1" customHeight="1" outlineLevel="2" x14ac:dyDescent="0.25">
      <c r="B13856" s="704" t="s">
        <v>693</v>
      </c>
      <c r="C13856" s="704" t="s">
        <v>833</v>
      </c>
      <c r="D13856" s="704" t="s">
        <v>675</v>
      </c>
      <c r="E13856" s="704" t="s">
        <v>824</v>
      </c>
      <c r="F13856" s="705">
        <v>2.0115715894421227E-4</v>
      </c>
      <c r="G13856" s="705">
        <v>0.50935495185648827</v>
      </c>
    </row>
    <row r="13857" spans="2:7" ht="11.25" hidden="1" customHeight="1" outlineLevel="2" x14ac:dyDescent="0.25">
      <c r="B13857" s="704" t="s">
        <v>693</v>
      </c>
      <c r="C13857" s="704" t="s">
        <v>834</v>
      </c>
      <c r="D13857" s="704" t="s">
        <v>675</v>
      </c>
      <c r="E13857" s="704" t="s">
        <v>824</v>
      </c>
      <c r="F13857" s="705">
        <v>1.4570204596389416E-3</v>
      </c>
      <c r="G13857" s="705">
        <v>5.5101098572289331</v>
      </c>
    </row>
    <row r="13858" spans="2:7" ht="11.25" hidden="1" customHeight="1" outlineLevel="2" x14ac:dyDescent="0.25">
      <c r="B13858" s="704" t="s">
        <v>693</v>
      </c>
      <c r="C13858" s="704" t="s">
        <v>835</v>
      </c>
      <c r="D13858" s="704" t="s">
        <v>675</v>
      </c>
      <c r="E13858" s="704" t="s">
        <v>824</v>
      </c>
      <c r="F13858" s="705">
        <v>1.82741995925798E-3</v>
      </c>
      <c r="G13858" s="705">
        <v>13.417398739980204</v>
      </c>
    </row>
    <row r="13859" spans="2:7" ht="11.25" hidden="1" customHeight="1" outlineLevel="2" x14ac:dyDescent="0.25">
      <c r="B13859" s="704" t="s">
        <v>693</v>
      </c>
      <c r="C13859" s="704" t="s">
        <v>836</v>
      </c>
      <c r="D13859" s="704" t="s">
        <v>675</v>
      </c>
      <c r="E13859" s="704" t="s">
        <v>824</v>
      </c>
      <c r="F13859" s="705">
        <v>1.2750850668305036E-4</v>
      </c>
      <c r="G13859" s="705">
        <v>1.4016000847357786</v>
      </c>
    </row>
    <row r="13860" spans="2:7" ht="11.25" hidden="1" customHeight="1" outlineLevel="2" x14ac:dyDescent="0.25">
      <c r="B13860" s="704" t="s">
        <v>693</v>
      </c>
      <c r="C13860" s="704" t="s">
        <v>837</v>
      </c>
      <c r="D13860" s="704" t="s">
        <v>675</v>
      </c>
      <c r="E13860" s="704" t="s">
        <v>824</v>
      </c>
      <c r="F13860" s="705">
        <v>4.2051133819282988E-3</v>
      </c>
      <c r="G13860" s="705">
        <v>11.610352354417277</v>
      </c>
    </row>
    <row r="13861" spans="2:7" ht="11.25" hidden="1" customHeight="1" outlineLevel="2" x14ac:dyDescent="0.25">
      <c r="B13861" s="704" t="s">
        <v>693</v>
      </c>
      <c r="C13861" s="704" t="s">
        <v>838</v>
      </c>
      <c r="D13861" s="704" t="s">
        <v>675</v>
      </c>
      <c r="E13861" s="704" t="s">
        <v>824</v>
      </c>
      <c r="F13861" s="705">
        <v>2.1691192027921409E-3</v>
      </c>
      <c r="G13861" s="705">
        <v>4.8013626000361374</v>
      </c>
    </row>
    <row r="13862" spans="2:7" ht="11.25" hidden="1" customHeight="1" outlineLevel="2" x14ac:dyDescent="0.25">
      <c r="B13862" s="704" t="s">
        <v>693</v>
      </c>
      <c r="C13862" s="704" t="s">
        <v>674</v>
      </c>
      <c r="D13862" s="704" t="s">
        <v>675</v>
      </c>
      <c r="E13862" s="704" t="s">
        <v>676</v>
      </c>
      <c r="F13862" s="705">
        <v>6.1511459337759223E-3</v>
      </c>
      <c r="G13862" s="705">
        <v>0.15222757326723971</v>
      </c>
    </row>
    <row r="13863" spans="2:7" ht="11.25" hidden="1" customHeight="1" outlineLevel="2" x14ac:dyDescent="0.25">
      <c r="B13863" s="704" t="s">
        <v>693</v>
      </c>
      <c r="C13863" s="704" t="s">
        <v>862</v>
      </c>
      <c r="D13863" s="704" t="s">
        <v>675</v>
      </c>
      <c r="E13863" s="704" t="s">
        <v>861</v>
      </c>
      <c r="F13863" s="709"/>
      <c r="G13863" s="705">
        <v>451.98119250186147</v>
      </c>
    </row>
    <row r="13864" spans="2:7" ht="11.25" hidden="1" customHeight="1" outlineLevel="2" x14ac:dyDescent="0.25">
      <c r="B13864" s="704" t="s">
        <v>693</v>
      </c>
      <c r="C13864" s="704" t="s">
        <v>863</v>
      </c>
      <c r="D13864" s="704" t="s">
        <v>675</v>
      </c>
      <c r="E13864" s="704" t="s">
        <v>861</v>
      </c>
      <c r="F13864" s="709"/>
      <c r="G13864" s="705">
        <v>0.73676032264347846</v>
      </c>
    </row>
    <row r="13865" spans="2:7" ht="11.25" hidden="1" customHeight="1" outlineLevel="2" x14ac:dyDescent="0.25">
      <c r="B13865" s="704" t="s">
        <v>693</v>
      </c>
      <c r="C13865" s="704" t="s">
        <v>864</v>
      </c>
      <c r="D13865" s="704" t="s">
        <v>675</v>
      </c>
      <c r="E13865" s="704" t="s">
        <v>861</v>
      </c>
      <c r="F13865" s="709"/>
      <c r="G13865" s="705">
        <v>12.137865491772672</v>
      </c>
    </row>
    <row r="13866" spans="2:7" ht="11.25" hidden="1" customHeight="1" outlineLevel="2" x14ac:dyDescent="0.25">
      <c r="B13866" s="704" t="s">
        <v>693</v>
      </c>
      <c r="C13866" s="704" t="s">
        <v>865</v>
      </c>
      <c r="D13866" s="704" t="s">
        <v>675</v>
      </c>
      <c r="E13866" s="704" t="s">
        <v>861</v>
      </c>
      <c r="F13866" s="709"/>
      <c r="G13866" s="705">
        <v>1131.3624267435302</v>
      </c>
    </row>
    <row r="13867" spans="2:7" ht="11.25" hidden="1" customHeight="1" outlineLevel="2" x14ac:dyDescent="0.25">
      <c r="B13867" s="704" t="s">
        <v>693</v>
      </c>
      <c r="C13867" s="704" t="s">
        <v>866</v>
      </c>
      <c r="D13867" s="704" t="s">
        <v>675</v>
      </c>
      <c r="E13867" s="704" t="s">
        <v>861</v>
      </c>
      <c r="F13867" s="709"/>
      <c r="G13867" s="705">
        <v>1230.6844237356636</v>
      </c>
    </row>
    <row r="13868" spans="2:7" ht="11.25" hidden="1" customHeight="1" outlineLevel="2" x14ac:dyDescent="0.25">
      <c r="B13868" s="704" t="s">
        <v>693</v>
      </c>
      <c r="C13868" s="704" t="s">
        <v>867</v>
      </c>
      <c r="D13868" s="704" t="s">
        <v>675</v>
      </c>
      <c r="E13868" s="704" t="s">
        <v>861</v>
      </c>
      <c r="F13868" s="709"/>
      <c r="G13868" s="705">
        <v>67.802591668293076</v>
      </c>
    </row>
    <row r="13869" spans="2:7" ht="11.25" hidden="1" customHeight="1" outlineLevel="2" x14ac:dyDescent="0.25">
      <c r="B13869" s="704" t="s">
        <v>693</v>
      </c>
      <c r="C13869" s="704" t="s">
        <v>868</v>
      </c>
      <c r="D13869" s="704" t="s">
        <v>675</v>
      </c>
      <c r="E13869" s="704" t="s">
        <v>861</v>
      </c>
      <c r="F13869" s="709"/>
      <c r="G13869" s="705">
        <v>41.849780217737319</v>
      </c>
    </row>
    <row r="13870" spans="2:7" ht="11.25" hidden="1" customHeight="1" outlineLevel="2" x14ac:dyDescent="0.25">
      <c r="B13870" s="704" t="s">
        <v>693</v>
      </c>
      <c r="C13870" s="704" t="s">
        <v>869</v>
      </c>
      <c r="D13870" s="704" t="s">
        <v>675</v>
      </c>
      <c r="E13870" s="704" t="s">
        <v>861</v>
      </c>
      <c r="F13870" s="709"/>
      <c r="G13870" s="705">
        <v>124.96130499749989</v>
      </c>
    </row>
    <row r="13871" spans="2:7" ht="11.25" hidden="1" customHeight="1" outlineLevel="2" x14ac:dyDescent="0.25">
      <c r="B13871" s="704" t="s">
        <v>693</v>
      </c>
      <c r="C13871" s="704" t="s">
        <v>870</v>
      </c>
      <c r="D13871" s="704" t="s">
        <v>675</v>
      </c>
      <c r="E13871" s="704" t="s">
        <v>861</v>
      </c>
      <c r="F13871" s="709"/>
      <c r="G13871" s="705">
        <v>536.7332881851529</v>
      </c>
    </row>
    <row r="13872" spans="2:7" ht="11.25" hidden="1" customHeight="1" outlineLevel="2" x14ac:dyDescent="0.25">
      <c r="B13872" s="704" t="s">
        <v>693</v>
      </c>
      <c r="C13872" s="704" t="s">
        <v>871</v>
      </c>
      <c r="D13872" s="704" t="s">
        <v>675</v>
      </c>
      <c r="E13872" s="704" t="s">
        <v>861</v>
      </c>
      <c r="F13872" s="709"/>
      <c r="G13872" s="705">
        <v>461.52776884512173</v>
      </c>
    </row>
    <row r="13873" spans="2:7" ht="11.25" hidden="1" customHeight="1" outlineLevel="2" x14ac:dyDescent="0.25">
      <c r="B13873" s="704" t="s">
        <v>693</v>
      </c>
      <c r="C13873" s="704" t="s">
        <v>872</v>
      </c>
      <c r="D13873" s="704" t="s">
        <v>675</v>
      </c>
      <c r="E13873" s="704" t="s">
        <v>861</v>
      </c>
      <c r="F13873" s="709"/>
      <c r="G13873" s="705">
        <v>4584.9781955629087</v>
      </c>
    </row>
    <row r="13874" spans="2:7" ht="11.25" hidden="1" customHeight="1" outlineLevel="2" x14ac:dyDescent="0.25">
      <c r="B13874" s="704" t="s">
        <v>693</v>
      </c>
      <c r="C13874" s="704" t="s">
        <v>873</v>
      </c>
      <c r="D13874" s="704" t="s">
        <v>675</v>
      </c>
      <c r="E13874" s="704" t="s">
        <v>861</v>
      </c>
      <c r="F13874" s="709"/>
      <c r="G13874" s="705">
        <v>38.032175534906429</v>
      </c>
    </row>
    <row r="13875" spans="2:7" ht="11.25" hidden="1" customHeight="1" outlineLevel="2" x14ac:dyDescent="0.25">
      <c r="B13875" s="704" t="s">
        <v>693</v>
      </c>
      <c r="C13875" s="704" t="s">
        <v>874</v>
      </c>
      <c r="D13875" s="704" t="s">
        <v>675</v>
      </c>
      <c r="E13875" s="704" t="s">
        <v>861</v>
      </c>
      <c r="F13875" s="709"/>
      <c r="G13875" s="705">
        <v>17.964334644500337</v>
      </c>
    </row>
    <row r="13876" spans="2:7" ht="11.25" hidden="1" customHeight="1" outlineLevel="2" x14ac:dyDescent="0.25">
      <c r="B13876" s="704" t="s">
        <v>693</v>
      </c>
      <c r="C13876" s="704" t="s">
        <v>875</v>
      </c>
      <c r="D13876" s="704" t="s">
        <v>675</v>
      </c>
      <c r="E13876" s="704" t="s">
        <v>861</v>
      </c>
      <c r="F13876" s="709"/>
      <c r="G13876" s="705">
        <v>1047.1694109012644</v>
      </c>
    </row>
    <row r="13877" spans="2:7" ht="11.25" hidden="1" customHeight="1" outlineLevel="2" x14ac:dyDescent="0.25">
      <c r="B13877" s="704" t="s">
        <v>693</v>
      </c>
      <c r="C13877" s="704" t="s">
        <v>876</v>
      </c>
      <c r="D13877" s="704" t="s">
        <v>675</v>
      </c>
      <c r="E13877" s="704" t="s">
        <v>861</v>
      </c>
      <c r="F13877" s="709"/>
      <c r="G13877" s="705">
        <v>1140.714073219184</v>
      </c>
    </row>
    <row r="13878" spans="2:7" ht="11.25" hidden="1" customHeight="1" outlineLevel="2" x14ac:dyDescent="0.25">
      <c r="B13878" s="704" t="s">
        <v>693</v>
      </c>
      <c r="C13878" s="704" t="s">
        <v>877</v>
      </c>
      <c r="D13878" s="704" t="s">
        <v>675</v>
      </c>
      <c r="E13878" s="704" t="s">
        <v>861</v>
      </c>
      <c r="F13878" s="709"/>
      <c r="G13878" s="705">
        <v>3921.5028199196722</v>
      </c>
    </row>
    <row r="13879" spans="2:7" ht="11.25" hidden="1" customHeight="1" outlineLevel="2" x14ac:dyDescent="0.25">
      <c r="B13879" s="704" t="s">
        <v>693</v>
      </c>
      <c r="C13879" s="704" t="s">
        <v>878</v>
      </c>
      <c r="D13879" s="704" t="s">
        <v>675</v>
      </c>
      <c r="E13879" s="704" t="s">
        <v>861</v>
      </c>
      <c r="F13879" s="709"/>
      <c r="G13879" s="705">
        <v>184.6189270988848</v>
      </c>
    </row>
    <row r="13880" spans="2:7" ht="11.25" hidden="1" customHeight="1" outlineLevel="2" x14ac:dyDescent="0.25">
      <c r="B13880" s="704" t="s">
        <v>693</v>
      </c>
      <c r="C13880" s="704" t="s">
        <v>879</v>
      </c>
      <c r="D13880" s="704" t="s">
        <v>675</v>
      </c>
      <c r="E13880" s="704" t="s">
        <v>861</v>
      </c>
      <c r="F13880" s="709"/>
      <c r="G13880" s="705">
        <v>1467.5965065509563</v>
      </c>
    </row>
    <row r="13881" spans="2:7" ht="11.25" hidden="1" customHeight="1" outlineLevel="2" x14ac:dyDescent="0.25">
      <c r="B13881" s="704" t="s">
        <v>693</v>
      </c>
      <c r="C13881" s="704" t="s">
        <v>880</v>
      </c>
      <c r="D13881" s="704" t="s">
        <v>675</v>
      </c>
      <c r="E13881" s="704" t="s">
        <v>861</v>
      </c>
      <c r="F13881" s="709"/>
      <c r="G13881" s="705">
        <v>4990.5578350191327</v>
      </c>
    </row>
    <row r="13882" spans="2:7" ht="11.25" hidden="1" customHeight="1" outlineLevel="2" x14ac:dyDescent="0.25">
      <c r="B13882" s="704" t="s">
        <v>693</v>
      </c>
      <c r="C13882" s="704" t="s">
        <v>881</v>
      </c>
      <c r="D13882" s="704" t="s">
        <v>675</v>
      </c>
      <c r="E13882" s="704" t="s">
        <v>861</v>
      </c>
      <c r="F13882" s="709"/>
      <c r="G13882" s="705">
        <v>3026.4703066605603</v>
      </c>
    </row>
    <row r="13883" spans="2:7" ht="11.25" hidden="1" customHeight="1" outlineLevel="2" x14ac:dyDescent="0.25">
      <c r="B13883" s="704" t="s">
        <v>693</v>
      </c>
      <c r="C13883" s="704" t="s">
        <v>882</v>
      </c>
      <c r="D13883" s="704" t="s">
        <v>675</v>
      </c>
      <c r="E13883" s="704" t="s">
        <v>861</v>
      </c>
      <c r="F13883" s="709"/>
      <c r="G13883" s="705">
        <v>4567.3360398912919</v>
      </c>
    </row>
    <row r="13884" spans="2:7" ht="11.25" hidden="1" customHeight="1" outlineLevel="2" x14ac:dyDescent="0.25">
      <c r="B13884" s="704" t="s">
        <v>693</v>
      </c>
      <c r="C13884" s="704" t="s">
        <v>883</v>
      </c>
      <c r="D13884" s="704" t="s">
        <v>675</v>
      </c>
      <c r="E13884" s="704" t="s">
        <v>861</v>
      </c>
      <c r="F13884" s="709"/>
      <c r="G13884" s="705">
        <v>2075.2240642193387</v>
      </c>
    </row>
    <row r="13885" spans="2:7" ht="11.25" hidden="1" customHeight="1" outlineLevel="2" x14ac:dyDescent="0.25">
      <c r="B13885" s="704" t="s">
        <v>693</v>
      </c>
      <c r="C13885" s="704" t="s">
        <v>884</v>
      </c>
      <c r="D13885" s="704" t="s">
        <v>675</v>
      </c>
      <c r="E13885" s="704" t="s">
        <v>861</v>
      </c>
      <c r="F13885" s="709"/>
      <c r="G13885" s="705">
        <v>491.27129098342874</v>
      </c>
    </row>
    <row r="13886" spans="2:7" ht="11.25" hidden="1" customHeight="1" outlineLevel="2" x14ac:dyDescent="0.25">
      <c r="B13886" s="704" t="s">
        <v>693</v>
      </c>
      <c r="C13886" s="704" t="s">
        <v>885</v>
      </c>
      <c r="D13886" s="704" t="s">
        <v>675</v>
      </c>
      <c r="E13886" s="704" t="s">
        <v>861</v>
      </c>
      <c r="F13886" s="709"/>
      <c r="G13886" s="705">
        <v>6.3939236573511806</v>
      </c>
    </row>
    <row r="13887" spans="2:7" ht="11.25" hidden="1" customHeight="1" outlineLevel="2" x14ac:dyDescent="0.25">
      <c r="B13887" s="704" t="s">
        <v>693</v>
      </c>
      <c r="C13887" s="704" t="s">
        <v>886</v>
      </c>
      <c r="D13887" s="704" t="s">
        <v>675</v>
      </c>
      <c r="E13887" s="704" t="s">
        <v>861</v>
      </c>
      <c r="F13887" s="709"/>
      <c r="G13887" s="705">
        <v>470.75465315006539</v>
      </c>
    </row>
    <row r="13888" spans="2:7" ht="11.25" hidden="1" customHeight="1" outlineLevel="2" x14ac:dyDescent="0.25">
      <c r="B13888" s="704" t="s">
        <v>693</v>
      </c>
      <c r="C13888" s="704" t="s">
        <v>725</v>
      </c>
      <c r="D13888" s="704" t="s">
        <v>563</v>
      </c>
      <c r="E13888" s="704" t="s">
        <v>448</v>
      </c>
      <c r="F13888" s="705">
        <v>4.202745823716649E-5</v>
      </c>
      <c r="G13888" s="705">
        <v>1.8839266483879787E-2</v>
      </c>
    </row>
    <row r="13889" spans="2:7" ht="11.25" hidden="1" customHeight="1" outlineLevel="2" x14ac:dyDescent="0.25">
      <c r="B13889" s="704" t="s">
        <v>693</v>
      </c>
      <c r="C13889" s="704" t="s">
        <v>726</v>
      </c>
      <c r="D13889" s="704" t="s">
        <v>563</v>
      </c>
      <c r="E13889" s="704" t="s">
        <v>448</v>
      </c>
      <c r="F13889" s="705">
        <v>3.3100339477851717E-6</v>
      </c>
      <c r="G13889" s="705">
        <v>1.483757495083494E-3</v>
      </c>
    </row>
    <row r="13890" spans="2:7" ht="11.25" hidden="1" customHeight="1" outlineLevel="2" x14ac:dyDescent="0.25">
      <c r="B13890" s="704" t="s">
        <v>693</v>
      </c>
      <c r="C13890" s="704" t="s">
        <v>769</v>
      </c>
      <c r="D13890" s="704" t="s">
        <v>563</v>
      </c>
      <c r="E13890" s="704" t="s">
        <v>448</v>
      </c>
      <c r="F13890" s="705">
        <v>2.1438058094865654E-3</v>
      </c>
      <c r="G13890" s="705">
        <v>2.2915036852323509</v>
      </c>
    </row>
    <row r="13891" spans="2:7" ht="11.25" hidden="1" customHeight="1" outlineLevel="2" x14ac:dyDescent="0.25">
      <c r="B13891" s="704" t="s">
        <v>693</v>
      </c>
      <c r="C13891" s="704" t="s">
        <v>770</v>
      </c>
      <c r="D13891" s="704" t="s">
        <v>563</v>
      </c>
      <c r="E13891" s="704" t="s">
        <v>448</v>
      </c>
      <c r="F13891" s="705">
        <v>1.9489112524140348E-3</v>
      </c>
      <c r="G13891" s="705">
        <v>6.7857643976469397</v>
      </c>
    </row>
    <row r="13892" spans="2:7" ht="11.25" hidden="1" customHeight="1" outlineLevel="2" x14ac:dyDescent="0.25">
      <c r="B13892" s="704" t="s">
        <v>693</v>
      </c>
      <c r="C13892" s="704" t="s">
        <v>771</v>
      </c>
      <c r="D13892" s="704" t="s">
        <v>563</v>
      </c>
      <c r="E13892" s="704" t="s">
        <v>448</v>
      </c>
      <c r="F13892" s="705">
        <v>7.2856303534211248E-4</v>
      </c>
      <c r="G13892" s="705">
        <v>1.7137599906021779</v>
      </c>
    </row>
    <row r="13893" spans="2:7" ht="11.25" hidden="1" customHeight="1" outlineLevel="2" x14ac:dyDescent="0.25">
      <c r="B13893" s="704" t="s">
        <v>693</v>
      </c>
      <c r="C13893" s="704" t="s">
        <v>772</v>
      </c>
      <c r="D13893" s="704" t="s">
        <v>563</v>
      </c>
      <c r="E13893" s="704" t="s">
        <v>448</v>
      </c>
      <c r="F13893" s="705">
        <v>2.4440117384294103E-3</v>
      </c>
      <c r="G13893" s="705">
        <v>3.1943697943315823</v>
      </c>
    </row>
    <row r="13894" spans="2:7" ht="11.25" hidden="1" customHeight="1" outlineLevel="2" x14ac:dyDescent="0.25">
      <c r="B13894" s="704" t="s">
        <v>693</v>
      </c>
      <c r="C13894" s="704" t="s">
        <v>773</v>
      </c>
      <c r="D13894" s="704" t="s">
        <v>563</v>
      </c>
      <c r="E13894" s="704" t="s">
        <v>448</v>
      </c>
      <c r="F13894" s="705">
        <v>1.3693939060592072E-4</v>
      </c>
      <c r="G13894" s="705">
        <v>0.15694818247347631</v>
      </c>
    </row>
    <row r="13895" spans="2:7" ht="11.25" hidden="1" customHeight="1" outlineLevel="2" x14ac:dyDescent="0.25">
      <c r="B13895" s="704" t="s">
        <v>693</v>
      </c>
      <c r="C13895" s="704" t="s">
        <v>774</v>
      </c>
      <c r="D13895" s="704" t="s">
        <v>563</v>
      </c>
      <c r="E13895" s="704" t="s">
        <v>448</v>
      </c>
      <c r="F13895" s="705">
        <v>4.5401708472075431E-4</v>
      </c>
      <c r="G13895" s="705">
        <v>0.61525046676664819</v>
      </c>
    </row>
    <row r="13896" spans="2:7" ht="11.25" hidden="1" customHeight="1" outlineLevel="2" x14ac:dyDescent="0.25">
      <c r="B13896" s="704" t="s">
        <v>693</v>
      </c>
      <c r="C13896" s="704" t="s">
        <v>775</v>
      </c>
      <c r="D13896" s="704" t="s">
        <v>563</v>
      </c>
      <c r="E13896" s="704" t="s">
        <v>448</v>
      </c>
      <c r="F13896" s="705">
        <v>5.3752490277903612E-5</v>
      </c>
      <c r="G13896" s="705">
        <v>0.6919351669083138</v>
      </c>
    </row>
    <row r="13897" spans="2:7" ht="11.25" hidden="1" customHeight="1" outlineLevel="2" x14ac:dyDescent="0.25">
      <c r="B13897" s="704" t="s">
        <v>693</v>
      </c>
      <c r="C13897" s="704" t="s">
        <v>839</v>
      </c>
      <c r="D13897" s="704" t="s">
        <v>563</v>
      </c>
      <c r="E13897" s="704" t="s">
        <v>824</v>
      </c>
      <c r="F13897" s="705">
        <v>2.3921796283224283E-3</v>
      </c>
      <c r="G13897" s="705">
        <v>5.8050236076506891</v>
      </c>
    </row>
    <row r="13898" spans="2:7" ht="11.25" hidden="1" customHeight="1" outlineLevel="2" x14ac:dyDescent="0.25">
      <c r="B13898" s="704" t="s">
        <v>693</v>
      </c>
      <c r="C13898" s="704" t="s">
        <v>840</v>
      </c>
      <c r="D13898" s="704" t="s">
        <v>563</v>
      </c>
      <c r="E13898" s="704" t="s">
        <v>824</v>
      </c>
      <c r="F13898" s="705">
        <v>6.9713717234819214E-2</v>
      </c>
      <c r="G13898" s="705">
        <v>513.25351143596197</v>
      </c>
    </row>
    <row r="13899" spans="2:7" ht="11.25" hidden="1" customHeight="1" outlineLevel="2" x14ac:dyDescent="0.25">
      <c r="B13899" s="704" t="s">
        <v>693</v>
      </c>
      <c r="C13899" s="704" t="s">
        <v>841</v>
      </c>
      <c r="D13899" s="704" t="s">
        <v>563</v>
      </c>
      <c r="E13899" s="704" t="s">
        <v>824</v>
      </c>
      <c r="F13899" s="705">
        <v>3.3908342031709055E-4</v>
      </c>
      <c r="G13899" s="705">
        <v>3.8802086909968949</v>
      </c>
    </row>
    <row r="13900" spans="2:7" ht="11.25" hidden="1" customHeight="1" outlineLevel="2" x14ac:dyDescent="0.25">
      <c r="B13900" s="704" t="s">
        <v>693</v>
      </c>
      <c r="C13900" s="704" t="s">
        <v>842</v>
      </c>
      <c r="D13900" s="704" t="s">
        <v>563</v>
      </c>
      <c r="E13900" s="704" t="s">
        <v>824</v>
      </c>
      <c r="F13900" s="705">
        <v>1.2287561143883253E-4</v>
      </c>
      <c r="G13900" s="705">
        <v>1.20268487491283</v>
      </c>
    </row>
    <row r="13901" spans="2:7" ht="11.25" hidden="1" customHeight="1" outlineLevel="2" x14ac:dyDescent="0.25">
      <c r="B13901" s="704" t="s">
        <v>693</v>
      </c>
      <c r="C13901" s="704" t="s">
        <v>843</v>
      </c>
      <c r="D13901" s="704" t="s">
        <v>563</v>
      </c>
      <c r="E13901" s="704" t="s">
        <v>824</v>
      </c>
      <c r="F13901" s="705">
        <v>1.1876614662717914E-4</v>
      </c>
      <c r="G13901" s="705">
        <v>0.31031367642869695</v>
      </c>
    </row>
    <row r="13902" spans="2:7" ht="11.25" hidden="1" customHeight="1" outlineLevel="2" x14ac:dyDescent="0.25">
      <c r="B13902" s="704" t="s">
        <v>693</v>
      </c>
      <c r="C13902" s="704" t="s">
        <v>844</v>
      </c>
      <c r="D13902" s="704" t="s">
        <v>563</v>
      </c>
      <c r="E13902" s="704" t="s">
        <v>824</v>
      </c>
      <c r="F13902" s="705">
        <v>1.1877130025177118E-4</v>
      </c>
      <c r="G13902" s="705">
        <v>2.3603020027921948</v>
      </c>
    </row>
    <row r="13903" spans="2:7" ht="11.25" hidden="1" customHeight="1" outlineLevel="2" x14ac:dyDescent="0.25">
      <c r="B13903" s="704" t="s">
        <v>693</v>
      </c>
      <c r="C13903" s="704" t="s">
        <v>700</v>
      </c>
      <c r="D13903" s="704" t="s">
        <v>563</v>
      </c>
      <c r="E13903" s="704" t="s">
        <v>676</v>
      </c>
      <c r="F13903" s="705">
        <v>0.36003682338414156</v>
      </c>
      <c r="G13903" s="705">
        <v>30.29914592608592</v>
      </c>
    </row>
    <row r="13904" spans="2:7" ht="11.25" hidden="1" customHeight="1" outlineLevel="2" x14ac:dyDescent="0.25">
      <c r="B13904" s="704" t="s">
        <v>693</v>
      </c>
      <c r="C13904" s="704" t="s">
        <v>701</v>
      </c>
      <c r="D13904" s="704" t="s">
        <v>563</v>
      </c>
      <c r="E13904" s="704" t="s">
        <v>676</v>
      </c>
      <c r="F13904" s="705">
        <v>3.9325242028912655E-4</v>
      </c>
      <c r="G13904" s="705">
        <v>3.4436081857840216E-2</v>
      </c>
    </row>
    <row r="13905" spans="2:7" ht="11.25" hidden="1" customHeight="1" outlineLevel="2" x14ac:dyDescent="0.25">
      <c r="B13905" s="704" t="s">
        <v>693</v>
      </c>
      <c r="C13905" s="704" t="s">
        <v>702</v>
      </c>
      <c r="D13905" s="704" t="s">
        <v>563</v>
      </c>
      <c r="E13905" s="704" t="s">
        <v>676</v>
      </c>
      <c r="F13905" s="705">
        <v>1.834910913367069E-4</v>
      </c>
      <c r="G13905" s="705">
        <v>1.8805951418760652E-2</v>
      </c>
    </row>
    <row r="13906" spans="2:7" ht="11.25" hidden="1" customHeight="1" outlineLevel="2" x14ac:dyDescent="0.25">
      <c r="B13906" s="704" t="s">
        <v>693</v>
      </c>
      <c r="C13906" s="704" t="s">
        <v>703</v>
      </c>
      <c r="D13906" s="704" t="s">
        <v>563</v>
      </c>
      <c r="E13906" s="704" t="s">
        <v>676</v>
      </c>
      <c r="F13906" s="705">
        <v>5.8979655580925563E-3</v>
      </c>
      <c r="G13906" s="705">
        <v>0.58079662083387151</v>
      </c>
    </row>
    <row r="13907" spans="2:7" ht="11.25" hidden="1" customHeight="1" outlineLevel="2" x14ac:dyDescent="0.25">
      <c r="B13907" s="704" t="s">
        <v>693</v>
      </c>
      <c r="C13907" s="704" t="s">
        <v>704</v>
      </c>
      <c r="D13907" s="704" t="s">
        <v>563</v>
      </c>
      <c r="E13907" s="704" t="s">
        <v>676</v>
      </c>
      <c r="F13907" s="705">
        <v>6.2486825847824932E-4</v>
      </c>
      <c r="G13907" s="705">
        <v>0.14051943488253016</v>
      </c>
    </row>
    <row r="13908" spans="2:7" ht="11.25" hidden="1" customHeight="1" outlineLevel="2" x14ac:dyDescent="0.25">
      <c r="B13908" s="704" t="s">
        <v>693</v>
      </c>
      <c r="C13908" s="704" t="s">
        <v>887</v>
      </c>
      <c r="D13908" s="704" t="s">
        <v>563</v>
      </c>
      <c r="E13908" s="704" t="s">
        <v>861</v>
      </c>
      <c r="F13908" s="709"/>
      <c r="G13908" s="705">
        <v>9.4445470664095783</v>
      </c>
    </row>
    <row r="13909" spans="2:7" ht="11.25" hidden="1" customHeight="1" outlineLevel="2" x14ac:dyDescent="0.25">
      <c r="B13909" s="704" t="s">
        <v>693</v>
      </c>
      <c r="C13909" s="704" t="s">
        <v>888</v>
      </c>
      <c r="D13909" s="704" t="s">
        <v>563</v>
      </c>
      <c r="E13909" s="704" t="s">
        <v>861</v>
      </c>
      <c r="F13909" s="709"/>
      <c r="G13909" s="705">
        <v>137.04581723302107</v>
      </c>
    </row>
    <row r="13910" spans="2:7" ht="11.25" hidden="1" customHeight="1" outlineLevel="2" x14ac:dyDescent="0.25">
      <c r="B13910" s="704" t="s">
        <v>693</v>
      </c>
      <c r="C13910" s="704" t="s">
        <v>889</v>
      </c>
      <c r="D13910" s="704" t="s">
        <v>563</v>
      </c>
      <c r="E13910" s="704" t="s">
        <v>861</v>
      </c>
      <c r="F13910" s="709"/>
      <c r="G13910" s="705">
        <v>59.815969027499854</v>
      </c>
    </row>
    <row r="13911" spans="2:7" ht="11.25" hidden="1" customHeight="1" outlineLevel="2" x14ac:dyDescent="0.25">
      <c r="B13911" s="704" t="s">
        <v>693</v>
      </c>
      <c r="C13911" s="704" t="s">
        <v>890</v>
      </c>
      <c r="D13911" s="704" t="s">
        <v>563</v>
      </c>
      <c r="E13911" s="704" t="s">
        <v>861</v>
      </c>
      <c r="F13911" s="709"/>
      <c r="G13911" s="705">
        <v>60.712559935906654</v>
      </c>
    </row>
    <row r="13912" spans="2:7" ht="11.25" hidden="1" customHeight="1" outlineLevel="2" x14ac:dyDescent="0.25">
      <c r="B13912" s="704" t="s">
        <v>693</v>
      </c>
      <c r="C13912" s="704" t="s">
        <v>891</v>
      </c>
      <c r="D13912" s="704" t="s">
        <v>563</v>
      </c>
      <c r="E13912" s="704" t="s">
        <v>861</v>
      </c>
      <c r="F13912" s="709"/>
      <c r="G13912" s="705">
        <v>2.3340073810470856</v>
      </c>
    </row>
    <row r="13913" spans="2:7" ht="11.25" hidden="1" customHeight="1" outlineLevel="2" x14ac:dyDescent="0.25">
      <c r="B13913" s="704" t="s">
        <v>693</v>
      </c>
      <c r="C13913" s="704" t="s">
        <v>892</v>
      </c>
      <c r="D13913" s="704" t="s">
        <v>563</v>
      </c>
      <c r="E13913" s="704" t="s">
        <v>861</v>
      </c>
      <c r="F13913" s="709"/>
      <c r="G13913" s="705">
        <v>1689.3912250738754</v>
      </c>
    </row>
    <row r="13914" spans="2:7" ht="11.25" hidden="1" customHeight="1" outlineLevel="2" x14ac:dyDescent="0.25">
      <c r="B13914" s="704" t="s">
        <v>693</v>
      </c>
      <c r="C13914" s="704" t="s">
        <v>893</v>
      </c>
      <c r="D13914" s="704" t="s">
        <v>563</v>
      </c>
      <c r="E13914" s="704" t="s">
        <v>861</v>
      </c>
      <c r="F13914" s="709"/>
      <c r="G13914" s="705">
        <v>86.280877570141953</v>
      </c>
    </row>
    <row r="13915" spans="2:7" ht="11.25" hidden="1" customHeight="1" outlineLevel="2" x14ac:dyDescent="0.25">
      <c r="B13915" s="704" t="s">
        <v>693</v>
      </c>
      <c r="C13915" s="704" t="s">
        <v>727</v>
      </c>
      <c r="D13915" s="704" t="s">
        <v>728</v>
      </c>
      <c r="E13915" s="704" t="s">
        <v>448</v>
      </c>
      <c r="F13915" s="705">
        <v>6.5939301665821938E-3</v>
      </c>
      <c r="G13915" s="705">
        <v>3.6116065970859323</v>
      </c>
    </row>
    <row r="13916" spans="2:7" ht="11.25" hidden="1" customHeight="1" outlineLevel="2" x14ac:dyDescent="0.25">
      <c r="B13916" s="704" t="s">
        <v>693</v>
      </c>
      <c r="C13916" s="704" t="s">
        <v>729</v>
      </c>
      <c r="D13916" s="704" t="s">
        <v>728</v>
      </c>
      <c r="E13916" s="704" t="s">
        <v>448</v>
      </c>
      <c r="F13916" s="705">
        <v>1.771298384376898E-2</v>
      </c>
      <c r="G13916" s="705">
        <v>9.5603385635727829</v>
      </c>
    </row>
    <row r="13917" spans="2:7" ht="11.25" hidden="1" customHeight="1" outlineLevel="2" x14ac:dyDescent="0.25">
      <c r="B13917" s="704" t="s">
        <v>693</v>
      </c>
      <c r="C13917" s="704" t="s">
        <v>730</v>
      </c>
      <c r="D13917" s="704" t="s">
        <v>728</v>
      </c>
      <c r="E13917" s="704" t="s">
        <v>448</v>
      </c>
      <c r="F13917" s="705">
        <v>9.4628220963536736E-2</v>
      </c>
      <c r="G13917" s="705">
        <v>49.337484952298126</v>
      </c>
    </row>
    <row r="13918" spans="2:7" ht="11.25" hidden="1" customHeight="1" outlineLevel="2" x14ac:dyDescent="0.25">
      <c r="B13918" s="704" t="s">
        <v>693</v>
      </c>
      <c r="C13918" s="704" t="s">
        <v>731</v>
      </c>
      <c r="D13918" s="704" t="s">
        <v>728</v>
      </c>
      <c r="E13918" s="704" t="s">
        <v>448</v>
      </c>
      <c r="F13918" s="705">
        <v>0.19405580253836735</v>
      </c>
      <c r="G13918" s="705">
        <v>106.39638049355761</v>
      </c>
    </row>
    <row r="13919" spans="2:7" ht="11.25" hidden="1" customHeight="1" outlineLevel="2" x14ac:dyDescent="0.25">
      <c r="B13919" s="704" t="s">
        <v>693</v>
      </c>
      <c r="C13919" s="704" t="s">
        <v>732</v>
      </c>
      <c r="D13919" s="704" t="s">
        <v>728</v>
      </c>
      <c r="E13919" s="704" t="s">
        <v>448</v>
      </c>
      <c r="F13919" s="705">
        <v>0.1166572458994487</v>
      </c>
      <c r="G13919" s="705">
        <v>68.754231890228894</v>
      </c>
    </row>
    <row r="13920" spans="2:7" ht="11.25" hidden="1" customHeight="1" outlineLevel="2" x14ac:dyDescent="0.25">
      <c r="B13920" s="704" t="s">
        <v>693</v>
      </c>
      <c r="C13920" s="704" t="s">
        <v>733</v>
      </c>
      <c r="D13920" s="704" t="s">
        <v>728</v>
      </c>
      <c r="E13920" s="704" t="s">
        <v>448</v>
      </c>
      <c r="F13920" s="705">
        <v>0.18321330200027308</v>
      </c>
      <c r="G13920" s="705">
        <v>92.775815335775306</v>
      </c>
    </row>
    <row r="13921" spans="2:7" ht="11.25" hidden="1" customHeight="1" outlineLevel="2" x14ac:dyDescent="0.25">
      <c r="B13921" s="704" t="s">
        <v>693</v>
      </c>
      <c r="C13921" s="704" t="s">
        <v>734</v>
      </c>
      <c r="D13921" s="704" t="s">
        <v>728</v>
      </c>
      <c r="E13921" s="704" t="s">
        <v>448</v>
      </c>
      <c r="F13921" s="705">
        <v>8.2227388994341233E-2</v>
      </c>
      <c r="G13921" s="705">
        <v>44.250086028411005</v>
      </c>
    </row>
    <row r="13922" spans="2:7" ht="11.25" hidden="1" customHeight="1" outlineLevel="2" x14ac:dyDescent="0.25">
      <c r="B13922" s="704" t="s">
        <v>693</v>
      </c>
      <c r="C13922" s="704" t="s">
        <v>735</v>
      </c>
      <c r="D13922" s="704" t="s">
        <v>728</v>
      </c>
      <c r="E13922" s="704" t="s">
        <v>448</v>
      </c>
      <c r="F13922" s="705">
        <v>0.16170589971301674</v>
      </c>
      <c r="G13922" s="705">
        <v>86.630559596121202</v>
      </c>
    </row>
    <row r="13923" spans="2:7" ht="11.25" hidden="1" customHeight="1" outlineLevel="2" x14ac:dyDescent="0.25">
      <c r="B13923" s="704" t="s">
        <v>693</v>
      </c>
      <c r="C13923" s="704" t="s">
        <v>736</v>
      </c>
      <c r="D13923" s="704" t="s">
        <v>728</v>
      </c>
      <c r="E13923" s="704" t="s">
        <v>448</v>
      </c>
      <c r="F13923" s="705">
        <v>0.14320440408333346</v>
      </c>
      <c r="G13923" s="705">
        <v>21.060485522645081</v>
      </c>
    </row>
    <row r="13924" spans="2:7" ht="11.25" hidden="1" customHeight="1" outlineLevel="2" x14ac:dyDescent="0.25">
      <c r="B13924" s="704" t="s">
        <v>693</v>
      </c>
      <c r="C13924" s="704" t="s">
        <v>737</v>
      </c>
      <c r="D13924" s="704" t="s">
        <v>728</v>
      </c>
      <c r="E13924" s="704" t="s">
        <v>448</v>
      </c>
      <c r="F13924" s="705">
        <v>0.18822603049881942</v>
      </c>
      <c r="G13924" s="705">
        <v>27.682631035760075</v>
      </c>
    </row>
    <row r="13925" spans="2:7" ht="11.25" hidden="1" customHeight="1" outlineLevel="2" x14ac:dyDescent="0.25">
      <c r="B13925" s="704" t="s">
        <v>693</v>
      </c>
      <c r="C13925" s="704" t="s">
        <v>738</v>
      </c>
      <c r="D13925" s="704" t="s">
        <v>728</v>
      </c>
      <c r="E13925" s="704" t="s">
        <v>448</v>
      </c>
      <c r="F13925" s="705">
        <v>7.9220169374241632E-5</v>
      </c>
      <c r="G13925" s="705">
        <v>3.9597458951758445E-2</v>
      </c>
    </row>
    <row r="13926" spans="2:7" ht="11.25" hidden="1" customHeight="1" outlineLevel="2" x14ac:dyDescent="0.25">
      <c r="B13926" s="704" t="s">
        <v>693</v>
      </c>
      <c r="C13926" s="704" t="s">
        <v>776</v>
      </c>
      <c r="D13926" s="704" t="s">
        <v>728</v>
      </c>
      <c r="E13926" s="704" t="s">
        <v>448</v>
      </c>
      <c r="F13926" s="705">
        <v>0.99029643563521075</v>
      </c>
      <c r="G13926" s="705">
        <v>616.37459912082682</v>
      </c>
    </row>
    <row r="13927" spans="2:7" ht="11.25" hidden="1" customHeight="1" outlineLevel="2" x14ac:dyDescent="0.25">
      <c r="B13927" s="704" t="s">
        <v>693</v>
      </c>
      <c r="C13927" s="704" t="s">
        <v>777</v>
      </c>
      <c r="D13927" s="704" t="s">
        <v>728</v>
      </c>
      <c r="E13927" s="704" t="s">
        <v>448</v>
      </c>
      <c r="F13927" s="705">
        <v>0.22617577345529424</v>
      </c>
      <c r="G13927" s="705">
        <v>270.44000628741702</v>
      </c>
    </row>
    <row r="13928" spans="2:7" ht="11.25" hidden="1" customHeight="1" outlineLevel="2" x14ac:dyDescent="0.25">
      <c r="B13928" s="704" t="s">
        <v>693</v>
      </c>
      <c r="C13928" s="704" t="s">
        <v>778</v>
      </c>
      <c r="D13928" s="704" t="s">
        <v>728</v>
      </c>
      <c r="E13928" s="704" t="s">
        <v>448</v>
      </c>
      <c r="F13928" s="705">
        <v>8.3714974231263825E-2</v>
      </c>
      <c r="G13928" s="705">
        <v>51.683864747733139</v>
      </c>
    </row>
    <row r="13929" spans="2:7" ht="11.25" hidden="1" customHeight="1" outlineLevel="2" x14ac:dyDescent="0.25">
      <c r="B13929" s="704" t="s">
        <v>693</v>
      </c>
      <c r="C13929" s="704" t="s">
        <v>779</v>
      </c>
      <c r="D13929" s="704" t="s">
        <v>728</v>
      </c>
      <c r="E13929" s="704" t="s">
        <v>448</v>
      </c>
      <c r="F13929" s="705">
        <v>0.18333020615908327</v>
      </c>
      <c r="G13929" s="705">
        <v>137.65650855658427</v>
      </c>
    </row>
    <row r="13930" spans="2:7" ht="11.25" hidden="1" customHeight="1" outlineLevel="2" x14ac:dyDescent="0.25">
      <c r="B13930" s="704" t="s">
        <v>693</v>
      </c>
      <c r="C13930" s="704" t="s">
        <v>780</v>
      </c>
      <c r="D13930" s="704" t="s">
        <v>728</v>
      </c>
      <c r="E13930" s="704" t="s">
        <v>448</v>
      </c>
      <c r="F13930" s="705">
        <v>4.5374613580186907E-3</v>
      </c>
      <c r="G13930" s="705">
        <v>3.431348942167308</v>
      </c>
    </row>
    <row r="13931" spans="2:7" ht="11.25" hidden="1" customHeight="1" outlineLevel="2" x14ac:dyDescent="0.25">
      <c r="B13931" s="704" t="s">
        <v>693</v>
      </c>
      <c r="C13931" s="704" t="s">
        <v>781</v>
      </c>
      <c r="D13931" s="704" t="s">
        <v>728</v>
      </c>
      <c r="E13931" s="704" t="s">
        <v>448</v>
      </c>
      <c r="F13931" s="705">
        <v>5.0261366734313719E-3</v>
      </c>
      <c r="G13931" s="705">
        <v>6.2647065065134191</v>
      </c>
    </row>
    <row r="13932" spans="2:7" ht="11.25" hidden="1" customHeight="1" outlineLevel="2" x14ac:dyDescent="0.25">
      <c r="B13932" s="704" t="s">
        <v>693</v>
      </c>
      <c r="C13932" s="704" t="s">
        <v>782</v>
      </c>
      <c r="D13932" s="704" t="s">
        <v>728</v>
      </c>
      <c r="E13932" s="704" t="s">
        <v>448</v>
      </c>
      <c r="F13932" s="705">
        <v>8.6359647545529491E-3</v>
      </c>
      <c r="G13932" s="705">
        <v>6.5464041557885775</v>
      </c>
    </row>
    <row r="13933" spans="2:7" ht="11.25" hidden="1" customHeight="1" outlineLevel="2" x14ac:dyDescent="0.25">
      <c r="B13933" s="704" t="s">
        <v>693</v>
      </c>
      <c r="C13933" s="704" t="s">
        <v>783</v>
      </c>
      <c r="D13933" s="704" t="s">
        <v>728</v>
      </c>
      <c r="E13933" s="704" t="s">
        <v>448</v>
      </c>
      <c r="F13933" s="705">
        <v>0.16501810774488027</v>
      </c>
      <c r="G13933" s="705">
        <v>258.45141461140815</v>
      </c>
    </row>
    <row r="13934" spans="2:7" ht="11.25" hidden="1" customHeight="1" outlineLevel="2" x14ac:dyDescent="0.25">
      <c r="B13934" s="704" t="s">
        <v>693</v>
      </c>
      <c r="C13934" s="704" t="s">
        <v>784</v>
      </c>
      <c r="D13934" s="704" t="s">
        <v>728</v>
      </c>
      <c r="E13934" s="704" t="s">
        <v>448</v>
      </c>
      <c r="F13934" s="705">
        <v>0.12429447884932329</v>
      </c>
      <c r="G13934" s="705">
        <v>68.043151022259863</v>
      </c>
    </row>
    <row r="13935" spans="2:7" ht="11.25" hidden="1" customHeight="1" outlineLevel="2" x14ac:dyDescent="0.25">
      <c r="B13935" s="704" t="s">
        <v>693</v>
      </c>
      <c r="C13935" s="704" t="s">
        <v>785</v>
      </c>
      <c r="D13935" s="704" t="s">
        <v>728</v>
      </c>
      <c r="E13935" s="704" t="s">
        <v>448</v>
      </c>
      <c r="F13935" s="705">
        <v>0.16336654200826356</v>
      </c>
      <c r="G13935" s="705">
        <v>89.43825773316091</v>
      </c>
    </row>
    <row r="13936" spans="2:7" ht="11.25" hidden="1" customHeight="1" outlineLevel="2" x14ac:dyDescent="0.25">
      <c r="B13936" s="704" t="s">
        <v>693</v>
      </c>
      <c r="C13936" s="704" t="s">
        <v>786</v>
      </c>
      <c r="D13936" s="704" t="s">
        <v>728</v>
      </c>
      <c r="E13936" s="704" t="s">
        <v>448</v>
      </c>
      <c r="F13936" s="705">
        <v>9.7409732009237068E-2</v>
      </c>
      <c r="G13936" s="705">
        <v>123.67324183576041</v>
      </c>
    </row>
    <row r="13937" spans="2:7" ht="11.25" hidden="1" customHeight="1" outlineLevel="2" x14ac:dyDescent="0.25">
      <c r="B13937" s="704" t="s">
        <v>693</v>
      </c>
      <c r="C13937" s="704" t="s">
        <v>787</v>
      </c>
      <c r="D13937" s="704" t="s">
        <v>728</v>
      </c>
      <c r="E13937" s="704" t="s">
        <v>448</v>
      </c>
      <c r="F13937" s="705">
        <v>2.1074758593260023E-2</v>
      </c>
      <c r="G13937" s="705">
        <v>29.859646392866267</v>
      </c>
    </row>
    <row r="13938" spans="2:7" ht="11.25" hidden="1" customHeight="1" outlineLevel="2" x14ac:dyDescent="0.25">
      <c r="B13938" s="704" t="s">
        <v>693</v>
      </c>
      <c r="C13938" s="704" t="s">
        <v>788</v>
      </c>
      <c r="D13938" s="704" t="s">
        <v>728</v>
      </c>
      <c r="E13938" s="704" t="s">
        <v>448</v>
      </c>
      <c r="F13938" s="705">
        <v>2.970481958217908E-2</v>
      </c>
      <c r="G13938" s="705">
        <v>33.986426437634897</v>
      </c>
    </row>
    <row r="13939" spans="2:7" ht="11.25" hidden="1" customHeight="1" outlineLevel="2" x14ac:dyDescent="0.25">
      <c r="B13939" s="704" t="s">
        <v>693</v>
      </c>
      <c r="C13939" s="704" t="s">
        <v>789</v>
      </c>
      <c r="D13939" s="704" t="s">
        <v>728</v>
      </c>
      <c r="E13939" s="704" t="s">
        <v>448</v>
      </c>
      <c r="F13939" s="705">
        <v>2.2891973666352324E-2</v>
      </c>
      <c r="G13939" s="705">
        <v>15.826310512441923</v>
      </c>
    </row>
    <row r="13940" spans="2:7" ht="11.25" hidden="1" customHeight="1" outlineLevel="2" x14ac:dyDescent="0.25">
      <c r="B13940" s="704" t="s">
        <v>693</v>
      </c>
      <c r="C13940" s="704" t="s">
        <v>790</v>
      </c>
      <c r="D13940" s="704" t="s">
        <v>728</v>
      </c>
      <c r="E13940" s="704" t="s">
        <v>448</v>
      </c>
      <c r="F13940" s="705">
        <v>1.3025591158974654</v>
      </c>
      <c r="G13940" s="705">
        <v>1657.7539391282301</v>
      </c>
    </row>
    <row r="13941" spans="2:7" ht="11.25" hidden="1" customHeight="1" outlineLevel="2" x14ac:dyDescent="0.25">
      <c r="B13941" s="704" t="s">
        <v>693</v>
      </c>
      <c r="C13941" s="704" t="s">
        <v>791</v>
      </c>
      <c r="D13941" s="704" t="s">
        <v>728</v>
      </c>
      <c r="E13941" s="704" t="s">
        <v>448</v>
      </c>
      <c r="F13941" s="705">
        <v>0.28635563477625053</v>
      </c>
      <c r="G13941" s="705">
        <v>405.80544999664579</v>
      </c>
    </row>
    <row r="13942" spans="2:7" ht="11.25" hidden="1" customHeight="1" outlineLevel="2" x14ac:dyDescent="0.25">
      <c r="B13942" s="704" t="s">
        <v>693</v>
      </c>
      <c r="C13942" s="704" t="s">
        <v>792</v>
      </c>
      <c r="D13942" s="704" t="s">
        <v>728</v>
      </c>
      <c r="E13942" s="704" t="s">
        <v>448</v>
      </c>
      <c r="F13942" s="705">
        <v>3.2240112843075611E-2</v>
      </c>
      <c r="G13942" s="705">
        <v>67.940305769943521</v>
      </c>
    </row>
    <row r="13943" spans="2:7" ht="11.25" hidden="1" customHeight="1" outlineLevel="2" x14ac:dyDescent="0.25">
      <c r="B13943" s="704" t="s">
        <v>693</v>
      </c>
      <c r="C13943" s="704" t="s">
        <v>793</v>
      </c>
      <c r="D13943" s="704" t="s">
        <v>728</v>
      </c>
      <c r="E13943" s="704" t="s">
        <v>448</v>
      </c>
      <c r="F13943" s="705">
        <v>0.89679238519223126</v>
      </c>
      <c r="G13943" s="705">
        <v>1309.1541839779509</v>
      </c>
    </row>
    <row r="13944" spans="2:7" ht="11.25" hidden="1" customHeight="1" outlineLevel="2" x14ac:dyDescent="0.25">
      <c r="B13944" s="704" t="s">
        <v>693</v>
      </c>
      <c r="C13944" s="704" t="s">
        <v>794</v>
      </c>
      <c r="D13944" s="704" t="s">
        <v>728</v>
      </c>
      <c r="E13944" s="704" t="s">
        <v>448</v>
      </c>
      <c r="F13944" s="705">
        <v>7.4912145577684802E-2</v>
      </c>
      <c r="G13944" s="705">
        <v>58.719765669655892</v>
      </c>
    </row>
    <row r="13945" spans="2:7" ht="11.25" hidden="1" customHeight="1" outlineLevel="2" x14ac:dyDescent="0.25">
      <c r="B13945" s="704" t="s">
        <v>693</v>
      </c>
      <c r="C13945" s="704" t="s">
        <v>795</v>
      </c>
      <c r="D13945" s="704" t="s">
        <v>728</v>
      </c>
      <c r="E13945" s="704" t="s">
        <v>448</v>
      </c>
      <c r="F13945" s="705">
        <v>5.1070636124202276E-2</v>
      </c>
      <c r="G13945" s="705">
        <v>40.111993416865026</v>
      </c>
    </row>
    <row r="13946" spans="2:7" ht="11.25" hidden="1" customHeight="1" outlineLevel="2" x14ac:dyDescent="0.25">
      <c r="B13946" s="704" t="s">
        <v>693</v>
      </c>
      <c r="C13946" s="704" t="s">
        <v>845</v>
      </c>
      <c r="D13946" s="704" t="s">
        <v>728</v>
      </c>
      <c r="E13946" s="704" t="s">
        <v>824</v>
      </c>
      <c r="F13946" s="705">
        <v>2.5265622469998025E-3</v>
      </c>
      <c r="G13946" s="705">
        <v>22.537989176750798</v>
      </c>
    </row>
    <row r="13947" spans="2:7" ht="11.25" hidden="1" customHeight="1" outlineLevel="2" x14ac:dyDescent="0.25">
      <c r="B13947" s="704" t="s">
        <v>693</v>
      </c>
      <c r="C13947" s="704" t="s">
        <v>894</v>
      </c>
      <c r="D13947" s="704" t="s">
        <v>728</v>
      </c>
      <c r="E13947" s="704" t="s">
        <v>861</v>
      </c>
      <c r="F13947" s="709"/>
      <c r="G13947" s="705">
        <v>3.5034629610201914E-2</v>
      </c>
    </row>
    <row r="13948" spans="2:7" ht="11.25" hidden="1" customHeight="1" outlineLevel="2" x14ac:dyDescent="0.25">
      <c r="B13948" s="704" t="s">
        <v>693</v>
      </c>
      <c r="C13948" s="704" t="s">
        <v>895</v>
      </c>
      <c r="D13948" s="704" t="s">
        <v>728</v>
      </c>
      <c r="E13948" s="704" t="s">
        <v>861</v>
      </c>
      <c r="F13948" s="709"/>
      <c r="G13948" s="705">
        <v>9.3627251683353077</v>
      </c>
    </row>
    <row r="13949" spans="2:7" ht="11.25" hidden="1" customHeight="1" outlineLevel="2" x14ac:dyDescent="0.25">
      <c r="B13949" s="704" t="s">
        <v>693</v>
      </c>
      <c r="C13949" s="704" t="s">
        <v>896</v>
      </c>
      <c r="D13949" s="704" t="s">
        <v>728</v>
      </c>
      <c r="E13949" s="704" t="s">
        <v>861</v>
      </c>
      <c r="F13949" s="709"/>
      <c r="G13949" s="705">
        <v>244.99043918104124</v>
      </c>
    </row>
    <row r="13950" spans="2:7" ht="11.25" hidden="1" customHeight="1" outlineLevel="2" x14ac:dyDescent="0.25">
      <c r="B13950" s="704" t="s">
        <v>693</v>
      </c>
      <c r="C13950" s="704" t="s">
        <v>897</v>
      </c>
      <c r="D13950" s="704" t="s">
        <v>728</v>
      </c>
      <c r="E13950" s="704" t="s">
        <v>861</v>
      </c>
      <c r="F13950" s="709"/>
      <c r="G13950" s="705">
        <v>50.55776296018324</v>
      </c>
    </row>
    <row r="13951" spans="2:7" ht="11.25" hidden="1" customHeight="1" outlineLevel="2" x14ac:dyDescent="0.25">
      <c r="B13951" s="704" t="s">
        <v>693</v>
      </c>
      <c r="C13951" s="704" t="s">
        <v>898</v>
      </c>
      <c r="D13951" s="704" t="s">
        <v>728</v>
      </c>
      <c r="E13951" s="704" t="s">
        <v>861</v>
      </c>
      <c r="F13951" s="709"/>
      <c r="G13951" s="705">
        <v>333.54806928777475</v>
      </c>
    </row>
    <row r="13952" spans="2:7" ht="11.25" hidden="1" customHeight="1" outlineLevel="2" x14ac:dyDescent="0.25">
      <c r="B13952" s="704" t="s">
        <v>693</v>
      </c>
      <c r="C13952" s="704" t="s">
        <v>899</v>
      </c>
      <c r="D13952" s="704" t="s">
        <v>728</v>
      </c>
      <c r="E13952" s="704" t="s">
        <v>861</v>
      </c>
      <c r="F13952" s="709"/>
      <c r="G13952" s="705">
        <v>39.328203565459624</v>
      </c>
    </row>
    <row r="13953" spans="2:7" ht="11.25" hidden="1" customHeight="1" outlineLevel="2" x14ac:dyDescent="0.25">
      <c r="B13953" s="704" t="s">
        <v>693</v>
      </c>
      <c r="C13953" s="704" t="s">
        <v>900</v>
      </c>
      <c r="D13953" s="704" t="s">
        <v>728</v>
      </c>
      <c r="E13953" s="704" t="s">
        <v>861</v>
      </c>
      <c r="F13953" s="709"/>
      <c r="G13953" s="705">
        <v>0.93682220675024708</v>
      </c>
    </row>
    <row r="13954" spans="2:7" ht="11.25" hidden="1" customHeight="1" outlineLevel="2" x14ac:dyDescent="0.25">
      <c r="B13954" s="704" t="s">
        <v>693</v>
      </c>
      <c r="C13954" s="704" t="s">
        <v>744</v>
      </c>
      <c r="D13954" s="704" t="s">
        <v>745</v>
      </c>
      <c r="E13954" s="704" t="s">
        <v>448</v>
      </c>
      <c r="F13954" s="705">
        <v>3.2667064699299926E-2</v>
      </c>
      <c r="G13954" s="705">
        <v>18.889719353034494</v>
      </c>
    </row>
    <row r="13955" spans="2:7" ht="11.25" hidden="1" customHeight="1" outlineLevel="2" x14ac:dyDescent="0.25">
      <c r="B13955" s="704" t="s">
        <v>693</v>
      </c>
      <c r="C13955" s="704" t="s">
        <v>812</v>
      </c>
      <c r="D13955" s="704" t="s">
        <v>745</v>
      </c>
      <c r="E13955" s="704" t="s">
        <v>448</v>
      </c>
      <c r="F13955" s="705">
        <v>3.8188481784736023E-2</v>
      </c>
      <c r="G13955" s="705">
        <v>42.533151416600106</v>
      </c>
    </row>
    <row r="13956" spans="2:7" ht="11.25" hidden="1" customHeight="1" outlineLevel="2" x14ac:dyDescent="0.25">
      <c r="B13956" s="704" t="s">
        <v>693</v>
      </c>
      <c r="C13956" s="704" t="s">
        <v>813</v>
      </c>
      <c r="D13956" s="704" t="s">
        <v>745</v>
      </c>
      <c r="E13956" s="704" t="s">
        <v>448</v>
      </c>
      <c r="F13956" s="705">
        <v>3.9171671382828008E-4</v>
      </c>
      <c r="G13956" s="705">
        <v>0.49966810797494776</v>
      </c>
    </row>
    <row r="13957" spans="2:7" ht="11.25" hidden="1" customHeight="1" outlineLevel="2" x14ac:dyDescent="0.25">
      <c r="B13957" s="704" t="s">
        <v>693</v>
      </c>
      <c r="C13957" s="704" t="s">
        <v>917</v>
      </c>
      <c r="D13957" s="704" t="s">
        <v>745</v>
      </c>
      <c r="E13957" s="704" t="s">
        <v>861</v>
      </c>
      <c r="F13957" s="709"/>
      <c r="G13957" s="705">
        <v>566.02769447817309</v>
      </c>
    </row>
    <row r="13958" spans="2:7" ht="11.25" hidden="1" customHeight="1" outlineLevel="2" x14ac:dyDescent="0.25">
      <c r="B13958" s="704" t="s">
        <v>693</v>
      </c>
      <c r="C13958" s="704" t="s">
        <v>816</v>
      </c>
      <c r="D13958" s="704" t="s">
        <v>712</v>
      </c>
      <c r="E13958" s="704" t="s">
        <v>448</v>
      </c>
      <c r="F13958" s="705">
        <v>1.1308463101756586E-35</v>
      </c>
      <c r="G13958" s="705">
        <v>1.3633235801716551E-32</v>
      </c>
    </row>
    <row r="13959" spans="2:7" ht="11.25" hidden="1" customHeight="1" outlineLevel="2" x14ac:dyDescent="0.25">
      <c r="B13959" s="704" t="s">
        <v>693</v>
      </c>
      <c r="C13959" s="704" t="s">
        <v>711</v>
      </c>
      <c r="D13959" s="704" t="s">
        <v>712</v>
      </c>
      <c r="E13959" s="704" t="s">
        <v>676</v>
      </c>
      <c r="F13959" s="705">
        <v>3.136151520901011E-33</v>
      </c>
      <c r="G13959" s="705">
        <v>7.3601632656396319E-31</v>
      </c>
    </row>
    <row r="13960" spans="2:7" ht="11.25" hidden="1" customHeight="1" outlineLevel="2" x14ac:dyDescent="0.25">
      <c r="B13960" s="704" t="s">
        <v>693</v>
      </c>
      <c r="C13960" s="704" t="s">
        <v>921</v>
      </c>
      <c r="D13960" s="704" t="s">
        <v>712</v>
      </c>
      <c r="E13960" s="704" t="s">
        <v>861</v>
      </c>
      <c r="F13960" s="709"/>
      <c r="G13960" s="705">
        <v>7.9720101268876722E-32</v>
      </c>
    </row>
    <row r="13961" spans="2:7" ht="11.25" hidden="1" customHeight="1" outlineLevel="2" x14ac:dyDescent="0.25">
      <c r="B13961" s="704" t="s">
        <v>693</v>
      </c>
      <c r="C13961" s="704" t="s">
        <v>817</v>
      </c>
      <c r="D13961" s="704" t="s">
        <v>818</v>
      </c>
      <c r="E13961" s="704" t="s">
        <v>448</v>
      </c>
      <c r="F13961" s="705">
        <v>14.579042235892407</v>
      </c>
      <c r="G13961" s="705">
        <v>11980.001689264287</v>
      </c>
    </row>
    <row r="13962" spans="2:7" ht="11.25" hidden="1" customHeight="1" outlineLevel="2" x14ac:dyDescent="0.25">
      <c r="B13962" s="704" t="s">
        <v>693</v>
      </c>
      <c r="C13962" s="704" t="s">
        <v>819</v>
      </c>
      <c r="D13962" s="704" t="s">
        <v>818</v>
      </c>
      <c r="E13962" s="704" t="s">
        <v>448</v>
      </c>
      <c r="F13962" s="705">
        <v>6.3483957103297444</v>
      </c>
      <c r="G13962" s="705">
        <v>5055.5280300105369</v>
      </c>
    </row>
    <row r="13963" spans="2:7" ht="11.25" hidden="1" customHeight="1" outlineLevel="2" x14ac:dyDescent="0.25">
      <c r="B13963" s="704" t="s">
        <v>693</v>
      </c>
      <c r="C13963" s="704" t="s">
        <v>820</v>
      </c>
      <c r="D13963" s="704" t="s">
        <v>818</v>
      </c>
      <c r="E13963" s="704" t="s">
        <v>448</v>
      </c>
      <c r="F13963" s="705">
        <v>7.9378572573603519</v>
      </c>
      <c r="G13963" s="705">
        <v>12382.58433968568</v>
      </c>
    </row>
    <row r="13964" spans="2:7" ht="11.25" hidden="1" customHeight="1" outlineLevel="2" x14ac:dyDescent="0.25">
      <c r="B13964" s="704" t="s">
        <v>693</v>
      </c>
      <c r="C13964" s="704" t="s">
        <v>857</v>
      </c>
      <c r="D13964" s="704" t="s">
        <v>818</v>
      </c>
      <c r="E13964" s="704" t="s">
        <v>664</v>
      </c>
      <c r="F13964" s="709"/>
      <c r="G13964" s="705">
        <v>11025.016065112439</v>
      </c>
    </row>
    <row r="13965" spans="2:7" ht="11.25" hidden="1" customHeight="1" outlineLevel="2" x14ac:dyDescent="0.25">
      <c r="B13965" s="704" t="s">
        <v>693</v>
      </c>
      <c r="C13965" s="704" t="s">
        <v>858</v>
      </c>
      <c r="D13965" s="704" t="s">
        <v>818</v>
      </c>
      <c r="E13965" s="704" t="s">
        <v>664</v>
      </c>
      <c r="F13965" s="709"/>
      <c r="G13965" s="705">
        <v>28.055968688724672</v>
      </c>
    </row>
    <row r="13966" spans="2:7" ht="11.25" hidden="1" customHeight="1" outlineLevel="2" x14ac:dyDescent="0.25">
      <c r="B13966" s="704" t="s">
        <v>693</v>
      </c>
      <c r="C13966" s="704" t="s">
        <v>922</v>
      </c>
      <c r="D13966" s="704" t="s">
        <v>822</v>
      </c>
      <c r="E13966" s="704" t="s">
        <v>861</v>
      </c>
      <c r="F13966" s="709"/>
      <c r="G13966" s="705">
        <v>3.173088276097573E-29</v>
      </c>
    </row>
    <row r="13967" spans="2:7" ht="11.25" hidden="1" customHeight="1" outlineLevel="2" x14ac:dyDescent="0.25">
      <c r="B13967" s="704" t="s">
        <v>693</v>
      </c>
      <c r="C13967" s="704" t="s">
        <v>821</v>
      </c>
      <c r="D13967" s="704" t="s">
        <v>822</v>
      </c>
      <c r="E13967" s="704" t="s">
        <v>448</v>
      </c>
      <c r="F13967" s="705">
        <v>3.5648020414616141E-36</v>
      </c>
      <c r="G13967" s="705">
        <v>4.8941940554863511E-33</v>
      </c>
    </row>
    <row r="13968" spans="2:7" ht="11.25" hidden="1" customHeight="1" outlineLevel="2" x14ac:dyDescent="0.25">
      <c r="B13968" s="704" t="s">
        <v>693</v>
      </c>
      <c r="C13968" s="704" t="s">
        <v>855</v>
      </c>
      <c r="D13968" s="704" t="s">
        <v>822</v>
      </c>
      <c r="E13968" s="704" t="s">
        <v>824</v>
      </c>
      <c r="F13968" s="705">
        <v>1.3212207888560816E-40</v>
      </c>
      <c r="G13968" s="705">
        <v>3.8274928299855921E-37</v>
      </c>
    </row>
    <row r="13969" spans="2:7" ht="11.25" hidden="1" customHeight="1" outlineLevel="2" x14ac:dyDescent="0.25">
      <c r="B13969" s="704" t="s">
        <v>693</v>
      </c>
      <c r="C13969" s="704" t="s">
        <v>714</v>
      </c>
      <c r="D13969" s="704" t="s">
        <v>715</v>
      </c>
      <c r="E13969" s="704" t="s">
        <v>448</v>
      </c>
      <c r="F13969" s="705">
        <v>0.94095400949200236</v>
      </c>
      <c r="G13969" s="705">
        <v>238.55749708809904</v>
      </c>
    </row>
    <row r="13970" spans="2:7" ht="11.25" hidden="1" customHeight="1" outlineLevel="2" x14ac:dyDescent="0.25">
      <c r="B13970" s="704" t="s">
        <v>693</v>
      </c>
      <c r="C13970" s="704" t="s">
        <v>716</v>
      </c>
      <c r="D13970" s="704" t="s">
        <v>715</v>
      </c>
      <c r="E13970" s="704" t="s">
        <v>448</v>
      </c>
      <c r="F13970" s="705">
        <v>1.7006194569637756E-33</v>
      </c>
      <c r="G13970" s="705">
        <v>2.0717209505030705E-30</v>
      </c>
    </row>
    <row r="13971" spans="2:7" ht="11.25" hidden="1" customHeight="1" outlineLevel="2" x14ac:dyDescent="0.25">
      <c r="B13971" s="704" t="s">
        <v>693</v>
      </c>
      <c r="C13971" s="704" t="s">
        <v>717</v>
      </c>
      <c r="D13971" s="704" t="s">
        <v>715</v>
      </c>
      <c r="E13971" s="704" t="s">
        <v>448</v>
      </c>
      <c r="F13971" s="705">
        <v>1.0078872714417808</v>
      </c>
      <c r="G13971" s="705">
        <v>275.45650629490206</v>
      </c>
    </row>
    <row r="13972" spans="2:7" ht="11.25" hidden="1" customHeight="1" outlineLevel="2" x14ac:dyDescent="0.25">
      <c r="B13972" s="704" t="s">
        <v>693</v>
      </c>
      <c r="C13972" s="704" t="s">
        <v>718</v>
      </c>
      <c r="D13972" s="704" t="s">
        <v>715</v>
      </c>
      <c r="E13972" s="704" t="s">
        <v>448</v>
      </c>
      <c r="F13972" s="705">
        <v>6.4540336974387241E-2</v>
      </c>
      <c r="G13972" s="705">
        <v>70.819720604860905</v>
      </c>
    </row>
    <row r="13973" spans="2:7" ht="11.25" hidden="1" customHeight="1" outlineLevel="2" x14ac:dyDescent="0.25">
      <c r="B13973" s="704" t="s">
        <v>693</v>
      </c>
      <c r="C13973" s="704" t="s">
        <v>746</v>
      </c>
      <c r="D13973" s="704" t="s">
        <v>715</v>
      </c>
      <c r="E13973" s="704" t="s">
        <v>448</v>
      </c>
      <c r="F13973" s="705">
        <v>0.165418760382326</v>
      </c>
      <c r="G13973" s="705">
        <v>115.27355122570397</v>
      </c>
    </row>
    <row r="13974" spans="2:7" ht="11.25" hidden="1" customHeight="1" outlineLevel="2" x14ac:dyDescent="0.25">
      <c r="B13974" s="704" t="s">
        <v>693</v>
      </c>
      <c r="C13974" s="704" t="s">
        <v>747</v>
      </c>
      <c r="D13974" s="704" t="s">
        <v>715</v>
      </c>
      <c r="E13974" s="704" t="s">
        <v>448</v>
      </c>
      <c r="F13974" s="705">
        <v>1.4322774119862323</v>
      </c>
      <c r="G13974" s="705">
        <v>1228.6675850515908</v>
      </c>
    </row>
    <row r="13975" spans="2:7" ht="11.25" hidden="1" customHeight="1" outlineLevel="2" x14ac:dyDescent="0.25">
      <c r="B13975" s="704" t="s">
        <v>693</v>
      </c>
      <c r="C13975" s="704" t="s">
        <v>748</v>
      </c>
      <c r="D13975" s="704" t="s">
        <v>715</v>
      </c>
      <c r="E13975" s="704" t="s">
        <v>448</v>
      </c>
      <c r="F13975" s="705">
        <v>6.6319380563515731E-2</v>
      </c>
      <c r="G13975" s="705">
        <v>86.330920114526606</v>
      </c>
    </row>
    <row r="13976" spans="2:7" ht="11.25" hidden="1" customHeight="1" outlineLevel="2" x14ac:dyDescent="0.25">
      <c r="B13976" s="704" t="s">
        <v>693</v>
      </c>
      <c r="C13976" s="704" t="s">
        <v>749</v>
      </c>
      <c r="D13976" s="704" t="s">
        <v>715</v>
      </c>
      <c r="E13976" s="704" t="s">
        <v>448</v>
      </c>
      <c r="F13976" s="705">
        <v>8.747796445169749E-2</v>
      </c>
      <c r="G13976" s="705">
        <v>69.103759182832817</v>
      </c>
    </row>
    <row r="13977" spans="2:7" ht="11.25" hidden="1" customHeight="1" outlineLevel="2" x14ac:dyDescent="0.25">
      <c r="B13977" s="704" t="s">
        <v>693</v>
      </c>
      <c r="C13977" s="704" t="s">
        <v>823</v>
      </c>
      <c r="D13977" s="704" t="s">
        <v>715</v>
      </c>
      <c r="E13977" s="704" t="s">
        <v>824</v>
      </c>
      <c r="F13977" s="705">
        <v>2.8608091219981336E-3</v>
      </c>
      <c r="G13977" s="705">
        <v>4.7794929595290441</v>
      </c>
    </row>
    <row r="13978" spans="2:7" ht="11.25" hidden="1" customHeight="1" outlineLevel="2" x14ac:dyDescent="0.25">
      <c r="B13978" s="704" t="s">
        <v>693</v>
      </c>
      <c r="C13978" s="704" t="s">
        <v>860</v>
      </c>
      <c r="D13978" s="704" t="s">
        <v>715</v>
      </c>
      <c r="E13978" s="704" t="s">
        <v>861</v>
      </c>
      <c r="F13978" s="709"/>
      <c r="G13978" s="705">
        <v>94.729131698517477</v>
      </c>
    </row>
    <row r="13979" spans="2:7" ht="11.25" hidden="1" customHeight="1" outlineLevel="2" x14ac:dyDescent="0.25">
      <c r="B13979" s="704" t="s">
        <v>693</v>
      </c>
      <c r="C13979" s="704" t="s">
        <v>919</v>
      </c>
      <c r="D13979" s="704" t="s">
        <v>920</v>
      </c>
      <c r="E13979" s="704" t="s">
        <v>861</v>
      </c>
      <c r="F13979" s="709"/>
      <c r="G13979" s="705">
        <v>1.2556964165000301E-30</v>
      </c>
    </row>
    <row r="13980" spans="2:7" ht="11.25" hidden="1" customHeight="1" outlineLevel="1" x14ac:dyDescent="0.25">
      <c r="B13980" s="707" t="s">
        <v>959</v>
      </c>
      <c r="C13980" s="704"/>
      <c r="D13980" s="704"/>
      <c r="E13980" s="704"/>
      <c r="F13980" s="709">
        <f t="shared" ref="F13980:G13980" si="44">SUBTOTAL(9,F13769:F13979)</f>
        <v>41.002510987358725</v>
      </c>
      <c r="G13980" s="705">
        <f t="shared" si="44"/>
        <v>92440.871899754522</v>
      </c>
    </row>
    <row r="13981" spans="2:7" ht="11.25" hidden="1" customHeight="1" outlineLevel="2" x14ac:dyDescent="0.25">
      <c r="B13981" s="704" t="s">
        <v>694</v>
      </c>
      <c r="C13981" s="704" t="s">
        <v>739</v>
      </c>
      <c r="D13981" s="704" t="s">
        <v>44</v>
      </c>
      <c r="E13981" s="704" t="s">
        <v>448</v>
      </c>
      <c r="F13981" s="705">
        <v>1.0778588515426605E-3</v>
      </c>
      <c r="G13981" s="705">
        <v>0.65742582300586283</v>
      </c>
    </row>
    <row r="13982" spans="2:7" ht="11.25" hidden="1" customHeight="1" outlineLevel="2" x14ac:dyDescent="0.25">
      <c r="B13982" s="704" t="s">
        <v>694</v>
      </c>
      <c r="C13982" s="704" t="s">
        <v>796</v>
      </c>
      <c r="D13982" s="704" t="s">
        <v>44</v>
      </c>
      <c r="E13982" s="704" t="s">
        <v>448</v>
      </c>
      <c r="F13982" s="705">
        <v>1.1290134810229228E-3</v>
      </c>
      <c r="G13982" s="705">
        <v>1.7793647067525642</v>
      </c>
    </row>
    <row r="13983" spans="2:7" ht="11.25" hidden="1" customHeight="1" outlineLevel="2" x14ac:dyDescent="0.25">
      <c r="B13983" s="704" t="s">
        <v>694</v>
      </c>
      <c r="C13983" s="704" t="s">
        <v>797</v>
      </c>
      <c r="D13983" s="704" t="s">
        <v>44</v>
      </c>
      <c r="E13983" s="704" t="s">
        <v>448</v>
      </c>
      <c r="F13983" s="705">
        <v>2.0101872126722432E-3</v>
      </c>
      <c r="G13983" s="705">
        <v>6.9233946740333785</v>
      </c>
    </row>
    <row r="13984" spans="2:7" ht="11.25" hidden="1" customHeight="1" outlineLevel="2" x14ac:dyDescent="0.25">
      <c r="B13984" s="704" t="s">
        <v>694</v>
      </c>
      <c r="C13984" s="704" t="s">
        <v>798</v>
      </c>
      <c r="D13984" s="704" t="s">
        <v>44</v>
      </c>
      <c r="E13984" s="704" t="s">
        <v>448</v>
      </c>
      <c r="F13984" s="705">
        <v>3.3068755568634801E-5</v>
      </c>
      <c r="G13984" s="705">
        <v>4.3607578479223495E-2</v>
      </c>
    </row>
    <row r="13985" spans="2:7" ht="11.25" hidden="1" customHeight="1" outlineLevel="2" x14ac:dyDescent="0.25">
      <c r="B13985" s="704" t="s">
        <v>694</v>
      </c>
      <c r="C13985" s="704" t="s">
        <v>799</v>
      </c>
      <c r="D13985" s="704" t="s">
        <v>44</v>
      </c>
      <c r="E13985" s="704" t="s">
        <v>448</v>
      </c>
      <c r="F13985" s="705">
        <v>3.5724403725154903E-3</v>
      </c>
      <c r="G13985" s="705">
        <v>4.707361583349627</v>
      </c>
    </row>
    <row r="13986" spans="2:7" ht="11.25" hidden="1" customHeight="1" outlineLevel="2" x14ac:dyDescent="0.25">
      <c r="B13986" s="704" t="s">
        <v>694</v>
      </c>
      <c r="C13986" s="704" t="s">
        <v>800</v>
      </c>
      <c r="D13986" s="704" t="s">
        <v>44</v>
      </c>
      <c r="E13986" s="704" t="s">
        <v>448</v>
      </c>
      <c r="F13986" s="705">
        <v>1.174541507956911E-3</v>
      </c>
      <c r="G13986" s="705">
        <v>1.4745485833354928</v>
      </c>
    </row>
    <row r="13987" spans="2:7" ht="11.25" hidden="1" customHeight="1" outlineLevel="2" x14ac:dyDescent="0.25">
      <c r="B13987" s="704" t="s">
        <v>694</v>
      </c>
      <c r="C13987" s="704" t="s">
        <v>801</v>
      </c>
      <c r="D13987" s="704" t="s">
        <v>44</v>
      </c>
      <c r="E13987" s="704" t="s">
        <v>448</v>
      </c>
      <c r="F13987" s="705">
        <v>1.5328790279751548E-2</v>
      </c>
      <c r="G13987" s="705">
        <v>16.01831032055232</v>
      </c>
    </row>
    <row r="13988" spans="2:7" ht="11.25" hidden="1" customHeight="1" outlineLevel="2" x14ac:dyDescent="0.25">
      <c r="B13988" s="704" t="s">
        <v>694</v>
      </c>
      <c r="C13988" s="704" t="s">
        <v>802</v>
      </c>
      <c r="D13988" s="704" t="s">
        <v>44</v>
      </c>
      <c r="E13988" s="704" t="s">
        <v>448</v>
      </c>
      <c r="F13988" s="705">
        <v>5.0421339997414646E-2</v>
      </c>
      <c r="G13988" s="705">
        <v>34.335270738461595</v>
      </c>
    </row>
    <row r="13989" spans="2:7" ht="11.25" hidden="1" customHeight="1" outlineLevel="2" x14ac:dyDescent="0.25">
      <c r="B13989" s="704" t="s">
        <v>694</v>
      </c>
      <c r="C13989" s="704" t="s">
        <v>803</v>
      </c>
      <c r="D13989" s="704" t="s">
        <v>44</v>
      </c>
      <c r="E13989" s="704" t="s">
        <v>448</v>
      </c>
      <c r="F13989" s="705">
        <v>5.6690849032878616E-3</v>
      </c>
      <c r="G13989" s="705">
        <v>6.6953415830537093</v>
      </c>
    </row>
    <row r="13990" spans="2:7" ht="11.25" hidden="1" customHeight="1" outlineLevel="2" x14ac:dyDescent="0.25">
      <c r="B13990" s="704" t="s">
        <v>694</v>
      </c>
      <c r="C13990" s="704" t="s">
        <v>804</v>
      </c>
      <c r="D13990" s="704" t="s">
        <v>44</v>
      </c>
      <c r="E13990" s="704" t="s">
        <v>448</v>
      </c>
      <c r="F13990" s="705">
        <v>7.5715937509626642E-3</v>
      </c>
      <c r="G13990" s="705">
        <v>8.5730082798359035</v>
      </c>
    </row>
    <row r="13991" spans="2:7" ht="11.25" hidden="1" customHeight="1" outlineLevel="2" x14ac:dyDescent="0.25">
      <c r="B13991" s="704" t="s">
        <v>694</v>
      </c>
      <c r="C13991" s="704" t="s">
        <v>805</v>
      </c>
      <c r="D13991" s="704" t="s">
        <v>44</v>
      </c>
      <c r="E13991" s="704" t="s">
        <v>448</v>
      </c>
      <c r="F13991" s="705">
        <v>1.3448523921790363E-3</v>
      </c>
      <c r="G13991" s="705">
        <v>9.5104189969686743</v>
      </c>
    </row>
    <row r="13992" spans="2:7" ht="11.25" hidden="1" customHeight="1" outlineLevel="2" x14ac:dyDescent="0.25">
      <c r="B13992" s="704" t="s">
        <v>694</v>
      </c>
      <c r="C13992" s="704" t="s">
        <v>846</v>
      </c>
      <c r="D13992" s="704" t="s">
        <v>44</v>
      </c>
      <c r="E13992" s="704" t="s">
        <v>824</v>
      </c>
      <c r="F13992" s="705">
        <v>3.2758398066284498E-5</v>
      </c>
      <c r="G13992" s="705">
        <v>5.2051636989664904E-2</v>
      </c>
    </row>
    <row r="13993" spans="2:7" ht="11.25" hidden="1" customHeight="1" outlineLevel="2" x14ac:dyDescent="0.25">
      <c r="B13993" s="704" t="s">
        <v>694</v>
      </c>
      <c r="C13993" s="704" t="s">
        <v>847</v>
      </c>
      <c r="D13993" s="704" t="s">
        <v>44</v>
      </c>
      <c r="E13993" s="704" t="s">
        <v>824</v>
      </c>
      <c r="F13993" s="705">
        <v>6.7219719942700706E-6</v>
      </c>
      <c r="G13993" s="705">
        <v>7.0841620650953466E-2</v>
      </c>
    </row>
    <row r="13994" spans="2:7" ht="11.25" hidden="1" customHeight="1" outlineLevel="2" x14ac:dyDescent="0.25">
      <c r="B13994" s="704" t="s">
        <v>694</v>
      </c>
      <c r="C13994" s="704" t="s">
        <v>705</v>
      </c>
      <c r="D13994" s="704" t="s">
        <v>44</v>
      </c>
      <c r="E13994" s="704" t="s">
        <v>676</v>
      </c>
      <c r="F13994" s="705">
        <v>1.3113418607978474E-3</v>
      </c>
      <c r="G13994" s="705">
        <v>1.3749991193070452E-2</v>
      </c>
    </row>
    <row r="13995" spans="2:7" ht="11.25" hidden="1" customHeight="1" outlineLevel="2" x14ac:dyDescent="0.25">
      <c r="B13995" s="704" t="s">
        <v>694</v>
      </c>
      <c r="C13995" s="704" t="s">
        <v>706</v>
      </c>
      <c r="D13995" s="704" t="s">
        <v>44</v>
      </c>
      <c r="E13995" s="704" t="s">
        <v>676</v>
      </c>
      <c r="F13995" s="705">
        <v>4.1622898023167804E-4</v>
      </c>
      <c r="G13995" s="705">
        <v>4.3630306474377878E-3</v>
      </c>
    </row>
    <row r="13996" spans="2:7" ht="11.25" hidden="1" customHeight="1" outlineLevel="2" x14ac:dyDescent="0.25">
      <c r="B13996" s="704" t="s">
        <v>694</v>
      </c>
      <c r="C13996" s="704" t="s">
        <v>901</v>
      </c>
      <c r="D13996" s="704" t="s">
        <v>44</v>
      </c>
      <c r="E13996" s="704" t="s">
        <v>861</v>
      </c>
      <c r="F13996" s="709"/>
      <c r="G13996" s="705">
        <v>0.10168193029243625</v>
      </c>
    </row>
    <row r="13997" spans="2:7" ht="11.25" hidden="1" customHeight="1" outlineLevel="2" x14ac:dyDescent="0.25">
      <c r="B13997" s="704" t="s">
        <v>694</v>
      </c>
      <c r="C13997" s="704" t="s">
        <v>902</v>
      </c>
      <c r="D13997" s="704" t="s">
        <v>44</v>
      </c>
      <c r="E13997" s="704" t="s">
        <v>861</v>
      </c>
      <c r="F13997" s="709"/>
      <c r="G13997" s="705">
        <v>4395.9540108853525</v>
      </c>
    </row>
    <row r="13998" spans="2:7" ht="11.25" hidden="1" customHeight="1" outlineLevel="2" x14ac:dyDescent="0.25">
      <c r="B13998" s="704" t="s">
        <v>694</v>
      </c>
      <c r="C13998" s="704" t="s">
        <v>903</v>
      </c>
      <c r="D13998" s="704" t="s">
        <v>44</v>
      </c>
      <c r="E13998" s="704" t="s">
        <v>861</v>
      </c>
      <c r="F13998" s="709"/>
      <c r="G13998" s="705">
        <v>394.45118064923759</v>
      </c>
    </row>
    <row r="13999" spans="2:7" ht="11.25" hidden="1" customHeight="1" outlineLevel="2" x14ac:dyDescent="0.25">
      <c r="B13999" s="704" t="s">
        <v>694</v>
      </c>
      <c r="C13999" s="704" t="s">
        <v>904</v>
      </c>
      <c r="D13999" s="704" t="s">
        <v>44</v>
      </c>
      <c r="E13999" s="704" t="s">
        <v>861</v>
      </c>
      <c r="F13999" s="709"/>
      <c r="G13999" s="705">
        <v>2.1926098127378615</v>
      </c>
    </row>
    <row r="14000" spans="2:7" ht="11.25" hidden="1" customHeight="1" outlineLevel="2" x14ac:dyDescent="0.25">
      <c r="B14000" s="704" t="s">
        <v>694</v>
      </c>
      <c r="C14000" s="704" t="s">
        <v>905</v>
      </c>
      <c r="D14000" s="704" t="s">
        <v>44</v>
      </c>
      <c r="E14000" s="704" t="s">
        <v>861</v>
      </c>
      <c r="F14000" s="709"/>
      <c r="G14000" s="705">
        <v>0.45002998573222991</v>
      </c>
    </row>
    <row r="14001" spans="2:7" ht="11.25" hidden="1" customHeight="1" outlineLevel="2" x14ac:dyDescent="0.25">
      <c r="B14001" s="704" t="s">
        <v>694</v>
      </c>
      <c r="C14001" s="704" t="s">
        <v>906</v>
      </c>
      <c r="D14001" s="704" t="s">
        <v>44</v>
      </c>
      <c r="E14001" s="704" t="s">
        <v>861</v>
      </c>
      <c r="F14001" s="709"/>
      <c r="G14001" s="705">
        <v>33.48414774084452</v>
      </c>
    </row>
    <row r="14002" spans="2:7" ht="11.25" hidden="1" customHeight="1" outlineLevel="2" x14ac:dyDescent="0.25">
      <c r="B14002" s="704" t="s">
        <v>694</v>
      </c>
      <c r="C14002" s="704" t="s">
        <v>907</v>
      </c>
      <c r="D14002" s="704" t="s">
        <v>44</v>
      </c>
      <c r="E14002" s="704" t="s">
        <v>861</v>
      </c>
      <c r="F14002" s="709"/>
      <c r="G14002" s="705">
        <v>8.3865502436421685E-2</v>
      </c>
    </row>
    <row r="14003" spans="2:7" ht="11.25" hidden="1" customHeight="1" outlineLevel="2" x14ac:dyDescent="0.25">
      <c r="B14003" s="704" t="s">
        <v>694</v>
      </c>
      <c r="C14003" s="704" t="s">
        <v>908</v>
      </c>
      <c r="D14003" s="704" t="s">
        <v>44</v>
      </c>
      <c r="E14003" s="704" t="s">
        <v>861</v>
      </c>
      <c r="F14003" s="709"/>
      <c r="G14003" s="705">
        <v>30.948526691705531</v>
      </c>
    </row>
    <row r="14004" spans="2:7" ht="11.25" hidden="1" customHeight="1" outlineLevel="2" x14ac:dyDescent="0.25">
      <c r="B14004" s="704" t="s">
        <v>694</v>
      </c>
      <c r="C14004" s="704" t="s">
        <v>909</v>
      </c>
      <c r="D14004" s="704" t="s">
        <v>44</v>
      </c>
      <c r="E14004" s="704" t="s">
        <v>861</v>
      </c>
      <c r="F14004" s="709"/>
      <c r="G14004" s="705">
        <v>85.966832069728909</v>
      </c>
    </row>
    <row r="14005" spans="2:7" ht="11.25" hidden="1" customHeight="1" outlineLevel="2" x14ac:dyDescent="0.25">
      <c r="B14005" s="704" t="s">
        <v>694</v>
      </c>
      <c r="C14005" s="704" t="s">
        <v>910</v>
      </c>
      <c r="D14005" s="704" t="s">
        <v>44</v>
      </c>
      <c r="E14005" s="704" t="s">
        <v>861</v>
      </c>
      <c r="F14005" s="709"/>
      <c r="G14005" s="705">
        <v>63.202372191583741</v>
      </c>
    </row>
    <row r="14006" spans="2:7" ht="11.25" hidden="1" customHeight="1" outlineLevel="2" x14ac:dyDescent="0.25">
      <c r="B14006" s="704" t="s">
        <v>694</v>
      </c>
      <c r="C14006" s="704" t="s">
        <v>814</v>
      </c>
      <c r="D14006" s="704" t="s">
        <v>815</v>
      </c>
      <c r="E14006" s="704" t="s">
        <v>448</v>
      </c>
      <c r="F14006" s="705">
        <v>8.4600258055354856E-35</v>
      </c>
      <c r="G14006" s="705">
        <v>1.4522433112864399E-31</v>
      </c>
    </row>
    <row r="14007" spans="2:7" ht="11.25" hidden="1" customHeight="1" outlineLevel="2" x14ac:dyDescent="0.25">
      <c r="B14007" s="704" t="s">
        <v>694</v>
      </c>
      <c r="C14007" s="704" t="s">
        <v>854</v>
      </c>
      <c r="D14007" s="704" t="s">
        <v>815</v>
      </c>
      <c r="E14007" s="704" t="s">
        <v>824</v>
      </c>
      <c r="F14007" s="705">
        <v>1.6645027218787266E-36</v>
      </c>
      <c r="G14007" s="705">
        <v>2.4044512537756401E-32</v>
      </c>
    </row>
    <row r="14008" spans="2:7" ht="11.25" hidden="1" customHeight="1" outlineLevel="2" x14ac:dyDescent="0.25">
      <c r="B14008" s="704" t="s">
        <v>694</v>
      </c>
      <c r="C14008" s="704" t="s">
        <v>918</v>
      </c>
      <c r="D14008" s="704" t="s">
        <v>815</v>
      </c>
      <c r="E14008" s="704" t="s">
        <v>861</v>
      </c>
      <c r="F14008" s="709"/>
      <c r="G14008" s="705">
        <v>1.310900246665383E-29</v>
      </c>
    </row>
    <row r="14009" spans="2:7" ht="11.25" hidden="1" customHeight="1" outlineLevel="2" x14ac:dyDescent="0.25">
      <c r="B14009" s="704" t="s">
        <v>694</v>
      </c>
      <c r="C14009" s="704" t="s">
        <v>740</v>
      </c>
      <c r="D14009" s="704" t="s">
        <v>562</v>
      </c>
      <c r="E14009" s="704" t="s">
        <v>448</v>
      </c>
      <c r="F14009" s="705">
        <v>1.7008359952360049E-3</v>
      </c>
      <c r="G14009" s="705">
        <v>0.84280747753791596</v>
      </c>
    </row>
    <row r="14010" spans="2:7" ht="11.25" hidden="1" customHeight="1" outlineLevel="2" x14ac:dyDescent="0.25">
      <c r="B14010" s="704" t="s">
        <v>694</v>
      </c>
      <c r="C14010" s="704" t="s">
        <v>741</v>
      </c>
      <c r="D14010" s="704" t="s">
        <v>562</v>
      </c>
      <c r="E14010" s="704" t="s">
        <v>448</v>
      </c>
      <c r="F14010" s="705">
        <v>1.0868257803535075E-2</v>
      </c>
      <c r="G14010" s="705">
        <v>5.6229453512803449</v>
      </c>
    </row>
    <row r="14011" spans="2:7" ht="11.25" hidden="1" customHeight="1" outlineLevel="2" x14ac:dyDescent="0.25">
      <c r="B14011" s="704" t="s">
        <v>694</v>
      </c>
      <c r="C14011" s="704" t="s">
        <v>742</v>
      </c>
      <c r="D14011" s="704" t="s">
        <v>562</v>
      </c>
      <c r="E14011" s="704" t="s">
        <v>448</v>
      </c>
      <c r="F14011" s="705">
        <v>4.8378129390999237E-6</v>
      </c>
      <c r="G14011" s="705">
        <v>2.1685980479515974E-3</v>
      </c>
    </row>
    <row r="14012" spans="2:7" ht="11.25" hidden="1" customHeight="1" outlineLevel="2" x14ac:dyDescent="0.25">
      <c r="B14012" s="704" t="s">
        <v>694</v>
      </c>
      <c r="C14012" s="704" t="s">
        <v>743</v>
      </c>
      <c r="D14012" s="704" t="s">
        <v>562</v>
      </c>
      <c r="E14012" s="704" t="s">
        <v>448</v>
      </c>
      <c r="F14012" s="705">
        <v>7.6122038737023111E-5</v>
      </c>
      <c r="G14012" s="705">
        <v>3.4122495654620721E-2</v>
      </c>
    </row>
    <row r="14013" spans="2:7" ht="11.25" hidden="1" customHeight="1" outlineLevel="2" x14ac:dyDescent="0.25">
      <c r="B14013" s="704" t="s">
        <v>694</v>
      </c>
      <c r="C14013" s="704" t="s">
        <v>806</v>
      </c>
      <c r="D14013" s="704" t="s">
        <v>562</v>
      </c>
      <c r="E14013" s="704" t="s">
        <v>448</v>
      </c>
      <c r="F14013" s="705">
        <v>0.1434268115230245</v>
      </c>
      <c r="G14013" s="705">
        <v>173.48773106205579</v>
      </c>
    </row>
    <row r="14014" spans="2:7" ht="11.25" hidden="1" customHeight="1" outlineLevel="2" x14ac:dyDescent="0.25">
      <c r="B14014" s="704" t="s">
        <v>694</v>
      </c>
      <c r="C14014" s="704" t="s">
        <v>807</v>
      </c>
      <c r="D14014" s="704" t="s">
        <v>562</v>
      </c>
      <c r="E14014" s="704" t="s">
        <v>448</v>
      </c>
      <c r="F14014" s="705">
        <v>3.0874311894483707E-2</v>
      </c>
      <c r="G14014" s="705">
        <v>43.413609175826792</v>
      </c>
    </row>
    <row r="14015" spans="2:7" ht="11.25" hidden="1" customHeight="1" outlineLevel="2" x14ac:dyDescent="0.25">
      <c r="B14015" s="704" t="s">
        <v>694</v>
      </c>
      <c r="C14015" s="704" t="s">
        <v>808</v>
      </c>
      <c r="D14015" s="704" t="s">
        <v>562</v>
      </c>
      <c r="E14015" s="704" t="s">
        <v>448</v>
      </c>
      <c r="F14015" s="705">
        <v>1.4251953919227468E-2</v>
      </c>
      <c r="G14015" s="705">
        <v>23.021901071385656</v>
      </c>
    </row>
    <row r="14016" spans="2:7" ht="11.25" hidden="1" customHeight="1" outlineLevel="2" x14ac:dyDescent="0.25">
      <c r="B14016" s="704" t="s">
        <v>694</v>
      </c>
      <c r="C14016" s="704" t="s">
        <v>809</v>
      </c>
      <c r="D14016" s="704" t="s">
        <v>562</v>
      </c>
      <c r="E14016" s="704" t="s">
        <v>448</v>
      </c>
      <c r="F14016" s="705">
        <v>3.2838998701065943E-2</v>
      </c>
      <c r="G14016" s="705">
        <v>49.396644477034144</v>
      </c>
    </row>
    <row r="14017" spans="2:7" ht="11.25" hidden="1" customHeight="1" outlineLevel="2" x14ac:dyDescent="0.25">
      <c r="B14017" s="704" t="s">
        <v>694</v>
      </c>
      <c r="C14017" s="704" t="s">
        <v>810</v>
      </c>
      <c r="D14017" s="704" t="s">
        <v>562</v>
      </c>
      <c r="E14017" s="704" t="s">
        <v>448</v>
      </c>
      <c r="F14017" s="705">
        <v>6.2018813596753569E-2</v>
      </c>
      <c r="G14017" s="705">
        <v>77.820125626903021</v>
      </c>
    </row>
    <row r="14018" spans="2:7" ht="11.25" hidden="1" customHeight="1" outlineLevel="2" x14ac:dyDescent="0.25">
      <c r="B14018" s="704" t="s">
        <v>694</v>
      </c>
      <c r="C14018" s="704" t="s">
        <v>811</v>
      </c>
      <c r="D14018" s="704" t="s">
        <v>562</v>
      </c>
      <c r="E14018" s="704" t="s">
        <v>448</v>
      </c>
      <c r="F14018" s="705">
        <v>2.6402760360310527E-3</v>
      </c>
      <c r="G14018" s="705">
        <v>3.6602271369017094</v>
      </c>
    </row>
    <row r="14019" spans="2:7" ht="11.25" hidden="1" customHeight="1" outlineLevel="2" x14ac:dyDescent="0.25">
      <c r="B14019" s="704" t="s">
        <v>694</v>
      </c>
      <c r="C14019" s="704" t="s">
        <v>848</v>
      </c>
      <c r="D14019" s="704" t="s">
        <v>562</v>
      </c>
      <c r="E14019" s="704" t="s">
        <v>824</v>
      </c>
      <c r="F14019" s="705">
        <v>8.3963916579327495E-3</v>
      </c>
      <c r="G14019" s="705">
        <v>23.083395945186712</v>
      </c>
    </row>
    <row r="14020" spans="2:7" ht="11.25" hidden="1" customHeight="1" outlineLevel="2" x14ac:dyDescent="0.25">
      <c r="B14020" s="704" t="s">
        <v>694</v>
      </c>
      <c r="C14020" s="704" t="s">
        <v>849</v>
      </c>
      <c r="D14020" s="704" t="s">
        <v>562</v>
      </c>
      <c r="E14020" s="704" t="s">
        <v>824</v>
      </c>
      <c r="F14020" s="705">
        <v>1.219064613819287E-3</v>
      </c>
      <c r="G14020" s="705">
        <v>5.141476151490683</v>
      </c>
    </row>
    <row r="14021" spans="2:7" ht="11.25" hidden="1" customHeight="1" outlineLevel="2" x14ac:dyDescent="0.25">
      <c r="B14021" s="704" t="s">
        <v>694</v>
      </c>
      <c r="C14021" s="704" t="s">
        <v>850</v>
      </c>
      <c r="D14021" s="704" t="s">
        <v>562</v>
      </c>
      <c r="E14021" s="704" t="s">
        <v>824</v>
      </c>
      <c r="F14021" s="705">
        <v>9.0188886595263186E-4</v>
      </c>
      <c r="G14021" s="705">
        <v>6.0267338502080481</v>
      </c>
    </row>
    <row r="14022" spans="2:7" ht="11.25" hidden="1" customHeight="1" outlineLevel="2" x14ac:dyDescent="0.25">
      <c r="B14022" s="704" t="s">
        <v>694</v>
      </c>
      <c r="C14022" s="704" t="s">
        <v>851</v>
      </c>
      <c r="D14022" s="704" t="s">
        <v>562</v>
      </c>
      <c r="E14022" s="704" t="s">
        <v>824</v>
      </c>
      <c r="F14022" s="705">
        <v>1.5797708556097678E-3</v>
      </c>
      <c r="G14022" s="705">
        <v>7.4867087962662477</v>
      </c>
    </row>
    <row r="14023" spans="2:7" ht="11.25" hidden="1" customHeight="1" outlineLevel="2" x14ac:dyDescent="0.25">
      <c r="B14023" s="704" t="s">
        <v>694</v>
      </c>
      <c r="C14023" s="704" t="s">
        <v>852</v>
      </c>
      <c r="D14023" s="704" t="s">
        <v>562</v>
      </c>
      <c r="E14023" s="704" t="s">
        <v>824</v>
      </c>
      <c r="F14023" s="705">
        <v>3.9445992812686384E-5</v>
      </c>
      <c r="G14023" s="705">
        <v>0.10120357786648831</v>
      </c>
    </row>
    <row r="14024" spans="2:7" ht="11.25" hidden="1" customHeight="1" outlineLevel="2" x14ac:dyDescent="0.25">
      <c r="B14024" s="704" t="s">
        <v>694</v>
      </c>
      <c r="C14024" s="704" t="s">
        <v>853</v>
      </c>
      <c r="D14024" s="704" t="s">
        <v>562</v>
      </c>
      <c r="E14024" s="704" t="s">
        <v>824</v>
      </c>
      <c r="F14024" s="705">
        <v>1.1508418664877356E-5</v>
      </c>
      <c r="G14024" s="705">
        <v>9.4004700970541172E-2</v>
      </c>
    </row>
    <row r="14025" spans="2:7" ht="11.25" hidden="1" customHeight="1" outlineLevel="2" x14ac:dyDescent="0.25">
      <c r="B14025" s="704" t="s">
        <v>694</v>
      </c>
      <c r="C14025" s="704" t="s">
        <v>707</v>
      </c>
      <c r="D14025" s="704" t="s">
        <v>562</v>
      </c>
      <c r="E14025" s="704" t="s">
        <v>676</v>
      </c>
      <c r="F14025" s="705">
        <v>0.18551328676898304</v>
      </c>
      <c r="G14025" s="705">
        <v>5.1515106412369462</v>
      </c>
    </row>
    <row r="14026" spans="2:7" ht="11.25" hidden="1" customHeight="1" outlineLevel="2" x14ac:dyDescent="0.25">
      <c r="B14026" s="704" t="s">
        <v>694</v>
      </c>
      <c r="C14026" s="704" t="s">
        <v>708</v>
      </c>
      <c r="D14026" s="704" t="s">
        <v>562</v>
      </c>
      <c r="E14026" s="704" t="s">
        <v>676</v>
      </c>
      <c r="F14026" s="705">
        <v>7.1123124991880138E-3</v>
      </c>
      <c r="G14026" s="705">
        <v>0.25854331046833284</v>
      </c>
    </row>
    <row r="14027" spans="2:7" ht="11.25" hidden="1" customHeight="1" outlineLevel="2" x14ac:dyDescent="0.25">
      <c r="B14027" s="704" t="s">
        <v>694</v>
      </c>
      <c r="C14027" s="704" t="s">
        <v>709</v>
      </c>
      <c r="D14027" s="704" t="s">
        <v>562</v>
      </c>
      <c r="E14027" s="704" t="s">
        <v>676</v>
      </c>
      <c r="F14027" s="705">
        <v>5.1061178969264345E-3</v>
      </c>
      <c r="G14027" s="705">
        <v>0.35812635250793856</v>
      </c>
    </row>
    <row r="14028" spans="2:7" ht="11.25" hidden="1" customHeight="1" outlineLevel="2" x14ac:dyDescent="0.25">
      <c r="B14028" s="704" t="s">
        <v>694</v>
      </c>
      <c r="C14028" s="704" t="s">
        <v>710</v>
      </c>
      <c r="D14028" s="704" t="s">
        <v>562</v>
      </c>
      <c r="E14028" s="704" t="s">
        <v>676</v>
      </c>
      <c r="F14028" s="705">
        <v>5.9820733071715031E-2</v>
      </c>
      <c r="G14028" s="705">
        <v>12.518425573434866</v>
      </c>
    </row>
    <row r="14029" spans="2:7" ht="11.25" hidden="1" customHeight="1" outlineLevel="2" x14ac:dyDescent="0.25">
      <c r="B14029" s="704" t="s">
        <v>694</v>
      </c>
      <c r="C14029" s="704" t="s">
        <v>911</v>
      </c>
      <c r="D14029" s="704" t="s">
        <v>562</v>
      </c>
      <c r="E14029" s="704" t="s">
        <v>861</v>
      </c>
      <c r="F14029" s="709"/>
      <c r="G14029" s="705">
        <v>133.49279606888405</v>
      </c>
    </row>
    <row r="14030" spans="2:7" ht="11.25" hidden="1" customHeight="1" outlineLevel="2" x14ac:dyDescent="0.25">
      <c r="B14030" s="704" t="s">
        <v>694</v>
      </c>
      <c r="C14030" s="704" t="s">
        <v>912</v>
      </c>
      <c r="D14030" s="704" t="s">
        <v>562</v>
      </c>
      <c r="E14030" s="704" t="s">
        <v>861</v>
      </c>
      <c r="F14030" s="709"/>
      <c r="G14030" s="705">
        <v>31.496196819563494</v>
      </c>
    </row>
    <row r="14031" spans="2:7" ht="11.25" hidden="1" customHeight="1" outlineLevel="2" x14ac:dyDescent="0.25">
      <c r="B14031" s="704" t="s">
        <v>694</v>
      </c>
      <c r="C14031" s="704" t="s">
        <v>913</v>
      </c>
      <c r="D14031" s="704" t="s">
        <v>562</v>
      </c>
      <c r="E14031" s="704" t="s">
        <v>861</v>
      </c>
      <c r="F14031" s="709"/>
      <c r="G14031" s="705">
        <v>87.38973520673801</v>
      </c>
    </row>
    <row r="14032" spans="2:7" ht="11.25" hidden="1" customHeight="1" outlineLevel="2" x14ac:dyDescent="0.25">
      <c r="B14032" s="704" t="s">
        <v>694</v>
      </c>
      <c r="C14032" s="704" t="s">
        <v>914</v>
      </c>
      <c r="D14032" s="704" t="s">
        <v>562</v>
      </c>
      <c r="E14032" s="704" t="s">
        <v>861</v>
      </c>
      <c r="F14032" s="709"/>
      <c r="G14032" s="705">
        <v>44.373688935511097</v>
      </c>
    </row>
    <row r="14033" spans="2:7" ht="11.25" hidden="1" customHeight="1" outlineLevel="2" x14ac:dyDescent="0.25">
      <c r="B14033" s="704" t="s">
        <v>694</v>
      </c>
      <c r="C14033" s="704" t="s">
        <v>915</v>
      </c>
      <c r="D14033" s="704" t="s">
        <v>562</v>
      </c>
      <c r="E14033" s="704" t="s">
        <v>861</v>
      </c>
      <c r="F14033" s="709"/>
      <c r="G14033" s="705">
        <v>4.2628130006015459</v>
      </c>
    </row>
    <row r="14034" spans="2:7" ht="11.25" hidden="1" customHeight="1" outlineLevel="2" x14ac:dyDescent="0.25">
      <c r="B14034" s="704" t="s">
        <v>694</v>
      </c>
      <c r="C14034" s="704" t="s">
        <v>916</v>
      </c>
      <c r="D14034" s="704" t="s">
        <v>562</v>
      </c>
      <c r="E14034" s="704" t="s">
        <v>861</v>
      </c>
      <c r="F14034" s="709"/>
      <c r="G14034" s="705">
        <v>3.7820802762731436</v>
      </c>
    </row>
    <row r="14035" spans="2:7" ht="11.25" hidden="1" customHeight="1" outlineLevel="2" x14ac:dyDescent="0.25">
      <c r="B14035" s="704" t="s">
        <v>694</v>
      </c>
      <c r="C14035" s="704" t="s">
        <v>719</v>
      </c>
      <c r="D14035" s="704" t="s">
        <v>675</v>
      </c>
      <c r="E14035" s="704" t="s">
        <v>448</v>
      </c>
      <c r="F14035" s="705">
        <v>2.9678647239818096E-3</v>
      </c>
      <c r="G14035" s="705">
        <v>1.8298959194922924</v>
      </c>
    </row>
    <row r="14036" spans="2:7" ht="11.25" hidden="1" customHeight="1" outlineLevel="2" x14ac:dyDescent="0.25">
      <c r="B14036" s="704" t="s">
        <v>694</v>
      </c>
      <c r="C14036" s="704" t="s">
        <v>720</v>
      </c>
      <c r="D14036" s="704" t="s">
        <v>675</v>
      </c>
      <c r="E14036" s="704" t="s">
        <v>448</v>
      </c>
      <c r="F14036" s="705">
        <v>2.4527519442586764E-4</v>
      </c>
      <c r="G14036" s="705">
        <v>0.11868275617538034</v>
      </c>
    </row>
    <row r="14037" spans="2:7" ht="11.25" hidden="1" customHeight="1" outlineLevel="2" x14ac:dyDescent="0.25">
      <c r="B14037" s="704" t="s">
        <v>694</v>
      </c>
      <c r="C14037" s="704" t="s">
        <v>721</v>
      </c>
      <c r="D14037" s="704" t="s">
        <v>675</v>
      </c>
      <c r="E14037" s="704" t="s">
        <v>448</v>
      </c>
      <c r="F14037" s="705">
        <v>2.9703540670810504E-4</v>
      </c>
      <c r="G14037" s="705">
        <v>0.14187828630458424</v>
      </c>
    </row>
    <row r="14038" spans="2:7" ht="11.25" hidden="1" customHeight="1" outlineLevel="2" x14ac:dyDescent="0.25">
      <c r="B14038" s="704" t="s">
        <v>694</v>
      </c>
      <c r="C14038" s="704" t="s">
        <v>722</v>
      </c>
      <c r="D14038" s="704" t="s">
        <v>675</v>
      </c>
      <c r="E14038" s="704" t="s">
        <v>448</v>
      </c>
      <c r="F14038" s="705">
        <v>2.3702511156833826E-6</v>
      </c>
      <c r="G14038" s="705">
        <v>1.0624594333494101E-3</v>
      </c>
    </row>
    <row r="14039" spans="2:7" ht="11.25" hidden="1" customHeight="1" outlineLevel="2" x14ac:dyDescent="0.25">
      <c r="B14039" s="704" t="s">
        <v>694</v>
      </c>
      <c r="C14039" s="704" t="s">
        <v>723</v>
      </c>
      <c r="D14039" s="704" t="s">
        <v>675</v>
      </c>
      <c r="E14039" s="704" t="s">
        <v>448</v>
      </c>
      <c r="F14039" s="705">
        <v>8.4553384330125908E-3</v>
      </c>
      <c r="G14039" s="705">
        <v>4.7287341152621121</v>
      </c>
    </row>
    <row r="14040" spans="2:7" ht="11.25" hidden="1" customHeight="1" outlineLevel="2" x14ac:dyDescent="0.25">
      <c r="B14040" s="704" t="s">
        <v>694</v>
      </c>
      <c r="C14040" s="704" t="s">
        <v>724</v>
      </c>
      <c r="D14040" s="704" t="s">
        <v>675</v>
      </c>
      <c r="E14040" s="704" t="s">
        <v>448</v>
      </c>
      <c r="F14040" s="705">
        <v>6.1719463356204598E-5</v>
      </c>
      <c r="G14040" s="705">
        <v>2.7665582793281924E-2</v>
      </c>
    </row>
    <row r="14041" spans="2:7" ht="11.25" hidden="1" customHeight="1" outlineLevel="2" x14ac:dyDescent="0.25">
      <c r="B14041" s="704" t="s">
        <v>694</v>
      </c>
      <c r="C14041" s="704" t="s">
        <v>750</v>
      </c>
      <c r="D14041" s="704" t="s">
        <v>675</v>
      </c>
      <c r="E14041" s="704" t="s">
        <v>448</v>
      </c>
      <c r="F14041" s="705">
        <v>1.0430812663194597E-3</v>
      </c>
      <c r="G14041" s="705">
        <v>1.6267404887112578</v>
      </c>
    </row>
    <row r="14042" spans="2:7" ht="11.25" hidden="1" customHeight="1" outlineLevel="2" x14ac:dyDescent="0.25">
      <c r="B14042" s="704" t="s">
        <v>694</v>
      </c>
      <c r="C14042" s="704" t="s">
        <v>751</v>
      </c>
      <c r="D14042" s="704" t="s">
        <v>675</v>
      </c>
      <c r="E14042" s="704" t="s">
        <v>448</v>
      </c>
      <c r="F14042" s="705">
        <v>9.2385970736953512E-6</v>
      </c>
      <c r="G14042" s="705">
        <v>1.2021188143555095E-2</v>
      </c>
    </row>
    <row r="14043" spans="2:7" ht="11.25" hidden="1" customHeight="1" outlineLevel="2" x14ac:dyDescent="0.25">
      <c r="B14043" s="704" t="s">
        <v>694</v>
      </c>
      <c r="C14043" s="704" t="s">
        <v>752</v>
      </c>
      <c r="D14043" s="704" t="s">
        <v>675</v>
      </c>
      <c r="E14043" s="704" t="s">
        <v>448</v>
      </c>
      <c r="F14043" s="705">
        <v>2.5413033776703351E-3</v>
      </c>
      <c r="G14043" s="705">
        <v>3.0441148174551604</v>
      </c>
    </row>
    <row r="14044" spans="2:7" ht="11.25" hidden="1" customHeight="1" outlineLevel="2" x14ac:dyDescent="0.25">
      <c r="B14044" s="704" t="s">
        <v>694</v>
      </c>
      <c r="C14044" s="704" t="s">
        <v>753</v>
      </c>
      <c r="D14044" s="704" t="s">
        <v>675</v>
      </c>
      <c r="E14044" s="704" t="s">
        <v>448</v>
      </c>
      <c r="F14044" s="705">
        <v>1.8203658485368972E-3</v>
      </c>
      <c r="G14044" s="705">
        <v>2.876500397521859</v>
      </c>
    </row>
    <row r="14045" spans="2:7" ht="11.25" hidden="1" customHeight="1" outlineLevel="2" x14ac:dyDescent="0.25">
      <c r="B14045" s="704" t="s">
        <v>694</v>
      </c>
      <c r="C14045" s="704" t="s">
        <v>754</v>
      </c>
      <c r="D14045" s="704" t="s">
        <v>675</v>
      </c>
      <c r="E14045" s="704" t="s">
        <v>448</v>
      </c>
      <c r="F14045" s="705">
        <v>4.4820633247252412E-3</v>
      </c>
      <c r="G14045" s="705">
        <v>5.7252096919717372</v>
      </c>
    </row>
    <row r="14046" spans="2:7" ht="11.25" hidden="1" customHeight="1" outlineLevel="2" x14ac:dyDescent="0.25">
      <c r="B14046" s="704" t="s">
        <v>694</v>
      </c>
      <c r="C14046" s="704" t="s">
        <v>755</v>
      </c>
      <c r="D14046" s="704" t="s">
        <v>675</v>
      </c>
      <c r="E14046" s="704" t="s">
        <v>448</v>
      </c>
      <c r="F14046" s="705">
        <v>1.7531187416813059E-3</v>
      </c>
      <c r="G14046" s="705">
        <v>2.4143222406641027</v>
      </c>
    </row>
    <row r="14047" spans="2:7" ht="11.25" hidden="1" customHeight="1" outlineLevel="2" x14ac:dyDescent="0.25">
      <c r="B14047" s="704" t="s">
        <v>694</v>
      </c>
      <c r="C14047" s="704" t="s">
        <v>756</v>
      </c>
      <c r="D14047" s="704" t="s">
        <v>675</v>
      </c>
      <c r="E14047" s="704" t="s">
        <v>448</v>
      </c>
      <c r="F14047" s="705">
        <v>9.4474902048765928E-5</v>
      </c>
      <c r="G14047" s="705">
        <v>0.12534993576041117</v>
      </c>
    </row>
    <row r="14048" spans="2:7" ht="11.25" hidden="1" customHeight="1" outlineLevel="2" x14ac:dyDescent="0.25">
      <c r="B14048" s="704" t="s">
        <v>694</v>
      </c>
      <c r="C14048" s="704" t="s">
        <v>757</v>
      </c>
      <c r="D14048" s="704" t="s">
        <v>675</v>
      </c>
      <c r="E14048" s="704" t="s">
        <v>448</v>
      </c>
      <c r="F14048" s="705">
        <v>3.3408319455174797E-3</v>
      </c>
      <c r="G14048" s="705">
        <v>5.0543174371653832</v>
      </c>
    </row>
    <row r="14049" spans="2:7" ht="11.25" hidden="1" customHeight="1" outlineLevel="2" x14ac:dyDescent="0.25">
      <c r="B14049" s="704" t="s">
        <v>694</v>
      </c>
      <c r="C14049" s="704" t="s">
        <v>758</v>
      </c>
      <c r="D14049" s="704" t="s">
        <v>675</v>
      </c>
      <c r="E14049" s="704" t="s">
        <v>448</v>
      </c>
      <c r="F14049" s="705">
        <v>1.5042597344358415E-3</v>
      </c>
      <c r="G14049" s="705">
        <v>1.7407876606815913</v>
      </c>
    </row>
    <row r="14050" spans="2:7" ht="11.25" hidden="1" customHeight="1" outlineLevel="2" x14ac:dyDescent="0.25">
      <c r="B14050" s="704" t="s">
        <v>694</v>
      </c>
      <c r="C14050" s="704" t="s">
        <v>759</v>
      </c>
      <c r="D14050" s="704" t="s">
        <v>675</v>
      </c>
      <c r="E14050" s="704" t="s">
        <v>448</v>
      </c>
      <c r="F14050" s="705">
        <v>7.441501409593234E-3</v>
      </c>
      <c r="G14050" s="705">
        <v>10.527148637027233</v>
      </c>
    </row>
    <row r="14051" spans="2:7" ht="11.25" hidden="1" customHeight="1" outlineLevel="2" x14ac:dyDescent="0.25">
      <c r="B14051" s="704" t="s">
        <v>694</v>
      </c>
      <c r="C14051" s="704" t="s">
        <v>760</v>
      </c>
      <c r="D14051" s="704" t="s">
        <v>675</v>
      </c>
      <c r="E14051" s="704" t="s">
        <v>448</v>
      </c>
      <c r="F14051" s="705">
        <v>5.0151292132669641E-3</v>
      </c>
      <c r="G14051" s="705">
        <v>5.0430541812443321</v>
      </c>
    </row>
    <row r="14052" spans="2:7" ht="11.25" hidden="1" customHeight="1" outlineLevel="2" x14ac:dyDescent="0.25">
      <c r="B14052" s="704" t="s">
        <v>694</v>
      </c>
      <c r="C14052" s="704" t="s">
        <v>761</v>
      </c>
      <c r="D14052" s="704" t="s">
        <v>675</v>
      </c>
      <c r="E14052" s="704" t="s">
        <v>448</v>
      </c>
      <c r="F14052" s="705">
        <v>2.3855140989362164E-4</v>
      </c>
      <c r="G14052" s="705">
        <v>0.40201071551313672</v>
      </c>
    </row>
    <row r="14053" spans="2:7" ht="11.25" hidden="1" customHeight="1" outlineLevel="2" x14ac:dyDescent="0.25">
      <c r="B14053" s="704" t="s">
        <v>694</v>
      </c>
      <c r="C14053" s="704" t="s">
        <v>762</v>
      </c>
      <c r="D14053" s="704" t="s">
        <v>675</v>
      </c>
      <c r="E14053" s="704" t="s">
        <v>448</v>
      </c>
      <c r="F14053" s="705">
        <v>4.8462311995913426E-4</v>
      </c>
      <c r="G14053" s="705">
        <v>0.68166518477247351</v>
      </c>
    </row>
    <row r="14054" spans="2:7" ht="11.25" hidden="1" customHeight="1" outlineLevel="2" x14ac:dyDescent="0.25">
      <c r="B14054" s="704" t="s">
        <v>694</v>
      </c>
      <c r="C14054" s="704" t="s">
        <v>763</v>
      </c>
      <c r="D14054" s="704" t="s">
        <v>675</v>
      </c>
      <c r="E14054" s="704" t="s">
        <v>448</v>
      </c>
      <c r="F14054" s="705">
        <v>2.1550512750739077E-4</v>
      </c>
      <c r="G14054" s="705">
        <v>0.61083341678923486</v>
      </c>
    </row>
    <row r="14055" spans="2:7" ht="11.25" hidden="1" customHeight="1" outlineLevel="2" x14ac:dyDescent="0.25">
      <c r="B14055" s="704" t="s">
        <v>694</v>
      </c>
      <c r="C14055" s="704" t="s">
        <v>764</v>
      </c>
      <c r="D14055" s="704" t="s">
        <v>675</v>
      </c>
      <c r="E14055" s="704" t="s">
        <v>448</v>
      </c>
      <c r="F14055" s="705">
        <v>2.5097267743868416E-4</v>
      </c>
      <c r="G14055" s="705">
        <v>1.4589399489057251</v>
      </c>
    </row>
    <row r="14056" spans="2:7" ht="11.25" hidden="1" customHeight="1" outlineLevel="2" x14ac:dyDescent="0.25">
      <c r="B14056" s="704" t="s">
        <v>694</v>
      </c>
      <c r="C14056" s="704" t="s">
        <v>765</v>
      </c>
      <c r="D14056" s="704" t="s">
        <v>675</v>
      </c>
      <c r="E14056" s="704" t="s">
        <v>448</v>
      </c>
      <c r="F14056" s="705">
        <v>2.3725224419614403E-3</v>
      </c>
      <c r="G14056" s="705">
        <v>3.4573095744893458</v>
      </c>
    </row>
    <row r="14057" spans="2:7" ht="11.25" hidden="1" customHeight="1" outlineLevel="2" x14ac:dyDescent="0.25">
      <c r="B14057" s="704" t="s">
        <v>694</v>
      </c>
      <c r="C14057" s="704" t="s">
        <v>766</v>
      </c>
      <c r="D14057" s="704" t="s">
        <v>675</v>
      </c>
      <c r="E14057" s="704" t="s">
        <v>448</v>
      </c>
      <c r="F14057" s="705">
        <v>1.4724029773079436E-3</v>
      </c>
      <c r="G14057" s="705">
        <v>2.3727957349666298</v>
      </c>
    </row>
    <row r="14058" spans="2:7" ht="11.25" hidden="1" customHeight="1" outlineLevel="2" x14ac:dyDescent="0.25">
      <c r="B14058" s="704" t="s">
        <v>694</v>
      </c>
      <c r="C14058" s="704" t="s">
        <v>767</v>
      </c>
      <c r="D14058" s="704" t="s">
        <v>675</v>
      </c>
      <c r="E14058" s="704" t="s">
        <v>448</v>
      </c>
      <c r="F14058" s="705">
        <v>7.4107992732697114E-4</v>
      </c>
      <c r="G14058" s="705">
        <v>0.78181478079180466</v>
      </c>
    </row>
    <row r="14059" spans="2:7" ht="11.25" hidden="1" customHeight="1" outlineLevel="2" x14ac:dyDescent="0.25">
      <c r="B14059" s="704" t="s">
        <v>694</v>
      </c>
      <c r="C14059" s="704" t="s">
        <v>768</v>
      </c>
      <c r="D14059" s="704" t="s">
        <v>675</v>
      </c>
      <c r="E14059" s="704" t="s">
        <v>448</v>
      </c>
      <c r="F14059" s="705">
        <v>3.4606536769126632E-4</v>
      </c>
      <c r="G14059" s="705">
        <v>0.55229865551432544</v>
      </c>
    </row>
    <row r="14060" spans="2:7" ht="11.25" hidden="1" customHeight="1" outlineLevel="2" x14ac:dyDescent="0.25">
      <c r="B14060" s="704" t="s">
        <v>694</v>
      </c>
      <c r="C14060" s="704" t="s">
        <v>825</v>
      </c>
      <c r="D14060" s="704" t="s">
        <v>675</v>
      </c>
      <c r="E14060" s="704" t="s">
        <v>824</v>
      </c>
      <c r="F14060" s="705">
        <v>6.607032552082256E-5</v>
      </c>
      <c r="G14060" s="705">
        <v>0.31283075785195441</v>
      </c>
    </row>
    <row r="14061" spans="2:7" ht="11.25" hidden="1" customHeight="1" outlineLevel="2" x14ac:dyDescent="0.25">
      <c r="B14061" s="704" t="s">
        <v>694</v>
      </c>
      <c r="C14061" s="704" t="s">
        <v>826</v>
      </c>
      <c r="D14061" s="704" t="s">
        <v>675</v>
      </c>
      <c r="E14061" s="704" t="s">
        <v>824</v>
      </c>
      <c r="F14061" s="705">
        <v>4.9114568311686235E-5</v>
      </c>
      <c r="G14061" s="705">
        <v>0.52498864764635944</v>
      </c>
    </row>
    <row r="14062" spans="2:7" ht="11.25" hidden="1" customHeight="1" outlineLevel="2" x14ac:dyDescent="0.25">
      <c r="B14062" s="704" t="s">
        <v>694</v>
      </c>
      <c r="C14062" s="704" t="s">
        <v>827</v>
      </c>
      <c r="D14062" s="704" t="s">
        <v>675</v>
      </c>
      <c r="E14062" s="704" t="s">
        <v>824</v>
      </c>
      <c r="F14062" s="705">
        <v>3.6368514001814603E-5</v>
      </c>
      <c r="G14062" s="705">
        <v>8.6848893426328219E-2</v>
      </c>
    </row>
    <row r="14063" spans="2:7" ht="11.25" hidden="1" customHeight="1" outlineLevel="2" x14ac:dyDescent="0.25">
      <c r="B14063" s="704" t="s">
        <v>694</v>
      </c>
      <c r="C14063" s="704" t="s">
        <v>828</v>
      </c>
      <c r="D14063" s="704" t="s">
        <v>675</v>
      </c>
      <c r="E14063" s="704" t="s">
        <v>824</v>
      </c>
      <c r="F14063" s="705">
        <v>9.9169122066727977E-6</v>
      </c>
      <c r="G14063" s="705">
        <v>5.4421465723648067E-2</v>
      </c>
    </row>
    <row r="14064" spans="2:7" ht="11.25" hidden="1" customHeight="1" outlineLevel="2" x14ac:dyDescent="0.25">
      <c r="B14064" s="704" t="s">
        <v>694</v>
      </c>
      <c r="C14064" s="704" t="s">
        <v>829</v>
      </c>
      <c r="D14064" s="704" t="s">
        <v>675</v>
      </c>
      <c r="E14064" s="704" t="s">
        <v>824</v>
      </c>
      <c r="F14064" s="705">
        <v>2.1460868245343009E-4</v>
      </c>
      <c r="G14064" s="705">
        <v>0.96307553958602587</v>
      </c>
    </row>
    <row r="14065" spans="2:7" ht="11.25" hidden="1" customHeight="1" outlineLevel="2" x14ac:dyDescent="0.25">
      <c r="B14065" s="704" t="s">
        <v>694</v>
      </c>
      <c r="C14065" s="704" t="s">
        <v>830</v>
      </c>
      <c r="D14065" s="704" t="s">
        <v>675</v>
      </c>
      <c r="E14065" s="704" t="s">
        <v>824</v>
      </c>
      <c r="F14065" s="705">
        <v>1.9469954952875838E-4</v>
      </c>
      <c r="G14065" s="705">
        <v>0.34676264104854809</v>
      </c>
    </row>
    <row r="14066" spans="2:7" ht="11.25" hidden="1" customHeight="1" outlineLevel="2" x14ac:dyDescent="0.25">
      <c r="B14066" s="704" t="s">
        <v>694</v>
      </c>
      <c r="C14066" s="704" t="s">
        <v>831</v>
      </c>
      <c r="D14066" s="704" t="s">
        <v>675</v>
      </c>
      <c r="E14066" s="704" t="s">
        <v>824</v>
      </c>
      <c r="F14066" s="705">
        <v>5.40201789845248E-5</v>
      </c>
      <c r="G14066" s="705">
        <v>0.8910001013494383</v>
      </c>
    </row>
    <row r="14067" spans="2:7" ht="11.25" hidden="1" customHeight="1" outlineLevel="2" x14ac:dyDescent="0.25">
      <c r="B14067" s="704" t="s">
        <v>694</v>
      </c>
      <c r="C14067" s="704" t="s">
        <v>832</v>
      </c>
      <c r="D14067" s="704" t="s">
        <v>675</v>
      </c>
      <c r="E14067" s="704" t="s">
        <v>824</v>
      </c>
      <c r="F14067" s="705">
        <v>1.4766236869622162E-4</v>
      </c>
      <c r="G14067" s="705">
        <v>0.35487559685357623</v>
      </c>
    </row>
    <row r="14068" spans="2:7" ht="11.25" hidden="1" customHeight="1" outlineLevel="2" x14ac:dyDescent="0.25">
      <c r="B14068" s="704" t="s">
        <v>694</v>
      </c>
      <c r="C14068" s="704" t="s">
        <v>833</v>
      </c>
      <c r="D14068" s="704" t="s">
        <v>675</v>
      </c>
      <c r="E14068" s="704" t="s">
        <v>824</v>
      </c>
      <c r="F14068" s="705">
        <v>2.2552066001132985E-5</v>
      </c>
      <c r="G14068" s="705">
        <v>5.710465302195035E-2</v>
      </c>
    </row>
    <row r="14069" spans="2:7" ht="11.25" hidden="1" customHeight="1" outlineLevel="2" x14ac:dyDescent="0.25">
      <c r="B14069" s="704" t="s">
        <v>694</v>
      </c>
      <c r="C14069" s="704" t="s">
        <v>834</v>
      </c>
      <c r="D14069" s="704" t="s">
        <v>675</v>
      </c>
      <c r="E14069" s="704" t="s">
        <v>824</v>
      </c>
      <c r="F14069" s="705">
        <v>1.6334897825841179E-4</v>
      </c>
      <c r="G14069" s="705">
        <v>0.61774738012124719</v>
      </c>
    </row>
    <row r="14070" spans="2:7" ht="11.25" hidden="1" customHeight="1" outlineLevel="2" x14ac:dyDescent="0.25">
      <c r="B14070" s="704" t="s">
        <v>694</v>
      </c>
      <c r="C14070" s="704" t="s">
        <v>835</v>
      </c>
      <c r="D14070" s="704" t="s">
        <v>675</v>
      </c>
      <c r="E14070" s="704" t="s">
        <v>824</v>
      </c>
      <c r="F14070" s="705">
        <v>2.0487516742625676E-4</v>
      </c>
      <c r="G14070" s="705">
        <v>1.5042479826206698</v>
      </c>
    </row>
    <row r="14071" spans="2:7" ht="11.25" hidden="1" customHeight="1" outlineLevel="2" x14ac:dyDescent="0.25">
      <c r="B14071" s="704" t="s">
        <v>694</v>
      </c>
      <c r="C14071" s="704" t="s">
        <v>836</v>
      </c>
      <c r="D14071" s="704" t="s">
        <v>675</v>
      </c>
      <c r="E14071" s="704" t="s">
        <v>824</v>
      </c>
      <c r="F14071" s="705">
        <v>1.4295194322069257E-5</v>
      </c>
      <c r="G14071" s="705">
        <v>0.15713582052495223</v>
      </c>
    </row>
    <row r="14072" spans="2:7" ht="11.25" hidden="1" customHeight="1" outlineLevel="2" x14ac:dyDescent="0.25">
      <c r="B14072" s="704" t="s">
        <v>694</v>
      </c>
      <c r="C14072" s="704" t="s">
        <v>837</v>
      </c>
      <c r="D14072" s="704" t="s">
        <v>675</v>
      </c>
      <c r="E14072" s="704" t="s">
        <v>824</v>
      </c>
      <c r="F14072" s="705">
        <v>4.7144251071071805E-4</v>
      </c>
      <c r="G14072" s="705">
        <v>1.3016564443123093</v>
      </c>
    </row>
    <row r="14073" spans="2:7" ht="11.25" hidden="1" customHeight="1" outlineLevel="2" x14ac:dyDescent="0.25">
      <c r="B14073" s="704" t="s">
        <v>694</v>
      </c>
      <c r="C14073" s="704" t="s">
        <v>838</v>
      </c>
      <c r="D14073" s="704" t="s">
        <v>675</v>
      </c>
      <c r="E14073" s="704" t="s">
        <v>824</v>
      </c>
      <c r="F14073" s="705">
        <v>2.4318361933864369E-4</v>
      </c>
      <c r="G14073" s="705">
        <v>0.53828894085336332</v>
      </c>
    </row>
    <row r="14074" spans="2:7" ht="11.25" hidden="1" customHeight="1" outlineLevel="2" x14ac:dyDescent="0.25">
      <c r="B14074" s="704" t="s">
        <v>694</v>
      </c>
      <c r="C14074" s="704" t="s">
        <v>674</v>
      </c>
      <c r="D14074" s="704" t="s">
        <v>675</v>
      </c>
      <c r="E14074" s="704" t="s">
        <v>676</v>
      </c>
      <c r="F14074" s="705">
        <v>6.8961494940410185E-4</v>
      </c>
      <c r="G14074" s="705">
        <v>1.7066500942458269E-2</v>
      </c>
    </row>
    <row r="14075" spans="2:7" ht="11.25" hidden="1" customHeight="1" outlineLevel="2" x14ac:dyDescent="0.25">
      <c r="B14075" s="704" t="s">
        <v>694</v>
      </c>
      <c r="C14075" s="704" t="s">
        <v>862</v>
      </c>
      <c r="D14075" s="704" t="s">
        <v>675</v>
      </c>
      <c r="E14075" s="704" t="s">
        <v>861</v>
      </c>
      <c r="F14075" s="709"/>
      <c r="G14075" s="705">
        <v>50.672404110038215</v>
      </c>
    </row>
    <row r="14076" spans="2:7" ht="11.25" hidden="1" customHeight="1" outlineLevel="2" x14ac:dyDescent="0.25">
      <c r="B14076" s="704" t="s">
        <v>694</v>
      </c>
      <c r="C14076" s="704" t="s">
        <v>863</v>
      </c>
      <c r="D14076" s="704" t="s">
        <v>675</v>
      </c>
      <c r="E14076" s="704" t="s">
        <v>861</v>
      </c>
      <c r="F14076" s="709"/>
      <c r="G14076" s="705">
        <v>8.2599461990348177E-2</v>
      </c>
    </row>
    <row r="14077" spans="2:7" ht="11.25" hidden="1" customHeight="1" outlineLevel="2" x14ac:dyDescent="0.25">
      <c r="B14077" s="704" t="s">
        <v>694</v>
      </c>
      <c r="C14077" s="704" t="s">
        <v>864</v>
      </c>
      <c r="D14077" s="704" t="s">
        <v>675</v>
      </c>
      <c r="E14077" s="704" t="s">
        <v>861</v>
      </c>
      <c r="F14077" s="709"/>
      <c r="G14077" s="705">
        <v>1.3607966960553299</v>
      </c>
    </row>
    <row r="14078" spans="2:7" ht="11.25" hidden="1" customHeight="1" outlineLevel="2" x14ac:dyDescent="0.25">
      <c r="B14078" s="704" t="s">
        <v>694</v>
      </c>
      <c r="C14078" s="704" t="s">
        <v>865</v>
      </c>
      <c r="D14078" s="704" t="s">
        <v>675</v>
      </c>
      <c r="E14078" s="704" t="s">
        <v>861</v>
      </c>
      <c r="F14078" s="709"/>
      <c r="G14078" s="705">
        <v>126.83896547960863</v>
      </c>
    </row>
    <row r="14079" spans="2:7" ht="11.25" hidden="1" customHeight="1" outlineLevel="2" x14ac:dyDescent="0.25">
      <c r="B14079" s="704" t="s">
        <v>694</v>
      </c>
      <c r="C14079" s="704" t="s">
        <v>866</v>
      </c>
      <c r="D14079" s="704" t="s">
        <v>675</v>
      </c>
      <c r="E14079" s="704" t="s">
        <v>861</v>
      </c>
      <c r="F14079" s="709"/>
      <c r="G14079" s="705">
        <v>137.974104709226</v>
      </c>
    </row>
    <row r="14080" spans="2:7" ht="11.25" hidden="1" customHeight="1" outlineLevel="2" x14ac:dyDescent="0.25">
      <c r="B14080" s="704" t="s">
        <v>694</v>
      </c>
      <c r="C14080" s="704" t="s">
        <v>867</v>
      </c>
      <c r="D14080" s="704" t="s">
        <v>675</v>
      </c>
      <c r="E14080" s="704" t="s">
        <v>861</v>
      </c>
      <c r="F14080" s="709"/>
      <c r="G14080" s="705">
        <v>7.6014656051805343</v>
      </c>
    </row>
    <row r="14081" spans="2:7" ht="11.25" hidden="1" customHeight="1" outlineLevel="2" x14ac:dyDescent="0.25">
      <c r="B14081" s="704" t="s">
        <v>694</v>
      </c>
      <c r="C14081" s="704" t="s">
        <v>868</v>
      </c>
      <c r="D14081" s="704" t="s">
        <v>675</v>
      </c>
      <c r="E14081" s="704" t="s">
        <v>861</v>
      </c>
      <c r="F14081" s="709"/>
      <c r="G14081" s="705">
        <v>4.6918508446314764</v>
      </c>
    </row>
    <row r="14082" spans="2:7" ht="11.25" hidden="1" customHeight="1" outlineLevel="2" x14ac:dyDescent="0.25">
      <c r="B14082" s="704" t="s">
        <v>694</v>
      </c>
      <c r="C14082" s="704" t="s">
        <v>869</v>
      </c>
      <c r="D14082" s="704" t="s">
        <v>675</v>
      </c>
      <c r="E14082" s="704" t="s">
        <v>861</v>
      </c>
      <c r="F14082" s="709"/>
      <c r="G14082" s="705">
        <v>14.009626703456695</v>
      </c>
    </row>
    <row r="14083" spans="2:7" ht="11.25" hidden="1" customHeight="1" outlineLevel="2" x14ac:dyDescent="0.25">
      <c r="B14083" s="704" t="s">
        <v>694</v>
      </c>
      <c r="C14083" s="704" t="s">
        <v>870</v>
      </c>
      <c r="D14083" s="704" t="s">
        <v>675</v>
      </c>
      <c r="E14083" s="704" t="s">
        <v>861</v>
      </c>
      <c r="F14083" s="709"/>
      <c r="G14083" s="705">
        <v>60.174087620923061</v>
      </c>
    </row>
    <row r="14084" spans="2:7" ht="11.25" hidden="1" customHeight="1" outlineLevel="2" x14ac:dyDescent="0.25">
      <c r="B14084" s="704" t="s">
        <v>694</v>
      </c>
      <c r="C14084" s="704" t="s">
        <v>871</v>
      </c>
      <c r="D14084" s="704" t="s">
        <v>675</v>
      </c>
      <c r="E14084" s="704" t="s">
        <v>861</v>
      </c>
      <c r="F14084" s="709"/>
      <c r="G14084" s="705">
        <v>51.742666327029411</v>
      </c>
    </row>
    <row r="14085" spans="2:7" ht="11.25" hidden="1" customHeight="1" outlineLevel="2" x14ac:dyDescent="0.25">
      <c r="B14085" s="704" t="s">
        <v>694</v>
      </c>
      <c r="C14085" s="704" t="s">
        <v>872</v>
      </c>
      <c r="D14085" s="704" t="s">
        <v>675</v>
      </c>
      <c r="E14085" s="704" t="s">
        <v>861</v>
      </c>
      <c r="F14085" s="709"/>
      <c r="G14085" s="705">
        <v>514.029737204497</v>
      </c>
    </row>
    <row r="14086" spans="2:7" ht="11.25" hidden="1" customHeight="1" outlineLevel="2" x14ac:dyDescent="0.25">
      <c r="B14086" s="704" t="s">
        <v>694</v>
      </c>
      <c r="C14086" s="704" t="s">
        <v>873</v>
      </c>
      <c r="D14086" s="704" t="s">
        <v>675</v>
      </c>
      <c r="E14086" s="704" t="s">
        <v>861</v>
      </c>
      <c r="F14086" s="709"/>
      <c r="G14086" s="705">
        <v>4.2638525358427968</v>
      </c>
    </row>
    <row r="14087" spans="2:7" ht="11.25" hidden="1" customHeight="1" outlineLevel="2" x14ac:dyDescent="0.25">
      <c r="B14087" s="704" t="s">
        <v>694</v>
      </c>
      <c r="C14087" s="704" t="s">
        <v>874</v>
      </c>
      <c r="D14087" s="704" t="s">
        <v>675</v>
      </c>
      <c r="E14087" s="704" t="s">
        <v>861</v>
      </c>
      <c r="F14087" s="709"/>
      <c r="G14087" s="705">
        <v>2.0140123065726203</v>
      </c>
    </row>
    <row r="14088" spans="2:7" ht="11.25" hidden="1" customHeight="1" outlineLevel="2" x14ac:dyDescent="0.25">
      <c r="B14088" s="704" t="s">
        <v>694</v>
      </c>
      <c r="C14088" s="704" t="s">
        <v>875</v>
      </c>
      <c r="D14088" s="704" t="s">
        <v>675</v>
      </c>
      <c r="E14088" s="704" t="s">
        <v>861</v>
      </c>
      <c r="F14088" s="709"/>
      <c r="G14088" s="705">
        <v>117.39994250179079</v>
      </c>
    </row>
    <row r="14089" spans="2:7" ht="11.25" hidden="1" customHeight="1" outlineLevel="2" x14ac:dyDescent="0.25">
      <c r="B14089" s="704" t="s">
        <v>694</v>
      </c>
      <c r="C14089" s="704" t="s">
        <v>876</v>
      </c>
      <c r="D14089" s="704" t="s">
        <v>675</v>
      </c>
      <c r="E14089" s="704" t="s">
        <v>861</v>
      </c>
      <c r="F14089" s="709"/>
      <c r="G14089" s="705">
        <v>127.88738734235746</v>
      </c>
    </row>
    <row r="14090" spans="2:7" ht="11.25" hidden="1" customHeight="1" outlineLevel="2" x14ac:dyDescent="0.25">
      <c r="B14090" s="704" t="s">
        <v>694</v>
      </c>
      <c r="C14090" s="704" t="s">
        <v>877</v>
      </c>
      <c r="D14090" s="704" t="s">
        <v>675</v>
      </c>
      <c r="E14090" s="704" t="s">
        <v>861</v>
      </c>
      <c r="F14090" s="709"/>
      <c r="G14090" s="705">
        <v>439.6465023649306</v>
      </c>
    </row>
    <row r="14091" spans="2:7" ht="11.25" hidden="1" customHeight="1" outlineLevel="2" x14ac:dyDescent="0.25">
      <c r="B14091" s="704" t="s">
        <v>694</v>
      </c>
      <c r="C14091" s="704" t="s">
        <v>878</v>
      </c>
      <c r="D14091" s="704" t="s">
        <v>675</v>
      </c>
      <c r="E14091" s="704" t="s">
        <v>861</v>
      </c>
      <c r="F14091" s="709"/>
      <c r="G14091" s="705">
        <v>20.697945233932423</v>
      </c>
    </row>
    <row r="14092" spans="2:7" ht="11.25" hidden="1" customHeight="1" outlineLevel="2" x14ac:dyDescent="0.25">
      <c r="B14092" s="704" t="s">
        <v>694</v>
      </c>
      <c r="C14092" s="704" t="s">
        <v>879</v>
      </c>
      <c r="D14092" s="704" t="s">
        <v>675</v>
      </c>
      <c r="E14092" s="704" t="s">
        <v>861</v>
      </c>
      <c r="F14092" s="709"/>
      <c r="G14092" s="705">
        <v>164.53478085553775</v>
      </c>
    </row>
    <row r="14093" spans="2:7" ht="11.25" hidden="1" customHeight="1" outlineLevel="2" x14ac:dyDescent="0.25">
      <c r="B14093" s="704" t="s">
        <v>694</v>
      </c>
      <c r="C14093" s="704" t="s">
        <v>880</v>
      </c>
      <c r="D14093" s="704" t="s">
        <v>675</v>
      </c>
      <c r="E14093" s="704" t="s">
        <v>861</v>
      </c>
      <c r="F14093" s="709"/>
      <c r="G14093" s="705">
        <v>559.49996165371658</v>
      </c>
    </row>
    <row r="14094" spans="2:7" ht="11.25" hidden="1" customHeight="1" outlineLevel="2" x14ac:dyDescent="0.25">
      <c r="B14094" s="704" t="s">
        <v>694</v>
      </c>
      <c r="C14094" s="704" t="s">
        <v>881</v>
      </c>
      <c r="D14094" s="704" t="s">
        <v>675</v>
      </c>
      <c r="E14094" s="704" t="s">
        <v>861</v>
      </c>
      <c r="F14094" s="709"/>
      <c r="G14094" s="705">
        <v>339.30283551825914</v>
      </c>
    </row>
    <row r="14095" spans="2:7" ht="11.25" hidden="1" customHeight="1" outlineLevel="2" x14ac:dyDescent="0.25">
      <c r="B14095" s="704" t="s">
        <v>694</v>
      </c>
      <c r="C14095" s="704" t="s">
        <v>882</v>
      </c>
      <c r="D14095" s="704" t="s">
        <v>675</v>
      </c>
      <c r="E14095" s="704" t="s">
        <v>861</v>
      </c>
      <c r="F14095" s="709"/>
      <c r="G14095" s="705">
        <v>512.0517750261065</v>
      </c>
    </row>
    <row r="14096" spans="2:7" ht="11.25" hidden="1" customHeight="1" outlineLevel="2" x14ac:dyDescent="0.25">
      <c r="B14096" s="704" t="s">
        <v>694</v>
      </c>
      <c r="C14096" s="704" t="s">
        <v>883</v>
      </c>
      <c r="D14096" s="704" t="s">
        <v>675</v>
      </c>
      <c r="E14096" s="704" t="s">
        <v>861</v>
      </c>
      <c r="F14096" s="709"/>
      <c r="G14096" s="705">
        <v>232.65688547722982</v>
      </c>
    </row>
    <row r="14097" spans="2:7" ht="11.25" hidden="1" customHeight="1" outlineLevel="2" x14ac:dyDescent="0.25">
      <c r="B14097" s="704" t="s">
        <v>694</v>
      </c>
      <c r="C14097" s="704" t="s">
        <v>884</v>
      </c>
      <c r="D14097" s="704" t="s">
        <v>675</v>
      </c>
      <c r="E14097" s="704" t="s">
        <v>861</v>
      </c>
      <c r="F14097" s="709"/>
      <c r="G14097" s="705">
        <v>55.077277858976394</v>
      </c>
    </row>
    <row r="14098" spans="2:7" ht="11.25" hidden="1" customHeight="1" outlineLevel="2" x14ac:dyDescent="0.25">
      <c r="B14098" s="704" t="s">
        <v>694</v>
      </c>
      <c r="C14098" s="704" t="s">
        <v>885</v>
      </c>
      <c r="D14098" s="704" t="s">
        <v>675</v>
      </c>
      <c r="E14098" s="704" t="s">
        <v>861</v>
      </c>
      <c r="F14098" s="709"/>
      <c r="G14098" s="705">
        <v>0.71683351612763602</v>
      </c>
    </row>
    <row r="14099" spans="2:7" ht="11.25" hidden="1" customHeight="1" outlineLevel="2" x14ac:dyDescent="0.25">
      <c r="B14099" s="704" t="s">
        <v>694</v>
      </c>
      <c r="C14099" s="704" t="s">
        <v>886</v>
      </c>
      <c r="D14099" s="704" t="s">
        <v>675</v>
      </c>
      <c r="E14099" s="704" t="s">
        <v>861</v>
      </c>
      <c r="F14099" s="709"/>
      <c r="G14099" s="705">
        <v>52.777104937708302</v>
      </c>
    </row>
    <row r="14100" spans="2:7" ht="11.25" hidden="1" customHeight="1" outlineLevel="2" x14ac:dyDescent="0.25">
      <c r="B14100" s="704" t="s">
        <v>694</v>
      </c>
      <c r="C14100" s="704" t="s">
        <v>725</v>
      </c>
      <c r="D14100" s="704" t="s">
        <v>563</v>
      </c>
      <c r="E14100" s="704" t="s">
        <v>448</v>
      </c>
      <c r="F14100" s="705">
        <v>2.8603902772108954E-5</v>
      </c>
      <c r="G14100" s="705">
        <v>1.282199683588911E-2</v>
      </c>
    </row>
    <row r="14101" spans="2:7" ht="11.25" hidden="1" customHeight="1" outlineLevel="2" x14ac:dyDescent="0.25">
      <c r="B14101" s="704" t="s">
        <v>694</v>
      </c>
      <c r="C14101" s="704" t="s">
        <v>726</v>
      </c>
      <c r="D14101" s="704" t="s">
        <v>563</v>
      </c>
      <c r="E14101" s="704" t="s">
        <v>448</v>
      </c>
      <c r="F14101" s="705">
        <v>2.2528096334564419E-6</v>
      </c>
      <c r="G14101" s="705">
        <v>1.0098462376720661E-3</v>
      </c>
    </row>
    <row r="14102" spans="2:7" ht="11.25" hidden="1" customHeight="1" outlineLevel="2" x14ac:dyDescent="0.25">
      <c r="B14102" s="704" t="s">
        <v>694</v>
      </c>
      <c r="C14102" s="704" t="s">
        <v>769</v>
      </c>
      <c r="D14102" s="704" t="s">
        <v>563</v>
      </c>
      <c r="E14102" s="704" t="s">
        <v>448</v>
      </c>
      <c r="F14102" s="705">
        <v>1.4590749894531321E-3</v>
      </c>
      <c r="G14102" s="705">
        <v>1.5595986469633485</v>
      </c>
    </row>
    <row r="14103" spans="2:7" ht="11.25" hidden="1" customHeight="1" outlineLevel="2" x14ac:dyDescent="0.25">
      <c r="B14103" s="704" t="s">
        <v>694</v>
      </c>
      <c r="C14103" s="704" t="s">
        <v>770</v>
      </c>
      <c r="D14103" s="704" t="s">
        <v>563</v>
      </c>
      <c r="E14103" s="704" t="s">
        <v>448</v>
      </c>
      <c r="F14103" s="705">
        <v>1.3264296209603212E-3</v>
      </c>
      <c r="G14103" s="705">
        <v>4.6183900474138033</v>
      </c>
    </row>
    <row r="14104" spans="2:7" ht="11.25" hidden="1" customHeight="1" outlineLevel="2" x14ac:dyDescent="0.25">
      <c r="B14104" s="704" t="s">
        <v>694</v>
      </c>
      <c r="C14104" s="704" t="s">
        <v>771</v>
      </c>
      <c r="D14104" s="704" t="s">
        <v>563</v>
      </c>
      <c r="E14104" s="704" t="s">
        <v>448</v>
      </c>
      <c r="F14104" s="705">
        <v>4.9586029396523506E-4</v>
      </c>
      <c r="G14104" s="705">
        <v>1.1663851159151069</v>
      </c>
    </row>
    <row r="14105" spans="2:7" ht="11.25" hidden="1" customHeight="1" outlineLevel="2" x14ac:dyDescent="0.25">
      <c r="B14105" s="704" t="s">
        <v>694</v>
      </c>
      <c r="C14105" s="704" t="s">
        <v>772</v>
      </c>
      <c r="D14105" s="704" t="s">
        <v>563</v>
      </c>
      <c r="E14105" s="704" t="s">
        <v>448</v>
      </c>
      <c r="F14105" s="705">
        <v>1.6633946501474926E-3</v>
      </c>
      <c r="G14105" s="705">
        <v>2.1740899112543755</v>
      </c>
    </row>
    <row r="14106" spans="2:7" ht="11.25" hidden="1" customHeight="1" outlineLevel="2" x14ac:dyDescent="0.25">
      <c r="B14106" s="704" t="s">
        <v>694</v>
      </c>
      <c r="C14106" s="704" t="s">
        <v>773</v>
      </c>
      <c r="D14106" s="704" t="s">
        <v>563</v>
      </c>
      <c r="E14106" s="704" t="s">
        <v>448</v>
      </c>
      <c r="F14106" s="705">
        <v>9.3201000000954373E-5</v>
      </c>
      <c r="G14106" s="705">
        <v>0.10681890258701691</v>
      </c>
    </row>
    <row r="14107" spans="2:7" ht="11.25" hidden="1" customHeight="1" outlineLevel="2" x14ac:dyDescent="0.25">
      <c r="B14107" s="704" t="s">
        <v>694</v>
      </c>
      <c r="C14107" s="704" t="s">
        <v>774</v>
      </c>
      <c r="D14107" s="704" t="s">
        <v>563</v>
      </c>
      <c r="E14107" s="704" t="s">
        <v>448</v>
      </c>
      <c r="F14107" s="705">
        <v>1.2853155951164354E-4</v>
      </c>
      <c r="G14107" s="705">
        <v>0.17417683096836992</v>
      </c>
    </row>
    <row r="14108" spans="2:7" ht="11.25" hidden="1" customHeight="1" outlineLevel="2" x14ac:dyDescent="0.25">
      <c r="B14108" s="704" t="s">
        <v>694</v>
      </c>
      <c r="C14108" s="704" t="s">
        <v>775</v>
      </c>
      <c r="D14108" s="704" t="s">
        <v>563</v>
      </c>
      <c r="E14108" s="704" t="s">
        <v>448</v>
      </c>
      <c r="F14108" s="705">
        <v>3.6583953679926098E-5</v>
      </c>
      <c r="G14108" s="705">
        <v>0.47093081766736555</v>
      </c>
    </row>
    <row r="14109" spans="2:7" ht="11.25" hidden="1" customHeight="1" outlineLevel="2" x14ac:dyDescent="0.25">
      <c r="B14109" s="704" t="s">
        <v>694</v>
      </c>
      <c r="C14109" s="704" t="s">
        <v>839</v>
      </c>
      <c r="D14109" s="704" t="s">
        <v>563</v>
      </c>
      <c r="E14109" s="704" t="s">
        <v>824</v>
      </c>
      <c r="F14109" s="705">
        <v>1.6281175781729365E-3</v>
      </c>
      <c r="G14109" s="705">
        <v>3.9509019946379302</v>
      </c>
    </row>
    <row r="14110" spans="2:7" ht="11.25" hidden="1" customHeight="1" outlineLevel="2" x14ac:dyDescent="0.25">
      <c r="B14110" s="704" t="s">
        <v>694</v>
      </c>
      <c r="C14110" s="704" t="s">
        <v>840</v>
      </c>
      <c r="D14110" s="704" t="s">
        <v>563</v>
      </c>
      <c r="E14110" s="704" t="s">
        <v>824</v>
      </c>
      <c r="F14110" s="705">
        <v>4.7447162702092288E-2</v>
      </c>
      <c r="G14110" s="705">
        <v>349.3204265122759</v>
      </c>
    </row>
    <row r="14111" spans="2:7" ht="11.25" hidden="1" customHeight="1" outlineLevel="2" x14ac:dyDescent="0.25">
      <c r="B14111" s="704" t="s">
        <v>694</v>
      </c>
      <c r="C14111" s="704" t="s">
        <v>841</v>
      </c>
      <c r="D14111" s="704" t="s">
        <v>563</v>
      </c>
      <c r="E14111" s="704" t="s">
        <v>824</v>
      </c>
      <c r="F14111" s="705">
        <v>2.3078033902864024E-4</v>
      </c>
      <c r="G14111" s="705">
        <v>2.6408710452683293</v>
      </c>
    </row>
    <row r="14112" spans="2:7" ht="11.25" hidden="1" customHeight="1" outlineLevel="2" x14ac:dyDescent="0.25">
      <c r="B14112" s="704" t="s">
        <v>694</v>
      </c>
      <c r="C14112" s="704" t="s">
        <v>842</v>
      </c>
      <c r="D14112" s="704" t="s">
        <v>563</v>
      </c>
      <c r="E14112" s="704" t="s">
        <v>824</v>
      </c>
      <c r="F14112" s="705">
        <v>8.3629162400639711E-5</v>
      </c>
      <c r="G14112" s="705">
        <v>0.81854761578141866</v>
      </c>
    </row>
    <row r="14113" spans="2:7" ht="11.25" hidden="1" customHeight="1" outlineLevel="2" x14ac:dyDescent="0.25">
      <c r="B14113" s="704" t="s">
        <v>694</v>
      </c>
      <c r="C14113" s="704" t="s">
        <v>843</v>
      </c>
      <c r="D14113" s="704" t="s">
        <v>563</v>
      </c>
      <c r="E14113" s="704" t="s">
        <v>824</v>
      </c>
      <c r="F14113" s="705">
        <v>8.0832332657727443E-5</v>
      </c>
      <c r="G14113" s="705">
        <v>0.21119951820666127</v>
      </c>
    </row>
    <row r="14114" spans="2:7" ht="11.25" hidden="1" customHeight="1" outlineLevel="2" x14ac:dyDescent="0.25">
      <c r="B14114" s="704" t="s">
        <v>694</v>
      </c>
      <c r="C14114" s="704" t="s">
        <v>844</v>
      </c>
      <c r="D14114" s="704" t="s">
        <v>563</v>
      </c>
      <c r="E14114" s="704" t="s">
        <v>824</v>
      </c>
      <c r="F14114" s="705">
        <v>8.083580417739863E-5</v>
      </c>
      <c r="G14114" s="705">
        <v>1.6064218137294011</v>
      </c>
    </row>
    <row r="14115" spans="2:7" ht="11.25" hidden="1" customHeight="1" outlineLevel="2" x14ac:dyDescent="0.25">
      <c r="B14115" s="704" t="s">
        <v>694</v>
      </c>
      <c r="C14115" s="704" t="s">
        <v>700</v>
      </c>
      <c r="D14115" s="704" t="s">
        <v>563</v>
      </c>
      <c r="E14115" s="704" t="s">
        <v>676</v>
      </c>
      <c r="F14115" s="705">
        <v>0.24504086625589908</v>
      </c>
      <c r="G14115" s="705">
        <v>20.621605133530398</v>
      </c>
    </row>
    <row r="14116" spans="2:7" ht="11.25" hidden="1" customHeight="1" outlineLevel="2" x14ac:dyDescent="0.25">
      <c r="B14116" s="704" t="s">
        <v>694</v>
      </c>
      <c r="C14116" s="704" t="s">
        <v>701</v>
      </c>
      <c r="D14116" s="704" t="s">
        <v>563</v>
      </c>
      <c r="E14116" s="704" t="s">
        <v>676</v>
      </c>
      <c r="F14116" s="705">
        <v>2.6764760889826138E-4</v>
      </c>
      <c r="G14116" s="705">
        <v>2.3437193144993505E-2</v>
      </c>
    </row>
    <row r="14117" spans="2:7" ht="11.25" hidden="1" customHeight="1" outlineLevel="2" x14ac:dyDescent="0.25">
      <c r="B14117" s="704" t="s">
        <v>694</v>
      </c>
      <c r="C14117" s="704" t="s">
        <v>702</v>
      </c>
      <c r="D14117" s="704" t="s">
        <v>563</v>
      </c>
      <c r="E14117" s="704" t="s">
        <v>676</v>
      </c>
      <c r="F14117" s="705">
        <v>1.2488417288310729E-4</v>
      </c>
      <c r="G14117" s="705">
        <v>1.279932916372006E-2</v>
      </c>
    </row>
    <row r="14118" spans="2:7" ht="11.25" hidden="1" customHeight="1" outlineLevel="2" x14ac:dyDescent="0.25">
      <c r="B14118" s="704" t="s">
        <v>694</v>
      </c>
      <c r="C14118" s="704" t="s">
        <v>703</v>
      </c>
      <c r="D14118" s="704" t="s">
        <v>563</v>
      </c>
      <c r="E14118" s="704" t="s">
        <v>676</v>
      </c>
      <c r="F14118" s="705">
        <v>1.6697065503527451E-3</v>
      </c>
      <c r="G14118" s="705">
        <v>0.16442261115456147</v>
      </c>
    </row>
    <row r="14119" spans="2:7" ht="11.25" hidden="1" customHeight="1" outlineLevel="2" x14ac:dyDescent="0.25">
      <c r="B14119" s="704" t="s">
        <v>694</v>
      </c>
      <c r="C14119" s="704" t="s">
        <v>704</v>
      </c>
      <c r="D14119" s="704" t="s">
        <v>563</v>
      </c>
      <c r="E14119" s="704" t="s">
        <v>676</v>
      </c>
      <c r="F14119" s="705">
        <v>4.2528531127553992E-4</v>
      </c>
      <c r="G14119" s="705">
        <v>9.5637407154123388E-2</v>
      </c>
    </row>
    <row r="14120" spans="2:7" ht="11.25" hidden="1" customHeight="1" outlineLevel="2" x14ac:dyDescent="0.25">
      <c r="B14120" s="704" t="s">
        <v>694</v>
      </c>
      <c r="C14120" s="704" t="s">
        <v>887</v>
      </c>
      <c r="D14120" s="704" t="s">
        <v>563</v>
      </c>
      <c r="E14120" s="704" t="s">
        <v>861</v>
      </c>
      <c r="F14120" s="709"/>
      <c r="G14120" s="705">
        <v>6.4279601955530214</v>
      </c>
    </row>
    <row r="14121" spans="2:7" ht="11.25" hidden="1" customHeight="1" outlineLevel="2" x14ac:dyDescent="0.25">
      <c r="B14121" s="704" t="s">
        <v>694</v>
      </c>
      <c r="C14121" s="704" t="s">
        <v>888</v>
      </c>
      <c r="D14121" s="704" t="s">
        <v>563</v>
      </c>
      <c r="E14121" s="704" t="s">
        <v>861</v>
      </c>
      <c r="F14121" s="709"/>
      <c r="G14121" s="705">
        <v>93.273395419545835</v>
      </c>
    </row>
    <row r="14122" spans="2:7" ht="11.25" hidden="1" customHeight="1" outlineLevel="2" x14ac:dyDescent="0.25">
      <c r="B14122" s="704" t="s">
        <v>694</v>
      </c>
      <c r="C14122" s="704" t="s">
        <v>889</v>
      </c>
      <c r="D14122" s="704" t="s">
        <v>563</v>
      </c>
      <c r="E14122" s="704" t="s">
        <v>861</v>
      </c>
      <c r="F14122" s="709"/>
      <c r="G14122" s="705">
        <v>40.710763955247138</v>
      </c>
    </row>
    <row r="14123" spans="2:7" ht="11.25" hidden="1" customHeight="1" outlineLevel="2" x14ac:dyDescent="0.25">
      <c r="B14123" s="704" t="s">
        <v>694</v>
      </c>
      <c r="C14123" s="704" t="s">
        <v>890</v>
      </c>
      <c r="D14123" s="704" t="s">
        <v>563</v>
      </c>
      <c r="E14123" s="704" t="s">
        <v>861</v>
      </c>
      <c r="F14123" s="709"/>
      <c r="G14123" s="705">
        <v>41.320967911219398</v>
      </c>
    </row>
    <row r="14124" spans="2:7" ht="11.25" hidden="1" customHeight="1" outlineLevel="2" x14ac:dyDescent="0.25">
      <c r="B14124" s="704" t="s">
        <v>694</v>
      </c>
      <c r="C14124" s="704" t="s">
        <v>891</v>
      </c>
      <c r="D14124" s="704" t="s">
        <v>563</v>
      </c>
      <c r="E14124" s="704" t="s">
        <v>861</v>
      </c>
      <c r="F14124" s="709"/>
      <c r="G14124" s="705">
        <v>1.5885259024588489</v>
      </c>
    </row>
    <row r="14125" spans="2:7" ht="11.25" hidden="1" customHeight="1" outlineLevel="2" x14ac:dyDescent="0.25">
      <c r="B14125" s="704" t="s">
        <v>694</v>
      </c>
      <c r="C14125" s="704" t="s">
        <v>892</v>
      </c>
      <c r="D14125" s="704" t="s">
        <v>563</v>
      </c>
      <c r="E14125" s="704" t="s">
        <v>861</v>
      </c>
      <c r="F14125" s="709"/>
      <c r="G14125" s="705">
        <v>478.26406213455232</v>
      </c>
    </row>
    <row r="14126" spans="2:7" ht="11.25" hidden="1" customHeight="1" outlineLevel="2" x14ac:dyDescent="0.25">
      <c r="B14126" s="704" t="s">
        <v>694</v>
      </c>
      <c r="C14126" s="704" t="s">
        <v>893</v>
      </c>
      <c r="D14126" s="704" t="s">
        <v>563</v>
      </c>
      <c r="E14126" s="704" t="s">
        <v>861</v>
      </c>
      <c r="F14126" s="709"/>
      <c r="G14126" s="705">
        <v>58.722746654508413</v>
      </c>
    </row>
    <row r="14127" spans="2:7" ht="11.25" hidden="1" customHeight="1" outlineLevel="2" x14ac:dyDescent="0.25">
      <c r="B14127" s="704" t="s">
        <v>694</v>
      </c>
      <c r="C14127" s="704" t="s">
        <v>727</v>
      </c>
      <c r="D14127" s="704" t="s">
        <v>728</v>
      </c>
      <c r="E14127" s="704" t="s">
        <v>448</v>
      </c>
      <c r="F14127" s="705">
        <v>1.8499438600123425E-3</v>
      </c>
      <c r="G14127" s="705">
        <v>1.0132441052801653</v>
      </c>
    </row>
    <row r="14128" spans="2:7" ht="11.25" hidden="1" customHeight="1" outlineLevel="2" x14ac:dyDescent="0.25">
      <c r="B14128" s="704" t="s">
        <v>694</v>
      </c>
      <c r="C14128" s="704" t="s">
        <v>729</v>
      </c>
      <c r="D14128" s="704" t="s">
        <v>728</v>
      </c>
      <c r="E14128" s="704" t="s">
        <v>448</v>
      </c>
      <c r="F14128" s="705">
        <v>3.9065624016866592E-2</v>
      </c>
      <c r="G14128" s="705">
        <v>21.085133820802639</v>
      </c>
    </row>
    <row r="14129" spans="2:7" ht="11.25" hidden="1" customHeight="1" outlineLevel="2" x14ac:dyDescent="0.25">
      <c r="B14129" s="704" t="s">
        <v>694</v>
      </c>
      <c r="C14129" s="704" t="s">
        <v>730</v>
      </c>
      <c r="D14129" s="704" t="s">
        <v>728</v>
      </c>
      <c r="E14129" s="704" t="s">
        <v>448</v>
      </c>
      <c r="F14129" s="705">
        <v>2.6548172637157197E-2</v>
      </c>
      <c r="G14129" s="705">
        <v>13.841763766213282</v>
      </c>
    </row>
    <row r="14130" spans="2:7" ht="11.25" hidden="1" customHeight="1" outlineLevel="2" x14ac:dyDescent="0.25">
      <c r="B14130" s="704" t="s">
        <v>694</v>
      </c>
      <c r="C14130" s="704" t="s">
        <v>731</v>
      </c>
      <c r="D14130" s="704" t="s">
        <v>728</v>
      </c>
      <c r="E14130" s="704" t="s">
        <v>448</v>
      </c>
      <c r="F14130" s="705">
        <v>0.42798640112190539</v>
      </c>
      <c r="G14130" s="705">
        <v>234.65493805739698</v>
      </c>
    </row>
    <row r="14131" spans="2:7" ht="11.25" hidden="1" customHeight="1" outlineLevel="2" x14ac:dyDescent="0.25">
      <c r="B14131" s="704" t="s">
        <v>694</v>
      </c>
      <c r="C14131" s="704" t="s">
        <v>732</v>
      </c>
      <c r="D14131" s="704" t="s">
        <v>728</v>
      </c>
      <c r="E14131" s="704" t="s">
        <v>448</v>
      </c>
      <c r="F14131" s="705">
        <v>3.2728462406434643E-2</v>
      </c>
      <c r="G14131" s="705">
        <v>19.289164748837958</v>
      </c>
    </row>
    <row r="14132" spans="2:7" ht="11.25" hidden="1" customHeight="1" outlineLevel="2" x14ac:dyDescent="0.25">
      <c r="B14132" s="704" t="s">
        <v>694</v>
      </c>
      <c r="C14132" s="704" t="s">
        <v>733</v>
      </c>
      <c r="D14132" s="704" t="s">
        <v>728</v>
      </c>
      <c r="E14132" s="704" t="s">
        <v>448</v>
      </c>
      <c r="F14132" s="705">
        <v>0.40407305556923873</v>
      </c>
      <c r="G14132" s="705">
        <v>204.61511726444061</v>
      </c>
    </row>
    <row r="14133" spans="2:7" ht="11.25" hidden="1" customHeight="1" outlineLevel="2" x14ac:dyDescent="0.25">
      <c r="B14133" s="704" t="s">
        <v>694</v>
      </c>
      <c r="C14133" s="704" t="s">
        <v>734</v>
      </c>
      <c r="D14133" s="704" t="s">
        <v>728</v>
      </c>
      <c r="E14133" s="704" t="s">
        <v>448</v>
      </c>
      <c r="F14133" s="705">
        <v>2.3069082600463389E-2</v>
      </c>
      <c r="G14133" s="705">
        <v>12.414461766056258</v>
      </c>
    </row>
    <row r="14134" spans="2:7" ht="11.25" hidden="1" customHeight="1" outlineLevel="2" x14ac:dyDescent="0.25">
      <c r="B14134" s="704" t="s">
        <v>694</v>
      </c>
      <c r="C14134" s="704" t="s">
        <v>735</v>
      </c>
      <c r="D14134" s="704" t="s">
        <v>728</v>
      </c>
      <c r="E14134" s="704" t="s">
        <v>448</v>
      </c>
      <c r="F14134" s="705">
        <v>0.35663897917856452</v>
      </c>
      <c r="G14134" s="705">
        <v>191.06180248909658</v>
      </c>
    </row>
    <row r="14135" spans="2:7" ht="11.25" hidden="1" customHeight="1" outlineLevel="2" x14ac:dyDescent="0.25">
      <c r="B14135" s="704" t="s">
        <v>694</v>
      </c>
      <c r="C14135" s="704" t="s">
        <v>736</v>
      </c>
      <c r="D14135" s="704" t="s">
        <v>728</v>
      </c>
      <c r="E14135" s="704" t="s">
        <v>448</v>
      </c>
      <c r="F14135" s="705">
        <v>1.1518694534264608E-31</v>
      </c>
      <c r="G14135" s="705">
        <v>1.6940080318879719E-29</v>
      </c>
    </row>
    <row r="14136" spans="2:7" ht="11.25" hidden="1" customHeight="1" outlineLevel="2" x14ac:dyDescent="0.25">
      <c r="B14136" s="704" t="s">
        <v>694</v>
      </c>
      <c r="C14136" s="704" t="s">
        <v>737</v>
      </c>
      <c r="D14136" s="704" t="s">
        <v>728</v>
      </c>
      <c r="E14136" s="704" t="s">
        <v>448</v>
      </c>
      <c r="F14136" s="705">
        <v>2.4329076379818316E-33</v>
      </c>
      <c r="G14136" s="705">
        <v>3.5781082307048835E-31</v>
      </c>
    </row>
    <row r="14137" spans="2:7" ht="11.25" hidden="1" customHeight="1" outlineLevel="2" x14ac:dyDescent="0.25">
      <c r="B14137" s="704" t="s">
        <v>694</v>
      </c>
      <c r="C14137" s="704" t="s">
        <v>738</v>
      </c>
      <c r="D14137" s="704" t="s">
        <v>728</v>
      </c>
      <c r="E14137" s="704" t="s">
        <v>448</v>
      </c>
      <c r="F14137" s="705">
        <v>1.7471834919243742E-4</v>
      </c>
      <c r="G14137" s="705">
        <v>8.7331409108793806E-2</v>
      </c>
    </row>
    <row r="14138" spans="2:7" ht="11.25" hidden="1" customHeight="1" outlineLevel="2" x14ac:dyDescent="0.25">
      <c r="B14138" s="704" t="s">
        <v>694</v>
      </c>
      <c r="C14138" s="704" t="s">
        <v>776</v>
      </c>
      <c r="D14138" s="704" t="s">
        <v>728</v>
      </c>
      <c r="E14138" s="704" t="s">
        <v>448</v>
      </c>
      <c r="F14138" s="705">
        <v>0.27783007438909291</v>
      </c>
      <c r="G14138" s="705">
        <v>172.92535766511733</v>
      </c>
    </row>
    <row r="14139" spans="2:7" ht="11.25" hidden="1" customHeight="1" outlineLevel="2" x14ac:dyDescent="0.25">
      <c r="B14139" s="704" t="s">
        <v>694</v>
      </c>
      <c r="C14139" s="704" t="s">
        <v>777</v>
      </c>
      <c r="D14139" s="704" t="s">
        <v>728</v>
      </c>
      <c r="E14139" s="704" t="s">
        <v>448</v>
      </c>
      <c r="F14139" s="705">
        <v>0.49882593444337542</v>
      </c>
      <c r="G14139" s="705">
        <v>596.45022914984884</v>
      </c>
    </row>
    <row r="14140" spans="2:7" ht="11.25" hidden="1" customHeight="1" outlineLevel="2" x14ac:dyDescent="0.25">
      <c r="B14140" s="704" t="s">
        <v>694</v>
      </c>
      <c r="C14140" s="704" t="s">
        <v>778</v>
      </c>
      <c r="D14140" s="704" t="s">
        <v>728</v>
      </c>
      <c r="E14140" s="704" t="s">
        <v>448</v>
      </c>
      <c r="F14140" s="705">
        <v>2.3486437377170696E-2</v>
      </c>
      <c r="G14140" s="705">
        <v>14.500029428075043</v>
      </c>
    </row>
    <row r="14141" spans="2:7" ht="11.25" hidden="1" customHeight="1" outlineLevel="2" x14ac:dyDescent="0.25">
      <c r="B14141" s="704" t="s">
        <v>694</v>
      </c>
      <c r="C14141" s="704" t="s">
        <v>779</v>
      </c>
      <c r="D14141" s="704" t="s">
        <v>728</v>
      </c>
      <c r="E14141" s="704" t="s">
        <v>448</v>
      </c>
      <c r="F14141" s="705">
        <v>0.40433112353902301</v>
      </c>
      <c r="G14141" s="705">
        <v>303.59851290387462</v>
      </c>
    </row>
    <row r="14142" spans="2:7" ht="11.25" hidden="1" customHeight="1" outlineLevel="2" x14ac:dyDescent="0.25">
      <c r="B14142" s="704" t="s">
        <v>694</v>
      </c>
      <c r="C14142" s="704" t="s">
        <v>780</v>
      </c>
      <c r="D14142" s="704" t="s">
        <v>728</v>
      </c>
      <c r="E14142" s="704" t="s">
        <v>448</v>
      </c>
      <c r="F14142" s="705">
        <v>1.2729959281181904E-3</v>
      </c>
      <c r="G14142" s="705">
        <v>0.9626730864176799</v>
      </c>
    </row>
    <row r="14143" spans="2:7" ht="11.25" hidden="1" customHeight="1" outlineLevel="2" x14ac:dyDescent="0.25">
      <c r="B14143" s="704" t="s">
        <v>694</v>
      </c>
      <c r="C14143" s="704" t="s">
        <v>781</v>
      </c>
      <c r="D14143" s="704" t="s">
        <v>728</v>
      </c>
      <c r="E14143" s="704" t="s">
        <v>448</v>
      </c>
      <c r="F14143" s="705">
        <v>1.1085039339179677E-2</v>
      </c>
      <c r="G14143" s="705">
        <v>13.816686375781579</v>
      </c>
    </row>
    <row r="14144" spans="2:7" ht="11.25" hidden="1" customHeight="1" outlineLevel="2" x14ac:dyDescent="0.25">
      <c r="B14144" s="704" t="s">
        <v>694</v>
      </c>
      <c r="C14144" s="704" t="s">
        <v>782</v>
      </c>
      <c r="D14144" s="704" t="s">
        <v>728</v>
      </c>
      <c r="E14144" s="704" t="s">
        <v>448</v>
      </c>
      <c r="F14144" s="705">
        <v>2.4228416618381093E-3</v>
      </c>
      <c r="G14144" s="705">
        <v>1.8366092864556509</v>
      </c>
    </row>
    <row r="14145" spans="2:7" ht="11.25" hidden="1" customHeight="1" outlineLevel="2" x14ac:dyDescent="0.25">
      <c r="B14145" s="704" t="s">
        <v>694</v>
      </c>
      <c r="C14145" s="704" t="s">
        <v>783</v>
      </c>
      <c r="D14145" s="704" t="s">
        <v>728</v>
      </c>
      <c r="E14145" s="704" t="s">
        <v>448</v>
      </c>
      <c r="F14145" s="705">
        <v>0.36394416272650404</v>
      </c>
      <c r="G14145" s="705">
        <v>570.00982972123791</v>
      </c>
    </row>
    <row r="14146" spans="2:7" ht="11.25" hidden="1" customHeight="1" outlineLevel="2" x14ac:dyDescent="0.25">
      <c r="B14146" s="704" t="s">
        <v>694</v>
      </c>
      <c r="C14146" s="704" t="s">
        <v>784</v>
      </c>
      <c r="D14146" s="704" t="s">
        <v>728</v>
      </c>
      <c r="E14146" s="704" t="s">
        <v>448</v>
      </c>
      <c r="F14146" s="705">
        <v>8.1651856097961584E-37</v>
      </c>
      <c r="G14146" s="705">
        <v>4.4699090569433649E-34</v>
      </c>
    </row>
    <row r="14147" spans="2:7" ht="11.25" hidden="1" customHeight="1" outlineLevel="2" x14ac:dyDescent="0.25">
      <c r="B14147" s="704" t="s">
        <v>694</v>
      </c>
      <c r="C14147" s="704" t="s">
        <v>785</v>
      </c>
      <c r="D14147" s="704" t="s">
        <v>728</v>
      </c>
      <c r="E14147" s="704" t="s">
        <v>448</v>
      </c>
      <c r="F14147" s="705">
        <v>1.0468794339311338E-32</v>
      </c>
      <c r="G14147" s="705">
        <v>5.731359529755185E-30</v>
      </c>
    </row>
    <row r="14148" spans="2:7" ht="11.25" hidden="1" customHeight="1" outlineLevel="2" x14ac:dyDescent="0.25">
      <c r="B14148" s="704" t="s">
        <v>694</v>
      </c>
      <c r="C14148" s="704" t="s">
        <v>786</v>
      </c>
      <c r="D14148" s="704" t="s">
        <v>728</v>
      </c>
      <c r="E14148" s="704" t="s">
        <v>448</v>
      </c>
      <c r="F14148" s="705">
        <v>2.732853017637182E-2</v>
      </c>
      <c r="G14148" s="705">
        <v>34.69683652761907</v>
      </c>
    </row>
    <row r="14149" spans="2:7" ht="11.25" hidden="1" customHeight="1" outlineLevel="2" x14ac:dyDescent="0.25">
      <c r="B14149" s="704" t="s">
        <v>694</v>
      </c>
      <c r="C14149" s="704" t="s">
        <v>787</v>
      </c>
      <c r="D14149" s="704" t="s">
        <v>728</v>
      </c>
      <c r="E14149" s="704" t="s">
        <v>448</v>
      </c>
      <c r="F14149" s="705">
        <v>4.6479952528606441E-2</v>
      </c>
      <c r="G14149" s="705">
        <v>65.854844090840189</v>
      </c>
    </row>
    <row r="14150" spans="2:7" ht="11.25" hidden="1" customHeight="1" outlineLevel="2" x14ac:dyDescent="0.25">
      <c r="B14150" s="704" t="s">
        <v>694</v>
      </c>
      <c r="C14150" s="704" t="s">
        <v>788</v>
      </c>
      <c r="D14150" s="704" t="s">
        <v>728</v>
      </c>
      <c r="E14150" s="704" t="s">
        <v>448</v>
      </c>
      <c r="F14150" s="705">
        <v>6.5513370316746214E-2</v>
      </c>
      <c r="G14150" s="705">
        <v>74.956371908910569</v>
      </c>
    </row>
    <row r="14151" spans="2:7" ht="11.25" hidden="1" customHeight="1" outlineLevel="2" x14ac:dyDescent="0.25">
      <c r="B14151" s="704" t="s">
        <v>694</v>
      </c>
      <c r="C14151" s="704" t="s">
        <v>789</v>
      </c>
      <c r="D14151" s="704" t="s">
        <v>728</v>
      </c>
      <c r="E14151" s="704" t="s">
        <v>448</v>
      </c>
      <c r="F14151" s="705">
        <v>5.048777552852711E-2</v>
      </c>
      <c r="G14151" s="705">
        <v>34.904591492195131</v>
      </c>
    </row>
    <row r="14152" spans="2:7" ht="11.25" hidden="1" customHeight="1" outlineLevel="2" x14ac:dyDescent="0.25">
      <c r="B14152" s="704" t="s">
        <v>694</v>
      </c>
      <c r="C14152" s="704" t="s">
        <v>790</v>
      </c>
      <c r="D14152" s="704" t="s">
        <v>728</v>
      </c>
      <c r="E14152" s="704" t="s">
        <v>448</v>
      </c>
      <c r="F14152" s="705">
        <v>0.36543610316616648</v>
      </c>
      <c r="G14152" s="705">
        <v>465.08712440586658</v>
      </c>
    </row>
    <row r="14153" spans="2:7" ht="11.25" hidden="1" customHeight="1" outlineLevel="2" x14ac:dyDescent="0.25">
      <c r="B14153" s="704" t="s">
        <v>694</v>
      </c>
      <c r="C14153" s="704" t="s">
        <v>791</v>
      </c>
      <c r="D14153" s="704" t="s">
        <v>728</v>
      </c>
      <c r="E14153" s="704" t="s">
        <v>448</v>
      </c>
      <c r="F14153" s="705">
        <v>0.63155137017914453</v>
      </c>
      <c r="G14153" s="705">
        <v>894.99592647328836</v>
      </c>
    </row>
    <row r="14154" spans="2:7" ht="11.25" hidden="1" customHeight="1" outlineLevel="2" x14ac:dyDescent="0.25">
      <c r="B14154" s="704" t="s">
        <v>694</v>
      </c>
      <c r="C14154" s="704" t="s">
        <v>792</v>
      </c>
      <c r="D14154" s="704" t="s">
        <v>728</v>
      </c>
      <c r="E14154" s="704" t="s">
        <v>448</v>
      </c>
      <c r="F14154" s="705">
        <v>7.1104884639453053E-2</v>
      </c>
      <c r="G14154" s="705">
        <v>149.84093283548589</v>
      </c>
    </row>
    <row r="14155" spans="2:7" ht="11.25" hidden="1" customHeight="1" outlineLevel="2" x14ac:dyDescent="0.25">
      <c r="B14155" s="704" t="s">
        <v>694</v>
      </c>
      <c r="C14155" s="704" t="s">
        <v>793</v>
      </c>
      <c r="D14155" s="704" t="s">
        <v>728</v>
      </c>
      <c r="E14155" s="704" t="s">
        <v>448</v>
      </c>
      <c r="F14155" s="705">
        <v>1.9778568648749124</v>
      </c>
      <c r="G14155" s="705">
        <v>2887.3139194418413</v>
      </c>
    </row>
    <row r="14156" spans="2:7" ht="11.25" hidden="1" customHeight="1" outlineLevel="2" x14ac:dyDescent="0.25">
      <c r="B14156" s="704" t="s">
        <v>694</v>
      </c>
      <c r="C14156" s="704" t="s">
        <v>794</v>
      </c>
      <c r="D14156" s="704" t="s">
        <v>728</v>
      </c>
      <c r="E14156" s="704" t="s">
        <v>448</v>
      </c>
      <c r="F14156" s="705">
        <v>2.101678535888642E-2</v>
      </c>
      <c r="G14156" s="705">
        <v>16.473977918572302</v>
      </c>
    </row>
    <row r="14157" spans="2:7" ht="11.25" hidden="1" customHeight="1" outlineLevel="2" x14ac:dyDescent="0.25">
      <c r="B14157" s="704" t="s">
        <v>694</v>
      </c>
      <c r="C14157" s="704" t="s">
        <v>795</v>
      </c>
      <c r="D14157" s="704" t="s">
        <v>728</v>
      </c>
      <c r="E14157" s="704" t="s">
        <v>448</v>
      </c>
      <c r="F14157" s="705">
        <v>0.11263522195926629</v>
      </c>
      <c r="G14157" s="705">
        <v>88.466132832786045</v>
      </c>
    </row>
    <row r="14158" spans="2:7" ht="11.25" hidden="1" customHeight="1" outlineLevel="2" x14ac:dyDescent="0.25">
      <c r="B14158" s="704" t="s">
        <v>694</v>
      </c>
      <c r="C14158" s="704" t="s">
        <v>845</v>
      </c>
      <c r="D14158" s="704" t="s">
        <v>728</v>
      </c>
      <c r="E14158" s="704" t="s">
        <v>824</v>
      </c>
      <c r="F14158" s="705">
        <v>5.5722816769299107E-3</v>
      </c>
      <c r="G14158" s="705">
        <v>49.707055612193848</v>
      </c>
    </row>
    <row r="14159" spans="2:7" ht="11.25" hidden="1" customHeight="1" outlineLevel="2" x14ac:dyDescent="0.25">
      <c r="B14159" s="704" t="s">
        <v>694</v>
      </c>
      <c r="C14159" s="704" t="s">
        <v>894</v>
      </c>
      <c r="D14159" s="704" t="s">
        <v>728</v>
      </c>
      <c r="E14159" s="704" t="s">
        <v>861</v>
      </c>
      <c r="F14159" s="709"/>
      <c r="G14159" s="705">
        <v>7.7268149244829012E-2</v>
      </c>
    </row>
    <row r="14160" spans="2:7" ht="11.25" hidden="1" customHeight="1" outlineLevel="2" x14ac:dyDescent="0.25">
      <c r="B14160" s="704" t="s">
        <v>694</v>
      </c>
      <c r="C14160" s="704" t="s">
        <v>895</v>
      </c>
      <c r="D14160" s="704" t="s">
        <v>728</v>
      </c>
      <c r="E14160" s="704" t="s">
        <v>861</v>
      </c>
      <c r="F14160" s="709"/>
      <c r="G14160" s="705">
        <v>2.6021645822646068E-29</v>
      </c>
    </row>
    <row r="14161" spans="2:7" ht="11.25" hidden="1" customHeight="1" outlineLevel="2" x14ac:dyDescent="0.25">
      <c r="B14161" s="704" t="s">
        <v>694</v>
      </c>
      <c r="C14161" s="704" t="s">
        <v>896</v>
      </c>
      <c r="D14161" s="704" t="s">
        <v>728</v>
      </c>
      <c r="E14161" s="704" t="s">
        <v>861</v>
      </c>
      <c r="F14161" s="709"/>
      <c r="G14161" s="705">
        <v>540.32149599598881</v>
      </c>
    </row>
    <row r="14162" spans="2:7" ht="11.25" hidden="1" customHeight="1" outlineLevel="2" x14ac:dyDescent="0.25">
      <c r="B14162" s="704" t="s">
        <v>694</v>
      </c>
      <c r="C14162" s="704" t="s">
        <v>897</v>
      </c>
      <c r="D14162" s="704" t="s">
        <v>728</v>
      </c>
      <c r="E14162" s="704" t="s">
        <v>861</v>
      </c>
      <c r="F14162" s="709"/>
      <c r="G14162" s="705">
        <v>111.50406737889084</v>
      </c>
    </row>
    <row r="14163" spans="2:7" ht="11.25" hidden="1" customHeight="1" outlineLevel="2" x14ac:dyDescent="0.25">
      <c r="B14163" s="704" t="s">
        <v>694</v>
      </c>
      <c r="C14163" s="704" t="s">
        <v>898</v>
      </c>
      <c r="D14163" s="704" t="s">
        <v>728</v>
      </c>
      <c r="E14163" s="704" t="s">
        <v>861</v>
      </c>
      <c r="F14163" s="709"/>
      <c r="G14163" s="705">
        <v>735.63337552939686</v>
      </c>
    </row>
    <row r="14164" spans="2:7" ht="11.25" hidden="1" customHeight="1" outlineLevel="2" x14ac:dyDescent="0.25">
      <c r="B14164" s="704" t="s">
        <v>694</v>
      </c>
      <c r="C14164" s="704" t="s">
        <v>899</v>
      </c>
      <c r="D14164" s="704" t="s">
        <v>728</v>
      </c>
      <c r="E14164" s="704" t="s">
        <v>861</v>
      </c>
      <c r="F14164" s="709"/>
      <c r="G14164" s="705">
        <v>86.737528034707111</v>
      </c>
    </row>
    <row r="14165" spans="2:7" ht="11.25" hidden="1" customHeight="1" outlineLevel="2" x14ac:dyDescent="0.25">
      <c r="B14165" s="704" t="s">
        <v>694</v>
      </c>
      <c r="C14165" s="704" t="s">
        <v>900</v>
      </c>
      <c r="D14165" s="704" t="s">
        <v>728</v>
      </c>
      <c r="E14165" s="704" t="s">
        <v>861</v>
      </c>
      <c r="F14165" s="709"/>
      <c r="G14165" s="705">
        <v>2.0661424734008036</v>
      </c>
    </row>
    <row r="14166" spans="2:7" ht="11.25" hidden="1" customHeight="1" outlineLevel="2" x14ac:dyDescent="0.25">
      <c r="B14166" s="704" t="s">
        <v>694</v>
      </c>
      <c r="C14166" s="704" t="s">
        <v>744</v>
      </c>
      <c r="D14166" s="704" t="s">
        <v>745</v>
      </c>
      <c r="E14166" s="704" t="s">
        <v>448</v>
      </c>
      <c r="F14166" s="705">
        <v>2.8849432160197527E-2</v>
      </c>
      <c r="G14166" s="705">
        <v>16.682181275804691</v>
      </c>
    </row>
    <row r="14167" spans="2:7" ht="11.25" hidden="1" customHeight="1" outlineLevel="2" x14ac:dyDescent="0.25">
      <c r="B14167" s="704" t="s">
        <v>694</v>
      </c>
      <c r="C14167" s="704" t="s">
        <v>812</v>
      </c>
      <c r="D14167" s="704" t="s">
        <v>745</v>
      </c>
      <c r="E14167" s="704" t="s">
        <v>448</v>
      </c>
      <c r="F14167" s="705">
        <v>3.372557576535281E-2</v>
      </c>
      <c r="G14167" s="705">
        <v>37.562514977707025</v>
      </c>
    </row>
    <row r="14168" spans="2:7" ht="11.25" hidden="1" customHeight="1" outlineLevel="2" x14ac:dyDescent="0.25">
      <c r="B14168" s="704" t="s">
        <v>694</v>
      </c>
      <c r="C14168" s="704" t="s">
        <v>813</v>
      </c>
      <c r="D14168" s="704" t="s">
        <v>745</v>
      </c>
      <c r="E14168" s="704" t="s">
        <v>448</v>
      </c>
      <c r="F14168" s="705">
        <v>3.4593869688454595E-4</v>
      </c>
      <c r="G14168" s="705">
        <v>0.44127437750524556</v>
      </c>
    </row>
    <row r="14169" spans="2:7" ht="11.25" hidden="1" customHeight="1" outlineLevel="2" x14ac:dyDescent="0.25">
      <c r="B14169" s="704" t="s">
        <v>694</v>
      </c>
      <c r="C14169" s="704" t="s">
        <v>917</v>
      </c>
      <c r="D14169" s="704" t="s">
        <v>745</v>
      </c>
      <c r="E14169" s="704" t="s">
        <v>861</v>
      </c>
      <c r="F14169" s="709"/>
      <c r="G14169" s="705">
        <v>499.87870960659404</v>
      </c>
    </row>
    <row r="14170" spans="2:7" ht="11.25" hidden="1" customHeight="1" outlineLevel="2" x14ac:dyDescent="0.25">
      <c r="B14170" s="704" t="s">
        <v>694</v>
      </c>
      <c r="C14170" s="704" t="s">
        <v>816</v>
      </c>
      <c r="D14170" s="704" t="s">
        <v>712</v>
      </c>
      <c r="E14170" s="704" t="s">
        <v>448</v>
      </c>
      <c r="F14170" s="705">
        <v>1.2846700037536762E-33</v>
      </c>
      <c r="G14170" s="705">
        <v>1.5042958365886881E-30</v>
      </c>
    </row>
    <row r="14171" spans="2:7" ht="11.25" hidden="1" customHeight="1" outlineLevel="2" x14ac:dyDescent="0.25">
      <c r="B14171" s="704" t="s">
        <v>694</v>
      </c>
      <c r="C14171" s="704" t="s">
        <v>711</v>
      </c>
      <c r="D14171" s="704" t="s">
        <v>712</v>
      </c>
      <c r="E14171" s="704" t="s">
        <v>676</v>
      </c>
      <c r="F14171" s="705">
        <v>3.136151520901011E-33</v>
      </c>
      <c r="G14171" s="705">
        <v>7.3601632656396319E-31</v>
      </c>
    </row>
    <row r="14172" spans="2:7" ht="11.25" hidden="1" customHeight="1" outlineLevel="2" x14ac:dyDescent="0.25">
      <c r="B14172" s="704" t="s">
        <v>694</v>
      </c>
      <c r="C14172" s="704" t="s">
        <v>921</v>
      </c>
      <c r="D14172" s="704" t="s">
        <v>712</v>
      </c>
      <c r="E14172" s="704" t="s">
        <v>861</v>
      </c>
      <c r="F14172" s="709"/>
      <c r="G14172" s="705">
        <v>7.9720101268876722E-32</v>
      </c>
    </row>
    <row r="14173" spans="2:7" ht="11.25" hidden="1" customHeight="1" outlineLevel="2" x14ac:dyDescent="0.25">
      <c r="B14173" s="704" t="s">
        <v>694</v>
      </c>
      <c r="C14173" s="704" t="s">
        <v>817</v>
      </c>
      <c r="D14173" s="704" t="s">
        <v>818</v>
      </c>
      <c r="E14173" s="704" t="s">
        <v>448</v>
      </c>
      <c r="F14173" s="705">
        <v>11.795102989506848</v>
      </c>
      <c r="G14173" s="705">
        <v>9692.3628318309929</v>
      </c>
    </row>
    <row r="14174" spans="2:7" ht="11.25" hidden="1" customHeight="1" outlineLevel="2" x14ac:dyDescent="0.25">
      <c r="B14174" s="704" t="s">
        <v>694</v>
      </c>
      <c r="C14174" s="704" t="s">
        <v>819</v>
      </c>
      <c r="D14174" s="704" t="s">
        <v>818</v>
      </c>
      <c r="E14174" s="704" t="s">
        <v>448</v>
      </c>
      <c r="F14174" s="705">
        <v>5.1361397253253971</v>
      </c>
      <c r="G14174" s="705">
        <v>4090.1511692792328</v>
      </c>
    </row>
    <row r="14175" spans="2:7" ht="11.25" hidden="1" customHeight="1" outlineLevel="2" x14ac:dyDescent="0.25">
      <c r="B14175" s="704" t="s">
        <v>694</v>
      </c>
      <c r="C14175" s="704" t="s">
        <v>820</v>
      </c>
      <c r="D14175" s="704" t="s">
        <v>818</v>
      </c>
      <c r="E14175" s="704" t="s">
        <v>448</v>
      </c>
      <c r="F14175" s="705">
        <v>5.944273433474863</v>
      </c>
      <c r="G14175" s="705">
        <v>9272.7171184878116</v>
      </c>
    </row>
    <row r="14176" spans="2:7" ht="11.25" hidden="1" customHeight="1" outlineLevel="2" x14ac:dyDescent="0.25">
      <c r="B14176" s="704" t="s">
        <v>694</v>
      </c>
      <c r="C14176" s="704" t="s">
        <v>857</v>
      </c>
      <c r="D14176" s="704" t="s">
        <v>818</v>
      </c>
      <c r="E14176" s="704" t="s">
        <v>664</v>
      </c>
      <c r="F14176" s="709"/>
      <c r="G14176" s="705">
        <v>8256.0997184940643</v>
      </c>
    </row>
    <row r="14177" spans="2:7" ht="11.25" hidden="1" customHeight="1" outlineLevel="2" x14ac:dyDescent="0.25">
      <c r="B14177" s="704" t="s">
        <v>694</v>
      </c>
      <c r="C14177" s="704" t="s">
        <v>858</v>
      </c>
      <c r="D14177" s="704" t="s">
        <v>818</v>
      </c>
      <c r="E14177" s="704" t="s">
        <v>664</v>
      </c>
      <c r="F14177" s="709"/>
      <c r="G14177" s="705">
        <v>22.698542669726024</v>
      </c>
    </row>
    <row r="14178" spans="2:7" ht="11.25" hidden="1" customHeight="1" outlineLevel="2" x14ac:dyDescent="0.25">
      <c r="B14178" s="704" t="s">
        <v>694</v>
      </c>
      <c r="C14178" s="704" t="s">
        <v>922</v>
      </c>
      <c r="D14178" s="704" t="s">
        <v>822</v>
      </c>
      <c r="E14178" s="704" t="s">
        <v>861</v>
      </c>
      <c r="F14178" s="709"/>
      <c r="G14178" s="705">
        <v>1.8185952543475339</v>
      </c>
    </row>
    <row r="14179" spans="2:7" ht="11.25" hidden="1" customHeight="1" outlineLevel="2" x14ac:dyDescent="0.25">
      <c r="B14179" s="704" t="s">
        <v>694</v>
      </c>
      <c r="C14179" s="704" t="s">
        <v>821</v>
      </c>
      <c r="D14179" s="704" t="s">
        <v>822</v>
      </c>
      <c r="E14179" s="704" t="s">
        <v>448</v>
      </c>
      <c r="F14179" s="705">
        <v>5.7322654762894346E-5</v>
      </c>
      <c r="G14179" s="705">
        <v>7.7888305189482809E-2</v>
      </c>
    </row>
    <row r="14180" spans="2:7" ht="11.25" hidden="1" customHeight="1" outlineLevel="2" x14ac:dyDescent="0.25">
      <c r="B14180" s="704" t="s">
        <v>694</v>
      </c>
      <c r="C14180" s="704" t="s">
        <v>855</v>
      </c>
      <c r="D14180" s="704" t="s">
        <v>822</v>
      </c>
      <c r="E14180" s="704" t="s">
        <v>824</v>
      </c>
      <c r="F14180" s="705">
        <v>9.1570708988094493E-7</v>
      </c>
      <c r="G14180" s="705">
        <v>2.6506157893599865E-3</v>
      </c>
    </row>
    <row r="14181" spans="2:7" ht="11.25" hidden="1" customHeight="1" outlineLevel="2" x14ac:dyDescent="0.25">
      <c r="B14181" s="704" t="s">
        <v>694</v>
      </c>
      <c r="C14181" s="704" t="s">
        <v>716</v>
      </c>
      <c r="D14181" s="704" t="s">
        <v>715</v>
      </c>
      <c r="E14181" s="704" t="s">
        <v>448</v>
      </c>
      <c r="F14181" s="705">
        <v>3.4412263012536057E-35</v>
      </c>
      <c r="G14181" s="705">
        <v>4.1921589853032535E-32</v>
      </c>
    </row>
    <row r="14182" spans="2:7" ht="11.25" hidden="1" customHeight="1" outlineLevel="2" x14ac:dyDescent="0.25">
      <c r="B14182" s="704" t="s">
        <v>694</v>
      </c>
      <c r="C14182" s="704" t="s">
        <v>717</v>
      </c>
      <c r="D14182" s="704" t="s">
        <v>715</v>
      </c>
      <c r="E14182" s="704" t="s">
        <v>448</v>
      </c>
      <c r="F14182" s="705">
        <v>2.5725958477969523E-34</v>
      </c>
      <c r="G14182" s="705">
        <v>7.0309237561352104E-32</v>
      </c>
    </row>
    <row r="14183" spans="2:7" ht="11.25" hidden="1" customHeight="1" outlineLevel="2" x14ac:dyDescent="0.25">
      <c r="B14183" s="704" t="s">
        <v>694</v>
      </c>
      <c r="C14183" s="704" t="s">
        <v>718</v>
      </c>
      <c r="D14183" s="704" t="s">
        <v>715</v>
      </c>
      <c r="E14183" s="704" t="s">
        <v>448</v>
      </c>
      <c r="F14183" s="705">
        <v>1.0334569929962253E-33</v>
      </c>
      <c r="G14183" s="705">
        <v>1.1418625961266794E-30</v>
      </c>
    </row>
    <row r="14184" spans="2:7" ht="11.25" hidden="1" customHeight="1" outlineLevel="2" x14ac:dyDescent="0.25">
      <c r="B14184" s="704" t="s">
        <v>694</v>
      </c>
      <c r="C14184" s="704" t="s">
        <v>746</v>
      </c>
      <c r="D14184" s="704" t="s">
        <v>715</v>
      </c>
      <c r="E14184" s="704" t="s">
        <v>448</v>
      </c>
      <c r="F14184" s="705">
        <v>1.7007293296187203E-31</v>
      </c>
      <c r="G14184" s="705">
        <v>1.1851687439838577E-28</v>
      </c>
    </row>
    <row r="14185" spans="2:7" ht="11.25" hidden="1" customHeight="1" outlineLevel="2" x14ac:dyDescent="0.25">
      <c r="B14185" s="704" t="s">
        <v>694</v>
      </c>
      <c r="C14185" s="704" t="s">
        <v>747</v>
      </c>
      <c r="D14185" s="704" t="s">
        <v>715</v>
      </c>
      <c r="E14185" s="704" t="s">
        <v>448</v>
      </c>
      <c r="F14185" s="705">
        <v>3.7223526161049563E-31</v>
      </c>
      <c r="G14185" s="705">
        <v>3.1931912408776148E-28</v>
      </c>
    </row>
    <row r="14186" spans="2:7" ht="11.25" hidden="1" customHeight="1" outlineLevel="2" x14ac:dyDescent="0.25">
      <c r="B14186" s="704" t="s">
        <v>694</v>
      </c>
      <c r="C14186" s="704" t="s">
        <v>748</v>
      </c>
      <c r="D14186" s="704" t="s">
        <v>715</v>
      </c>
      <c r="E14186" s="704" t="s">
        <v>448</v>
      </c>
      <c r="F14186" s="705">
        <v>6.6319380563515731E-2</v>
      </c>
      <c r="G14186" s="705">
        <v>86.330920114526606</v>
      </c>
    </row>
    <row r="14187" spans="2:7" ht="11.25" hidden="1" customHeight="1" outlineLevel="2" x14ac:dyDescent="0.25">
      <c r="B14187" s="704" t="s">
        <v>694</v>
      </c>
      <c r="C14187" s="704" t="s">
        <v>749</v>
      </c>
      <c r="D14187" s="704" t="s">
        <v>715</v>
      </c>
      <c r="E14187" s="704" t="s">
        <v>448</v>
      </c>
      <c r="F14187" s="705">
        <v>1.6173722528088712E-35</v>
      </c>
      <c r="G14187" s="705">
        <v>1.5768694812717283E-32</v>
      </c>
    </row>
    <row r="14188" spans="2:7" ht="11.25" hidden="1" customHeight="1" outlineLevel="2" x14ac:dyDescent="0.25">
      <c r="B14188" s="704" t="s">
        <v>694</v>
      </c>
      <c r="C14188" s="704" t="s">
        <v>823</v>
      </c>
      <c r="D14188" s="704" t="s">
        <v>715</v>
      </c>
      <c r="E14188" s="704" t="s">
        <v>824</v>
      </c>
      <c r="F14188" s="705">
        <v>1.9010908880696712E-35</v>
      </c>
      <c r="G14188" s="705">
        <v>3.1761120668295189E-32</v>
      </c>
    </row>
    <row r="14189" spans="2:7" ht="11.25" hidden="1" customHeight="1" outlineLevel="2" x14ac:dyDescent="0.25">
      <c r="B14189" s="704" t="s">
        <v>694</v>
      </c>
      <c r="C14189" s="704" t="s">
        <v>860</v>
      </c>
      <c r="D14189" s="704" t="s">
        <v>715</v>
      </c>
      <c r="E14189" s="704" t="s">
        <v>861</v>
      </c>
      <c r="F14189" s="709"/>
      <c r="G14189" s="705">
        <v>3.9412429149442822E-29</v>
      </c>
    </row>
    <row r="14190" spans="2:7" ht="11.25" hidden="1" customHeight="1" outlineLevel="2" x14ac:dyDescent="0.25">
      <c r="B14190" s="704" t="s">
        <v>694</v>
      </c>
      <c r="C14190" s="704" t="s">
        <v>919</v>
      </c>
      <c r="D14190" s="704" t="s">
        <v>920</v>
      </c>
      <c r="E14190" s="704" t="s">
        <v>861</v>
      </c>
      <c r="F14190" s="709"/>
      <c r="G14190" s="705">
        <v>2.0277223627944984E-29</v>
      </c>
    </row>
    <row r="14191" spans="2:7" ht="11.25" hidden="1" customHeight="1" outlineLevel="1" x14ac:dyDescent="0.25">
      <c r="B14191" s="707" t="s">
        <v>960</v>
      </c>
      <c r="C14191" s="704"/>
      <c r="D14191" s="704"/>
      <c r="E14191" s="704"/>
      <c r="F14191" s="709">
        <f t="shared" ref="F14191:G14191" si="45">SUBTOTAL(9,F13981:F14190)</f>
        <v>30.286724615148344</v>
      </c>
      <c r="G14191" s="705">
        <f t="shared" si="45"/>
        <v>51198.486151249497</v>
      </c>
    </row>
    <row r="14192" spans="2:7" ht="11.25" hidden="1" customHeight="1" outlineLevel="2" x14ac:dyDescent="0.25">
      <c r="B14192" s="704" t="s">
        <v>695</v>
      </c>
      <c r="C14192" s="704" t="s">
        <v>739</v>
      </c>
      <c r="D14192" s="704" t="s">
        <v>44</v>
      </c>
      <c r="E14192" s="704" t="s">
        <v>448</v>
      </c>
      <c r="F14192" s="705">
        <v>2.485190605547622E-3</v>
      </c>
      <c r="G14192" s="705">
        <v>1.5158083494134906</v>
      </c>
    </row>
    <row r="14193" spans="2:7" ht="11.25" hidden="1" customHeight="1" outlineLevel="2" x14ac:dyDescent="0.25">
      <c r="B14193" s="704" t="s">
        <v>695</v>
      </c>
      <c r="C14193" s="704" t="s">
        <v>796</v>
      </c>
      <c r="D14193" s="704" t="s">
        <v>44</v>
      </c>
      <c r="E14193" s="704" t="s">
        <v>448</v>
      </c>
      <c r="F14193" s="705">
        <v>2.6031381909864008E-3</v>
      </c>
      <c r="G14193" s="705">
        <v>3.6771369343396452</v>
      </c>
    </row>
    <row r="14194" spans="2:7" ht="11.25" hidden="1" customHeight="1" outlineLevel="2" x14ac:dyDescent="0.25">
      <c r="B14194" s="704" t="s">
        <v>695</v>
      </c>
      <c r="C14194" s="704" t="s">
        <v>797</v>
      </c>
      <c r="D14194" s="704" t="s">
        <v>44</v>
      </c>
      <c r="E14194" s="704" t="s">
        <v>448</v>
      </c>
      <c r="F14194" s="705">
        <v>4.1601694866194236E-3</v>
      </c>
      <c r="G14194" s="705">
        <v>14.307536574203839</v>
      </c>
    </row>
    <row r="14195" spans="2:7" ht="11.25" hidden="1" customHeight="1" outlineLevel="2" x14ac:dyDescent="0.25">
      <c r="B14195" s="704" t="s">
        <v>695</v>
      </c>
      <c r="C14195" s="704" t="s">
        <v>798</v>
      </c>
      <c r="D14195" s="704" t="s">
        <v>44</v>
      </c>
      <c r="E14195" s="704" t="s">
        <v>448</v>
      </c>
      <c r="F14195" s="705">
        <v>6.841640743662543E-5</v>
      </c>
      <c r="G14195" s="705">
        <v>9.0117014950568411E-2</v>
      </c>
    </row>
    <row r="14196" spans="2:7" ht="11.25" hidden="1" customHeight="1" outlineLevel="2" x14ac:dyDescent="0.25">
      <c r="B14196" s="704" t="s">
        <v>695</v>
      </c>
      <c r="C14196" s="704" t="s">
        <v>799</v>
      </c>
      <c r="D14196" s="704" t="s">
        <v>44</v>
      </c>
      <c r="E14196" s="704" t="s">
        <v>448</v>
      </c>
      <c r="F14196" s="705">
        <v>7.39107051508391E-3</v>
      </c>
      <c r="G14196" s="705">
        <v>9.7279760086367464</v>
      </c>
    </row>
    <row r="14197" spans="2:7" ht="11.25" hidden="1" customHeight="1" outlineLevel="2" x14ac:dyDescent="0.25">
      <c r="B14197" s="704" t="s">
        <v>695</v>
      </c>
      <c r="C14197" s="704" t="s">
        <v>800</v>
      </c>
      <c r="D14197" s="704" t="s">
        <v>44</v>
      </c>
      <c r="E14197" s="704" t="s">
        <v>448</v>
      </c>
      <c r="F14197" s="705">
        <v>2.4310326030294979E-3</v>
      </c>
      <c r="G14197" s="705">
        <v>3.0472241031264842</v>
      </c>
    </row>
    <row r="14198" spans="2:7" ht="11.25" hidden="1" customHeight="1" outlineLevel="2" x14ac:dyDescent="0.25">
      <c r="B14198" s="704" t="s">
        <v>695</v>
      </c>
      <c r="C14198" s="704" t="s">
        <v>801</v>
      </c>
      <c r="D14198" s="704" t="s">
        <v>44</v>
      </c>
      <c r="E14198" s="704" t="s">
        <v>448</v>
      </c>
      <c r="F14198" s="705">
        <v>3.17236458417035E-2</v>
      </c>
      <c r="G14198" s="705">
        <v>33.102579577477066</v>
      </c>
    </row>
    <row r="14199" spans="2:7" ht="11.25" hidden="1" customHeight="1" outlineLevel="2" x14ac:dyDescent="0.25">
      <c r="B14199" s="704" t="s">
        <v>695</v>
      </c>
      <c r="C14199" s="704" t="s">
        <v>802</v>
      </c>
      <c r="D14199" s="704" t="s">
        <v>44</v>
      </c>
      <c r="E14199" s="704" t="s">
        <v>448</v>
      </c>
      <c r="F14199" s="705">
        <v>0.1043344968080278</v>
      </c>
      <c r="G14199" s="705">
        <v>70.955437534597422</v>
      </c>
    </row>
    <row r="14200" spans="2:7" ht="11.25" hidden="1" customHeight="1" outlineLevel="2" x14ac:dyDescent="0.25">
      <c r="B14200" s="704" t="s">
        <v>695</v>
      </c>
      <c r="C14200" s="704" t="s">
        <v>803</v>
      </c>
      <c r="D14200" s="704" t="s">
        <v>44</v>
      </c>
      <c r="E14200" s="704" t="s">
        <v>448</v>
      </c>
      <c r="F14200" s="705">
        <v>1.172885058721109E-2</v>
      </c>
      <c r="G14200" s="705">
        <v>15.43726916626974</v>
      </c>
    </row>
    <row r="14201" spans="2:7" ht="11.25" hidden="1" customHeight="1" outlineLevel="2" x14ac:dyDescent="0.25">
      <c r="B14201" s="704" t="s">
        <v>695</v>
      </c>
      <c r="C14201" s="704" t="s">
        <v>804</v>
      </c>
      <c r="D14201" s="704" t="s">
        <v>44</v>
      </c>
      <c r="E14201" s="704" t="s">
        <v>448</v>
      </c>
      <c r="F14201" s="705">
        <v>1.7457624912638796E-2</v>
      </c>
      <c r="G14201" s="705">
        <v>22.353118224096185</v>
      </c>
    </row>
    <row r="14202" spans="2:7" ht="11.25" hidden="1" customHeight="1" outlineLevel="2" x14ac:dyDescent="0.25">
      <c r="B14202" s="704" t="s">
        <v>695</v>
      </c>
      <c r="C14202" s="704" t="s">
        <v>805</v>
      </c>
      <c r="D14202" s="704" t="s">
        <v>44</v>
      </c>
      <c r="E14202" s="704" t="s">
        <v>448</v>
      </c>
      <c r="F14202" s="705">
        <v>3.5000728076189165E-3</v>
      </c>
      <c r="G14202" s="705">
        <v>24.797311481424781</v>
      </c>
    </row>
    <row r="14203" spans="2:7" ht="11.25" hidden="1" customHeight="1" outlineLevel="2" x14ac:dyDescent="0.25">
      <c r="B14203" s="704" t="s">
        <v>695</v>
      </c>
      <c r="C14203" s="704" t="s">
        <v>846</v>
      </c>
      <c r="D14203" s="704" t="s">
        <v>44</v>
      </c>
      <c r="E14203" s="704" t="s">
        <v>824</v>
      </c>
      <c r="F14203" s="705">
        <v>8.5413733794647472E-5</v>
      </c>
      <c r="G14203" s="705">
        <v>0.13571859051337171</v>
      </c>
    </row>
    <row r="14204" spans="2:7" ht="11.25" hidden="1" customHeight="1" outlineLevel="2" x14ac:dyDescent="0.25">
      <c r="B14204" s="704" t="s">
        <v>695</v>
      </c>
      <c r="C14204" s="704" t="s">
        <v>847</v>
      </c>
      <c r="D14204" s="704" t="s">
        <v>44</v>
      </c>
      <c r="E14204" s="704" t="s">
        <v>824</v>
      </c>
      <c r="F14204" s="705">
        <v>1.7526742416485278E-5</v>
      </c>
      <c r="G14204" s="705">
        <v>0.18471137064050053</v>
      </c>
    </row>
    <row r="14205" spans="2:7" ht="11.25" hidden="1" customHeight="1" outlineLevel="2" x14ac:dyDescent="0.25">
      <c r="B14205" s="704" t="s">
        <v>695</v>
      </c>
      <c r="C14205" s="704" t="s">
        <v>705</v>
      </c>
      <c r="D14205" s="704" t="s">
        <v>44</v>
      </c>
      <c r="E14205" s="704" t="s">
        <v>676</v>
      </c>
      <c r="F14205" s="705">
        <v>3.4191745537725774E-3</v>
      </c>
      <c r="G14205" s="705">
        <v>3.5851449410055768E-2</v>
      </c>
    </row>
    <row r="14206" spans="2:7" ht="11.25" hidden="1" customHeight="1" outlineLevel="2" x14ac:dyDescent="0.25">
      <c r="B14206" s="704" t="s">
        <v>695</v>
      </c>
      <c r="C14206" s="704" t="s">
        <v>706</v>
      </c>
      <c r="D14206" s="704" t="s">
        <v>44</v>
      </c>
      <c r="E14206" s="704" t="s">
        <v>676</v>
      </c>
      <c r="F14206" s="705">
        <v>1.0852692042733196E-3</v>
      </c>
      <c r="G14206" s="705">
        <v>1.1376103977405802E-2</v>
      </c>
    </row>
    <row r="14207" spans="2:7" ht="11.25" hidden="1" customHeight="1" outlineLevel="2" x14ac:dyDescent="0.25">
      <c r="B14207" s="704" t="s">
        <v>695</v>
      </c>
      <c r="C14207" s="704" t="s">
        <v>901</v>
      </c>
      <c r="D14207" s="704" t="s">
        <v>44</v>
      </c>
      <c r="E14207" s="704" t="s">
        <v>861</v>
      </c>
      <c r="F14207" s="709"/>
      <c r="G14207" s="705">
        <v>0.26512378526951963</v>
      </c>
    </row>
    <row r="14208" spans="2:7" ht="11.25" hidden="1" customHeight="1" outlineLevel="2" x14ac:dyDescent="0.25">
      <c r="B14208" s="704" t="s">
        <v>695</v>
      </c>
      <c r="C14208" s="704" t="s">
        <v>902</v>
      </c>
      <c r="D14208" s="704" t="s">
        <v>44</v>
      </c>
      <c r="E14208" s="704" t="s">
        <v>861</v>
      </c>
      <c r="F14208" s="709"/>
      <c r="G14208" s="705">
        <v>11461.935152314667</v>
      </c>
    </row>
    <row r="14209" spans="2:7" ht="11.25" hidden="1" customHeight="1" outlineLevel="2" x14ac:dyDescent="0.25">
      <c r="B14209" s="704" t="s">
        <v>695</v>
      </c>
      <c r="C14209" s="704" t="s">
        <v>903</v>
      </c>
      <c r="D14209" s="704" t="s">
        <v>44</v>
      </c>
      <c r="E14209" s="704" t="s">
        <v>861</v>
      </c>
      <c r="F14209" s="709"/>
      <c r="G14209" s="705">
        <v>1028.4853386226332</v>
      </c>
    </row>
    <row r="14210" spans="2:7" ht="11.25" hidden="1" customHeight="1" outlineLevel="2" x14ac:dyDescent="0.25">
      <c r="B14210" s="704" t="s">
        <v>695</v>
      </c>
      <c r="C14210" s="704" t="s">
        <v>904</v>
      </c>
      <c r="D14210" s="704" t="s">
        <v>44</v>
      </c>
      <c r="E14210" s="704" t="s">
        <v>861</v>
      </c>
      <c r="F14210" s="709"/>
      <c r="G14210" s="705">
        <v>5.7169746698979962</v>
      </c>
    </row>
    <row r="14211" spans="2:7" ht="11.25" hidden="1" customHeight="1" outlineLevel="2" x14ac:dyDescent="0.25">
      <c r="B14211" s="704" t="s">
        <v>695</v>
      </c>
      <c r="C14211" s="704" t="s">
        <v>905</v>
      </c>
      <c r="D14211" s="704" t="s">
        <v>44</v>
      </c>
      <c r="E14211" s="704" t="s">
        <v>861</v>
      </c>
      <c r="F14211" s="709"/>
      <c r="G14211" s="705">
        <v>1.1734009836068384</v>
      </c>
    </row>
    <row r="14212" spans="2:7" ht="11.25" hidden="1" customHeight="1" outlineLevel="2" x14ac:dyDescent="0.25">
      <c r="B14212" s="704" t="s">
        <v>695</v>
      </c>
      <c r="C14212" s="704" t="s">
        <v>906</v>
      </c>
      <c r="D14212" s="704" t="s">
        <v>44</v>
      </c>
      <c r="E14212" s="704" t="s">
        <v>861</v>
      </c>
      <c r="F14212" s="709"/>
      <c r="G14212" s="705">
        <v>87.306026459601966</v>
      </c>
    </row>
    <row r="14213" spans="2:7" ht="11.25" hidden="1" customHeight="1" outlineLevel="2" x14ac:dyDescent="0.25">
      <c r="B14213" s="704" t="s">
        <v>695</v>
      </c>
      <c r="C14213" s="704" t="s">
        <v>907</v>
      </c>
      <c r="D14213" s="704" t="s">
        <v>44</v>
      </c>
      <c r="E14213" s="704" t="s">
        <v>861</v>
      </c>
      <c r="F14213" s="709"/>
      <c r="G14213" s="705">
        <v>0.21866965126155821</v>
      </c>
    </row>
    <row r="14214" spans="2:7" ht="11.25" hidden="1" customHeight="1" outlineLevel="2" x14ac:dyDescent="0.25">
      <c r="B14214" s="704" t="s">
        <v>695</v>
      </c>
      <c r="C14214" s="704" t="s">
        <v>908</v>
      </c>
      <c r="D14214" s="704" t="s">
        <v>44</v>
      </c>
      <c r="E14214" s="704" t="s">
        <v>861</v>
      </c>
      <c r="F14214" s="709"/>
      <c r="G14214" s="705">
        <v>80.694650593849516</v>
      </c>
    </row>
    <row r="14215" spans="2:7" ht="11.25" hidden="1" customHeight="1" outlineLevel="2" x14ac:dyDescent="0.25">
      <c r="B14215" s="704" t="s">
        <v>695</v>
      </c>
      <c r="C14215" s="704" t="s">
        <v>909</v>
      </c>
      <c r="D14215" s="704" t="s">
        <v>44</v>
      </c>
      <c r="E14215" s="704" t="s">
        <v>861</v>
      </c>
      <c r="F14215" s="709"/>
      <c r="G14215" s="705">
        <v>224.14857071263691</v>
      </c>
    </row>
    <row r="14216" spans="2:7" ht="11.25" hidden="1" customHeight="1" outlineLevel="2" x14ac:dyDescent="0.25">
      <c r="B14216" s="704" t="s">
        <v>695</v>
      </c>
      <c r="C14216" s="704" t="s">
        <v>910</v>
      </c>
      <c r="D14216" s="704" t="s">
        <v>44</v>
      </c>
      <c r="E14216" s="704" t="s">
        <v>861</v>
      </c>
      <c r="F14216" s="709"/>
      <c r="G14216" s="705">
        <v>164.79280336456816</v>
      </c>
    </row>
    <row r="14217" spans="2:7" ht="11.25" hidden="1" customHeight="1" outlineLevel="2" x14ac:dyDescent="0.25">
      <c r="B14217" s="704" t="s">
        <v>695</v>
      </c>
      <c r="C14217" s="704" t="s">
        <v>814</v>
      </c>
      <c r="D14217" s="704" t="s">
        <v>815</v>
      </c>
      <c r="E14217" s="704" t="s">
        <v>448</v>
      </c>
      <c r="F14217" s="705">
        <v>8.8858917893321879E-5</v>
      </c>
      <c r="G14217" s="705">
        <v>0.25953448303135218</v>
      </c>
    </row>
    <row r="14218" spans="2:7" ht="11.25" hidden="1" customHeight="1" outlineLevel="2" x14ac:dyDescent="0.25">
      <c r="B14218" s="704" t="s">
        <v>695</v>
      </c>
      <c r="C14218" s="704" t="s">
        <v>854</v>
      </c>
      <c r="D14218" s="704" t="s">
        <v>815</v>
      </c>
      <c r="E14218" s="704" t="s">
        <v>824</v>
      </c>
      <c r="F14218" s="705">
        <v>2.581873384638362E-5</v>
      </c>
      <c r="G14218" s="705">
        <v>0.23721979531086068</v>
      </c>
    </row>
    <row r="14219" spans="2:7" ht="11.25" hidden="1" customHeight="1" outlineLevel="2" x14ac:dyDescent="0.25">
      <c r="B14219" s="704" t="s">
        <v>695</v>
      </c>
      <c r="C14219" s="704" t="s">
        <v>918</v>
      </c>
      <c r="D14219" s="704" t="s">
        <v>815</v>
      </c>
      <c r="E14219" s="704" t="s">
        <v>861</v>
      </c>
      <c r="F14219" s="709"/>
      <c r="G14219" s="705">
        <v>16.312053089128646</v>
      </c>
    </row>
    <row r="14220" spans="2:7" ht="11.25" hidden="1" customHeight="1" outlineLevel="2" x14ac:dyDescent="0.25">
      <c r="B14220" s="704" t="s">
        <v>695</v>
      </c>
      <c r="C14220" s="704" t="s">
        <v>740</v>
      </c>
      <c r="D14220" s="704" t="s">
        <v>562</v>
      </c>
      <c r="E14220" s="704" t="s">
        <v>448</v>
      </c>
      <c r="F14220" s="705">
        <v>7.5970688631559558E-3</v>
      </c>
      <c r="G14220" s="705">
        <v>3.7645429265481249</v>
      </c>
    </row>
    <row r="14221" spans="2:7" ht="11.25" hidden="1" customHeight="1" outlineLevel="2" x14ac:dyDescent="0.25">
      <c r="B14221" s="704" t="s">
        <v>695</v>
      </c>
      <c r="C14221" s="704" t="s">
        <v>741</v>
      </c>
      <c r="D14221" s="704" t="s">
        <v>562</v>
      </c>
      <c r="E14221" s="704" t="s">
        <v>448</v>
      </c>
      <c r="F14221" s="705">
        <v>4.8544889193414494E-2</v>
      </c>
      <c r="G14221" s="705">
        <v>25.115830670688506</v>
      </c>
    </row>
    <row r="14222" spans="2:7" ht="11.25" hidden="1" customHeight="1" outlineLevel="2" x14ac:dyDescent="0.25">
      <c r="B14222" s="704" t="s">
        <v>695</v>
      </c>
      <c r="C14222" s="704" t="s">
        <v>742</v>
      </c>
      <c r="D14222" s="704" t="s">
        <v>562</v>
      </c>
      <c r="E14222" s="704" t="s">
        <v>448</v>
      </c>
      <c r="F14222" s="705">
        <v>2.1608890714879187E-5</v>
      </c>
      <c r="G14222" s="705">
        <v>9.68640521879407E-3</v>
      </c>
    </row>
    <row r="14223" spans="2:7" ht="11.25" hidden="1" customHeight="1" outlineLevel="2" x14ac:dyDescent="0.25">
      <c r="B14223" s="704" t="s">
        <v>695</v>
      </c>
      <c r="C14223" s="704" t="s">
        <v>743</v>
      </c>
      <c r="D14223" s="704" t="s">
        <v>562</v>
      </c>
      <c r="E14223" s="704" t="s">
        <v>448</v>
      </c>
      <c r="F14223" s="705">
        <v>3.4001177154185567E-4</v>
      </c>
      <c r="G14223" s="705">
        <v>0.15241382156540048</v>
      </c>
    </row>
    <row r="14224" spans="2:7" ht="11.25" hidden="1" customHeight="1" outlineLevel="2" x14ac:dyDescent="0.25">
      <c r="B14224" s="704" t="s">
        <v>695</v>
      </c>
      <c r="C14224" s="704" t="s">
        <v>806</v>
      </c>
      <c r="D14224" s="704" t="s">
        <v>562</v>
      </c>
      <c r="E14224" s="704" t="s">
        <v>448</v>
      </c>
      <c r="F14224" s="705">
        <v>0.64063980464410519</v>
      </c>
      <c r="G14224" s="705">
        <v>774.91198827606638</v>
      </c>
    </row>
    <row r="14225" spans="2:7" ht="11.25" hidden="1" customHeight="1" outlineLevel="2" x14ac:dyDescent="0.25">
      <c r="B14225" s="704" t="s">
        <v>695</v>
      </c>
      <c r="C14225" s="704" t="s">
        <v>807</v>
      </c>
      <c r="D14225" s="704" t="s">
        <v>562</v>
      </c>
      <c r="E14225" s="704" t="s">
        <v>448</v>
      </c>
      <c r="F14225" s="705">
        <v>0.13790525199731937</v>
      </c>
      <c r="G14225" s="705">
        <v>193.91405372997039</v>
      </c>
    </row>
    <row r="14226" spans="2:7" ht="11.25" hidden="1" customHeight="1" outlineLevel="2" x14ac:dyDescent="0.25">
      <c r="B14226" s="704" t="s">
        <v>695</v>
      </c>
      <c r="C14226" s="704" t="s">
        <v>808</v>
      </c>
      <c r="D14226" s="704" t="s">
        <v>562</v>
      </c>
      <c r="E14226" s="704" t="s">
        <v>448</v>
      </c>
      <c r="F14226" s="705">
        <v>6.3658728113471078E-2</v>
      </c>
      <c r="G14226" s="705">
        <v>102.83117428343876</v>
      </c>
    </row>
    <row r="14227" spans="2:7" ht="11.25" hidden="1" customHeight="1" outlineLevel="2" x14ac:dyDescent="0.25">
      <c r="B14227" s="704" t="s">
        <v>695</v>
      </c>
      <c r="C14227" s="704" t="s">
        <v>809</v>
      </c>
      <c r="D14227" s="704" t="s">
        <v>562</v>
      </c>
      <c r="E14227" s="704" t="s">
        <v>448</v>
      </c>
      <c r="F14227" s="705">
        <v>0.14668078929074529</v>
      </c>
      <c r="G14227" s="705">
        <v>220.63834412112848</v>
      </c>
    </row>
    <row r="14228" spans="2:7" ht="11.25" hidden="1" customHeight="1" outlineLevel="2" x14ac:dyDescent="0.25">
      <c r="B14228" s="704" t="s">
        <v>695</v>
      </c>
      <c r="C14228" s="704" t="s">
        <v>810</v>
      </c>
      <c r="D14228" s="704" t="s">
        <v>562</v>
      </c>
      <c r="E14228" s="704" t="s">
        <v>448</v>
      </c>
      <c r="F14228" s="705">
        <v>0.2770173420855857</v>
      </c>
      <c r="G14228" s="705">
        <v>347.59643894986755</v>
      </c>
    </row>
    <row r="14229" spans="2:7" ht="11.25" hidden="1" customHeight="1" outlineLevel="2" x14ac:dyDescent="0.25">
      <c r="B14229" s="704" t="s">
        <v>695</v>
      </c>
      <c r="C14229" s="704" t="s">
        <v>811</v>
      </c>
      <c r="D14229" s="704" t="s">
        <v>562</v>
      </c>
      <c r="E14229" s="704" t="s">
        <v>448</v>
      </c>
      <c r="F14229" s="705">
        <v>1.1793231427693214E-2</v>
      </c>
      <c r="G14229" s="705">
        <v>16.349008527257443</v>
      </c>
    </row>
    <row r="14230" spans="2:7" ht="11.25" hidden="1" customHeight="1" outlineLevel="2" x14ac:dyDescent="0.25">
      <c r="B14230" s="704" t="s">
        <v>695</v>
      </c>
      <c r="C14230" s="704" t="s">
        <v>848</v>
      </c>
      <c r="D14230" s="704" t="s">
        <v>562</v>
      </c>
      <c r="E14230" s="704" t="s">
        <v>824</v>
      </c>
      <c r="F14230" s="705">
        <v>3.7503867800615341E-2</v>
      </c>
      <c r="G14230" s="705">
        <v>103.10582481057411</v>
      </c>
    </row>
    <row r="14231" spans="2:7" ht="11.25" hidden="1" customHeight="1" outlineLevel="2" x14ac:dyDescent="0.25">
      <c r="B14231" s="704" t="s">
        <v>695</v>
      </c>
      <c r="C14231" s="704" t="s">
        <v>849</v>
      </c>
      <c r="D14231" s="704" t="s">
        <v>562</v>
      </c>
      <c r="E14231" s="704" t="s">
        <v>824</v>
      </c>
      <c r="F14231" s="705">
        <v>5.4451602495098712E-3</v>
      </c>
      <c r="G14231" s="705">
        <v>22.965261052412146</v>
      </c>
    </row>
    <row r="14232" spans="2:7" ht="11.25" hidden="1" customHeight="1" outlineLevel="2" x14ac:dyDescent="0.25">
      <c r="B14232" s="704" t="s">
        <v>695</v>
      </c>
      <c r="C14232" s="704" t="s">
        <v>850</v>
      </c>
      <c r="D14232" s="704" t="s">
        <v>562</v>
      </c>
      <c r="E14232" s="704" t="s">
        <v>824</v>
      </c>
      <c r="F14232" s="705">
        <v>4.0284377748685705E-3</v>
      </c>
      <c r="G14232" s="705">
        <v>26.919403110879923</v>
      </c>
    </row>
    <row r="14233" spans="2:7" ht="11.25" hidden="1" customHeight="1" outlineLevel="2" x14ac:dyDescent="0.25">
      <c r="B14233" s="704" t="s">
        <v>695</v>
      </c>
      <c r="C14233" s="704" t="s">
        <v>851</v>
      </c>
      <c r="D14233" s="704" t="s">
        <v>562</v>
      </c>
      <c r="E14233" s="704" t="s">
        <v>824</v>
      </c>
      <c r="F14233" s="705">
        <v>7.0563124194715377E-3</v>
      </c>
      <c r="G14233" s="705">
        <v>33.440652983807361</v>
      </c>
    </row>
    <row r="14234" spans="2:7" ht="11.25" hidden="1" customHeight="1" outlineLevel="2" x14ac:dyDescent="0.25">
      <c r="B14234" s="704" t="s">
        <v>695</v>
      </c>
      <c r="C14234" s="704" t="s">
        <v>852</v>
      </c>
      <c r="D14234" s="704" t="s">
        <v>562</v>
      </c>
      <c r="E14234" s="704" t="s">
        <v>824</v>
      </c>
      <c r="F14234" s="705">
        <v>1.761922099466127E-4</v>
      </c>
      <c r="G14234" s="705">
        <v>0.45204233599147631</v>
      </c>
    </row>
    <row r="14235" spans="2:7" ht="11.25" hidden="1" customHeight="1" outlineLevel="2" x14ac:dyDescent="0.25">
      <c r="B14235" s="704" t="s">
        <v>695</v>
      </c>
      <c r="C14235" s="704" t="s">
        <v>853</v>
      </c>
      <c r="D14235" s="704" t="s">
        <v>562</v>
      </c>
      <c r="E14235" s="704" t="s">
        <v>824</v>
      </c>
      <c r="F14235" s="705">
        <v>5.1404283913450805E-5</v>
      </c>
      <c r="G14235" s="705">
        <v>0.41988754857894145</v>
      </c>
    </row>
    <row r="14236" spans="2:7" ht="11.25" hidden="1" customHeight="1" outlineLevel="2" x14ac:dyDescent="0.25">
      <c r="B14236" s="704" t="s">
        <v>695</v>
      </c>
      <c r="C14236" s="704" t="s">
        <v>707</v>
      </c>
      <c r="D14236" s="704" t="s">
        <v>562</v>
      </c>
      <c r="E14236" s="704" t="s">
        <v>676</v>
      </c>
      <c r="F14236" s="705">
        <v>0.8286253371338661</v>
      </c>
      <c r="G14236" s="705">
        <v>23.010059382546729</v>
      </c>
    </row>
    <row r="14237" spans="2:7" ht="11.25" hidden="1" customHeight="1" outlineLevel="2" x14ac:dyDescent="0.25">
      <c r="B14237" s="704" t="s">
        <v>695</v>
      </c>
      <c r="C14237" s="704" t="s">
        <v>708</v>
      </c>
      <c r="D14237" s="704" t="s">
        <v>562</v>
      </c>
      <c r="E14237" s="704" t="s">
        <v>676</v>
      </c>
      <c r="F14237" s="705">
        <v>3.1768328983932448E-2</v>
      </c>
      <c r="G14237" s="705">
        <v>1.1548271877610636</v>
      </c>
    </row>
    <row r="14238" spans="2:7" ht="11.25" hidden="1" customHeight="1" outlineLevel="2" x14ac:dyDescent="0.25">
      <c r="B14238" s="704" t="s">
        <v>695</v>
      </c>
      <c r="C14238" s="704" t="s">
        <v>709</v>
      </c>
      <c r="D14238" s="704" t="s">
        <v>562</v>
      </c>
      <c r="E14238" s="704" t="s">
        <v>676</v>
      </c>
      <c r="F14238" s="705">
        <v>2.2807327588897228E-2</v>
      </c>
      <c r="G14238" s="705">
        <v>1.5996316381951805</v>
      </c>
    </row>
    <row r="14239" spans="2:7" ht="11.25" hidden="1" customHeight="1" outlineLevel="2" x14ac:dyDescent="0.25">
      <c r="B14239" s="704" t="s">
        <v>695</v>
      </c>
      <c r="C14239" s="704" t="s">
        <v>710</v>
      </c>
      <c r="D14239" s="704" t="s">
        <v>562</v>
      </c>
      <c r="E14239" s="704" t="s">
        <v>676</v>
      </c>
      <c r="F14239" s="705">
        <v>0.26719934941387496</v>
      </c>
      <c r="G14239" s="705">
        <v>55.915601097845638</v>
      </c>
    </row>
    <row r="14240" spans="2:7" ht="11.25" hidden="1" customHeight="1" outlineLevel="2" x14ac:dyDescent="0.25">
      <c r="B14240" s="704" t="s">
        <v>695</v>
      </c>
      <c r="C14240" s="704" t="s">
        <v>911</v>
      </c>
      <c r="D14240" s="704" t="s">
        <v>562</v>
      </c>
      <c r="E14240" s="704" t="s">
        <v>861</v>
      </c>
      <c r="F14240" s="709"/>
      <c r="G14240" s="705">
        <v>596.26772387437336</v>
      </c>
    </row>
    <row r="14241" spans="2:7" ht="11.25" hidden="1" customHeight="1" outlineLevel="2" x14ac:dyDescent="0.25">
      <c r="B14241" s="704" t="s">
        <v>695</v>
      </c>
      <c r="C14241" s="704" t="s">
        <v>912</v>
      </c>
      <c r="D14241" s="704" t="s">
        <v>562</v>
      </c>
      <c r="E14241" s="704" t="s">
        <v>861</v>
      </c>
      <c r="F14241" s="709"/>
      <c r="G14241" s="705">
        <v>140.68301668912616</v>
      </c>
    </row>
    <row r="14242" spans="2:7" ht="11.25" hidden="1" customHeight="1" outlineLevel="2" x14ac:dyDescent="0.25">
      <c r="B14242" s="704" t="s">
        <v>695</v>
      </c>
      <c r="C14242" s="704" t="s">
        <v>913</v>
      </c>
      <c r="D14242" s="704" t="s">
        <v>562</v>
      </c>
      <c r="E14242" s="704" t="s">
        <v>861</v>
      </c>
      <c r="F14242" s="709"/>
      <c r="G14242" s="705">
        <v>390.3409745847236</v>
      </c>
    </row>
    <row r="14243" spans="2:7" ht="11.25" hidden="1" customHeight="1" outlineLevel="2" x14ac:dyDescent="0.25">
      <c r="B14243" s="704" t="s">
        <v>695</v>
      </c>
      <c r="C14243" s="704" t="s">
        <v>914</v>
      </c>
      <c r="D14243" s="704" t="s">
        <v>562</v>
      </c>
      <c r="E14243" s="704" t="s">
        <v>861</v>
      </c>
      <c r="F14243" s="709"/>
      <c r="G14243" s="705">
        <v>198.20246063453419</v>
      </c>
    </row>
    <row r="14244" spans="2:7" ht="11.25" hidden="1" customHeight="1" outlineLevel="2" x14ac:dyDescent="0.25">
      <c r="B14244" s="704" t="s">
        <v>695</v>
      </c>
      <c r="C14244" s="704" t="s">
        <v>915</v>
      </c>
      <c r="D14244" s="704" t="s">
        <v>562</v>
      </c>
      <c r="E14244" s="704" t="s">
        <v>861</v>
      </c>
      <c r="F14244" s="709"/>
      <c r="G14244" s="705">
        <v>19.040566633437617</v>
      </c>
    </row>
    <row r="14245" spans="2:7" ht="11.25" hidden="1" customHeight="1" outlineLevel="2" x14ac:dyDescent="0.25">
      <c r="B14245" s="704" t="s">
        <v>695</v>
      </c>
      <c r="C14245" s="704" t="s">
        <v>916</v>
      </c>
      <c r="D14245" s="704" t="s">
        <v>562</v>
      </c>
      <c r="E14245" s="704" t="s">
        <v>861</v>
      </c>
      <c r="F14245" s="709"/>
      <c r="G14245" s="705">
        <v>16.893296173503671</v>
      </c>
    </row>
    <row r="14246" spans="2:7" ht="11.25" hidden="1" customHeight="1" outlineLevel="2" x14ac:dyDescent="0.25">
      <c r="B14246" s="704" t="s">
        <v>695</v>
      </c>
      <c r="C14246" s="704" t="s">
        <v>719</v>
      </c>
      <c r="D14246" s="704" t="s">
        <v>675</v>
      </c>
      <c r="E14246" s="704" t="s">
        <v>448</v>
      </c>
      <c r="F14246" s="705">
        <v>1.407748781196686E-2</v>
      </c>
      <c r="G14246" s="705">
        <v>8.6797465434181333</v>
      </c>
    </row>
    <row r="14247" spans="2:7" ht="11.25" hidden="1" customHeight="1" outlineLevel="2" x14ac:dyDescent="0.25">
      <c r="B14247" s="704" t="s">
        <v>695</v>
      </c>
      <c r="C14247" s="704" t="s">
        <v>720</v>
      </c>
      <c r="D14247" s="704" t="s">
        <v>675</v>
      </c>
      <c r="E14247" s="704" t="s">
        <v>448</v>
      </c>
      <c r="F14247" s="705">
        <v>1.163414060314573E-3</v>
      </c>
      <c r="G14247" s="705">
        <v>0.56294819605911628</v>
      </c>
    </row>
    <row r="14248" spans="2:7" ht="11.25" hidden="1" customHeight="1" outlineLevel="2" x14ac:dyDescent="0.25">
      <c r="B14248" s="704" t="s">
        <v>695</v>
      </c>
      <c r="C14248" s="704" t="s">
        <v>721</v>
      </c>
      <c r="D14248" s="704" t="s">
        <v>675</v>
      </c>
      <c r="E14248" s="704" t="s">
        <v>448</v>
      </c>
      <c r="F14248" s="705">
        <v>1.4089290509412425E-3</v>
      </c>
      <c r="G14248" s="705">
        <v>0.67297192237005377</v>
      </c>
    </row>
    <row r="14249" spans="2:7" ht="11.25" hidden="1" customHeight="1" outlineLevel="2" x14ac:dyDescent="0.25">
      <c r="B14249" s="704" t="s">
        <v>695</v>
      </c>
      <c r="C14249" s="704" t="s">
        <v>722</v>
      </c>
      <c r="D14249" s="704" t="s">
        <v>675</v>
      </c>
      <c r="E14249" s="704" t="s">
        <v>448</v>
      </c>
      <c r="F14249" s="705">
        <v>1.124281993332198E-5</v>
      </c>
      <c r="G14249" s="705">
        <v>5.039561500320474E-3</v>
      </c>
    </row>
    <row r="14250" spans="2:7" ht="11.25" hidden="1" customHeight="1" outlineLevel="2" x14ac:dyDescent="0.25">
      <c r="B14250" s="704" t="s">
        <v>695</v>
      </c>
      <c r="C14250" s="704" t="s">
        <v>723</v>
      </c>
      <c r="D14250" s="704" t="s">
        <v>675</v>
      </c>
      <c r="E14250" s="704" t="s">
        <v>448</v>
      </c>
      <c r="F14250" s="705">
        <v>4.0106211622939827E-2</v>
      </c>
      <c r="G14250" s="705">
        <v>22.429817391236504</v>
      </c>
    </row>
    <row r="14251" spans="2:7" ht="11.25" hidden="1" customHeight="1" outlineLevel="2" x14ac:dyDescent="0.25">
      <c r="B14251" s="704" t="s">
        <v>695</v>
      </c>
      <c r="C14251" s="704" t="s">
        <v>724</v>
      </c>
      <c r="D14251" s="704" t="s">
        <v>675</v>
      </c>
      <c r="E14251" s="704" t="s">
        <v>448</v>
      </c>
      <c r="F14251" s="705">
        <v>2.9275416914162345E-4</v>
      </c>
      <c r="G14251" s="705">
        <v>0.13122619612968106</v>
      </c>
    </row>
    <row r="14252" spans="2:7" ht="11.25" hidden="1" customHeight="1" outlineLevel="2" x14ac:dyDescent="0.25">
      <c r="B14252" s="704" t="s">
        <v>695</v>
      </c>
      <c r="C14252" s="704" t="s">
        <v>750</v>
      </c>
      <c r="D14252" s="704" t="s">
        <v>675</v>
      </c>
      <c r="E14252" s="704" t="s">
        <v>448</v>
      </c>
      <c r="F14252" s="705">
        <v>4.9476486461192898E-3</v>
      </c>
      <c r="G14252" s="705">
        <v>7.7161203438351986</v>
      </c>
    </row>
    <row r="14253" spans="2:7" ht="11.25" hidden="1" customHeight="1" outlineLevel="2" x14ac:dyDescent="0.25">
      <c r="B14253" s="704" t="s">
        <v>695</v>
      </c>
      <c r="C14253" s="704" t="s">
        <v>751</v>
      </c>
      <c r="D14253" s="704" t="s">
        <v>675</v>
      </c>
      <c r="E14253" s="704" t="s">
        <v>448</v>
      </c>
      <c r="F14253" s="705">
        <v>4.3821461696402239E-5</v>
      </c>
      <c r="G14253" s="705">
        <v>5.7020127269528313E-2</v>
      </c>
    </row>
    <row r="14254" spans="2:7" ht="11.25" hidden="1" customHeight="1" outlineLevel="2" x14ac:dyDescent="0.25">
      <c r="B14254" s="704" t="s">
        <v>695</v>
      </c>
      <c r="C14254" s="704" t="s">
        <v>752</v>
      </c>
      <c r="D14254" s="704" t="s">
        <v>675</v>
      </c>
      <c r="E14254" s="704" t="s">
        <v>448</v>
      </c>
      <c r="F14254" s="705">
        <v>1.2054168421194248E-2</v>
      </c>
      <c r="G14254" s="705">
        <v>14.439152899239401</v>
      </c>
    </row>
    <row r="14255" spans="2:7" ht="11.25" hidden="1" customHeight="1" outlineLevel="2" x14ac:dyDescent="0.25">
      <c r="B14255" s="704" t="s">
        <v>695</v>
      </c>
      <c r="C14255" s="704" t="s">
        <v>753</v>
      </c>
      <c r="D14255" s="704" t="s">
        <v>675</v>
      </c>
      <c r="E14255" s="704" t="s">
        <v>448</v>
      </c>
      <c r="F14255" s="705">
        <v>8.6345473829895283E-3</v>
      </c>
      <c r="G14255" s="705">
        <v>13.644118682759089</v>
      </c>
    </row>
    <row r="14256" spans="2:7" ht="11.25" hidden="1" customHeight="1" outlineLevel="2" x14ac:dyDescent="0.25">
      <c r="B14256" s="704" t="s">
        <v>695</v>
      </c>
      <c r="C14256" s="704" t="s">
        <v>754</v>
      </c>
      <c r="D14256" s="704" t="s">
        <v>675</v>
      </c>
      <c r="E14256" s="704" t="s">
        <v>448</v>
      </c>
      <c r="F14256" s="705">
        <v>2.1259783682195083E-2</v>
      </c>
      <c r="G14256" s="705">
        <v>27.156396181479636</v>
      </c>
    </row>
    <row r="14257" spans="2:7" ht="11.25" hidden="1" customHeight="1" outlineLevel="2" x14ac:dyDescent="0.25">
      <c r="B14257" s="704" t="s">
        <v>695</v>
      </c>
      <c r="C14257" s="704" t="s">
        <v>755</v>
      </c>
      <c r="D14257" s="704" t="s">
        <v>675</v>
      </c>
      <c r="E14257" s="704" t="s">
        <v>448</v>
      </c>
      <c r="F14257" s="705">
        <v>8.3155711399357565E-3</v>
      </c>
      <c r="G14257" s="705">
        <v>11.451855559446015</v>
      </c>
    </row>
    <row r="14258" spans="2:7" ht="11.25" hidden="1" customHeight="1" outlineLevel="2" x14ac:dyDescent="0.25">
      <c r="B14258" s="704" t="s">
        <v>695</v>
      </c>
      <c r="C14258" s="704" t="s">
        <v>756</v>
      </c>
      <c r="D14258" s="704" t="s">
        <v>675</v>
      </c>
      <c r="E14258" s="704" t="s">
        <v>448</v>
      </c>
      <c r="F14258" s="705">
        <v>4.4812313000956261E-4</v>
      </c>
      <c r="G14258" s="705">
        <v>0.59457254806912563</v>
      </c>
    </row>
    <row r="14259" spans="2:7" ht="11.25" hidden="1" customHeight="1" outlineLevel="2" x14ac:dyDescent="0.25">
      <c r="B14259" s="704" t="s">
        <v>695</v>
      </c>
      <c r="C14259" s="704" t="s">
        <v>757</v>
      </c>
      <c r="D14259" s="704" t="s">
        <v>675</v>
      </c>
      <c r="E14259" s="704" t="s">
        <v>448</v>
      </c>
      <c r="F14259" s="705">
        <v>1.5846574765203243E-2</v>
      </c>
      <c r="G14259" s="705">
        <v>23.974167065215767</v>
      </c>
    </row>
    <row r="14260" spans="2:7" ht="11.25" hidden="1" customHeight="1" outlineLevel="2" x14ac:dyDescent="0.25">
      <c r="B14260" s="704" t="s">
        <v>695</v>
      </c>
      <c r="C14260" s="704" t="s">
        <v>758</v>
      </c>
      <c r="D14260" s="704" t="s">
        <v>675</v>
      </c>
      <c r="E14260" s="704" t="s">
        <v>448</v>
      </c>
      <c r="F14260" s="705">
        <v>7.1351590296876381E-3</v>
      </c>
      <c r="G14260" s="705">
        <v>8.2570846031404521</v>
      </c>
    </row>
    <row r="14261" spans="2:7" ht="11.25" hidden="1" customHeight="1" outlineLevel="2" x14ac:dyDescent="0.25">
      <c r="B14261" s="704" t="s">
        <v>695</v>
      </c>
      <c r="C14261" s="704" t="s">
        <v>759</v>
      </c>
      <c r="D14261" s="704" t="s">
        <v>675</v>
      </c>
      <c r="E14261" s="704" t="s">
        <v>448</v>
      </c>
      <c r="F14261" s="705">
        <v>3.5297288451012966E-2</v>
      </c>
      <c r="G14261" s="705">
        <v>49.933434798063104</v>
      </c>
    </row>
    <row r="14262" spans="2:7" ht="11.25" hidden="1" customHeight="1" outlineLevel="2" x14ac:dyDescent="0.25">
      <c r="B14262" s="704" t="s">
        <v>695</v>
      </c>
      <c r="C14262" s="704" t="s">
        <v>760</v>
      </c>
      <c r="D14262" s="704" t="s">
        <v>675</v>
      </c>
      <c r="E14262" s="704" t="s">
        <v>448</v>
      </c>
      <c r="F14262" s="705">
        <v>2.3788278695837134E-2</v>
      </c>
      <c r="G14262" s="705">
        <v>23.920730532378489</v>
      </c>
    </row>
    <row r="14263" spans="2:7" ht="11.25" hidden="1" customHeight="1" outlineLevel="2" x14ac:dyDescent="0.25">
      <c r="B14263" s="704" t="s">
        <v>695</v>
      </c>
      <c r="C14263" s="704" t="s">
        <v>761</v>
      </c>
      <c r="D14263" s="704" t="s">
        <v>675</v>
      </c>
      <c r="E14263" s="704" t="s">
        <v>448</v>
      </c>
      <c r="F14263" s="705">
        <v>1.1315211996235726E-3</v>
      </c>
      <c r="G14263" s="705">
        <v>1.9068587562907453</v>
      </c>
    </row>
    <row r="14264" spans="2:7" ht="11.25" hidden="1" customHeight="1" outlineLevel="2" x14ac:dyDescent="0.25">
      <c r="B14264" s="704" t="s">
        <v>695</v>
      </c>
      <c r="C14264" s="704" t="s">
        <v>762</v>
      </c>
      <c r="D14264" s="704" t="s">
        <v>675</v>
      </c>
      <c r="E14264" s="704" t="s">
        <v>448</v>
      </c>
      <c r="F14264" s="705">
        <v>2.2987132387022593E-3</v>
      </c>
      <c r="G14264" s="705">
        <v>3.2333434839988184</v>
      </c>
    </row>
    <row r="14265" spans="2:7" ht="11.25" hidden="1" customHeight="1" outlineLevel="2" x14ac:dyDescent="0.25">
      <c r="B14265" s="704" t="s">
        <v>695</v>
      </c>
      <c r="C14265" s="704" t="s">
        <v>763</v>
      </c>
      <c r="D14265" s="704" t="s">
        <v>675</v>
      </c>
      <c r="E14265" s="704" t="s">
        <v>448</v>
      </c>
      <c r="F14265" s="705">
        <v>1.0222059355994369E-3</v>
      </c>
      <c r="G14265" s="705">
        <v>2.8973670992681391</v>
      </c>
    </row>
    <row r="14266" spans="2:7" ht="11.25" hidden="1" customHeight="1" outlineLevel="2" x14ac:dyDescent="0.25">
      <c r="B14266" s="704" t="s">
        <v>695</v>
      </c>
      <c r="C14266" s="704" t="s">
        <v>764</v>
      </c>
      <c r="D14266" s="704" t="s">
        <v>675</v>
      </c>
      <c r="E14266" s="704" t="s">
        <v>448</v>
      </c>
      <c r="F14266" s="705">
        <v>1.1904390296498379E-3</v>
      </c>
      <c r="G14266" s="705">
        <v>6.920189291243978</v>
      </c>
    </row>
    <row r="14267" spans="2:7" ht="11.25" hidden="1" customHeight="1" outlineLevel="2" x14ac:dyDescent="0.25">
      <c r="B14267" s="704" t="s">
        <v>695</v>
      </c>
      <c r="C14267" s="704" t="s">
        <v>765</v>
      </c>
      <c r="D14267" s="704" t="s">
        <v>675</v>
      </c>
      <c r="E14267" s="704" t="s">
        <v>448</v>
      </c>
      <c r="F14267" s="705">
        <v>1.1253595675030153E-2</v>
      </c>
      <c r="G14267" s="705">
        <v>16.399063992205154</v>
      </c>
    </row>
    <row r="14268" spans="2:7" ht="11.25" hidden="1" customHeight="1" outlineLevel="2" x14ac:dyDescent="0.25">
      <c r="B14268" s="704" t="s">
        <v>695</v>
      </c>
      <c r="C14268" s="704" t="s">
        <v>766</v>
      </c>
      <c r="D14268" s="704" t="s">
        <v>675</v>
      </c>
      <c r="E14268" s="704" t="s">
        <v>448</v>
      </c>
      <c r="F14268" s="705">
        <v>6.9840520178042417E-3</v>
      </c>
      <c r="G14268" s="705">
        <v>11.25488556841451</v>
      </c>
    </row>
    <row r="14269" spans="2:7" ht="11.25" hidden="1" customHeight="1" outlineLevel="2" x14ac:dyDescent="0.25">
      <c r="B14269" s="704" t="s">
        <v>695</v>
      </c>
      <c r="C14269" s="704" t="s">
        <v>767</v>
      </c>
      <c r="D14269" s="704" t="s">
        <v>675</v>
      </c>
      <c r="E14269" s="704" t="s">
        <v>448</v>
      </c>
      <c r="F14269" s="705">
        <v>3.5151675075415266E-3</v>
      </c>
      <c r="G14269" s="705">
        <v>3.7083852876024226</v>
      </c>
    </row>
    <row r="14270" spans="2:7" ht="11.25" hidden="1" customHeight="1" outlineLevel="2" x14ac:dyDescent="0.25">
      <c r="B14270" s="704" t="s">
        <v>695</v>
      </c>
      <c r="C14270" s="704" t="s">
        <v>768</v>
      </c>
      <c r="D14270" s="704" t="s">
        <v>675</v>
      </c>
      <c r="E14270" s="704" t="s">
        <v>448</v>
      </c>
      <c r="F14270" s="705">
        <v>1.6414933486810191E-3</v>
      </c>
      <c r="G14270" s="705">
        <v>2.6197204352138903</v>
      </c>
    </row>
    <row r="14271" spans="2:7" ht="11.25" hidden="1" customHeight="1" outlineLevel="2" x14ac:dyDescent="0.25">
      <c r="B14271" s="704" t="s">
        <v>695</v>
      </c>
      <c r="C14271" s="704" t="s">
        <v>825</v>
      </c>
      <c r="D14271" s="704" t="s">
        <v>675</v>
      </c>
      <c r="E14271" s="704" t="s">
        <v>824</v>
      </c>
      <c r="F14271" s="705">
        <v>3.133916607174495E-4</v>
      </c>
      <c r="G14271" s="705">
        <v>1.4838503703926957</v>
      </c>
    </row>
    <row r="14272" spans="2:7" ht="11.25" hidden="1" customHeight="1" outlineLevel="2" x14ac:dyDescent="0.25">
      <c r="B14272" s="704" t="s">
        <v>695</v>
      </c>
      <c r="C14272" s="704" t="s">
        <v>826</v>
      </c>
      <c r="D14272" s="704" t="s">
        <v>675</v>
      </c>
      <c r="E14272" s="704" t="s">
        <v>824</v>
      </c>
      <c r="F14272" s="705">
        <v>2.3296528139548684E-4</v>
      </c>
      <c r="G14272" s="705">
        <v>2.4901807224240695</v>
      </c>
    </row>
    <row r="14273" spans="2:7" ht="11.25" hidden="1" customHeight="1" outlineLevel="2" x14ac:dyDescent="0.25">
      <c r="B14273" s="704" t="s">
        <v>695</v>
      </c>
      <c r="C14273" s="704" t="s">
        <v>827</v>
      </c>
      <c r="D14273" s="704" t="s">
        <v>675</v>
      </c>
      <c r="E14273" s="704" t="s">
        <v>824</v>
      </c>
      <c r="F14273" s="705">
        <v>1.7250681264537352E-4</v>
      </c>
      <c r="G14273" s="705">
        <v>0.41195053288000055</v>
      </c>
    </row>
    <row r="14274" spans="2:7" ht="11.25" hidden="1" customHeight="1" outlineLevel="2" x14ac:dyDescent="0.25">
      <c r="B14274" s="704" t="s">
        <v>695</v>
      </c>
      <c r="C14274" s="704" t="s">
        <v>828</v>
      </c>
      <c r="D14274" s="704" t="s">
        <v>675</v>
      </c>
      <c r="E14274" s="704" t="s">
        <v>824</v>
      </c>
      <c r="F14274" s="705">
        <v>4.7038911916732481E-5</v>
      </c>
      <c r="G14274" s="705">
        <v>0.25813735633087181</v>
      </c>
    </row>
    <row r="14275" spans="2:7" ht="11.25" hidden="1" customHeight="1" outlineLevel="2" x14ac:dyDescent="0.25">
      <c r="B14275" s="704" t="s">
        <v>695</v>
      </c>
      <c r="C14275" s="704" t="s">
        <v>829</v>
      </c>
      <c r="D14275" s="704" t="s">
        <v>675</v>
      </c>
      <c r="E14275" s="704" t="s">
        <v>824</v>
      </c>
      <c r="F14275" s="705">
        <v>1.0179541769035736E-3</v>
      </c>
      <c r="G14275" s="705">
        <v>4.5681591980850049</v>
      </c>
    </row>
    <row r="14276" spans="2:7" ht="11.25" hidden="1" customHeight="1" outlineLevel="2" x14ac:dyDescent="0.25">
      <c r="B14276" s="704" t="s">
        <v>695</v>
      </c>
      <c r="C14276" s="704" t="s">
        <v>830</v>
      </c>
      <c r="D14276" s="704" t="s">
        <v>675</v>
      </c>
      <c r="E14276" s="704" t="s">
        <v>824</v>
      </c>
      <c r="F14276" s="705">
        <v>9.2351878305848786E-4</v>
      </c>
      <c r="G14276" s="705">
        <v>1.6447999715606909</v>
      </c>
    </row>
    <row r="14277" spans="2:7" ht="11.25" hidden="1" customHeight="1" outlineLevel="2" x14ac:dyDescent="0.25">
      <c r="B14277" s="704" t="s">
        <v>695</v>
      </c>
      <c r="C14277" s="704" t="s">
        <v>831</v>
      </c>
      <c r="D14277" s="704" t="s">
        <v>675</v>
      </c>
      <c r="E14277" s="704" t="s">
        <v>824</v>
      </c>
      <c r="F14277" s="705">
        <v>2.562339851851615E-4</v>
      </c>
      <c r="G14277" s="705">
        <v>4.2262795168249143</v>
      </c>
    </row>
    <row r="14278" spans="2:7" ht="11.25" hidden="1" customHeight="1" outlineLevel="2" x14ac:dyDescent="0.25">
      <c r="B14278" s="704" t="s">
        <v>695</v>
      </c>
      <c r="C14278" s="704" t="s">
        <v>832</v>
      </c>
      <c r="D14278" s="704" t="s">
        <v>675</v>
      </c>
      <c r="E14278" s="704" t="s">
        <v>824</v>
      </c>
      <c r="F14278" s="705">
        <v>7.0040717728497089E-4</v>
      </c>
      <c r="G14278" s="705">
        <v>1.6832824419443024</v>
      </c>
    </row>
    <row r="14279" spans="2:7" ht="11.25" hidden="1" customHeight="1" outlineLevel="2" x14ac:dyDescent="0.25">
      <c r="B14279" s="704" t="s">
        <v>695</v>
      </c>
      <c r="C14279" s="704" t="s">
        <v>833</v>
      </c>
      <c r="D14279" s="704" t="s">
        <v>675</v>
      </c>
      <c r="E14279" s="704" t="s">
        <v>824</v>
      </c>
      <c r="F14279" s="705">
        <v>1.0697128766543203E-4</v>
      </c>
      <c r="G14279" s="705">
        <v>0.27086460026297643</v>
      </c>
    </row>
    <row r="14280" spans="2:7" ht="11.25" hidden="1" customHeight="1" outlineLevel="2" x14ac:dyDescent="0.25">
      <c r="B14280" s="704" t="s">
        <v>695</v>
      </c>
      <c r="C14280" s="704" t="s">
        <v>834</v>
      </c>
      <c r="D14280" s="704" t="s">
        <v>675</v>
      </c>
      <c r="E14280" s="704" t="s">
        <v>824</v>
      </c>
      <c r="F14280" s="705">
        <v>7.7481424533937075E-4</v>
      </c>
      <c r="G14280" s="705">
        <v>2.9301650864013449</v>
      </c>
    </row>
    <row r="14281" spans="2:7" ht="11.25" hidden="1" customHeight="1" outlineLevel="2" x14ac:dyDescent="0.25">
      <c r="B14281" s="704" t="s">
        <v>695</v>
      </c>
      <c r="C14281" s="704" t="s">
        <v>835</v>
      </c>
      <c r="D14281" s="704" t="s">
        <v>675</v>
      </c>
      <c r="E14281" s="704" t="s">
        <v>824</v>
      </c>
      <c r="F14281" s="705">
        <v>9.7178477804968279E-4</v>
      </c>
      <c r="G14281" s="705">
        <v>7.1351043069035081</v>
      </c>
    </row>
    <row r="14282" spans="2:7" ht="11.25" hidden="1" customHeight="1" outlineLevel="2" x14ac:dyDescent="0.25">
      <c r="B14282" s="704" t="s">
        <v>695</v>
      </c>
      <c r="C14282" s="704" t="s">
        <v>836</v>
      </c>
      <c r="D14282" s="704" t="s">
        <v>675</v>
      </c>
      <c r="E14282" s="704" t="s">
        <v>824</v>
      </c>
      <c r="F14282" s="705">
        <v>6.7806459282625421E-5</v>
      </c>
      <c r="G14282" s="705">
        <v>0.74534304171379406</v>
      </c>
    </row>
    <row r="14283" spans="2:7" ht="11.25" hidden="1" customHeight="1" outlineLevel="2" x14ac:dyDescent="0.25">
      <c r="B14283" s="704" t="s">
        <v>695</v>
      </c>
      <c r="C14283" s="704" t="s">
        <v>837</v>
      </c>
      <c r="D14283" s="704" t="s">
        <v>675</v>
      </c>
      <c r="E14283" s="704" t="s">
        <v>824</v>
      </c>
      <c r="F14283" s="705">
        <v>2.2361952610810082E-3</v>
      </c>
      <c r="G14283" s="705">
        <v>6.1741503179400006</v>
      </c>
    </row>
    <row r="14284" spans="2:7" ht="11.25" hidden="1" customHeight="1" outlineLevel="2" x14ac:dyDescent="0.25">
      <c r="B14284" s="704" t="s">
        <v>695</v>
      </c>
      <c r="C14284" s="704" t="s">
        <v>838</v>
      </c>
      <c r="D14284" s="704" t="s">
        <v>675</v>
      </c>
      <c r="E14284" s="704" t="s">
        <v>824</v>
      </c>
      <c r="F14284" s="705">
        <v>1.153494114234136E-3</v>
      </c>
      <c r="G14284" s="705">
        <v>2.5532688866615625</v>
      </c>
    </row>
    <row r="14285" spans="2:7" ht="11.25" hidden="1" customHeight="1" outlineLevel="2" x14ac:dyDescent="0.25">
      <c r="B14285" s="704" t="s">
        <v>695</v>
      </c>
      <c r="C14285" s="704" t="s">
        <v>674</v>
      </c>
      <c r="D14285" s="704" t="s">
        <v>675</v>
      </c>
      <c r="E14285" s="704" t="s">
        <v>676</v>
      </c>
      <c r="F14285" s="705">
        <v>3.2710550834010154E-3</v>
      </c>
      <c r="G14285" s="705">
        <v>8.0951514053075588E-2</v>
      </c>
    </row>
    <row r="14286" spans="2:7" ht="11.25" hidden="1" customHeight="1" outlineLevel="2" x14ac:dyDescent="0.25">
      <c r="B14286" s="704" t="s">
        <v>695</v>
      </c>
      <c r="C14286" s="704" t="s">
        <v>862</v>
      </c>
      <c r="D14286" s="704" t="s">
        <v>675</v>
      </c>
      <c r="E14286" s="704" t="s">
        <v>861</v>
      </c>
      <c r="F14286" s="709"/>
      <c r="G14286" s="705">
        <v>240.35448158654685</v>
      </c>
    </row>
    <row r="14287" spans="2:7" ht="11.25" hidden="1" customHeight="1" outlineLevel="2" x14ac:dyDescent="0.25">
      <c r="B14287" s="704" t="s">
        <v>695</v>
      </c>
      <c r="C14287" s="704" t="s">
        <v>863</v>
      </c>
      <c r="D14287" s="704" t="s">
        <v>675</v>
      </c>
      <c r="E14287" s="704" t="s">
        <v>861</v>
      </c>
      <c r="F14287" s="709"/>
      <c r="G14287" s="705">
        <v>0.39179421689414573</v>
      </c>
    </row>
    <row r="14288" spans="2:7" ht="11.25" hidden="1" customHeight="1" outlineLevel="2" x14ac:dyDescent="0.25">
      <c r="B14288" s="704" t="s">
        <v>695</v>
      </c>
      <c r="C14288" s="704" t="s">
        <v>864</v>
      </c>
      <c r="D14288" s="704" t="s">
        <v>675</v>
      </c>
      <c r="E14288" s="704" t="s">
        <v>861</v>
      </c>
      <c r="F14288" s="709"/>
      <c r="G14288" s="705">
        <v>6.4546701951434704</v>
      </c>
    </row>
    <row r="14289" spans="2:7" ht="11.25" hidden="1" customHeight="1" outlineLevel="2" x14ac:dyDescent="0.25">
      <c r="B14289" s="704" t="s">
        <v>695</v>
      </c>
      <c r="C14289" s="704" t="s">
        <v>865</v>
      </c>
      <c r="D14289" s="704" t="s">
        <v>675</v>
      </c>
      <c r="E14289" s="704" t="s">
        <v>861</v>
      </c>
      <c r="F14289" s="709"/>
      <c r="G14289" s="705">
        <v>601.63573311262144</v>
      </c>
    </row>
    <row r="14290" spans="2:7" ht="11.25" hidden="1" customHeight="1" outlineLevel="2" x14ac:dyDescent="0.25">
      <c r="B14290" s="704" t="s">
        <v>695</v>
      </c>
      <c r="C14290" s="704" t="s">
        <v>866</v>
      </c>
      <c r="D14290" s="704" t="s">
        <v>675</v>
      </c>
      <c r="E14290" s="704" t="s">
        <v>861</v>
      </c>
      <c r="F14290" s="709"/>
      <c r="G14290" s="705">
        <v>654.45304507844173</v>
      </c>
    </row>
    <row r="14291" spans="2:7" ht="11.25" hidden="1" customHeight="1" outlineLevel="2" x14ac:dyDescent="0.25">
      <c r="B14291" s="704" t="s">
        <v>695</v>
      </c>
      <c r="C14291" s="704" t="s">
        <v>867</v>
      </c>
      <c r="D14291" s="704" t="s">
        <v>675</v>
      </c>
      <c r="E14291" s="704" t="s">
        <v>861</v>
      </c>
      <c r="F14291" s="709"/>
      <c r="G14291" s="705">
        <v>36.056047656655529</v>
      </c>
    </row>
    <row r="14292" spans="2:7" ht="11.25" hidden="1" customHeight="1" outlineLevel="2" x14ac:dyDescent="0.25">
      <c r="B14292" s="704" t="s">
        <v>695</v>
      </c>
      <c r="C14292" s="704" t="s">
        <v>868</v>
      </c>
      <c r="D14292" s="704" t="s">
        <v>675</v>
      </c>
      <c r="E14292" s="704" t="s">
        <v>861</v>
      </c>
      <c r="F14292" s="709"/>
      <c r="G14292" s="705">
        <v>22.254863428397258</v>
      </c>
    </row>
    <row r="14293" spans="2:7" ht="11.25" hidden="1" customHeight="1" outlineLevel="2" x14ac:dyDescent="0.25">
      <c r="B14293" s="704" t="s">
        <v>695</v>
      </c>
      <c r="C14293" s="704" t="s">
        <v>869</v>
      </c>
      <c r="D14293" s="704" t="s">
        <v>675</v>
      </c>
      <c r="E14293" s="704" t="s">
        <v>861</v>
      </c>
      <c r="F14293" s="709"/>
      <c r="G14293" s="705">
        <v>66.451922526603866</v>
      </c>
    </row>
    <row r="14294" spans="2:7" ht="11.25" hidden="1" customHeight="1" outlineLevel="2" x14ac:dyDescent="0.25">
      <c r="B14294" s="704" t="s">
        <v>695</v>
      </c>
      <c r="C14294" s="704" t="s">
        <v>870</v>
      </c>
      <c r="D14294" s="704" t="s">
        <v>675</v>
      </c>
      <c r="E14294" s="704" t="s">
        <v>861</v>
      </c>
      <c r="F14294" s="709"/>
      <c r="G14294" s="705">
        <v>285.4238644728643</v>
      </c>
    </row>
    <row r="14295" spans="2:7" ht="11.25" hidden="1" customHeight="1" outlineLevel="2" x14ac:dyDescent="0.25">
      <c r="B14295" s="704" t="s">
        <v>695</v>
      </c>
      <c r="C14295" s="704" t="s">
        <v>871</v>
      </c>
      <c r="D14295" s="704" t="s">
        <v>675</v>
      </c>
      <c r="E14295" s="704" t="s">
        <v>861</v>
      </c>
      <c r="F14295" s="709"/>
      <c r="G14295" s="705">
        <v>245.4311490539427</v>
      </c>
    </row>
    <row r="14296" spans="2:7" ht="11.25" hidden="1" customHeight="1" outlineLevel="2" x14ac:dyDescent="0.25">
      <c r="B14296" s="704" t="s">
        <v>695</v>
      </c>
      <c r="C14296" s="704" t="s">
        <v>872</v>
      </c>
      <c r="D14296" s="704" t="s">
        <v>675</v>
      </c>
      <c r="E14296" s="704" t="s">
        <v>861</v>
      </c>
      <c r="F14296" s="709"/>
      <c r="G14296" s="705">
        <v>2438.1986968134579</v>
      </c>
    </row>
    <row r="14297" spans="2:7" ht="11.25" hidden="1" customHeight="1" outlineLevel="2" x14ac:dyDescent="0.25">
      <c r="B14297" s="704" t="s">
        <v>695</v>
      </c>
      <c r="C14297" s="704" t="s">
        <v>873</v>
      </c>
      <c r="D14297" s="704" t="s">
        <v>675</v>
      </c>
      <c r="E14297" s="704" t="s">
        <v>861</v>
      </c>
      <c r="F14297" s="709"/>
      <c r="G14297" s="705">
        <v>20.224747569215378</v>
      </c>
    </row>
    <row r="14298" spans="2:7" ht="11.25" hidden="1" customHeight="1" outlineLevel="2" x14ac:dyDescent="0.25">
      <c r="B14298" s="704" t="s">
        <v>695</v>
      </c>
      <c r="C14298" s="704" t="s">
        <v>874</v>
      </c>
      <c r="D14298" s="704" t="s">
        <v>675</v>
      </c>
      <c r="E14298" s="704" t="s">
        <v>861</v>
      </c>
      <c r="F14298" s="709"/>
      <c r="G14298" s="705">
        <v>9.5530715098767551</v>
      </c>
    </row>
    <row r="14299" spans="2:7" ht="11.25" hidden="1" customHeight="1" outlineLevel="2" x14ac:dyDescent="0.25">
      <c r="B14299" s="704" t="s">
        <v>695</v>
      </c>
      <c r="C14299" s="704" t="s">
        <v>875</v>
      </c>
      <c r="D14299" s="704" t="s">
        <v>675</v>
      </c>
      <c r="E14299" s="704" t="s">
        <v>861</v>
      </c>
      <c r="F14299" s="709"/>
      <c r="G14299" s="705">
        <v>556.86352497160033</v>
      </c>
    </row>
    <row r="14300" spans="2:7" ht="11.25" hidden="1" customHeight="1" outlineLevel="2" x14ac:dyDescent="0.25">
      <c r="B14300" s="704" t="s">
        <v>695</v>
      </c>
      <c r="C14300" s="704" t="s">
        <v>876</v>
      </c>
      <c r="D14300" s="704" t="s">
        <v>675</v>
      </c>
      <c r="E14300" s="704" t="s">
        <v>861</v>
      </c>
      <c r="F14300" s="709"/>
      <c r="G14300" s="705">
        <v>606.60875580784534</v>
      </c>
    </row>
    <row r="14301" spans="2:7" ht="11.25" hidden="1" customHeight="1" outlineLevel="2" x14ac:dyDescent="0.25">
      <c r="B14301" s="704" t="s">
        <v>695</v>
      </c>
      <c r="C14301" s="704" t="s">
        <v>877</v>
      </c>
      <c r="D14301" s="704" t="s">
        <v>675</v>
      </c>
      <c r="E14301" s="704" t="s">
        <v>861</v>
      </c>
      <c r="F14301" s="709"/>
      <c r="G14301" s="705">
        <v>2085.3756903889152</v>
      </c>
    </row>
    <row r="14302" spans="2:7" ht="11.25" hidden="1" customHeight="1" outlineLevel="2" x14ac:dyDescent="0.25">
      <c r="B14302" s="704" t="s">
        <v>695</v>
      </c>
      <c r="C14302" s="704" t="s">
        <v>878</v>
      </c>
      <c r="D14302" s="704" t="s">
        <v>675</v>
      </c>
      <c r="E14302" s="704" t="s">
        <v>861</v>
      </c>
      <c r="F14302" s="709"/>
      <c r="G14302" s="705">
        <v>98.17662644609841</v>
      </c>
    </row>
    <row r="14303" spans="2:7" ht="11.25" hidden="1" customHeight="1" outlineLevel="2" x14ac:dyDescent="0.25">
      <c r="B14303" s="704" t="s">
        <v>695</v>
      </c>
      <c r="C14303" s="704" t="s">
        <v>879</v>
      </c>
      <c r="D14303" s="704" t="s">
        <v>675</v>
      </c>
      <c r="E14303" s="704" t="s">
        <v>861</v>
      </c>
      <c r="F14303" s="709"/>
      <c r="G14303" s="705">
        <v>780.43812273126832</v>
      </c>
    </row>
    <row r="14304" spans="2:7" ht="11.25" hidden="1" customHeight="1" outlineLevel="2" x14ac:dyDescent="0.25">
      <c r="B14304" s="704" t="s">
        <v>695</v>
      </c>
      <c r="C14304" s="704" t="s">
        <v>880</v>
      </c>
      <c r="D14304" s="704" t="s">
        <v>675</v>
      </c>
      <c r="E14304" s="704" t="s">
        <v>861</v>
      </c>
      <c r="F14304" s="709"/>
      <c r="G14304" s="705">
        <v>2653.8771888825809</v>
      </c>
    </row>
    <row r="14305" spans="2:7" ht="11.25" hidden="1" customHeight="1" outlineLevel="2" x14ac:dyDescent="0.25">
      <c r="B14305" s="704" t="s">
        <v>695</v>
      </c>
      <c r="C14305" s="704" t="s">
        <v>881</v>
      </c>
      <c r="D14305" s="704" t="s">
        <v>675</v>
      </c>
      <c r="E14305" s="704" t="s">
        <v>861</v>
      </c>
      <c r="F14305" s="709"/>
      <c r="G14305" s="705">
        <v>1609.4158714098644</v>
      </c>
    </row>
    <row r="14306" spans="2:7" ht="11.25" hidden="1" customHeight="1" outlineLevel="2" x14ac:dyDescent="0.25">
      <c r="B14306" s="704" t="s">
        <v>695</v>
      </c>
      <c r="C14306" s="704" t="s">
        <v>882</v>
      </c>
      <c r="D14306" s="704" t="s">
        <v>675</v>
      </c>
      <c r="E14306" s="704" t="s">
        <v>861</v>
      </c>
      <c r="F14306" s="709"/>
      <c r="G14306" s="705">
        <v>2428.8168561301868</v>
      </c>
    </row>
    <row r="14307" spans="2:7" ht="11.25" hidden="1" customHeight="1" outlineLevel="2" x14ac:dyDescent="0.25">
      <c r="B14307" s="704" t="s">
        <v>695</v>
      </c>
      <c r="C14307" s="704" t="s">
        <v>883</v>
      </c>
      <c r="D14307" s="704" t="s">
        <v>675</v>
      </c>
      <c r="E14307" s="704" t="s">
        <v>861</v>
      </c>
      <c r="F14307" s="709"/>
      <c r="G14307" s="705">
        <v>1103.5622771627243</v>
      </c>
    </row>
    <row r="14308" spans="2:7" ht="11.25" hidden="1" customHeight="1" outlineLevel="2" x14ac:dyDescent="0.25">
      <c r="B14308" s="704" t="s">
        <v>695</v>
      </c>
      <c r="C14308" s="704" t="s">
        <v>884</v>
      </c>
      <c r="D14308" s="704" t="s">
        <v>675</v>
      </c>
      <c r="E14308" s="704" t="s">
        <v>861</v>
      </c>
      <c r="F14308" s="709"/>
      <c r="G14308" s="705">
        <v>261.24820082761704</v>
      </c>
    </row>
    <row r="14309" spans="2:7" ht="11.25" hidden="1" customHeight="1" outlineLevel="2" x14ac:dyDescent="0.25">
      <c r="B14309" s="704" t="s">
        <v>695</v>
      </c>
      <c r="C14309" s="704" t="s">
        <v>885</v>
      </c>
      <c r="D14309" s="704" t="s">
        <v>675</v>
      </c>
      <c r="E14309" s="704" t="s">
        <v>861</v>
      </c>
      <c r="F14309" s="709"/>
      <c r="G14309" s="705">
        <v>3.4001591910669933</v>
      </c>
    </row>
    <row r="14310" spans="2:7" ht="11.25" hidden="1" customHeight="1" outlineLevel="2" x14ac:dyDescent="0.25">
      <c r="B14310" s="704" t="s">
        <v>695</v>
      </c>
      <c r="C14310" s="704" t="s">
        <v>886</v>
      </c>
      <c r="D14310" s="704" t="s">
        <v>675</v>
      </c>
      <c r="E14310" s="704" t="s">
        <v>861</v>
      </c>
      <c r="F14310" s="709"/>
      <c r="G14310" s="705">
        <v>250.3378530350231</v>
      </c>
    </row>
    <row r="14311" spans="2:7" ht="11.25" hidden="1" customHeight="1" outlineLevel="2" x14ac:dyDescent="0.25">
      <c r="B14311" s="704" t="s">
        <v>695</v>
      </c>
      <c r="C14311" s="704" t="s">
        <v>725</v>
      </c>
      <c r="D14311" s="704" t="s">
        <v>563</v>
      </c>
      <c r="E14311" s="704" t="s">
        <v>448</v>
      </c>
      <c r="F14311" s="705">
        <v>2.009930927633888E-4</v>
      </c>
      <c r="G14311" s="705">
        <v>9.0097208850078284E-2</v>
      </c>
    </row>
    <row r="14312" spans="2:7" ht="11.25" hidden="1" customHeight="1" outlineLevel="2" x14ac:dyDescent="0.25">
      <c r="B14312" s="704" t="s">
        <v>695</v>
      </c>
      <c r="C14312" s="704" t="s">
        <v>726</v>
      </c>
      <c r="D14312" s="704" t="s">
        <v>563</v>
      </c>
      <c r="E14312" s="704" t="s">
        <v>448</v>
      </c>
      <c r="F14312" s="705">
        <v>1.5829984617546432E-5</v>
      </c>
      <c r="G14312" s="705">
        <v>7.0959546991590265E-3</v>
      </c>
    </row>
    <row r="14313" spans="2:7" ht="11.25" hidden="1" customHeight="1" outlineLevel="2" x14ac:dyDescent="0.25">
      <c r="B14313" s="704" t="s">
        <v>695</v>
      </c>
      <c r="C14313" s="704" t="s">
        <v>769</v>
      </c>
      <c r="D14313" s="704" t="s">
        <v>563</v>
      </c>
      <c r="E14313" s="704" t="s">
        <v>448</v>
      </c>
      <c r="F14313" s="705">
        <v>1.0252585822422521E-2</v>
      </c>
      <c r="G14313" s="705">
        <v>10.958948589093893</v>
      </c>
    </row>
    <row r="14314" spans="2:7" ht="11.25" hidden="1" customHeight="1" outlineLevel="2" x14ac:dyDescent="0.25">
      <c r="B14314" s="704" t="s">
        <v>695</v>
      </c>
      <c r="C14314" s="704" t="s">
        <v>770</v>
      </c>
      <c r="D14314" s="704" t="s">
        <v>563</v>
      </c>
      <c r="E14314" s="704" t="s">
        <v>448</v>
      </c>
      <c r="F14314" s="705">
        <v>9.3205179377346559E-3</v>
      </c>
      <c r="G14314" s="705">
        <v>32.452359586445766</v>
      </c>
    </row>
    <row r="14315" spans="2:7" ht="11.25" hidden="1" customHeight="1" outlineLevel="2" x14ac:dyDescent="0.25">
      <c r="B14315" s="704" t="s">
        <v>695</v>
      </c>
      <c r="C14315" s="704" t="s">
        <v>771</v>
      </c>
      <c r="D14315" s="704" t="s">
        <v>563</v>
      </c>
      <c r="E14315" s="704" t="s">
        <v>448</v>
      </c>
      <c r="F14315" s="705">
        <v>3.4842967618901048E-3</v>
      </c>
      <c r="G14315" s="705">
        <v>8.1959229742347262</v>
      </c>
    </row>
    <row r="14316" spans="2:7" ht="11.25" hidden="1" customHeight="1" outlineLevel="2" x14ac:dyDescent="0.25">
      <c r="B14316" s="704" t="s">
        <v>695</v>
      </c>
      <c r="C14316" s="704" t="s">
        <v>772</v>
      </c>
      <c r="D14316" s="704" t="s">
        <v>563</v>
      </c>
      <c r="E14316" s="704" t="s">
        <v>448</v>
      </c>
      <c r="F14316" s="705">
        <v>1.1688297434459928E-2</v>
      </c>
      <c r="G14316" s="705">
        <v>15.276825717798708</v>
      </c>
    </row>
    <row r="14317" spans="2:7" ht="11.25" hidden="1" customHeight="1" outlineLevel="2" x14ac:dyDescent="0.25">
      <c r="B14317" s="704" t="s">
        <v>695</v>
      </c>
      <c r="C14317" s="704" t="s">
        <v>773</v>
      </c>
      <c r="D14317" s="704" t="s">
        <v>563</v>
      </c>
      <c r="E14317" s="704" t="s">
        <v>448</v>
      </c>
      <c r="F14317" s="705">
        <v>6.549018519723561E-4</v>
      </c>
      <c r="G14317" s="705">
        <v>0.75059171434629057</v>
      </c>
    </row>
    <row r="14318" spans="2:7" ht="11.25" hidden="1" customHeight="1" outlineLevel="2" x14ac:dyDescent="0.25">
      <c r="B14318" s="704" t="s">
        <v>695</v>
      </c>
      <c r="C14318" s="704" t="s">
        <v>774</v>
      </c>
      <c r="D14318" s="704" t="s">
        <v>563</v>
      </c>
      <c r="E14318" s="704" t="s">
        <v>448</v>
      </c>
      <c r="F14318" s="705">
        <v>1.7346330663911083E-4</v>
      </c>
      <c r="G14318" s="705">
        <v>0.2350649910864121</v>
      </c>
    </row>
    <row r="14319" spans="2:7" ht="11.25" hidden="1" customHeight="1" outlineLevel="2" x14ac:dyDescent="0.25">
      <c r="B14319" s="704" t="s">
        <v>695</v>
      </c>
      <c r="C14319" s="704" t="s">
        <v>775</v>
      </c>
      <c r="D14319" s="704" t="s">
        <v>563</v>
      </c>
      <c r="E14319" s="704" t="s">
        <v>448</v>
      </c>
      <c r="F14319" s="705">
        <v>2.570670982875248E-4</v>
      </c>
      <c r="G14319" s="705">
        <v>3.3091237003146241</v>
      </c>
    </row>
    <row r="14320" spans="2:7" ht="11.25" hidden="1" customHeight="1" outlineLevel="2" x14ac:dyDescent="0.25">
      <c r="B14320" s="704" t="s">
        <v>695</v>
      </c>
      <c r="C14320" s="704" t="s">
        <v>839</v>
      </c>
      <c r="D14320" s="704" t="s">
        <v>563</v>
      </c>
      <c r="E14320" s="704" t="s">
        <v>824</v>
      </c>
      <c r="F14320" s="705">
        <v>1.1440405210910186E-2</v>
      </c>
      <c r="G14320" s="705">
        <v>27.762087493217734</v>
      </c>
    </row>
    <row r="14321" spans="2:7" ht="11.25" hidden="1" customHeight="1" outlineLevel="2" x14ac:dyDescent="0.25">
      <c r="B14321" s="704" t="s">
        <v>695</v>
      </c>
      <c r="C14321" s="704" t="s">
        <v>840</v>
      </c>
      <c r="D14321" s="704" t="s">
        <v>563</v>
      </c>
      <c r="E14321" s="704" t="s">
        <v>824</v>
      </c>
      <c r="F14321" s="705">
        <v>0.33340033149680687</v>
      </c>
      <c r="G14321" s="705">
        <v>2454.5966148854045</v>
      </c>
    </row>
    <row r="14322" spans="2:7" ht="11.25" hidden="1" customHeight="1" outlineLevel="2" x14ac:dyDescent="0.25">
      <c r="B14322" s="704" t="s">
        <v>695</v>
      </c>
      <c r="C14322" s="704" t="s">
        <v>841</v>
      </c>
      <c r="D14322" s="704" t="s">
        <v>563</v>
      </c>
      <c r="E14322" s="704" t="s">
        <v>824</v>
      </c>
      <c r="F14322" s="705">
        <v>1.6216409522084745E-3</v>
      </c>
      <c r="G14322" s="705">
        <v>18.556800159928262</v>
      </c>
    </row>
    <row r="14323" spans="2:7" ht="11.25" hidden="1" customHeight="1" outlineLevel="2" x14ac:dyDescent="0.25">
      <c r="B14323" s="704" t="s">
        <v>695</v>
      </c>
      <c r="C14323" s="704" t="s">
        <v>842</v>
      </c>
      <c r="D14323" s="704" t="s">
        <v>563</v>
      </c>
      <c r="E14323" s="704" t="s">
        <v>824</v>
      </c>
      <c r="F14323" s="705">
        <v>5.8764279587918892E-4</v>
      </c>
      <c r="G14323" s="705">
        <v>5.7517445238085676</v>
      </c>
    </row>
    <row r="14324" spans="2:7" ht="11.25" hidden="1" customHeight="1" outlineLevel="2" x14ac:dyDescent="0.25">
      <c r="B14324" s="704" t="s">
        <v>695</v>
      </c>
      <c r="C14324" s="704" t="s">
        <v>843</v>
      </c>
      <c r="D14324" s="704" t="s">
        <v>563</v>
      </c>
      <c r="E14324" s="704" t="s">
        <v>824</v>
      </c>
      <c r="F14324" s="705">
        <v>5.6798995501084913E-4</v>
      </c>
      <c r="G14324" s="705">
        <v>1.4840508491727102</v>
      </c>
    </row>
    <row r="14325" spans="2:7" ht="11.25" hidden="1" customHeight="1" outlineLevel="2" x14ac:dyDescent="0.25">
      <c r="B14325" s="704" t="s">
        <v>695</v>
      </c>
      <c r="C14325" s="704" t="s">
        <v>844</v>
      </c>
      <c r="D14325" s="704" t="s">
        <v>563</v>
      </c>
      <c r="E14325" s="704" t="s">
        <v>824</v>
      </c>
      <c r="F14325" s="705">
        <v>5.6801381199147625E-4</v>
      </c>
      <c r="G14325" s="705">
        <v>11.287946581725585</v>
      </c>
    </row>
    <row r="14326" spans="2:7" ht="11.25" hidden="1" customHeight="1" outlineLevel="2" x14ac:dyDescent="0.25">
      <c r="B14326" s="704" t="s">
        <v>695</v>
      </c>
      <c r="C14326" s="704" t="s">
        <v>700</v>
      </c>
      <c r="D14326" s="704" t="s">
        <v>563</v>
      </c>
      <c r="E14326" s="704" t="s">
        <v>676</v>
      </c>
      <c r="F14326" s="705">
        <v>1.72184696053828</v>
      </c>
      <c r="G14326" s="705">
        <v>144.90328782563807</v>
      </c>
    </row>
    <row r="14327" spans="2:7" ht="11.25" hidden="1" customHeight="1" outlineLevel="2" x14ac:dyDescent="0.25">
      <c r="B14327" s="704" t="s">
        <v>695</v>
      </c>
      <c r="C14327" s="704" t="s">
        <v>701</v>
      </c>
      <c r="D14327" s="704" t="s">
        <v>563</v>
      </c>
      <c r="E14327" s="704" t="s">
        <v>676</v>
      </c>
      <c r="F14327" s="705">
        <v>1.8806967848898841E-3</v>
      </c>
      <c r="G14327" s="705">
        <v>0.1646878637051129</v>
      </c>
    </row>
    <row r="14328" spans="2:7" ht="11.25" hidden="1" customHeight="1" outlineLevel="2" x14ac:dyDescent="0.25">
      <c r="B14328" s="704" t="s">
        <v>695</v>
      </c>
      <c r="C14328" s="704" t="s">
        <v>702</v>
      </c>
      <c r="D14328" s="704" t="s">
        <v>563</v>
      </c>
      <c r="E14328" s="704" t="s">
        <v>676</v>
      </c>
      <c r="F14328" s="705">
        <v>8.7753213898184251E-4</v>
      </c>
      <c r="G14328" s="705">
        <v>8.9937998181764581E-2</v>
      </c>
    </row>
    <row r="14329" spans="2:7" ht="11.25" hidden="1" customHeight="1" outlineLevel="2" x14ac:dyDescent="0.25">
      <c r="B14329" s="704" t="s">
        <v>695</v>
      </c>
      <c r="C14329" s="704" t="s">
        <v>703</v>
      </c>
      <c r="D14329" s="704" t="s">
        <v>563</v>
      </c>
      <c r="E14329" s="704" t="s">
        <v>676</v>
      </c>
      <c r="F14329" s="705">
        <v>2.2533987461412514E-3</v>
      </c>
      <c r="G14329" s="705">
        <v>0.22190133431064488</v>
      </c>
    </row>
    <row r="14330" spans="2:7" ht="11.25" hidden="1" customHeight="1" outlineLevel="2" x14ac:dyDescent="0.25">
      <c r="B14330" s="704" t="s">
        <v>695</v>
      </c>
      <c r="C14330" s="704" t="s">
        <v>704</v>
      </c>
      <c r="D14330" s="704" t="s">
        <v>563</v>
      </c>
      <c r="E14330" s="704" t="s">
        <v>676</v>
      </c>
      <c r="F14330" s="705">
        <v>2.9883838937917869E-3</v>
      </c>
      <c r="G14330" s="705">
        <v>0.67202237579671587</v>
      </c>
    </row>
    <row r="14331" spans="2:7" ht="11.25" hidden="1" customHeight="1" outlineLevel="2" x14ac:dyDescent="0.25">
      <c r="B14331" s="704" t="s">
        <v>695</v>
      </c>
      <c r="C14331" s="704" t="s">
        <v>887</v>
      </c>
      <c r="D14331" s="704" t="s">
        <v>563</v>
      </c>
      <c r="E14331" s="704" t="s">
        <v>861</v>
      </c>
      <c r="F14331" s="709"/>
      <c r="G14331" s="705">
        <v>45.167830162113887</v>
      </c>
    </row>
    <row r="14332" spans="2:7" ht="11.25" hidden="1" customHeight="1" outlineLevel="2" x14ac:dyDescent="0.25">
      <c r="B14332" s="704" t="s">
        <v>695</v>
      </c>
      <c r="C14332" s="704" t="s">
        <v>888</v>
      </c>
      <c r="D14332" s="704" t="s">
        <v>563</v>
      </c>
      <c r="E14332" s="704" t="s">
        <v>861</v>
      </c>
      <c r="F14332" s="709"/>
      <c r="G14332" s="705">
        <v>655.41089718192416</v>
      </c>
    </row>
    <row r="14333" spans="2:7" ht="11.25" hidden="1" customHeight="1" outlineLevel="2" x14ac:dyDescent="0.25">
      <c r="B14333" s="704" t="s">
        <v>695</v>
      </c>
      <c r="C14333" s="704" t="s">
        <v>889</v>
      </c>
      <c r="D14333" s="704" t="s">
        <v>563</v>
      </c>
      <c r="E14333" s="704" t="s">
        <v>861</v>
      </c>
      <c r="F14333" s="709"/>
      <c r="G14333" s="705">
        <v>286.06523383300112</v>
      </c>
    </row>
    <row r="14334" spans="2:7" ht="11.25" hidden="1" customHeight="1" outlineLevel="2" x14ac:dyDescent="0.25">
      <c r="B14334" s="704" t="s">
        <v>695</v>
      </c>
      <c r="C14334" s="704" t="s">
        <v>890</v>
      </c>
      <c r="D14334" s="704" t="s">
        <v>563</v>
      </c>
      <c r="E14334" s="704" t="s">
        <v>861</v>
      </c>
      <c r="F14334" s="709"/>
      <c r="G14334" s="705">
        <v>290.3529869570167</v>
      </c>
    </row>
    <row r="14335" spans="2:7" ht="11.25" hidden="1" customHeight="1" outlineLevel="2" x14ac:dyDescent="0.25">
      <c r="B14335" s="704" t="s">
        <v>695</v>
      </c>
      <c r="C14335" s="704" t="s">
        <v>891</v>
      </c>
      <c r="D14335" s="704" t="s">
        <v>563</v>
      </c>
      <c r="E14335" s="704" t="s">
        <v>861</v>
      </c>
      <c r="F14335" s="709"/>
      <c r="G14335" s="705">
        <v>11.162206115542936</v>
      </c>
    </row>
    <row r="14336" spans="2:7" ht="11.25" hidden="1" customHeight="1" outlineLevel="2" x14ac:dyDescent="0.25">
      <c r="B14336" s="704" t="s">
        <v>695</v>
      </c>
      <c r="C14336" s="704" t="s">
        <v>892</v>
      </c>
      <c r="D14336" s="704" t="s">
        <v>563</v>
      </c>
      <c r="E14336" s="704" t="s">
        <v>861</v>
      </c>
      <c r="F14336" s="709"/>
      <c r="G14336" s="705">
        <v>645.4548798533707</v>
      </c>
    </row>
    <row r="14337" spans="2:7" ht="11.25" hidden="1" customHeight="1" outlineLevel="2" x14ac:dyDescent="0.25">
      <c r="B14337" s="704" t="s">
        <v>695</v>
      </c>
      <c r="C14337" s="704" t="s">
        <v>893</v>
      </c>
      <c r="D14337" s="704" t="s">
        <v>563</v>
      </c>
      <c r="E14337" s="704" t="s">
        <v>861</v>
      </c>
      <c r="F14337" s="709"/>
      <c r="G14337" s="705">
        <v>412.63144561905841</v>
      </c>
    </row>
    <row r="14338" spans="2:7" ht="11.25" hidden="1" customHeight="1" outlineLevel="2" x14ac:dyDescent="0.25">
      <c r="B14338" s="704" t="s">
        <v>695</v>
      </c>
      <c r="C14338" s="704" t="s">
        <v>727</v>
      </c>
      <c r="D14338" s="704" t="s">
        <v>728</v>
      </c>
      <c r="E14338" s="704" t="s">
        <v>448</v>
      </c>
      <c r="F14338" s="705">
        <v>3.1418683042425729E-3</v>
      </c>
      <c r="G14338" s="705">
        <v>1.7208536809031674</v>
      </c>
    </row>
    <row r="14339" spans="2:7" ht="11.25" hidden="1" customHeight="1" outlineLevel="2" x14ac:dyDescent="0.25">
      <c r="B14339" s="704" t="s">
        <v>695</v>
      </c>
      <c r="C14339" s="704" t="s">
        <v>729</v>
      </c>
      <c r="D14339" s="704" t="s">
        <v>728</v>
      </c>
      <c r="E14339" s="704" t="s">
        <v>448</v>
      </c>
      <c r="F14339" s="705">
        <v>3.8337672535551461E-2</v>
      </c>
      <c r="G14339" s="705">
        <v>20.692238393943601</v>
      </c>
    </row>
    <row r="14340" spans="2:7" ht="11.25" hidden="1" customHeight="1" outlineLevel="2" x14ac:dyDescent="0.25">
      <c r="B14340" s="704" t="s">
        <v>695</v>
      </c>
      <c r="C14340" s="704" t="s">
        <v>730</v>
      </c>
      <c r="D14340" s="704" t="s">
        <v>728</v>
      </c>
      <c r="E14340" s="704" t="s">
        <v>448</v>
      </c>
      <c r="F14340" s="705">
        <v>4.5088320204112034E-2</v>
      </c>
      <c r="G14340" s="705">
        <v>23.508285122011895</v>
      </c>
    </row>
    <row r="14341" spans="2:7" ht="11.25" hidden="1" customHeight="1" outlineLevel="2" x14ac:dyDescent="0.25">
      <c r="B14341" s="704" t="s">
        <v>695</v>
      </c>
      <c r="C14341" s="704" t="s">
        <v>731</v>
      </c>
      <c r="D14341" s="704" t="s">
        <v>728</v>
      </c>
      <c r="E14341" s="704" t="s">
        <v>448</v>
      </c>
      <c r="F14341" s="705">
        <v>0.42001157135810202</v>
      </c>
      <c r="G14341" s="705">
        <v>230.282575774935</v>
      </c>
    </row>
    <row r="14342" spans="2:7" ht="11.25" hidden="1" customHeight="1" outlineLevel="2" x14ac:dyDescent="0.25">
      <c r="B14342" s="704" t="s">
        <v>695</v>
      </c>
      <c r="C14342" s="704" t="s">
        <v>732</v>
      </c>
      <c r="D14342" s="704" t="s">
        <v>728</v>
      </c>
      <c r="E14342" s="704" t="s">
        <v>448</v>
      </c>
      <c r="F14342" s="705">
        <v>5.5584699544110529E-2</v>
      </c>
      <c r="G14342" s="705">
        <v>32.759928500607607</v>
      </c>
    </row>
    <row r="14343" spans="2:7" ht="11.25" hidden="1" customHeight="1" outlineLevel="2" x14ac:dyDescent="0.25">
      <c r="B14343" s="704" t="s">
        <v>695</v>
      </c>
      <c r="C14343" s="704" t="s">
        <v>733</v>
      </c>
      <c r="D14343" s="704" t="s">
        <v>728</v>
      </c>
      <c r="E14343" s="704" t="s">
        <v>448</v>
      </c>
      <c r="F14343" s="705">
        <v>0.39654386215713749</v>
      </c>
      <c r="G14343" s="705">
        <v>200.80243002769316</v>
      </c>
    </row>
    <row r="14344" spans="2:7" ht="11.25" hidden="1" customHeight="1" outlineLevel="2" x14ac:dyDescent="0.25">
      <c r="B14344" s="704" t="s">
        <v>695</v>
      </c>
      <c r="C14344" s="704" t="s">
        <v>734</v>
      </c>
      <c r="D14344" s="704" t="s">
        <v>728</v>
      </c>
      <c r="E14344" s="704" t="s">
        <v>448</v>
      </c>
      <c r="F14344" s="705">
        <v>3.9179571351829319E-2</v>
      </c>
      <c r="G14344" s="705">
        <v>21.084223208862834</v>
      </c>
    </row>
    <row r="14345" spans="2:7" ht="11.25" hidden="1" customHeight="1" outlineLevel="2" x14ac:dyDescent="0.25">
      <c r="B14345" s="704" t="s">
        <v>695</v>
      </c>
      <c r="C14345" s="704" t="s">
        <v>735</v>
      </c>
      <c r="D14345" s="704" t="s">
        <v>728</v>
      </c>
      <c r="E14345" s="704" t="s">
        <v>448</v>
      </c>
      <c r="F14345" s="705">
        <v>0.34999369796539648</v>
      </c>
      <c r="G14345" s="705">
        <v>187.50159520050425</v>
      </c>
    </row>
    <row r="14346" spans="2:7" ht="11.25" hidden="1" customHeight="1" outlineLevel="2" x14ac:dyDescent="0.25">
      <c r="B14346" s="704" t="s">
        <v>695</v>
      </c>
      <c r="C14346" s="704" t="s">
        <v>736</v>
      </c>
      <c r="D14346" s="704" t="s">
        <v>728</v>
      </c>
      <c r="E14346" s="704" t="s">
        <v>448</v>
      </c>
      <c r="F14346" s="705">
        <v>9.5451059140232872E-37</v>
      </c>
      <c r="G14346" s="705">
        <v>1.403759964414025E-34</v>
      </c>
    </row>
    <row r="14347" spans="2:7" ht="11.25" hidden="1" customHeight="1" outlineLevel="2" x14ac:dyDescent="0.25">
      <c r="B14347" s="704" t="s">
        <v>695</v>
      </c>
      <c r="C14347" s="704" t="s">
        <v>737</v>
      </c>
      <c r="D14347" s="704" t="s">
        <v>728</v>
      </c>
      <c r="E14347" s="704" t="s">
        <v>448</v>
      </c>
      <c r="F14347" s="705">
        <v>5.9878333050808895E-32</v>
      </c>
      <c r="G14347" s="705">
        <v>8.806380859610538E-30</v>
      </c>
    </row>
    <row r="14348" spans="2:7" ht="11.25" hidden="1" customHeight="1" outlineLevel="2" x14ac:dyDescent="0.25">
      <c r="B14348" s="704" t="s">
        <v>695</v>
      </c>
      <c r="C14348" s="704" t="s">
        <v>738</v>
      </c>
      <c r="D14348" s="704" t="s">
        <v>728</v>
      </c>
      <c r="E14348" s="704" t="s">
        <v>448</v>
      </c>
      <c r="F14348" s="705">
        <v>1.7146268115446515E-4</v>
      </c>
      <c r="G14348" s="705">
        <v>8.5704126599405656E-2</v>
      </c>
    </row>
    <row r="14349" spans="2:7" ht="11.25" hidden="1" customHeight="1" outlineLevel="2" x14ac:dyDescent="0.25">
      <c r="B14349" s="704" t="s">
        <v>695</v>
      </c>
      <c r="C14349" s="704" t="s">
        <v>776</v>
      </c>
      <c r="D14349" s="704" t="s">
        <v>728</v>
      </c>
      <c r="E14349" s="704" t="s">
        <v>448</v>
      </c>
      <c r="F14349" s="705">
        <v>0.47185505745968237</v>
      </c>
      <c r="G14349" s="705">
        <v>293.68944454126392</v>
      </c>
    </row>
    <row r="14350" spans="2:7" ht="11.25" hidden="1" customHeight="1" outlineLevel="2" x14ac:dyDescent="0.25">
      <c r="B14350" s="704" t="s">
        <v>695</v>
      </c>
      <c r="C14350" s="704" t="s">
        <v>777</v>
      </c>
      <c r="D14350" s="704" t="s">
        <v>728</v>
      </c>
      <c r="E14350" s="704" t="s">
        <v>448</v>
      </c>
      <c r="F14350" s="705">
        <v>0.48953102411727517</v>
      </c>
      <c r="G14350" s="705">
        <v>585.3355481759113</v>
      </c>
    </row>
    <row r="14351" spans="2:7" ht="11.25" hidden="1" customHeight="1" outlineLevel="2" x14ac:dyDescent="0.25">
      <c r="B14351" s="704" t="s">
        <v>695</v>
      </c>
      <c r="C14351" s="704" t="s">
        <v>778</v>
      </c>
      <c r="D14351" s="704" t="s">
        <v>728</v>
      </c>
      <c r="E14351" s="704" t="s">
        <v>448</v>
      </c>
      <c r="F14351" s="705">
        <v>3.9888399436051276E-2</v>
      </c>
      <c r="G14351" s="705">
        <v>24.626265870206044</v>
      </c>
    </row>
    <row r="14352" spans="2:7" ht="11.25" hidden="1" customHeight="1" outlineLevel="2" x14ac:dyDescent="0.25">
      <c r="B14352" s="704" t="s">
        <v>695</v>
      </c>
      <c r="C14352" s="704" t="s">
        <v>779</v>
      </c>
      <c r="D14352" s="704" t="s">
        <v>728</v>
      </c>
      <c r="E14352" s="704" t="s">
        <v>448</v>
      </c>
      <c r="F14352" s="705">
        <v>0.39679704385768477</v>
      </c>
      <c r="G14352" s="705">
        <v>297.94141249690188</v>
      </c>
    </row>
    <row r="14353" spans="2:7" ht="11.25" hidden="1" customHeight="1" outlineLevel="2" x14ac:dyDescent="0.25">
      <c r="B14353" s="704" t="s">
        <v>695</v>
      </c>
      <c r="C14353" s="704" t="s">
        <v>780</v>
      </c>
      <c r="D14353" s="704" t="s">
        <v>728</v>
      </c>
      <c r="E14353" s="704" t="s">
        <v>448</v>
      </c>
      <c r="F14353" s="705">
        <v>2.1620039144902808E-3</v>
      </c>
      <c r="G14353" s="705">
        <v>1.6349655810265</v>
      </c>
    </row>
    <row r="14354" spans="2:7" ht="11.25" hidden="1" customHeight="1" outlineLevel="2" x14ac:dyDescent="0.25">
      <c r="B14354" s="704" t="s">
        <v>695</v>
      </c>
      <c r="C14354" s="704" t="s">
        <v>781</v>
      </c>
      <c r="D14354" s="704" t="s">
        <v>728</v>
      </c>
      <c r="E14354" s="704" t="s">
        <v>448</v>
      </c>
      <c r="F14354" s="705">
        <v>1.0878488993128443E-2</v>
      </c>
      <c r="G14354" s="705">
        <v>13.559234523397317</v>
      </c>
    </row>
    <row r="14355" spans="2:7" ht="11.25" hidden="1" customHeight="1" outlineLevel="2" x14ac:dyDescent="0.25">
      <c r="B14355" s="704" t="s">
        <v>695</v>
      </c>
      <c r="C14355" s="704" t="s">
        <v>782</v>
      </c>
      <c r="D14355" s="704" t="s">
        <v>728</v>
      </c>
      <c r="E14355" s="704" t="s">
        <v>448</v>
      </c>
      <c r="F14355" s="705">
        <v>4.1148542636542601E-3</v>
      </c>
      <c r="G14355" s="705">
        <v>3.1192223101648229</v>
      </c>
    </row>
    <row r="14356" spans="2:7" ht="11.25" hidden="1" customHeight="1" outlineLevel="2" x14ac:dyDescent="0.25">
      <c r="B14356" s="704" t="s">
        <v>695</v>
      </c>
      <c r="C14356" s="704" t="s">
        <v>783</v>
      </c>
      <c r="D14356" s="704" t="s">
        <v>728</v>
      </c>
      <c r="E14356" s="704" t="s">
        <v>448</v>
      </c>
      <c r="F14356" s="705">
        <v>0.35716252729878289</v>
      </c>
      <c r="G14356" s="705">
        <v>559.38769134598488</v>
      </c>
    </row>
    <row r="14357" spans="2:7" ht="11.25" hidden="1" customHeight="1" outlineLevel="2" x14ac:dyDescent="0.25">
      <c r="B14357" s="704" t="s">
        <v>695</v>
      </c>
      <c r="C14357" s="704" t="s">
        <v>784</v>
      </c>
      <c r="D14357" s="704" t="s">
        <v>728</v>
      </c>
      <c r="E14357" s="704" t="s">
        <v>448</v>
      </c>
      <c r="F14357" s="705">
        <v>2.0510680705289451E-31</v>
      </c>
      <c r="G14357" s="705">
        <v>1.1228300050502855E-28</v>
      </c>
    </row>
    <row r="14358" spans="2:7" ht="11.25" hidden="1" customHeight="1" outlineLevel="2" x14ac:dyDescent="0.25">
      <c r="B14358" s="704" t="s">
        <v>695</v>
      </c>
      <c r="C14358" s="704" t="s">
        <v>785</v>
      </c>
      <c r="D14358" s="704" t="s">
        <v>728</v>
      </c>
      <c r="E14358" s="704" t="s">
        <v>448</v>
      </c>
      <c r="F14358" s="705">
        <v>6.83532789803876E-31</v>
      </c>
      <c r="G14358" s="705">
        <v>3.7421352554373352E-28</v>
      </c>
    </row>
    <row r="14359" spans="2:7" ht="11.25" hidden="1" customHeight="1" outlineLevel="2" x14ac:dyDescent="0.25">
      <c r="B14359" s="704" t="s">
        <v>695</v>
      </c>
      <c r="C14359" s="704" t="s">
        <v>786</v>
      </c>
      <c r="D14359" s="704" t="s">
        <v>728</v>
      </c>
      <c r="E14359" s="704" t="s">
        <v>448</v>
      </c>
      <c r="F14359" s="705">
        <v>4.6413657475332819E-2</v>
      </c>
      <c r="G14359" s="705">
        <v>58.927713612354559</v>
      </c>
    </row>
    <row r="14360" spans="2:7" ht="11.25" hidden="1" customHeight="1" outlineLevel="2" x14ac:dyDescent="0.25">
      <c r="B14360" s="704" t="s">
        <v>695</v>
      </c>
      <c r="C14360" s="704" t="s">
        <v>787</v>
      </c>
      <c r="D14360" s="704" t="s">
        <v>728</v>
      </c>
      <c r="E14360" s="704" t="s">
        <v>448</v>
      </c>
      <c r="F14360" s="705">
        <v>4.5613880665873949E-2</v>
      </c>
      <c r="G14360" s="705">
        <v>64.627737669444059</v>
      </c>
    </row>
    <row r="14361" spans="2:7" ht="11.25" hidden="1" customHeight="1" outlineLevel="2" x14ac:dyDescent="0.25">
      <c r="B14361" s="704" t="s">
        <v>695</v>
      </c>
      <c r="C14361" s="704" t="s">
        <v>788</v>
      </c>
      <c r="D14361" s="704" t="s">
        <v>728</v>
      </c>
      <c r="E14361" s="704" t="s">
        <v>448</v>
      </c>
      <c r="F14361" s="705">
        <v>6.4292609449705621E-2</v>
      </c>
      <c r="G14361" s="705">
        <v>73.559655215475701</v>
      </c>
    </row>
    <row r="14362" spans="2:7" ht="11.25" hidden="1" customHeight="1" outlineLevel="2" x14ac:dyDescent="0.25">
      <c r="B14362" s="704" t="s">
        <v>695</v>
      </c>
      <c r="C14362" s="704" t="s">
        <v>789</v>
      </c>
      <c r="D14362" s="704" t="s">
        <v>728</v>
      </c>
      <c r="E14362" s="704" t="s">
        <v>448</v>
      </c>
      <c r="F14362" s="705">
        <v>4.9547011095867996E-2</v>
      </c>
      <c r="G14362" s="705">
        <v>34.254195095921581</v>
      </c>
    </row>
    <row r="14363" spans="2:7" ht="11.25" hidden="1" customHeight="1" outlineLevel="2" x14ac:dyDescent="0.25">
      <c r="B14363" s="704" t="s">
        <v>695</v>
      </c>
      <c r="C14363" s="704" t="s">
        <v>790</v>
      </c>
      <c r="D14363" s="704" t="s">
        <v>728</v>
      </c>
      <c r="E14363" s="704" t="s">
        <v>448</v>
      </c>
      <c r="F14363" s="705">
        <v>0.62064177112519137</v>
      </c>
      <c r="G14363" s="705">
        <v>789.88464638789674</v>
      </c>
    </row>
    <row r="14364" spans="2:7" ht="11.25" hidden="1" customHeight="1" outlineLevel="2" x14ac:dyDescent="0.25">
      <c r="B14364" s="704" t="s">
        <v>695</v>
      </c>
      <c r="C14364" s="704" t="s">
        <v>791</v>
      </c>
      <c r="D14364" s="704" t="s">
        <v>728</v>
      </c>
      <c r="E14364" s="704" t="s">
        <v>448</v>
      </c>
      <c r="F14364" s="705">
        <v>0.61978330191632403</v>
      </c>
      <c r="G14364" s="705">
        <v>878.31897624463556</v>
      </c>
    </row>
    <row r="14365" spans="2:7" ht="11.25" hidden="1" customHeight="1" outlineLevel="2" x14ac:dyDescent="0.25">
      <c r="B14365" s="704" t="s">
        <v>695</v>
      </c>
      <c r="C14365" s="704" t="s">
        <v>792</v>
      </c>
      <c r="D14365" s="704" t="s">
        <v>728</v>
      </c>
      <c r="E14365" s="704" t="s">
        <v>448</v>
      </c>
      <c r="F14365" s="705">
        <v>6.9779990908282477E-2</v>
      </c>
      <c r="G14365" s="705">
        <v>147.04889192223163</v>
      </c>
    </row>
    <row r="14366" spans="2:7" ht="11.25" hidden="1" customHeight="1" outlineLevel="2" x14ac:dyDescent="0.25">
      <c r="B14366" s="704" t="s">
        <v>695</v>
      </c>
      <c r="C14366" s="704" t="s">
        <v>793</v>
      </c>
      <c r="D14366" s="704" t="s">
        <v>728</v>
      </c>
      <c r="E14366" s="704" t="s">
        <v>448</v>
      </c>
      <c r="F14366" s="705">
        <v>1.9410021448928103</v>
      </c>
      <c r="G14366" s="705">
        <v>2833.513502546462</v>
      </c>
    </row>
    <row r="14367" spans="2:7" ht="11.25" hidden="1" customHeight="1" outlineLevel="2" x14ac:dyDescent="0.25">
      <c r="B14367" s="704" t="s">
        <v>695</v>
      </c>
      <c r="C14367" s="704" t="s">
        <v>794</v>
      </c>
      <c r="D14367" s="704" t="s">
        <v>728</v>
      </c>
      <c r="E14367" s="704" t="s">
        <v>448</v>
      </c>
      <c r="F14367" s="705">
        <v>3.5694050067831766E-2</v>
      </c>
      <c r="G14367" s="705">
        <v>27.97872876918802</v>
      </c>
    </row>
    <row r="14368" spans="2:7" ht="11.25" hidden="1" customHeight="1" outlineLevel="2" x14ac:dyDescent="0.25">
      <c r="B14368" s="704" t="s">
        <v>695</v>
      </c>
      <c r="C14368" s="704" t="s">
        <v>795</v>
      </c>
      <c r="D14368" s="704" t="s">
        <v>728</v>
      </c>
      <c r="E14368" s="704" t="s">
        <v>448</v>
      </c>
      <c r="F14368" s="705">
        <v>0.11053646429152569</v>
      </c>
      <c r="G14368" s="705">
        <v>86.817712064334856</v>
      </c>
    </row>
    <row r="14369" spans="2:7" ht="11.25" hidden="1" customHeight="1" outlineLevel="2" x14ac:dyDescent="0.25">
      <c r="B14369" s="704" t="s">
        <v>695</v>
      </c>
      <c r="C14369" s="704" t="s">
        <v>845</v>
      </c>
      <c r="D14369" s="704" t="s">
        <v>728</v>
      </c>
      <c r="E14369" s="704" t="s">
        <v>824</v>
      </c>
      <c r="F14369" s="705">
        <v>5.4684516624579748E-3</v>
      </c>
      <c r="G14369" s="705">
        <v>48.780843279390872</v>
      </c>
    </row>
    <row r="14370" spans="2:7" ht="11.25" hidden="1" customHeight="1" outlineLevel="2" x14ac:dyDescent="0.25">
      <c r="B14370" s="704" t="s">
        <v>695</v>
      </c>
      <c r="C14370" s="704" t="s">
        <v>894</v>
      </c>
      <c r="D14370" s="704" t="s">
        <v>728</v>
      </c>
      <c r="E14370" s="704" t="s">
        <v>861</v>
      </c>
      <c r="F14370" s="709"/>
      <c r="G14370" s="705">
        <v>7.5828384851565955E-2</v>
      </c>
    </row>
    <row r="14371" spans="2:7" ht="11.25" hidden="1" customHeight="1" outlineLevel="2" x14ac:dyDescent="0.25">
      <c r="B14371" s="704" t="s">
        <v>695</v>
      </c>
      <c r="C14371" s="704" t="s">
        <v>895</v>
      </c>
      <c r="D14371" s="704" t="s">
        <v>728</v>
      </c>
      <c r="E14371" s="704" t="s">
        <v>861</v>
      </c>
      <c r="F14371" s="709"/>
      <c r="G14371" s="705">
        <v>2.6021645822646068E-29</v>
      </c>
    </row>
    <row r="14372" spans="2:7" ht="11.25" hidden="1" customHeight="1" outlineLevel="2" x14ac:dyDescent="0.25">
      <c r="B14372" s="704" t="s">
        <v>695</v>
      </c>
      <c r="C14372" s="704" t="s">
        <v>896</v>
      </c>
      <c r="D14372" s="704" t="s">
        <v>728</v>
      </c>
      <c r="E14372" s="704" t="s">
        <v>861</v>
      </c>
      <c r="F14372" s="709"/>
      <c r="G14372" s="705">
        <v>530.25332747577033</v>
      </c>
    </row>
    <row r="14373" spans="2:7" ht="11.25" hidden="1" customHeight="1" outlineLevel="2" x14ac:dyDescent="0.25">
      <c r="B14373" s="704" t="s">
        <v>695</v>
      </c>
      <c r="C14373" s="704" t="s">
        <v>897</v>
      </c>
      <c r="D14373" s="704" t="s">
        <v>728</v>
      </c>
      <c r="E14373" s="704" t="s">
        <v>861</v>
      </c>
      <c r="F14373" s="709"/>
      <c r="G14373" s="705">
        <v>109.42632205002275</v>
      </c>
    </row>
    <row r="14374" spans="2:7" ht="11.25" hidden="1" customHeight="1" outlineLevel="2" x14ac:dyDescent="0.25">
      <c r="B14374" s="704" t="s">
        <v>695</v>
      </c>
      <c r="C14374" s="704" t="s">
        <v>898</v>
      </c>
      <c r="D14374" s="704" t="s">
        <v>728</v>
      </c>
      <c r="E14374" s="704" t="s">
        <v>861</v>
      </c>
      <c r="F14374" s="709"/>
      <c r="G14374" s="705">
        <v>721.92610783959299</v>
      </c>
    </row>
    <row r="14375" spans="2:7" ht="11.25" hidden="1" customHeight="1" outlineLevel="2" x14ac:dyDescent="0.25">
      <c r="B14375" s="704" t="s">
        <v>695</v>
      </c>
      <c r="C14375" s="704" t="s">
        <v>899</v>
      </c>
      <c r="D14375" s="704" t="s">
        <v>728</v>
      </c>
      <c r="E14375" s="704" t="s">
        <v>861</v>
      </c>
      <c r="F14375" s="709"/>
      <c r="G14375" s="705">
        <v>85.121290335723501</v>
      </c>
    </row>
    <row r="14376" spans="2:7" ht="11.25" hidden="1" customHeight="1" outlineLevel="2" x14ac:dyDescent="0.25">
      <c r="B14376" s="704" t="s">
        <v>695</v>
      </c>
      <c r="C14376" s="704" t="s">
        <v>900</v>
      </c>
      <c r="D14376" s="704" t="s">
        <v>728</v>
      </c>
      <c r="E14376" s="704" t="s">
        <v>861</v>
      </c>
      <c r="F14376" s="709"/>
      <c r="G14376" s="705">
        <v>2.0276423949913895</v>
      </c>
    </row>
    <row r="14377" spans="2:7" ht="11.25" hidden="1" customHeight="1" outlineLevel="2" x14ac:dyDescent="0.25">
      <c r="B14377" s="704" t="s">
        <v>695</v>
      </c>
      <c r="C14377" s="704" t="s">
        <v>744</v>
      </c>
      <c r="D14377" s="704" t="s">
        <v>745</v>
      </c>
      <c r="E14377" s="704" t="s">
        <v>448</v>
      </c>
      <c r="F14377" s="705">
        <v>1.7556974704997119E-2</v>
      </c>
      <c r="G14377" s="705">
        <v>10.152315159926115</v>
      </c>
    </row>
    <row r="14378" spans="2:7" ht="11.25" hidden="1" customHeight="1" outlineLevel="2" x14ac:dyDescent="0.25">
      <c r="B14378" s="704" t="s">
        <v>695</v>
      </c>
      <c r="C14378" s="704" t="s">
        <v>812</v>
      </c>
      <c r="D14378" s="704" t="s">
        <v>745</v>
      </c>
      <c r="E14378" s="704" t="s">
        <v>448</v>
      </c>
      <c r="F14378" s="705">
        <v>2.0524469044164627E-2</v>
      </c>
      <c r="G14378" s="705">
        <v>22.859516119742452</v>
      </c>
    </row>
    <row r="14379" spans="2:7" ht="11.25" hidden="1" customHeight="1" outlineLevel="2" x14ac:dyDescent="0.25">
      <c r="B14379" s="704" t="s">
        <v>695</v>
      </c>
      <c r="C14379" s="704" t="s">
        <v>813</v>
      </c>
      <c r="D14379" s="704" t="s">
        <v>745</v>
      </c>
      <c r="E14379" s="704" t="s">
        <v>448</v>
      </c>
      <c r="F14379" s="705">
        <v>2.1052892333692542E-4</v>
      </c>
      <c r="G14379" s="705">
        <v>0.26854744744134029</v>
      </c>
    </row>
    <row r="14380" spans="2:7" ht="11.25" hidden="1" customHeight="1" outlineLevel="2" x14ac:dyDescent="0.25">
      <c r="B14380" s="704" t="s">
        <v>695</v>
      </c>
      <c r="C14380" s="704" t="s">
        <v>917</v>
      </c>
      <c r="D14380" s="704" t="s">
        <v>745</v>
      </c>
      <c r="E14380" s="704" t="s">
        <v>861</v>
      </c>
      <c r="F14380" s="709"/>
      <c r="G14380" s="705">
        <v>304.21260182194868</v>
      </c>
    </row>
    <row r="14381" spans="2:7" ht="11.25" hidden="1" customHeight="1" outlineLevel="2" x14ac:dyDescent="0.25">
      <c r="B14381" s="704" t="s">
        <v>695</v>
      </c>
      <c r="C14381" s="704" t="s">
        <v>816</v>
      </c>
      <c r="D14381" s="704" t="s">
        <v>712</v>
      </c>
      <c r="E14381" s="704" t="s">
        <v>448</v>
      </c>
      <c r="F14381" s="705">
        <v>1.0379941144339633E-33</v>
      </c>
      <c r="G14381" s="705">
        <v>1.3260307253321559E-30</v>
      </c>
    </row>
    <row r="14382" spans="2:7" ht="11.25" hidden="1" customHeight="1" outlineLevel="2" x14ac:dyDescent="0.25">
      <c r="B14382" s="704" t="s">
        <v>695</v>
      </c>
      <c r="C14382" s="704" t="s">
        <v>711</v>
      </c>
      <c r="D14382" s="704" t="s">
        <v>712</v>
      </c>
      <c r="E14382" s="704" t="s">
        <v>676</v>
      </c>
      <c r="F14382" s="705">
        <v>3.136151520901011E-33</v>
      </c>
      <c r="G14382" s="705">
        <v>7.3601632656396319E-31</v>
      </c>
    </row>
    <row r="14383" spans="2:7" ht="11.25" hidden="1" customHeight="1" outlineLevel="2" x14ac:dyDescent="0.25">
      <c r="B14383" s="704" t="s">
        <v>695</v>
      </c>
      <c r="C14383" s="704" t="s">
        <v>921</v>
      </c>
      <c r="D14383" s="704" t="s">
        <v>712</v>
      </c>
      <c r="E14383" s="704" t="s">
        <v>861</v>
      </c>
      <c r="F14383" s="709"/>
      <c r="G14383" s="705">
        <v>7.9720101268876722E-32</v>
      </c>
    </row>
    <row r="14384" spans="2:7" ht="11.25" hidden="1" customHeight="1" outlineLevel="2" x14ac:dyDescent="0.25">
      <c r="B14384" s="704" t="s">
        <v>695</v>
      </c>
      <c r="C14384" s="704" t="s">
        <v>817</v>
      </c>
      <c r="D14384" s="704" t="s">
        <v>818</v>
      </c>
      <c r="E14384" s="704" t="s">
        <v>448</v>
      </c>
      <c r="F14384" s="705">
        <v>13.333593116487345</v>
      </c>
      <c r="G14384" s="705">
        <v>10956.584922687398</v>
      </c>
    </row>
    <row r="14385" spans="2:7" ht="11.25" hidden="1" customHeight="1" outlineLevel="2" x14ac:dyDescent="0.25">
      <c r="B14385" s="704" t="s">
        <v>695</v>
      </c>
      <c r="C14385" s="704" t="s">
        <v>819</v>
      </c>
      <c r="D14385" s="704" t="s">
        <v>818</v>
      </c>
      <c r="E14385" s="704" t="s">
        <v>448</v>
      </c>
      <c r="F14385" s="705">
        <v>5.8060704263270972</v>
      </c>
      <c r="G14385" s="705">
        <v>4623.6503748659443</v>
      </c>
    </row>
    <row r="14386" spans="2:7" ht="11.25" hidden="1" customHeight="1" outlineLevel="2" x14ac:dyDescent="0.25">
      <c r="B14386" s="704" t="s">
        <v>695</v>
      </c>
      <c r="C14386" s="704" t="s">
        <v>820</v>
      </c>
      <c r="D14386" s="704" t="s">
        <v>818</v>
      </c>
      <c r="E14386" s="704" t="s">
        <v>448</v>
      </c>
      <c r="F14386" s="705">
        <v>5.1176676937540151</v>
      </c>
      <c r="G14386" s="705">
        <v>7983.2554946947093</v>
      </c>
    </row>
    <row r="14387" spans="2:7" ht="11.25" hidden="1" customHeight="1" outlineLevel="2" x14ac:dyDescent="0.25">
      <c r="B14387" s="704" t="s">
        <v>695</v>
      </c>
      <c r="C14387" s="704" t="s">
        <v>857</v>
      </c>
      <c r="D14387" s="704" t="s">
        <v>818</v>
      </c>
      <c r="E14387" s="704" t="s">
        <v>664</v>
      </c>
      <c r="F14387" s="709"/>
      <c r="G14387" s="705">
        <v>7108.0143685411367</v>
      </c>
    </row>
    <row r="14388" spans="2:7" ht="11.25" hidden="1" customHeight="1" outlineLevel="2" x14ac:dyDescent="0.25">
      <c r="B14388" s="704" t="s">
        <v>695</v>
      </c>
      <c r="C14388" s="704" t="s">
        <v>858</v>
      </c>
      <c r="D14388" s="704" t="s">
        <v>818</v>
      </c>
      <c r="E14388" s="704" t="s">
        <v>664</v>
      </c>
      <c r="F14388" s="709"/>
      <c r="G14388" s="705">
        <v>25.659218919550813</v>
      </c>
    </row>
    <row r="14389" spans="2:7" ht="11.25" hidden="1" customHeight="1" outlineLevel="2" x14ac:dyDescent="0.25">
      <c r="B14389" s="704" t="s">
        <v>695</v>
      </c>
      <c r="C14389" s="704" t="s">
        <v>922</v>
      </c>
      <c r="D14389" s="704" t="s">
        <v>822</v>
      </c>
      <c r="E14389" s="704" t="s">
        <v>861</v>
      </c>
      <c r="F14389" s="709"/>
      <c r="G14389" s="705">
        <v>1.3653770425009171E-30</v>
      </c>
    </row>
    <row r="14390" spans="2:7" ht="11.25" hidden="1" customHeight="1" outlineLevel="2" x14ac:dyDescent="0.25">
      <c r="B14390" s="704" t="s">
        <v>695</v>
      </c>
      <c r="C14390" s="704" t="s">
        <v>821</v>
      </c>
      <c r="D14390" s="704" t="s">
        <v>822</v>
      </c>
      <c r="E14390" s="704" t="s">
        <v>448</v>
      </c>
      <c r="F14390" s="705">
        <v>1.4296641266448002E-35</v>
      </c>
      <c r="G14390" s="705">
        <v>1.9649166645629601E-32</v>
      </c>
    </row>
    <row r="14391" spans="2:7" ht="11.25" hidden="1" customHeight="1" outlineLevel="2" x14ac:dyDescent="0.25">
      <c r="B14391" s="704" t="s">
        <v>695</v>
      </c>
      <c r="C14391" s="704" t="s">
        <v>855</v>
      </c>
      <c r="D14391" s="704" t="s">
        <v>822</v>
      </c>
      <c r="E14391" s="704" t="s">
        <v>824</v>
      </c>
      <c r="F14391" s="705">
        <v>1.3212207888560816E-40</v>
      </c>
      <c r="G14391" s="705">
        <v>3.8274928299855921E-37</v>
      </c>
    </row>
    <row r="14392" spans="2:7" ht="11.25" hidden="1" customHeight="1" outlineLevel="2" x14ac:dyDescent="0.25">
      <c r="B14392" s="704" t="s">
        <v>695</v>
      </c>
      <c r="C14392" s="704" t="s">
        <v>716</v>
      </c>
      <c r="D14392" s="704" t="s">
        <v>715</v>
      </c>
      <c r="E14392" s="704" t="s">
        <v>448</v>
      </c>
      <c r="F14392" s="705">
        <v>3.4412263012536057E-35</v>
      </c>
      <c r="G14392" s="705">
        <v>4.1921589853032535E-32</v>
      </c>
    </row>
    <row r="14393" spans="2:7" ht="11.25" hidden="1" customHeight="1" outlineLevel="2" x14ac:dyDescent="0.25">
      <c r="B14393" s="704" t="s">
        <v>695</v>
      </c>
      <c r="C14393" s="704" t="s">
        <v>717</v>
      </c>
      <c r="D14393" s="704" t="s">
        <v>715</v>
      </c>
      <c r="E14393" s="704" t="s">
        <v>448</v>
      </c>
      <c r="F14393" s="705">
        <v>2.5725958477969523E-34</v>
      </c>
      <c r="G14393" s="705">
        <v>7.0309237561352104E-32</v>
      </c>
    </row>
    <row r="14394" spans="2:7" ht="11.25" hidden="1" customHeight="1" outlineLevel="2" x14ac:dyDescent="0.25">
      <c r="B14394" s="704" t="s">
        <v>695</v>
      </c>
      <c r="C14394" s="704" t="s">
        <v>718</v>
      </c>
      <c r="D14394" s="704" t="s">
        <v>715</v>
      </c>
      <c r="E14394" s="704" t="s">
        <v>448</v>
      </c>
      <c r="F14394" s="705">
        <v>1.0334569929962253E-33</v>
      </c>
      <c r="G14394" s="705">
        <v>1.1418625961266794E-30</v>
      </c>
    </row>
    <row r="14395" spans="2:7" ht="11.25" hidden="1" customHeight="1" outlineLevel="2" x14ac:dyDescent="0.25">
      <c r="B14395" s="704" t="s">
        <v>695</v>
      </c>
      <c r="C14395" s="704" t="s">
        <v>746</v>
      </c>
      <c r="D14395" s="704" t="s">
        <v>715</v>
      </c>
      <c r="E14395" s="704" t="s">
        <v>448</v>
      </c>
      <c r="F14395" s="705">
        <v>6.5686298980488706E-34</v>
      </c>
      <c r="G14395" s="705">
        <v>4.5774112357123968E-31</v>
      </c>
    </row>
    <row r="14396" spans="2:7" ht="11.25" hidden="1" customHeight="1" outlineLevel="2" x14ac:dyDescent="0.25">
      <c r="B14396" s="704" t="s">
        <v>695</v>
      </c>
      <c r="C14396" s="704" t="s">
        <v>747</v>
      </c>
      <c r="D14396" s="704" t="s">
        <v>715</v>
      </c>
      <c r="E14396" s="704" t="s">
        <v>448</v>
      </c>
      <c r="F14396" s="705">
        <v>9.4610194307558104E-32</v>
      </c>
      <c r="G14396" s="705">
        <v>8.1160552133930694E-29</v>
      </c>
    </row>
    <row r="14397" spans="2:7" ht="11.25" hidden="1" customHeight="1" outlineLevel="2" x14ac:dyDescent="0.25">
      <c r="B14397" s="704" t="s">
        <v>695</v>
      </c>
      <c r="C14397" s="704" t="s">
        <v>748</v>
      </c>
      <c r="D14397" s="704" t="s">
        <v>715</v>
      </c>
      <c r="E14397" s="704" t="s">
        <v>448</v>
      </c>
      <c r="F14397" s="705">
        <v>6.6319380563515731E-2</v>
      </c>
      <c r="G14397" s="705">
        <v>86.330920114526606</v>
      </c>
    </row>
    <row r="14398" spans="2:7" ht="11.25" hidden="1" customHeight="1" outlineLevel="2" x14ac:dyDescent="0.25">
      <c r="B14398" s="704" t="s">
        <v>695</v>
      </c>
      <c r="C14398" s="704" t="s">
        <v>749</v>
      </c>
      <c r="D14398" s="704" t="s">
        <v>715</v>
      </c>
      <c r="E14398" s="704" t="s">
        <v>448</v>
      </c>
      <c r="F14398" s="705">
        <v>1.6173722528088712E-35</v>
      </c>
      <c r="G14398" s="705">
        <v>1.5768694812717283E-32</v>
      </c>
    </row>
    <row r="14399" spans="2:7" ht="11.25" hidden="1" customHeight="1" outlineLevel="2" x14ac:dyDescent="0.25">
      <c r="B14399" s="704" t="s">
        <v>695</v>
      </c>
      <c r="C14399" s="704" t="s">
        <v>823</v>
      </c>
      <c r="D14399" s="704" t="s">
        <v>715</v>
      </c>
      <c r="E14399" s="704" t="s">
        <v>824</v>
      </c>
      <c r="F14399" s="705">
        <v>1.9010908880696712E-35</v>
      </c>
      <c r="G14399" s="705">
        <v>3.1761120668295189E-32</v>
      </c>
    </row>
    <row r="14400" spans="2:7" ht="11.25" hidden="1" customHeight="1" outlineLevel="2" x14ac:dyDescent="0.25">
      <c r="B14400" s="704" t="s">
        <v>695</v>
      </c>
      <c r="C14400" s="704" t="s">
        <v>860</v>
      </c>
      <c r="D14400" s="704" t="s">
        <v>715</v>
      </c>
      <c r="E14400" s="704" t="s">
        <v>861</v>
      </c>
      <c r="F14400" s="709"/>
      <c r="G14400" s="705">
        <v>3.9412429149442822E-29</v>
      </c>
    </row>
    <row r="14401" spans="2:7" ht="11.25" hidden="1" customHeight="1" outlineLevel="2" x14ac:dyDescent="0.25">
      <c r="B14401" s="704" t="s">
        <v>695</v>
      </c>
      <c r="C14401" s="704" t="s">
        <v>919</v>
      </c>
      <c r="D14401" s="704" t="s">
        <v>920</v>
      </c>
      <c r="E14401" s="704" t="s">
        <v>861</v>
      </c>
      <c r="F14401" s="709"/>
      <c r="G14401" s="705">
        <v>7.3562761348962141E-30</v>
      </c>
    </row>
    <row r="14402" spans="2:7" ht="11.25" hidden="1" customHeight="1" outlineLevel="1" x14ac:dyDescent="0.25">
      <c r="B14402" s="707" t="s">
        <v>961</v>
      </c>
      <c r="C14402" s="704"/>
      <c r="D14402" s="704"/>
      <c r="E14402" s="704"/>
      <c r="F14402" s="709">
        <f t="shared" ref="F14402:G14402" si="46">SUBTOTAL(9,F14192:F14401)</f>
        <v>36.172819543514187</v>
      </c>
      <c r="G14402" s="705">
        <f t="shared" si="46"/>
        <v>79145.122934185609</v>
      </c>
    </row>
    <row r="14403" spans="2:7" ht="11.25" hidden="1" customHeight="1" outlineLevel="2" x14ac:dyDescent="0.25">
      <c r="B14403" s="704" t="s">
        <v>696</v>
      </c>
      <c r="C14403" s="704" t="s">
        <v>739</v>
      </c>
      <c r="D14403" s="704" t="s">
        <v>44</v>
      </c>
      <c r="E14403" s="704" t="s">
        <v>448</v>
      </c>
      <c r="F14403" s="705">
        <v>2.2711484372410482E-3</v>
      </c>
      <c r="G14403" s="705">
        <v>1.3852581011973732</v>
      </c>
    </row>
    <row r="14404" spans="2:7" ht="11.25" hidden="1" customHeight="1" outlineLevel="2" x14ac:dyDescent="0.25">
      <c r="B14404" s="704" t="s">
        <v>696</v>
      </c>
      <c r="C14404" s="704" t="s">
        <v>796</v>
      </c>
      <c r="D14404" s="704" t="s">
        <v>44</v>
      </c>
      <c r="E14404" s="704" t="s">
        <v>448</v>
      </c>
      <c r="F14404" s="705">
        <v>2.395071938047819E-3</v>
      </c>
      <c r="G14404" s="705">
        <v>3.3604376077039673</v>
      </c>
    </row>
    <row r="14405" spans="2:7" ht="11.25" hidden="1" customHeight="1" outlineLevel="2" x14ac:dyDescent="0.25">
      <c r="B14405" s="704" t="s">
        <v>696</v>
      </c>
      <c r="C14405" s="704" t="s">
        <v>797</v>
      </c>
      <c r="D14405" s="704" t="s">
        <v>44</v>
      </c>
      <c r="E14405" s="704" t="s">
        <v>448</v>
      </c>
      <c r="F14405" s="705">
        <v>3.8258257755548809E-3</v>
      </c>
      <c r="G14405" s="705">
        <v>13.075269687632064</v>
      </c>
    </row>
    <row r="14406" spans="2:7" ht="11.25" hidden="1" customHeight="1" outlineLevel="2" x14ac:dyDescent="0.25">
      <c r="B14406" s="704" t="s">
        <v>696</v>
      </c>
      <c r="C14406" s="704" t="s">
        <v>798</v>
      </c>
      <c r="D14406" s="704" t="s">
        <v>44</v>
      </c>
      <c r="E14406" s="704" t="s">
        <v>448</v>
      </c>
      <c r="F14406" s="705">
        <v>6.283539442394502E-5</v>
      </c>
      <c r="G14406" s="705">
        <v>8.2355532646229801E-2</v>
      </c>
    </row>
    <row r="14407" spans="2:7" ht="11.25" hidden="1" customHeight="1" outlineLevel="2" x14ac:dyDescent="0.25">
      <c r="B14407" s="704" t="s">
        <v>696</v>
      </c>
      <c r="C14407" s="704" t="s">
        <v>799</v>
      </c>
      <c r="D14407" s="704" t="s">
        <v>44</v>
      </c>
      <c r="E14407" s="704" t="s">
        <v>448</v>
      </c>
      <c r="F14407" s="705">
        <v>6.7881454002035628E-3</v>
      </c>
      <c r="G14407" s="705">
        <v>8.8901390289644162</v>
      </c>
    </row>
    <row r="14408" spans="2:7" ht="11.25" hidden="1" customHeight="1" outlineLevel="2" x14ac:dyDescent="0.25">
      <c r="B14408" s="704" t="s">
        <v>696</v>
      </c>
      <c r="C14408" s="704" t="s">
        <v>800</v>
      </c>
      <c r="D14408" s="704" t="s">
        <v>44</v>
      </c>
      <c r="E14408" s="704" t="s">
        <v>448</v>
      </c>
      <c r="F14408" s="705">
        <v>2.2367222338953454E-3</v>
      </c>
      <c r="G14408" s="705">
        <v>2.7847758491560843</v>
      </c>
    </row>
    <row r="14409" spans="2:7" ht="11.25" hidden="1" customHeight="1" outlineLevel="2" x14ac:dyDescent="0.25">
      <c r="B14409" s="704" t="s">
        <v>696</v>
      </c>
      <c r="C14409" s="704" t="s">
        <v>801</v>
      </c>
      <c r="D14409" s="704" t="s">
        <v>44</v>
      </c>
      <c r="E14409" s="704" t="s">
        <v>448</v>
      </c>
      <c r="F14409" s="705">
        <v>2.917433019709776E-2</v>
      </c>
      <c r="G14409" s="705">
        <v>30.251556081785765</v>
      </c>
    </row>
    <row r="14410" spans="2:7" ht="11.25" hidden="1" customHeight="1" outlineLevel="2" x14ac:dyDescent="0.25">
      <c r="B14410" s="704" t="s">
        <v>696</v>
      </c>
      <c r="C14410" s="704" t="s">
        <v>802</v>
      </c>
      <c r="D14410" s="704" t="s">
        <v>44</v>
      </c>
      <c r="E14410" s="704" t="s">
        <v>448</v>
      </c>
      <c r="F14410" s="705">
        <v>9.589122851983109E-2</v>
      </c>
      <c r="G14410" s="705">
        <v>64.844232202589751</v>
      </c>
    </row>
    <row r="14411" spans="2:7" ht="11.25" hidden="1" customHeight="1" outlineLevel="2" x14ac:dyDescent="0.25">
      <c r="B14411" s="704" t="s">
        <v>696</v>
      </c>
      <c r="C14411" s="704" t="s">
        <v>803</v>
      </c>
      <c r="D14411" s="704" t="s">
        <v>44</v>
      </c>
      <c r="E14411" s="704" t="s">
        <v>448</v>
      </c>
      <c r="F14411" s="705">
        <v>1.077206701464356E-2</v>
      </c>
      <c r="G14411" s="705">
        <v>14.107712605452319</v>
      </c>
    </row>
    <row r="14412" spans="2:7" ht="11.25" hidden="1" customHeight="1" outlineLevel="2" x14ac:dyDescent="0.25">
      <c r="B14412" s="704" t="s">
        <v>696</v>
      </c>
      <c r="C14412" s="704" t="s">
        <v>804</v>
      </c>
      <c r="D14412" s="704" t="s">
        <v>44</v>
      </c>
      <c r="E14412" s="704" t="s">
        <v>448</v>
      </c>
      <c r="F14412" s="705">
        <v>1.604133709323198E-2</v>
      </c>
      <c r="G14412" s="705">
        <v>20.42791543649243</v>
      </c>
    </row>
    <row r="14413" spans="2:7" ht="11.25" hidden="1" customHeight="1" outlineLevel="2" x14ac:dyDescent="0.25">
      <c r="B14413" s="704" t="s">
        <v>696</v>
      </c>
      <c r="C14413" s="704" t="s">
        <v>805</v>
      </c>
      <c r="D14413" s="704" t="s">
        <v>44</v>
      </c>
      <c r="E14413" s="704" t="s">
        <v>448</v>
      </c>
      <c r="F14413" s="705">
        <v>3.2190292266454971E-3</v>
      </c>
      <c r="G14413" s="705">
        <v>22.661605327077275</v>
      </c>
    </row>
    <row r="14414" spans="2:7" ht="11.25" hidden="1" customHeight="1" outlineLevel="2" x14ac:dyDescent="0.25">
      <c r="B14414" s="704" t="s">
        <v>696</v>
      </c>
      <c r="C14414" s="704" t="s">
        <v>846</v>
      </c>
      <c r="D14414" s="704" t="s">
        <v>44</v>
      </c>
      <c r="E14414" s="704" t="s">
        <v>824</v>
      </c>
      <c r="F14414" s="705">
        <v>7.8057308710230124E-5</v>
      </c>
      <c r="G14414" s="705">
        <v>0.12402961119902271</v>
      </c>
    </row>
    <row r="14415" spans="2:7" ht="11.25" hidden="1" customHeight="1" outlineLevel="2" x14ac:dyDescent="0.25">
      <c r="B14415" s="704" t="s">
        <v>696</v>
      </c>
      <c r="C14415" s="704" t="s">
        <v>847</v>
      </c>
      <c r="D14415" s="704" t="s">
        <v>44</v>
      </c>
      <c r="E14415" s="704" t="s">
        <v>824</v>
      </c>
      <c r="F14415" s="705">
        <v>1.6017228626518981E-5</v>
      </c>
      <c r="G14415" s="705">
        <v>0.16880273382675445</v>
      </c>
    </row>
    <row r="14416" spans="2:7" ht="11.25" hidden="1" customHeight="1" outlineLevel="2" x14ac:dyDescent="0.25">
      <c r="B14416" s="704" t="s">
        <v>696</v>
      </c>
      <c r="C14416" s="704" t="s">
        <v>705</v>
      </c>
      <c r="D14416" s="704" t="s">
        <v>44</v>
      </c>
      <c r="E14416" s="704" t="s">
        <v>676</v>
      </c>
      <c r="F14416" s="705">
        <v>3.124689634286176E-3</v>
      </c>
      <c r="G14416" s="705">
        <v>3.276373852340473E-2</v>
      </c>
    </row>
    <row r="14417" spans="2:7" ht="11.25" hidden="1" customHeight="1" outlineLevel="2" x14ac:dyDescent="0.25">
      <c r="B14417" s="704" t="s">
        <v>696</v>
      </c>
      <c r="C14417" s="704" t="s">
        <v>706</v>
      </c>
      <c r="D14417" s="704" t="s">
        <v>44</v>
      </c>
      <c r="E14417" s="704" t="s">
        <v>676</v>
      </c>
      <c r="F14417" s="705">
        <v>9.9179742514262292E-4</v>
      </c>
      <c r="G14417" s="705">
        <v>1.039631237114472E-2</v>
      </c>
    </row>
    <row r="14418" spans="2:7" ht="11.25" hidden="1" customHeight="1" outlineLevel="2" x14ac:dyDescent="0.25">
      <c r="B14418" s="704" t="s">
        <v>696</v>
      </c>
      <c r="C14418" s="704" t="s">
        <v>901</v>
      </c>
      <c r="D14418" s="704" t="s">
        <v>44</v>
      </c>
      <c r="E14418" s="704" t="s">
        <v>861</v>
      </c>
      <c r="F14418" s="709"/>
      <c r="G14418" s="705">
        <v>0.24228956248418743</v>
      </c>
    </row>
    <row r="14419" spans="2:7" ht="11.25" hidden="1" customHeight="1" outlineLevel="2" x14ac:dyDescent="0.25">
      <c r="B14419" s="704" t="s">
        <v>696</v>
      </c>
      <c r="C14419" s="704" t="s">
        <v>902</v>
      </c>
      <c r="D14419" s="704" t="s">
        <v>44</v>
      </c>
      <c r="E14419" s="704" t="s">
        <v>861</v>
      </c>
      <c r="F14419" s="709"/>
      <c r="G14419" s="705">
        <v>10474.754908187642</v>
      </c>
    </row>
    <row r="14420" spans="2:7" ht="11.25" hidden="1" customHeight="1" outlineLevel="2" x14ac:dyDescent="0.25">
      <c r="B14420" s="704" t="s">
        <v>696</v>
      </c>
      <c r="C14420" s="704" t="s">
        <v>903</v>
      </c>
      <c r="D14420" s="704" t="s">
        <v>44</v>
      </c>
      <c r="E14420" s="704" t="s">
        <v>861</v>
      </c>
      <c r="F14420" s="709"/>
      <c r="G14420" s="705">
        <v>939.90517367932432</v>
      </c>
    </row>
    <row r="14421" spans="2:7" ht="11.25" hidden="1" customHeight="1" outlineLevel="2" x14ac:dyDescent="0.25">
      <c r="B14421" s="704" t="s">
        <v>696</v>
      </c>
      <c r="C14421" s="704" t="s">
        <v>904</v>
      </c>
      <c r="D14421" s="704" t="s">
        <v>44</v>
      </c>
      <c r="E14421" s="704" t="s">
        <v>861</v>
      </c>
      <c r="F14421" s="709"/>
      <c r="G14421" s="705">
        <v>5.2245898437738143</v>
      </c>
    </row>
    <row r="14422" spans="2:7" ht="11.25" hidden="1" customHeight="1" outlineLevel="2" x14ac:dyDescent="0.25">
      <c r="B14422" s="704" t="s">
        <v>696</v>
      </c>
      <c r="C14422" s="704" t="s">
        <v>905</v>
      </c>
      <c r="D14422" s="704" t="s">
        <v>44</v>
      </c>
      <c r="E14422" s="704" t="s">
        <v>861</v>
      </c>
      <c r="F14422" s="709"/>
      <c r="G14422" s="705">
        <v>1.0723393081190162</v>
      </c>
    </row>
    <row r="14423" spans="2:7" ht="11.25" hidden="1" customHeight="1" outlineLevel="2" x14ac:dyDescent="0.25">
      <c r="B14423" s="704" t="s">
        <v>696</v>
      </c>
      <c r="C14423" s="704" t="s">
        <v>906</v>
      </c>
      <c r="D14423" s="704" t="s">
        <v>44</v>
      </c>
      <c r="E14423" s="704" t="s">
        <v>861</v>
      </c>
      <c r="F14423" s="709"/>
      <c r="G14423" s="705">
        <v>79.786643482630453</v>
      </c>
    </row>
    <row r="14424" spans="2:7" ht="11.25" hidden="1" customHeight="1" outlineLevel="2" x14ac:dyDescent="0.25">
      <c r="B14424" s="704" t="s">
        <v>696</v>
      </c>
      <c r="C14424" s="704" t="s">
        <v>907</v>
      </c>
      <c r="D14424" s="704" t="s">
        <v>44</v>
      </c>
      <c r="E14424" s="704" t="s">
        <v>861</v>
      </c>
      <c r="F14424" s="709"/>
      <c r="G14424" s="705">
        <v>0.19983616003619828</v>
      </c>
    </row>
    <row r="14425" spans="2:7" ht="11.25" hidden="1" customHeight="1" outlineLevel="2" x14ac:dyDescent="0.25">
      <c r="B14425" s="704" t="s">
        <v>696</v>
      </c>
      <c r="C14425" s="704" t="s">
        <v>908</v>
      </c>
      <c r="D14425" s="704" t="s">
        <v>44</v>
      </c>
      <c r="E14425" s="704" t="s">
        <v>861</v>
      </c>
      <c r="F14425" s="709"/>
      <c r="G14425" s="705">
        <v>73.744684358536276</v>
      </c>
    </row>
    <row r="14426" spans="2:7" ht="11.25" hidden="1" customHeight="1" outlineLevel="2" x14ac:dyDescent="0.25">
      <c r="B14426" s="704" t="s">
        <v>696</v>
      </c>
      <c r="C14426" s="704" t="s">
        <v>909</v>
      </c>
      <c r="D14426" s="704" t="s">
        <v>44</v>
      </c>
      <c r="E14426" s="704" t="s">
        <v>861</v>
      </c>
      <c r="F14426" s="709"/>
      <c r="G14426" s="705">
        <v>204.84337885306908</v>
      </c>
    </row>
    <row r="14427" spans="2:7" ht="11.25" hidden="1" customHeight="1" outlineLevel="2" x14ac:dyDescent="0.25">
      <c r="B14427" s="704" t="s">
        <v>696</v>
      </c>
      <c r="C14427" s="704" t="s">
        <v>910</v>
      </c>
      <c r="D14427" s="704" t="s">
        <v>44</v>
      </c>
      <c r="E14427" s="704" t="s">
        <v>861</v>
      </c>
      <c r="F14427" s="709"/>
      <c r="G14427" s="705">
        <v>150.59973591377306</v>
      </c>
    </row>
    <row r="14428" spans="2:7" ht="11.25" hidden="1" customHeight="1" outlineLevel="2" x14ac:dyDescent="0.25">
      <c r="B14428" s="704" t="s">
        <v>696</v>
      </c>
      <c r="C14428" s="704" t="s">
        <v>814</v>
      </c>
      <c r="D14428" s="704" t="s">
        <v>815</v>
      </c>
      <c r="E14428" s="704" t="s">
        <v>448</v>
      </c>
      <c r="F14428" s="705">
        <v>4.9085982753307848E-4</v>
      </c>
      <c r="G14428" s="705">
        <v>1.5156812504459787</v>
      </c>
    </row>
    <row r="14429" spans="2:7" ht="11.25" hidden="1" customHeight="1" outlineLevel="2" x14ac:dyDescent="0.25">
      <c r="B14429" s="704" t="s">
        <v>696</v>
      </c>
      <c r="C14429" s="704" t="s">
        <v>854</v>
      </c>
      <c r="D14429" s="704" t="s">
        <v>815</v>
      </c>
      <c r="E14429" s="704" t="s">
        <v>824</v>
      </c>
      <c r="F14429" s="705">
        <v>1.5078150994127124E-4</v>
      </c>
      <c r="G14429" s="705">
        <v>1.3853630655264242</v>
      </c>
    </row>
    <row r="14430" spans="2:7" ht="11.25" hidden="1" customHeight="1" outlineLevel="2" x14ac:dyDescent="0.25">
      <c r="B14430" s="704" t="s">
        <v>696</v>
      </c>
      <c r="C14430" s="704" t="s">
        <v>918</v>
      </c>
      <c r="D14430" s="704" t="s">
        <v>815</v>
      </c>
      <c r="E14430" s="704" t="s">
        <v>861</v>
      </c>
      <c r="F14430" s="709"/>
      <c r="G14430" s="705">
        <v>95.262425811614619</v>
      </c>
    </row>
    <row r="14431" spans="2:7" ht="11.25" hidden="1" customHeight="1" outlineLevel="2" x14ac:dyDescent="0.25">
      <c r="B14431" s="704" t="s">
        <v>696</v>
      </c>
      <c r="C14431" s="704" t="s">
        <v>740</v>
      </c>
      <c r="D14431" s="704" t="s">
        <v>562</v>
      </c>
      <c r="E14431" s="704" t="s">
        <v>448</v>
      </c>
      <c r="F14431" s="705">
        <v>1.7121750038614301E-2</v>
      </c>
      <c r="G14431" s="705">
        <v>8.4842771081972685</v>
      </c>
    </row>
    <row r="14432" spans="2:7" ht="11.25" hidden="1" customHeight="1" outlineLevel="2" x14ac:dyDescent="0.25">
      <c r="B14432" s="704" t="s">
        <v>696</v>
      </c>
      <c r="C14432" s="704" t="s">
        <v>741</v>
      </c>
      <c r="D14432" s="704" t="s">
        <v>562</v>
      </c>
      <c r="E14432" s="704" t="s">
        <v>448</v>
      </c>
      <c r="F14432" s="705">
        <v>0.10940713689246438</v>
      </c>
      <c r="G14432" s="705">
        <v>56.60431434455775</v>
      </c>
    </row>
    <row r="14433" spans="2:7" ht="11.25" hidden="1" customHeight="1" outlineLevel="2" x14ac:dyDescent="0.25">
      <c r="B14433" s="704" t="s">
        <v>696</v>
      </c>
      <c r="C14433" s="704" t="s">
        <v>742</v>
      </c>
      <c r="D14433" s="704" t="s">
        <v>562</v>
      </c>
      <c r="E14433" s="704" t="s">
        <v>448</v>
      </c>
      <c r="F14433" s="705">
        <v>4.8700624500488179E-5</v>
      </c>
      <c r="G14433" s="705">
        <v>2.1830561583907608E-2</v>
      </c>
    </row>
    <row r="14434" spans="2:7" ht="11.25" hidden="1" customHeight="1" outlineLevel="2" x14ac:dyDescent="0.25">
      <c r="B14434" s="704" t="s">
        <v>696</v>
      </c>
      <c r="C14434" s="704" t="s">
        <v>743</v>
      </c>
      <c r="D14434" s="704" t="s">
        <v>562</v>
      </c>
      <c r="E14434" s="704" t="s">
        <v>448</v>
      </c>
      <c r="F14434" s="705">
        <v>7.6629490526056827E-4</v>
      </c>
      <c r="G14434" s="705">
        <v>0.34349987917286018</v>
      </c>
    </row>
    <row r="14435" spans="2:7" ht="11.25" hidden="1" customHeight="1" outlineLevel="2" x14ac:dyDescent="0.25">
      <c r="B14435" s="704" t="s">
        <v>696</v>
      </c>
      <c r="C14435" s="704" t="s">
        <v>806</v>
      </c>
      <c r="D14435" s="704" t="s">
        <v>562</v>
      </c>
      <c r="E14435" s="704" t="s">
        <v>448</v>
      </c>
      <c r="F14435" s="705">
        <v>1.4594780424414191</v>
      </c>
      <c r="G14435" s="705">
        <v>1746.4451665843728</v>
      </c>
    </row>
    <row r="14436" spans="2:7" ht="11.25" hidden="1" customHeight="1" outlineLevel="2" x14ac:dyDescent="0.25">
      <c r="B14436" s="704" t="s">
        <v>696</v>
      </c>
      <c r="C14436" s="704" t="s">
        <v>807</v>
      </c>
      <c r="D14436" s="704" t="s">
        <v>562</v>
      </c>
      <c r="E14436" s="704" t="s">
        <v>448</v>
      </c>
      <c r="F14436" s="705">
        <v>0.31412858399018823</v>
      </c>
      <c r="G14436" s="705">
        <v>437.03053738508902</v>
      </c>
    </row>
    <row r="14437" spans="2:7" ht="11.25" hidden="1" customHeight="1" outlineLevel="2" x14ac:dyDescent="0.25">
      <c r="B14437" s="704" t="s">
        <v>696</v>
      </c>
      <c r="C14437" s="704" t="s">
        <v>808</v>
      </c>
      <c r="D14437" s="704" t="s">
        <v>562</v>
      </c>
      <c r="E14437" s="704" t="s">
        <v>448</v>
      </c>
      <c r="F14437" s="705">
        <v>0.14499893087046081</v>
      </c>
      <c r="G14437" s="705">
        <v>231.75382334130677</v>
      </c>
    </row>
    <row r="14438" spans="2:7" ht="11.25" hidden="1" customHeight="1" outlineLevel="2" x14ac:dyDescent="0.25">
      <c r="B14438" s="704" t="s">
        <v>696</v>
      </c>
      <c r="C14438" s="704" t="s">
        <v>809</v>
      </c>
      <c r="D14438" s="704" t="s">
        <v>562</v>
      </c>
      <c r="E14438" s="704" t="s">
        <v>448</v>
      </c>
      <c r="F14438" s="705">
        <v>0.33412861213816575</v>
      </c>
      <c r="G14438" s="705">
        <v>497.25966103150762</v>
      </c>
    </row>
    <row r="14439" spans="2:7" ht="11.25" hidden="1" customHeight="1" outlineLevel="2" x14ac:dyDescent="0.25">
      <c r="B14439" s="704" t="s">
        <v>696</v>
      </c>
      <c r="C14439" s="704" t="s">
        <v>810</v>
      </c>
      <c r="D14439" s="704" t="s">
        <v>562</v>
      </c>
      <c r="E14439" s="704" t="s">
        <v>448</v>
      </c>
      <c r="F14439" s="705">
        <v>0.63109104046865494</v>
      </c>
      <c r="G14439" s="705">
        <v>839.9627993340473</v>
      </c>
    </row>
    <row r="14440" spans="2:7" ht="11.25" hidden="1" customHeight="1" outlineLevel="2" x14ac:dyDescent="0.25">
      <c r="B14440" s="704" t="s">
        <v>696</v>
      </c>
      <c r="C14440" s="704" t="s">
        <v>811</v>
      </c>
      <c r="D14440" s="704" t="s">
        <v>562</v>
      </c>
      <c r="E14440" s="704" t="s">
        <v>448</v>
      </c>
      <c r="F14440" s="705">
        <v>2.8867518778119786E-2</v>
      </c>
      <c r="G14440" s="705">
        <v>36.846251604707561</v>
      </c>
    </row>
    <row r="14441" spans="2:7" ht="11.25" hidden="1" customHeight="1" outlineLevel="2" x14ac:dyDescent="0.25">
      <c r="B14441" s="704" t="s">
        <v>696</v>
      </c>
      <c r="C14441" s="704" t="s">
        <v>848</v>
      </c>
      <c r="D14441" s="704" t="s">
        <v>562</v>
      </c>
      <c r="E14441" s="704" t="s">
        <v>824</v>
      </c>
      <c r="F14441" s="705">
        <v>8.4523655447193355E-2</v>
      </c>
      <c r="G14441" s="705">
        <v>232.37286231548134</v>
      </c>
    </row>
    <row r="14442" spans="2:7" ht="11.25" hidden="1" customHeight="1" outlineLevel="2" x14ac:dyDescent="0.25">
      <c r="B14442" s="704" t="s">
        <v>696</v>
      </c>
      <c r="C14442" s="704" t="s">
        <v>849</v>
      </c>
      <c r="D14442" s="704" t="s">
        <v>562</v>
      </c>
      <c r="E14442" s="704" t="s">
        <v>824</v>
      </c>
      <c r="F14442" s="705">
        <v>1.2271918174877128E-2</v>
      </c>
      <c r="G14442" s="705">
        <v>51.75753682288606</v>
      </c>
    </row>
    <row r="14443" spans="2:7" ht="11.25" hidden="1" customHeight="1" outlineLevel="2" x14ac:dyDescent="0.25">
      <c r="B14443" s="704" t="s">
        <v>696</v>
      </c>
      <c r="C14443" s="704" t="s">
        <v>850</v>
      </c>
      <c r="D14443" s="704" t="s">
        <v>562</v>
      </c>
      <c r="E14443" s="704" t="s">
        <v>824</v>
      </c>
      <c r="F14443" s="705">
        <v>9.0790144571183187E-3</v>
      </c>
      <c r="G14443" s="705">
        <v>60.669131917008968</v>
      </c>
    </row>
    <row r="14444" spans="2:7" ht="11.25" hidden="1" customHeight="1" outlineLevel="2" x14ac:dyDescent="0.25">
      <c r="B14444" s="704" t="s">
        <v>696</v>
      </c>
      <c r="C14444" s="704" t="s">
        <v>851</v>
      </c>
      <c r="D14444" s="704" t="s">
        <v>562</v>
      </c>
      <c r="E14444" s="704" t="s">
        <v>824</v>
      </c>
      <c r="F14444" s="705">
        <v>1.590301931897304E-2</v>
      </c>
      <c r="G14444" s="705">
        <v>75.366171073811458</v>
      </c>
    </row>
    <row r="14445" spans="2:7" ht="11.25" hidden="1" customHeight="1" outlineLevel="2" x14ac:dyDescent="0.25">
      <c r="B14445" s="704" t="s">
        <v>696</v>
      </c>
      <c r="C14445" s="704" t="s">
        <v>852</v>
      </c>
      <c r="D14445" s="704" t="s">
        <v>562</v>
      </c>
      <c r="E14445" s="704" t="s">
        <v>824</v>
      </c>
      <c r="F14445" s="705">
        <v>3.9708976179666405E-4</v>
      </c>
      <c r="G14445" s="705">
        <v>1.0187823755726289</v>
      </c>
    </row>
    <row r="14446" spans="2:7" ht="11.25" hidden="1" customHeight="1" outlineLevel="2" x14ac:dyDescent="0.25">
      <c r="B14446" s="704" t="s">
        <v>696</v>
      </c>
      <c r="C14446" s="704" t="s">
        <v>853</v>
      </c>
      <c r="D14446" s="704" t="s">
        <v>562</v>
      </c>
      <c r="E14446" s="704" t="s">
        <v>824</v>
      </c>
      <c r="F14446" s="705">
        <v>1.1585141332680361E-4</v>
      </c>
      <c r="G14446" s="705">
        <v>0.94631345768927633</v>
      </c>
    </row>
    <row r="14447" spans="2:7" ht="11.25" hidden="1" customHeight="1" outlineLevel="2" x14ac:dyDescent="0.25">
      <c r="B14447" s="704" t="s">
        <v>696</v>
      </c>
      <c r="C14447" s="704" t="s">
        <v>707</v>
      </c>
      <c r="D14447" s="704" t="s">
        <v>562</v>
      </c>
      <c r="E14447" s="704" t="s">
        <v>676</v>
      </c>
      <c r="F14447" s="705">
        <v>1.8674995986614304</v>
      </c>
      <c r="G14447" s="705">
        <v>51.858542427595189</v>
      </c>
    </row>
    <row r="14448" spans="2:7" ht="11.25" hidden="1" customHeight="1" outlineLevel="2" x14ac:dyDescent="0.25">
      <c r="B14448" s="704" t="s">
        <v>696</v>
      </c>
      <c r="C14448" s="704" t="s">
        <v>708</v>
      </c>
      <c r="D14448" s="704" t="s">
        <v>562</v>
      </c>
      <c r="E14448" s="704" t="s">
        <v>676</v>
      </c>
      <c r="F14448" s="705">
        <v>7.1597260727998824E-2</v>
      </c>
      <c r="G14448" s="705">
        <v>2.6026707618678606</v>
      </c>
    </row>
    <row r="14449" spans="2:7" ht="11.25" hidden="1" customHeight="1" outlineLevel="2" x14ac:dyDescent="0.25">
      <c r="B14449" s="704" t="s">
        <v>696</v>
      </c>
      <c r="C14449" s="704" t="s">
        <v>709</v>
      </c>
      <c r="D14449" s="704" t="s">
        <v>562</v>
      </c>
      <c r="E14449" s="704" t="s">
        <v>676</v>
      </c>
      <c r="F14449" s="705">
        <v>5.1401582455882416E-2</v>
      </c>
      <c r="G14449" s="705">
        <v>3.6051392396005935</v>
      </c>
    </row>
    <row r="14450" spans="2:7" ht="11.25" hidden="1" customHeight="1" outlineLevel="2" x14ac:dyDescent="0.25">
      <c r="B14450" s="704" t="s">
        <v>696</v>
      </c>
      <c r="C14450" s="704" t="s">
        <v>710</v>
      </c>
      <c r="D14450" s="704" t="s">
        <v>562</v>
      </c>
      <c r="E14450" s="704" t="s">
        <v>676</v>
      </c>
      <c r="F14450" s="705">
        <v>0.60219551463713816</v>
      </c>
      <c r="G14450" s="705">
        <v>126.01866617678417</v>
      </c>
    </row>
    <row r="14451" spans="2:7" ht="11.25" hidden="1" customHeight="1" outlineLevel="2" x14ac:dyDescent="0.25">
      <c r="B14451" s="704" t="s">
        <v>696</v>
      </c>
      <c r="C14451" s="704" t="s">
        <v>911</v>
      </c>
      <c r="D14451" s="704" t="s">
        <v>562</v>
      </c>
      <c r="E14451" s="704" t="s">
        <v>861</v>
      </c>
      <c r="F14451" s="709"/>
      <c r="G14451" s="705">
        <v>1343.8273722187325</v>
      </c>
    </row>
    <row r="14452" spans="2:7" ht="11.25" hidden="1" customHeight="1" outlineLevel="2" x14ac:dyDescent="0.25">
      <c r="B14452" s="704" t="s">
        <v>696</v>
      </c>
      <c r="C14452" s="704" t="s">
        <v>912</v>
      </c>
      <c r="D14452" s="704" t="s">
        <v>562</v>
      </c>
      <c r="E14452" s="704" t="s">
        <v>861</v>
      </c>
      <c r="F14452" s="709"/>
      <c r="G14452" s="705">
        <v>317.06175137997491</v>
      </c>
    </row>
    <row r="14453" spans="2:7" ht="11.25" hidden="1" customHeight="1" outlineLevel="2" x14ac:dyDescent="0.25">
      <c r="B14453" s="704" t="s">
        <v>696</v>
      </c>
      <c r="C14453" s="704" t="s">
        <v>913</v>
      </c>
      <c r="D14453" s="704" t="s">
        <v>562</v>
      </c>
      <c r="E14453" s="704" t="s">
        <v>861</v>
      </c>
      <c r="F14453" s="709"/>
      <c r="G14453" s="705">
        <v>879.72374165275039</v>
      </c>
    </row>
    <row r="14454" spans="2:7" ht="11.25" hidden="1" customHeight="1" outlineLevel="2" x14ac:dyDescent="0.25">
      <c r="B14454" s="704" t="s">
        <v>696</v>
      </c>
      <c r="C14454" s="704" t="s">
        <v>914</v>
      </c>
      <c r="D14454" s="704" t="s">
        <v>562</v>
      </c>
      <c r="E14454" s="704" t="s">
        <v>861</v>
      </c>
      <c r="F14454" s="709"/>
      <c r="G14454" s="705">
        <v>446.69508995442351</v>
      </c>
    </row>
    <row r="14455" spans="2:7" ht="11.25" hidden="1" customHeight="1" outlineLevel="2" x14ac:dyDescent="0.25">
      <c r="B14455" s="704" t="s">
        <v>696</v>
      </c>
      <c r="C14455" s="704" t="s">
        <v>915</v>
      </c>
      <c r="D14455" s="704" t="s">
        <v>562</v>
      </c>
      <c r="E14455" s="704" t="s">
        <v>861</v>
      </c>
      <c r="F14455" s="709"/>
      <c r="G14455" s="705">
        <v>42.9123294389683</v>
      </c>
    </row>
    <row r="14456" spans="2:7" ht="11.25" hidden="1" customHeight="1" outlineLevel="2" x14ac:dyDescent="0.25">
      <c r="B14456" s="704" t="s">
        <v>696</v>
      </c>
      <c r="C14456" s="704" t="s">
        <v>916</v>
      </c>
      <c r="D14456" s="704" t="s">
        <v>562</v>
      </c>
      <c r="E14456" s="704" t="s">
        <v>861</v>
      </c>
      <c r="F14456" s="709"/>
      <c r="G14456" s="705">
        <v>38.072962253561748</v>
      </c>
    </row>
    <row r="14457" spans="2:7" ht="11.25" hidden="1" customHeight="1" outlineLevel="2" x14ac:dyDescent="0.25">
      <c r="B14457" s="704" t="s">
        <v>696</v>
      </c>
      <c r="C14457" s="704" t="s">
        <v>719</v>
      </c>
      <c r="D14457" s="704" t="s">
        <v>675</v>
      </c>
      <c r="E14457" s="704" t="s">
        <v>448</v>
      </c>
      <c r="F14457" s="705">
        <v>3.517318137833534E-2</v>
      </c>
      <c r="G14457" s="705">
        <v>21.686718417543439</v>
      </c>
    </row>
    <row r="14458" spans="2:7" ht="11.25" hidden="1" customHeight="1" outlineLevel="2" x14ac:dyDescent="0.25">
      <c r="B14458" s="704" t="s">
        <v>696</v>
      </c>
      <c r="C14458" s="704" t="s">
        <v>720</v>
      </c>
      <c r="D14458" s="704" t="s">
        <v>675</v>
      </c>
      <c r="E14458" s="704" t="s">
        <v>448</v>
      </c>
      <c r="F14458" s="705">
        <v>2.9068378987493751E-3</v>
      </c>
      <c r="G14458" s="705">
        <v>1.4065487171092856</v>
      </c>
    </row>
    <row r="14459" spans="2:7" ht="11.25" hidden="1" customHeight="1" outlineLevel="2" x14ac:dyDescent="0.25">
      <c r="B14459" s="704" t="s">
        <v>696</v>
      </c>
      <c r="C14459" s="704" t="s">
        <v>721</v>
      </c>
      <c r="D14459" s="704" t="s">
        <v>675</v>
      </c>
      <c r="E14459" s="704" t="s">
        <v>448</v>
      </c>
      <c r="F14459" s="705">
        <v>3.5202661179795044E-3</v>
      </c>
      <c r="G14459" s="705">
        <v>1.6814466360981202</v>
      </c>
    </row>
    <row r="14460" spans="2:7" ht="11.25" hidden="1" customHeight="1" outlineLevel="2" x14ac:dyDescent="0.25">
      <c r="B14460" s="704" t="s">
        <v>696</v>
      </c>
      <c r="C14460" s="704" t="s">
        <v>722</v>
      </c>
      <c r="D14460" s="704" t="s">
        <v>675</v>
      </c>
      <c r="E14460" s="704" t="s">
        <v>448</v>
      </c>
      <c r="F14460" s="705">
        <v>2.8090659541956758E-5</v>
      </c>
      <c r="G14460" s="705">
        <v>1.2591560683655075E-2</v>
      </c>
    </row>
    <row r="14461" spans="2:7" ht="11.25" hidden="1" customHeight="1" outlineLevel="2" x14ac:dyDescent="0.25">
      <c r="B14461" s="704" t="s">
        <v>696</v>
      </c>
      <c r="C14461" s="704" t="s">
        <v>723</v>
      </c>
      <c r="D14461" s="704" t="s">
        <v>675</v>
      </c>
      <c r="E14461" s="704" t="s">
        <v>448</v>
      </c>
      <c r="F14461" s="705">
        <v>0.10020706409306775</v>
      </c>
      <c r="G14461" s="705">
        <v>56.041895741493562</v>
      </c>
    </row>
    <row r="14462" spans="2:7" ht="11.25" hidden="1" customHeight="1" outlineLevel="2" x14ac:dyDescent="0.25">
      <c r="B14462" s="704" t="s">
        <v>696</v>
      </c>
      <c r="C14462" s="704" t="s">
        <v>724</v>
      </c>
      <c r="D14462" s="704" t="s">
        <v>675</v>
      </c>
      <c r="E14462" s="704" t="s">
        <v>448</v>
      </c>
      <c r="F14462" s="705">
        <v>7.3145839689421946E-4</v>
      </c>
      <c r="G14462" s="705">
        <v>0.32787411308497344</v>
      </c>
    </row>
    <row r="14463" spans="2:7" ht="11.25" hidden="1" customHeight="1" outlineLevel="2" x14ac:dyDescent="0.25">
      <c r="B14463" s="704" t="s">
        <v>696</v>
      </c>
      <c r="C14463" s="704" t="s">
        <v>750</v>
      </c>
      <c r="D14463" s="704" t="s">
        <v>675</v>
      </c>
      <c r="E14463" s="704" t="s">
        <v>448</v>
      </c>
      <c r="F14463" s="705">
        <v>1.2481444754262303E-2</v>
      </c>
      <c r="G14463" s="705">
        <v>19.279046844214552</v>
      </c>
    </row>
    <row r="14464" spans="2:7" ht="11.25" hidden="1" customHeight="1" outlineLevel="2" x14ac:dyDescent="0.25">
      <c r="B14464" s="704" t="s">
        <v>696</v>
      </c>
      <c r="C14464" s="704" t="s">
        <v>751</v>
      </c>
      <c r="D14464" s="704" t="s">
        <v>675</v>
      </c>
      <c r="E14464" s="704" t="s">
        <v>448</v>
      </c>
      <c r="F14464" s="705">
        <v>1.1056507836612924E-4</v>
      </c>
      <c r="G14464" s="705">
        <v>0.1424672198908567</v>
      </c>
    </row>
    <row r="14465" spans="2:7" ht="11.25" hidden="1" customHeight="1" outlineLevel="2" x14ac:dyDescent="0.25">
      <c r="B14465" s="704" t="s">
        <v>696</v>
      </c>
      <c r="C14465" s="704" t="s">
        <v>752</v>
      </c>
      <c r="D14465" s="704" t="s">
        <v>675</v>
      </c>
      <c r="E14465" s="704" t="s">
        <v>448</v>
      </c>
      <c r="F14465" s="705">
        <v>3.0413632905572131E-2</v>
      </c>
      <c r="G14465" s="705">
        <v>36.076839006152738</v>
      </c>
    </row>
    <row r="14466" spans="2:7" ht="11.25" hidden="1" customHeight="1" outlineLevel="2" x14ac:dyDescent="0.25">
      <c r="B14466" s="704" t="s">
        <v>696</v>
      </c>
      <c r="C14466" s="704" t="s">
        <v>753</v>
      </c>
      <c r="D14466" s="704" t="s">
        <v>675</v>
      </c>
      <c r="E14466" s="704" t="s">
        <v>448</v>
      </c>
      <c r="F14466" s="705">
        <v>2.1784913909264129E-2</v>
      </c>
      <c r="G14466" s="705">
        <v>34.09039598093382</v>
      </c>
    </row>
    <row r="14467" spans="2:7" ht="11.25" hidden="1" customHeight="1" outlineLevel="2" x14ac:dyDescent="0.25">
      <c r="B14467" s="704" t="s">
        <v>696</v>
      </c>
      <c r="C14467" s="704" t="s">
        <v>754</v>
      </c>
      <c r="D14467" s="704" t="s">
        <v>675</v>
      </c>
      <c r="E14467" s="704" t="s">
        <v>448</v>
      </c>
      <c r="F14467" s="705">
        <v>5.3638725828972458E-2</v>
      </c>
      <c r="G14467" s="705">
        <v>67.851406511729806</v>
      </c>
    </row>
    <row r="14468" spans="2:7" ht="11.25" hidden="1" customHeight="1" outlineLevel="2" x14ac:dyDescent="0.25">
      <c r="B14468" s="704" t="s">
        <v>696</v>
      </c>
      <c r="C14468" s="704" t="s">
        <v>755</v>
      </c>
      <c r="D14468" s="704" t="s">
        <v>675</v>
      </c>
      <c r="E14468" s="704" t="s">
        <v>448</v>
      </c>
      <c r="F14468" s="705">
        <v>2.098058286231734E-2</v>
      </c>
      <c r="G14468" s="705">
        <v>28.612947773246873</v>
      </c>
    </row>
    <row r="14469" spans="2:7" ht="11.25" hidden="1" customHeight="1" outlineLevel="2" x14ac:dyDescent="0.25">
      <c r="B14469" s="704" t="s">
        <v>696</v>
      </c>
      <c r="C14469" s="704" t="s">
        <v>756</v>
      </c>
      <c r="D14469" s="704" t="s">
        <v>675</v>
      </c>
      <c r="E14469" s="704" t="s">
        <v>448</v>
      </c>
      <c r="F14469" s="705">
        <v>1.1306506893197315E-3</v>
      </c>
      <c r="G14469" s="705">
        <v>1.4855659539702772</v>
      </c>
    </row>
    <row r="14470" spans="2:7" ht="11.25" hidden="1" customHeight="1" outlineLevel="2" x14ac:dyDescent="0.25">
      <c r="B14470" s="704" t="s">
        <v>696</v>
      </c>
      <c r="C14470" s="704" t="s">
        <v>757</v>
      </c>
      <c r="D14470" s="704" t="s">
        <v>675</v>
      </c>
      <c r="E14470" s="704" t="s">
        <v>448</v>
      </c>
      <c r="F14470" s="705">
        <v>3.9976069578128416E-2</v>
      </c>
      <c r="G14470" s="705">
        <v>59.900436475507803</v>
      </c>
    </row>
    <row r="14471" spans="2:7" ht="11.25" hidden="1" customHeight="1" outlineLevel="2" x14ac:dyDescent="0.25">
      <c r="B14471" s="704" t="s">
        <v>696</v>
      </c>
      <c r="C14471" s="704" t="s">
        <v>758</v>
      </c>
      <c r="D14471" s="704" t="s">
        <v>675</v>
      </c>
      <c r="E14471" s="704" t="s">
        <v>448</v>
      </c>
      <c r="F14471" s="705">
        <v>1.7994364726166504E-2</v>
      </c>
      <c r="G14471" s="705">
        <v>20.630666281840618</v>
      </c>
    </row>
    <row r="14472" spans="2:7" ht="11.25" hidden="1" customHeight="1" outlineLevel="2" x14ac:dyDescent="0.25">
      <c r="B14472" s="704" t="s">
        <v>696</v>
      </c>
      <c r="C14472" s="704" t="s">
        <v>759</v>
      </c>
      <c r="D14472" s="704" t="s">
        <v>675</v>
      </c>
      <c r="E14472" s="704" t="s">
        <v>448</v>
      </c>
      <c r="F14472" s="705">
        <v>8.9057712886010387E-2</v>
      </c>
      <c r="G14472" s="705">
        <v>124.7607678603746</v>
      </c>
    </row>
    <row r="14473" spans="2:7" ht="11.25" hidden="1" customHeight="1" outlineLevel="2" x14ac:dyDescent="0.25">
      <c r="B14473" s="704" t="s">
        <v>696</v>
      </c>
      <c r="C14473" s="704" t="s">
        <v>760</v>
      </c>
      <c r="D14473" s="704" t="s">
        <v>675</v>
      </c>
      <c r="E14473" s="704" t="s">
        <v>448</v>
      </c>
      <c r="F14473" s="705">
        <v>6.0018232186042929E-2</v>
      </c>
      <c r="G14473" s="705">
        <v>59.766972301455908</v>
      </c>
    </row>
    <row r="14474" spans="2:7" ht="11.25" hidden="1" customHeight="1" outlineLevel="2" x14ac:dyDescent="0.25">
      <c r="B14474" s="704" t="s">
        <v>696</v>
      </c>
      <c r="C14474" s="704" t="s">
        <v>761</v>
      </c>
      <c r="D14474" s="704" t="s">
        <v>675</v>
      </c>
      <c r="E14474" s="704" t="s">
        <v>448</v>
      </c>
      <c r="F14474" s="705">
        <v>2.8492562514666683E-3</v>
      </c>
      <c r="G14474" s="705">
        <v>4.7643667420282796</v>
      </c>
    </row>
    <row r="14475" spans="2:7" ht="11.25" hidden="1" customHeight="1" outlineLevel="2" x14ac:dyDescent="0.25">
      <c r="B14475" s="704" t="s">
        <v>696</v>
      </c>
      <c r="C14475" s="704" t="s">
        <v>762</v>
      </c>
      <c r="D14475" s="704" t="s">
        <v>675</v>
      </c>
      <c r="E14475" s="704" t="s">
        <v>448</v>
      </c>
      <c r="F14475" s="705">
        <v>5.7989919603569631E-3</v>
      </c>
      <c r="G14475" s="705">
        <v>8.078641449104218</v>
      </c>
    </row>
    <row r="14476" spans="2:7" ht="11.25" hidden="1" customHeight="1" outlineLevel="2" x14ac:dyDescent="0.25">
      <c r="B14476" s="704" t="s">
        <v>696</v>
      </c>
      <c r="C14476" s="704" t="s">
        <v>763</v>
      </c>
      <c r="D14476" s="704" t="s">
        <v>675</v>
      </c>
      <c r="E14476" s="704" t="s">
        <v>448</v>
      </c>
      <c r="F14476" s="705">
        <v>2.5741315143140769E-3</v>
      </c>
      <c r="G14476" s="705">
        <v>7.2391944783990683</v>
      </c>
    </row>
    <row r="14477" spans="2:7" ht="11.25" hidden="1" customHeight="1" outlineLevel="2" x14ac:dyDescent="0.25">
      <c r="B14477" s="704" t="s">
        <v>696</v>
      </c>
      <c r="C14477" s="704" t="s">
        <v>764</v>
      </c>
      <c r="D14477" s="704" t="s">
        <v>675</v>
      </c>
      <c r="E14477" s="704" t="s">
        <v>448</v>
      </c>
      <c r="F14477" s="705">
        <v>2.9997358692300472E-3</v>
      </c>
      <c r="G14477" s="705">
        <v>17.29039935333045</v>
      </c>
    </row>
    <row r="14478" spans="2:7" ht="11.25" hidden="1" customHeight="1" outlineLevel="2" x14ac:dyDescent="0.25">
      <c r="B14478" s="704" t="s">
        <v>696</v>
      </c>
      <c r="C14478" s="704" t="s">
        <v>765</v>
      </c>
      <c r="D14478" s="704" t="s">
        <v>675</v>
      </c>
      <c r="E14478" s="704" t="s">
        <v>448</v>
      </c>
      <c r="F14478" s="705">
        <v>2.8393519904483945E-2</v>
      </c>
      <c r="G14478" s="705">
        <v>40.973764592472335</v>
      </c>
    </row>
    <row r="14479" spans="2:7" ht="11.25" hidden="1" customHeight="1" outlineLevel="2" x14ac:dyDescent="0.25">
      <c r="B14479" s="704" t="s">
        <v>696</v>
      </c>
      <c r="C14479" s="704" t="s">
        <v>766</v>
      </c>
      <c r="D14479" s="704" t="s">
        <v>675</v>
      </c>
      <c r="E14479" s="704" t="s">
        <v>448</v>
      </c>
      <c r="F14479" s="705">
        <v>1.7603790575566686E-2</v>
      </c>
      <c r="G14479" s="705">
        <v>28.12081523578625</v>
      </c>
    </row>
    <row r="14480" spans="2:7" ht="11.25" hidden="1" customHeight="1" outlineLevel="2" x14ac:dyDescent="0.25">
      <c r="B14480" s="704" t="s">
        <v>696</v>
      </c>
      <c r="C14480" s="704" t="s">
        <v>767</v>
      </c>
      <c r="D14480" s="704" t="s">
        <v>675</v>
      </c>
      <c r="E14480" s="704" t="s">
        <v>448</v>
      </c>
      <c r="F14480" s="705">
        <v>8.8674558441865902E-3</v>
      </c>
      <c r="G14480" s="705">
        <v>9.2655523470312957</v>
      </c>
    </row>
    <row r="14481" spans="2:7" ht="11.25" hidden="1" customHeight="1" outlineLevel="2" x14ac:dyDescent="0.25">
      <c r="B14481" s="704" t="s">
        <v>696</v>
      </c>
      <c r="C14481" s="704" t="s">
        <v>768</v>
      </c>
      <c r="D14481" s="704" t="s">
        <v>675</v>
      </c>
      <c r="E14481" s="704" t="s">
        <v>448</v>
      </c>
      <c r="F14481" s="705">
        <v>4.1315594028742027E-3</v>
      </c>
      <c r="G14481" s="705">
        <v>6.5454798931552025</v>
      </c>
    </row>
    <row r="14482" spans="2:7" ht="11.25" hidden="1" customHeight="1" outlineLevel="2" x14ac:dyDescent="0.25">
      <c r="B14482" s="704" t="s">
        <v>696</v>
      </c>
      <c r="C14482" s="704" t="s">
        <v>825</v>
      </c>
      <c r="D14482" s="704" t="s">
        <v>675</v>
      </c>
      <c r="E14482" s="704" t="s">
        <v>824</v>
      </c>
      <c r="F14482" s="705">
        <v>7.8302178555353873E-4</v>
      </c>
      <c r="G14482" s="705">
        <v>3.707463470091668</v>
      </c>
    </row>
    <row r="14483" spans="2:7" ht="11.25" hidden="1" customHeight="1" outlineLevel="2" x14ac:dyDescent="0.25">
      <c r="B14483" s="704" t="s">
        <v>696</v>
      </c>
      <c r="C14483" s="704" t="s">
        <v>826</v>
      </c>
      <c r="D14483" s="704" t="s">
        <v>675</v>
      </c>
      <c r="E14483" s="704" t="s">
        <v>824</v>
      </c>
      <c r="F14483" s="705">
        <v>5.8207334608071618E-4</v>
      </c>
      <c r="G14483" s="705">
        <v>6.2218208425736297</v>
      </c>
    </row>
    <row r="14484" spans="2:7" ht="11.25" hidden="1" customHeight="1" outlineLevel="2" x14ac:dyDescent="0.25">
      <c r="B14484" s="704" t="s">
        <v>696</v>
      </c>
      <c r="C14484" s="704" t="s">
        <v>827</v>
      </c>
      <c r="D14484" s="704" t="s">
        <v>675</v>
      </c>
      <c r="E14484" s="704" t="s">
        <v>824</v>
      </c>
      <c r="F14484" s="705">
        <v>4.3101552815088287E-4</v>
      </c>
      <c r="G14484" s="705">
        <v>1.0292750520081704</v>
      </c>
    </row>
    <row r="14485" spans="2:7" ht="11.25" hidden="1" customHeight="1" outlineLevel="2" x14ac:dyDescent="0.25">
      <c r="B14485" s="704" t="s">
        <v>696</v>
      </c>
      <c r="C14485" s="704" t="s">
        <v>828</v>
      </c>
      <c r="D14485" s="704" t="s">
        <v>675</v>
      </c>
      <c r="E14485" s="704" t="s">
        <v>824</v>
      </c>
      <c r="F14485" s="705">
        <v>1.1752867941621485E-4</v>
      </c>
      <c r="G14485" s="705">
        <v>0.64496703379540599</v>
      </c>
    </row>
    <row r="14486" spans="2:7" ht="11.25" hidden="1" customHeight="1" outlineLevel="2" x14ac:dyDescent="0.25">
      <c r="B14486" s="704" t="s">
        <v>696</v>
      </c>
      <c r="C14486" s="704" t="s">
        <v>829</v>
      </c>
      <c r="D14486" s="704" t="s">
        <v>675</v>
      </c>
      <c r="E14486" s="704" t="s">
        <v>824</v>
      </c>
      <c r="F14486" s="705">
        <v>2.543401335560005E-3</v>
      </c>
      <c r="G14486" s="705">
        <v>11.413736252394688</v>
      </c>
    </row>
    <row r="14487" spans="2:7" ht="11.25" hidden="1" customHeight="1" outlineLevel="2" x14ac:dyDescent="0.25">
      <c r="B14487" s="704" t="s">
        <v>696</v>
      </c>
      <c r="C14487" s="704" t="s">
        <v>830</v>
      </c>
      <c r="D14487" s="704" t="s">
        <v>675</v>
      </c>
      <c r="E14487" s="704" t="s">
        <v>824</v>
      </c>
      <c r="F14487" s="705">
        <v>2.3074505815177219E-3</v>
      </c>
      <c r="G14487" s="705">
        <v>4.109602070530407</v>
      </c>
    </row>
    <row r="14488" spans="2:7" ht="11.25" hidden="1" customHeight="1" outlineLevel="2" x14ac:dyDescent="0.25">
      <c r="B14488" s="704" t="s">
        <v>696</v>
      </c>
      <c r="C14488" s="704" t="s">
        <v>831</v>
      </c>
      <c r="D14488" s="704" t="s">
        <v>675</v>
      </c>
      <c r="E14488" s="704" t="s">
        <v>824</v>
      </c>
      <c r="F14488" s="705">
        <v>6.4021142093971788E-4</v>
      </c>
      <c r="G14488" s="705">
        <v>10.559537474261422</v>
      </c>
    </row>
    <row r="14489" spans="2:7" ht="11.25" hidden="1" customHeight="1" outlineLevel="2" x14ac:dyDescent="0.25">
      <c r="B14489" s="704" t="s">
        <v>696</v>
      </c>
      <c r="C14489" s="704" t="s">
        <v>832</v>
      </c>
      <c r="D14489" s="704" t="s">
        <v>675</v>
      </c>
      <c r="E14489" s="704" t="s">
        <v>824</v>
      </c>
      <c r="F14489" s="705">
        <v>1.7499964131050399E-3</v>
      </c>
      <c r="G14489" s="705">
        <v>4.2057504991155881</v>
      </c>
    </row>
    <row r="14490" spans="2:7" ht="11.25" hidden="1" customHeight="1" outlineLevel="2" x14ac:dyDescent="0.25">
      <c r="B14490" s="704" t="s">
        <v>696</v>
      </c>
      <c r="C14490" s="704" t="s">
        <v>833</v>
      </c>
      <c r="D14490" s="704" t="s">
        <v>675</v>
      </c>
      <c r="E14490" s="704" t="s">
        <v>824</v>
      </c>
      <c r="F14490" s="705">
        <v>2.6727222534427757E-4</v>
      </c>
      <c r="G14490" s="705">
        <v>0.67676683962131667</v>
      </c>
    </row>
    <row r="14491" spans="2:7" ht="11.25" hidden="1" customHeight="1" outlineLevel="2" x14ac:dyDescent="0.25">
      <c r="B14491" s="704" t="s">
        <v>696</v>
      </c>
      <c r="C14491" s="704" t="s">
        <v>834</v>
      </c>
      <c r="D14491" s="704" t="s">
        <v>675</v>
      </c>
      <c r="E14491" s="704" t="s">
        <v>824</v>
      </c>
      <c r="F14491" s="705">
        <v>1.935905482471439E-3</v>
      </c>
      <c r="G14491" s="705">
        <v>7.3211354359169372</v>
      </c>
    </row>
    <row r="14492" spans="2:7" ht="11.25" hidden="1" customHeight="1" outlineLevel="2" x14ac:dyDescent="0.25">
      <c r="B14492" s="704" t="s">
        <v>696</v>
      </c>
      <c r="C14492" s="704" t="s">
        <v>835</v>
      </c>
      <c r="D14492" s="704" t="s">
        <v>675</v>
      </c>
      <c r="E14492" s="704" t="s">
        <v>824</v>
      </c>
      <c r="F14492" s="705">
        <v>2.4280452171224483E-3</v>
      </c>
      <c r="G14492" s="705">
        <v>17.827356479308854</v>
      </c>
    </row>
    <row r="14493" spans="2:7" ht="11.25" hidden="1" customHeight="1" outlineLevel="2" x14ac:dyDescent="0.25">
      <c r="B14493" s="704" t="s">
        <v>696</v>
      </c>
      <c r="C14493" s="704" t="s">
        <v>836</v>
      </c>
      <c r="D14493" s="704" t="s">
        <v>675</v>
      </c>
      <c r="E14493" s="704" t="s">
        <v>824</v>
      </c>
      <c r="F14493" s="705">
        <v>1.6941724517277005E-4</v>
      </c>
      <c r="G14493" s="705">
        <v>1.8622701917411764</v>
      </c>
    </row>
    <row r="14494" spans="2:7" ht="11.25" hidden="1" customHeight="1" outlineLevel="2" x14ac:dyDescent="0.25">
      <c r="B14494" s="704" t="s">
        <v>696</v>
      </c>
      <c r="C14494" s="704" t="s">
        <v>837</v>
      </c>
      <c r="D14494" s="704" t="s">
        <v>675</v>
      </c>
      <c r="E14494" s="704" t="s">
        <v>824</v>
      </c>
      <c r="F14494" s="705">
        <v>5.58722544955204E-3</v>
      </c>
      <c r="G14494" s="705">
        <v>15.42637097715399</v>
      </c>
    </row>
    <row r="14495" spans="2:7" ht="11.25" hidden="1" customHeight="1" outlineLevel="2" x14ac:dyDescent="0.25">
      <c r="B14495" s="704" t="s">
        <v>696</v>
      </c>
      <c r="C14495" s="704" t="s">
        <v>838</v>
      </c>
      <c r="D14495" s="704" t="s">
        <v>675</v>
      </c>
      <c r="E14495" s="704" t="s">
        <v>824</v>
      </c>
      <c r="F14495" s="705">
        <v>2.882051126998574E-3</v>
      </c>
      <c r="G14495" s="705">
        <v>6.3794454850704918</v>
      </c>
    </row>
    <row r="14496" spans="2:7" ht="11.25" hidden="1" customHeight="1" outlineLevel="2" x14ac:dyDescent="0.25">
      <c r="B14496" s="704" t="s">
        <v>696</v>
      </c>
      <c r="C14496" s="704" t="s">
        <v>674</v>
      </c>
      <c r="D14496" s="704" t="s">
        <v>675</v>
      </c>
      <c r="E14496" s="704" t="s">
        <v>676</v>
      </c>
      <c r="F14496" s="705">
        <v>8.1728673325834403E-3</v>
      </c>
      <c r="G14496" s="705">
        <v>0.20226076880445151</v>
      </c>
    </row>
    <row r="14497" spans="2:7" ht="11.25" hidden="1" customHeight="1" outlineLevel="2" x14ac:dyDescent="0.25">
      <c r="B14497" s="704" t="s">
        <v>696</v>
      </c>
      <c r="C14497" s="704" t="s">
        <v>862</v>
      </c>
      <c r="D14497" s="704" t="s">
        <v>675</v>
      </c>
      <c r="E14497" s="704" t="s">
        <v>861</v>
      </c>
      <c r="F14497" s="709"/>
      <c r="G14497" s="705">
        <v>600.53571992976708</v>
      </c>
    </row>
    <row r="14498" spans="2:7" ht="11.25" hidden="1" customHeight="1" outlineLevel="2" x14ac:dyDescent="0.25">
      <c r="B14498" s="704" t="s">
        <v>696</v>
      </c>
      <c r="C14498" s="704" t="s">
        <v>863</v>
      </c>
      <c r="D14498" s="704" t="s">
        <v>675</v>
      </c>
      <c r="E14498" s="704" t="s">
        <v>861</v>
      </c>
      <c r="F14498" s="709"/>
      <c r="G14498" s="705">
        <v>0.97891415816024718</v>
      </c>
    </row>
    <row r="14499" spans="2:7" ht="11.25" hidden="1" customHeight="1" outlineLevel="2" x14ac:dyDescent="0.25">
      <c r="B14499" s="704" t="s">
        <v>696</v>
      </c>
      <c r="C14499" s="704" t="s">
        <v>864</v>
      </c>
      <c r="D14499" s="704" t="s">
        <v>675</v>
      </c>
      <c r="E14499" s="704" t="s">
        <v>861</v>
      </c>
      <c r="F14499" s="709"/>
      <c r="G14499" s="705">
        <v>16.12726511964815</v>
      </c>
    </row>
    <row r="14500" spans="2:7" ht="11.25" hidden="1" customHeight="1" outlineLevel="2" x14ac:dyDescent="0.25">
      <c r="B14500" s="704" t="s">
        <v>696</v>
      </c>
      <c r="C14500" s="704" t="s">
        <v>865</v>
      </c>
      <c r="D14500" s="704" t="s">
        <v>675</v>
      </c>
      <c r="E14500" s="704" t="s">
        <v>861</v>
      </c>
      <c r="F14500" s="709"/>
      <c r="G14500" s="705">
        <v>1503.2119196789545</v>
      </c>
    </row>
    <row r="14501" spans="2:7" ht="11.25" hidden="1" customHeight="1" outlineLevel="2" x14ac:dyDescent="0.25">
      <c r="B14501" s="704" t="s">
        <v>696</v>
      </c>
      <c r="C14501" s="704" t="s">
        <v>866</v>
      </c>
      <c r="D14501" s="704" t="s">
        <v>675</v>
      </c>
      <c r="E14501" s="704" t="s">
        <v>861</v>
      </c>
      <c r="F14501" s="709"/>
      <c r="G14501" s="705">
        <v>1635.178080931471</v>
      </c>
    </row>
    <row r="14502" spans="2:7" ht="11.25" hidden="1" customHeight="1" outlineLevel="2" x14ac:dyDescent="0.25">
      <c r="B14502" s="704" t="s">
        <v>696</v>
      </c>
      <c r="C14502" s="704" t="s">
        <v>867</v>
      </c>
      <c r="D14502" s="704" t="s">
        <v>675</v>
      </c>
      <c r="E14502" s="704" t="s">
        <v>861</v>
      </c>
      <c r="F14502" s="709"/>
      <c r="G14502" s="705">
        <v>90.087534528183909</v>
      </c>
    </row>
    <row r="14503" spans="2:7" ht="11.25" hidden="1" customHeight="1" outlineLevel="2" x14ac:dyDescent="0.25">
      <c r="B14503" s="704" t="s">
        <v>696</v>
      </c>
      <c r="C14503" s="704" t="s">
        <v>868</v>
      </c>
      <c r="D14503" s="704" t="s">
        <v>675</v>
      </c>
      <c r="E14503" s="704" t="s">
        <v>861</v>
      </c>
      <c r="F14503" s="709"/>
      <c r="G14503" s="705">
        <v>55.604707933701746</v>
      </c>
    </row>
    <row r="14504" spans="2:7" ht="11.25" hidden="1" customHeight="1" outlineLevel="2" x14ac:dyDescent="0.25">
      <c r="B14504" s="704" t="s">
        <v>696</v>
      </c>
      <c r="C14504" s="704" t="s">
        <v>869</v>
      </c>
      <c r="D14504" s="704" t="s">
        <v>675</v>
      </c>
      <c r="E14504" s="704" t="s">
        <v>861</v>
      </c>
      <c r="F14504" s="709"/>
      <c r="G14504" s="705">
        <v>166.03286075580235</v>
      </c>
    </row>
    <row r="14505" spans="2:7" ht="11.25" hidden="1" customHeight="1" outlineLevel="2" x14ac:dyDescent="0.25">
      <c r="B14505" s="704" t="s">
        <v>696</v>
      </c>
      <c r="C14505" s="704" t="s">
        <v>870</v>
      </c>
      <c r="D14505" s="704" t="s">
        <v>675</v>
      </c>
      <c r="E14505" s="704" t="s">
        <v>861</v>
      </c>
      <c r="F14505" s="709"/>
      <c r="G14505" s="705">
        <v>713.1434470910275</v>
      </c>
    </row>
    <row r="14506" spans="2:7" ht="11.25" hidden="1" customHeight="1" outlineLevel="2" x14ac:dyDescent="0.25">
      <c r="B14506" s="704" t="s">
        <v>696</v>
      </c>
      <c r="C14506" s="704" t="s">
        <v>871</v>
      </c>
      <c r="D14506" s="704" t="s">
        <v>675</v>
      </c>
      <c r="E14506" s="704" t="s">
        <v>861</v>
      </c>
      <c r="F14506" s="709"/>
      <c r="G14506" s="705">
        <v>613.21996247334357</v>
      </c>
    </row>
    <row r="14507" spans="2:7" ht="11.25" hidden="1" customHeight="1" outlineLevel="2" x14ac:dyDescent="0.25">
      <c r="B14507" s="704" t="s">
        <v>696</v>
      </c>
      <c r="C14507" s="704" t="s">
        <v>872</v>
      </c>
      <c r="D14507" s="704" t="s">
        <v>675</v>
      </c>
      <c r="E14507" s="704" t="s">
        <v>861</v>
      </c>
      <c r="F14507" s="709"/>
      <c r="G14507" s="705">
        <v>6091.9430475665868</v>
      </c>
    </row>
    <row r="14508" spans="2:7" ht="11.25" hidden="1" customHeight="1" outlineLevel="2" x14ac:dyDescent="0.25">
      <c r="B14508" s="704" t="s">
        <v>696</v>
      </c>
      <c r="C14508" s="704" t="s">
        <v>873</v>
      </c>
      <c r="D14508" s="704" t="s">
        <v>675</v>
      </c>
      <c r="E14508" s="704" t="s">
        <v>861</v>
      </c>
      <c r="F14508" s="709"/>
      <c r="G14508" s="705">
        <v>50.532373579067553</v>
      </c>
    </row>
    <row r="14509" spans="2:7" ht="11.25" hidden="1" customHeight="1" outlineLevel="2" x14ac:dyDescent="0.25">
      <c r="B14509" s="704" t="s">
        <v>696</v>
      </c>
      <c r="C14509" s="704" t="s">
        <v>874</v>
      </c>
      <c r="D14509" s="704" t="s">
        <v>675</v>
      </c>
      <c r="E14509" s="704" t="s">
        <v>861</v>
      </c>
      <c r="F14509" s="709"/>
      <c r="G14509" s="705">
        <v>23.86874472190113</v>
      </c>
    </row>
    <row r="14510" spans="2:7" ht="11.25" hidden="1" customHeight="1" outlineLevel="2" x14ac:dyDescent="0.25">
      <c r="B14510" s="704" t="s">
        <v>696</v>
      </c>
      <c r="C14510" s="704" t="s">
        <v>875</v>
      </c>
      <c r="D14510" s="704" t="s">
        <v>675</v>
      </c>
      <c r="E14510" s="704" t="s">
        <v>861</v>
      </c>
      <c r="F14510" s="709"/>
      <c r="G14510" s="705">
        <v>1391.3468008460327</v>
      </c>
    </row>
    <row r="14511" spans="2:7" ht="11.25" hidden="1" customHeight="1" outlineLevel="2" x14ac:dyDescent="0.25">
      <c r="B14511" s="704" t="s">
        <v>696</v>
      </c>
      <c r="C14511" s="704" t="s">
        <v>876</v>
      </c>
      <c r="D14511" s="704" t="s">
        <v>675</v>
      </c>
      <c r="E14511" s="704" t="s">
        <v>861</v>
      </c>
      <c r="F14511" s="709"/>
      <c r="G14511" s="705">
        <v>1515.6372114955652</v>
      </c>
    </row>
    <row r="14512" spans="2:7" ht="11.25" hidden="1" customHeight="1" outlineLevel="2" x14ac:dyDescent="0.25">
      <c r="B14512" s="704" t="s">
        <v>696</v>
      </c>
      <c r="C14512" s="704" t="s">
        <v>877</v>
      </c>
      <c r="D14512" s="704" t="s">
        <v>675</v>
      </c>
      <c r="E14512" s="704" t="s">
        <v>861</v>
      </c>
      <c r="F14512" s="709"/>
      <c r="G14512" s="705">
        <v>5210.397585962216</v>
      </c>
    </row>
    <row r="14513" spans="2:7" ht="11.25" hidden="1" customHeight="1" outlineLevel="2" x14ac:dyDescent="0.25">
      <c r="B14513" s="704" t="s">
        <v>696</v>
      </c>
      <c r="C14513" s="704" t="s">
        <v>878</v>
      </c>
      <c r="D14513" s="704" t="s">
        <v>675</v>
      </c>
      <c r="E14513" s="704" t="s">
        <v>861</v>
      </c>
      <c r="F14513" s="709"/>
      <c r="G14513" s="705">
        <v>245.29836879750974</v>
      </c>
    </row>
    <row r="14514" spans="2:7" ht="11.25" hidden="1" customHeight="1" outlineLevel="2" x14ac:dyDescent="0.25">
      <c r="B14514" s="704" t="s">
        <v>696</v>
      </c>
      <c r="C14514" s="704" t="s">
        <v>879</v>
      </c>
      <c r="D14514" s="704" t="s">
        <v>675</v>
      </c>
      <c r="E14514" s="704" t="s">
        <v>861</v>
      </c>
      <c r="F14514" s="709"/>
      <c r="G14514" s="705">
        <v>1949.9573845310504</v>
      </c>
    </row>
    <row r="14515" spans="2:7" ht="11.25" hidden="1" customHeight="1" outlineLevel="2" x14ac:dyDescent="0.25">
      <c r="B14515" s="704" t="s">
        <v>696</v>
      </c>
      <c r="C14515" s="704" t="s">
        <v>880</v>
      </c>
      <c r="D14515" s="704" t="s">
        <v>675</v>
      </c>
      <c r="E14515" s="704" t="s">
        <v>861</v>
      </c>
      <c r="F14515" s="709"/>
      <c r="G14515" s="705">
        <v>6630.8235777330965</v>
      </c>
    </row>
    <row r="14516" spans="2:7" ht="11.25" hidden="1" customHeight="1" outlineLevel="2" x14ac:dyDescent="0.25">
      <c r="B14516" s="704" t="s">
        <v>696</v>
      </c>
      <c r="C14516" s="704" t="s">
        <v>881</v>
      </c>
      <c r="D14516" s="704" t="s">
        <v>675</v>
      </c>
      <c r="E14516" s="704" t="s">
        <v>861</v>
      </c>
      <c r="F14516" s="709"/>
      <c r="G14516" s="705">
        <v>4021.1925905246462</v>
      </c>
    </row>
    <row r="14517" spans="2:7" ht="11.25" hidden="1" customHeight="1" outlineLevel="2" x14ac:dyDescent="0.25">
      <c r="B14517" s="704" t="s">
        <v>696</v>
      </c>
      <c r="C14517" s="704" t="s">
        <v>882</v>
      </c>
      <c r="D14517" s="704" t="s">
        <v>675</v>
      </c>
      <c r="E14517" s="704" t="s">
        <v>861</v>
      </c>
      <c r="F14517" s="709"/>
      <c r="G14517" s="705">
        <v>6068.5001322413564</v>
      </c>
    </row>
    <row r="14518" spans="2:7" ht="11.25" hidden="1" customHeight="1" outlineLevel="2" x14ac:dyDescent="0.25">
      <c r="B14518" s="704" t="s">
        <v>696</v>
      </c>
      <c r="C14518" s="704" t="s">
        <v>883</v>
      </c>
      <c r="D14518" s="704" t="s">
        <v>675</v>
      </c>
      <c r="E14518" s="704" t="s">
        <v>861</v>
      </c>
      <c r="F14518" s="709"/>
      <c r="G14518" s="705">
        <v>2757.2963437655553</v>
      </c>
    </row>
    <row r="14519" spans="2:7" ht="11.25" hidden="1" customHeight="1" outlineLevel="2" x14ac:dyDescent="0.25">
      <c r="B14519" s="704" t="s">
        <v>696</v>
      </c>
      <c r="C14519" s="704" t="s">
        <v>884</v>
      </c>
      <c r="D14519" s="704" t="s">
        <v>675</v>
      </c>
      <c r="E14519" s="704" t="s">
        <v>861</v>
      </c>
      <c r="F14519" s="709"/>
      <c r="G14519" s="705">
        <v>652.73919318564072</v>
      </c>
    </row>
    <row r="14520" spans="2:7" ht="11.25" hidden="1" customHeight="1" outlineLevel="2" x14ac:dyDescent="0.25">
      <c r="B14520" s="704" t="s">
        <v>696</v>
      </c>
      <c r="C14520" s="704" t="s">
        <v>885</v>
      </c>
      <c r="D14520" s="704" t="s">
        <v>675</v>
      </c>
      <c r="E14520" s="704" t="s">
        <v>861</v>
      </c>
      <c r="F14520" s="709"/>
      <c r="G14520" s="705">
        <v>8.4954401865260554</v>
      </c>
    </row>
    <row r="14521" spans="2:7" ht="11.25" hidden="1" customHeight="1" outlineLevel="2" x14ac:dyDescent="0.25">
      <c r="B14521" s="704" t="s">
        <v>696</v>
      </c>
      <c r="C14521" s="704" t="s">
        <v>886</v>
      </c>
      <c r="D14521" s="704" t="s">
        <v>675</v>
      </c>
      <c r="E14521" s="704" t="s">
        <v>861</v>
      </c>
      <c r="F14521" s="709"/>
      <c r="G14521" s="705">
        <v>625.47950396415126</v>
      </c>
    </row>
    <row r="14522" spans="2:7" ht="11.25" hidden="1" customHeight="1" outlineLevel="2" x14ac:dyDescent="0.25">
      <c r="B14522" s="704" t="s">
        <v>696</v>
      </c>
      <c r="C14522" s="704" t="s">
        <v>725</v>
      </c>
      <c r="D14522" s="704" t="s">
        <v>563</v>
      </c>
      <c r="E14522" s="704" t="s">
        <v>448</v>
      </c>
      <c r="F14522" s="705">
        <v>7.2162953190603809E-4</v>
      </c>
      <c r="G14522" s="705">
        <v>0.32347773525774393</v>
      </c>
    </row>
    <row r="14523" spans="2:7" ht="11.25" hidden="1" customHeight="1" outlineLevel="2" x14ac:dyDescent="0.25">
      <c r="B14523" s="704" t="s">
        <v>696</v>
      </c>
      <c r="C14523" s="704" t="s">
        <v>726</v>
      </c>
      <c r="D14523" s="704" t="s">
        <v>563</v>
      </c>
      <c r="E14523" s="704" t="s">
        <v>448</v>
      </c>
      <c r="F14523" s="705">
        <v>5.6834660149819471E-5</v>
      </c>
      <c r="G14523" s="705">
        <v>2.5476726787329859E-2</v>
      </c>
    </row>
    <row r="14524" spans="2:7" ht="11.25" hidden="1" customHeight="1" outlineLevel="2" x14ac:dyDescent="0.25">
      <c r="B14524" s="704" t="s">
        <v>696</v>
      </c>
      <c r="C14524" s="704" t="s">
        <v>769</v>
      </c>
      <c r="D14524" s="704" t="s">
        <v>563</v>
      </c>
      <c r="E14524" s="704" t="s">
        <v>448</v>
      </c>
      <c r="F14524" s="705">
        <v>3.7129822650086991E-2</v>
      </c>
      <c r="G14524" s="705">
        <v>39.346077312132827</v>
      </c>
    </row>
    <row r="14525" spans="2:7" ht="11.25" hidden="1" customHeight="1" outlineLevel="2" x14ac:dyDescent="0.25">
      <c r="B14525" s="704" t="s">
        <v>696</v>
      </c>
      <c r="C14525" s="704" t="s">
        <v>770</v>
      </c>
      <c r="D14525" s="704" t="s">
        <v>563</v>
      </c>
      <c r="E14525" s="704" t="s">
        <v>448</v>
      </c>
      <c r="F14525" s="705">
        <v>3.3762874863268538E-2</v>
      </c>
      <c r="G14525" s="705">
        <v>116.51438481627349</v>
      </c>
    </row>
    <row r="14526" spans="2:7" ht="11.25" hidden="1" customHeight="1" outlineLevel="2" x14ac:dyDescent="0.25">
      <c r="B14526" s="704" t="s">
        <v>696</v>
      </c>
      <c r="C14526" s="704" t="s">
        <v>771</v>
      </c>
      <c r="D14526" s="704" t="s">
        <v>563</v>
      </c>
      <c r="E14526" s="704" t="s">
        <v>448</v>
      </c>
      <c r="F14526" s="705">
        <v>1.264124719830061E-2</v>
      </c>
      <c r="G14526" s="705">
        <v>29.425969438446906</v>
      </c>
    </row>
    <row r="14527" spans="2:7" ht="11.25" hidden="1" customHeight="1" outlineLevel="2" x14ac:dyDescent="0.25">
      <c r="B14527" s="704" t="s">
        <v>696</v>
      </c>
      <c r="C14527" s="704" t="s">
        <v>772</v>
      </c>
      <c r="D14527" s="704" t="s">
        <v>563</v>
      </c>
      <c r="E14527" s="704" t="s">
        <v>448</v>
      </c>
      <c r="F14527" s="705">
        <v>4.2417791958802263E-2</v>
      </c>
      <c r="G14527" s="705">
        <v>54.848681099879357</v>
      </c>
    </row>
    <row r="14528" spans="2:7" ht="11.25" hidden="1" customHeight="1" outlineLevel="2" x14ac:dyDescent="0.25">
      <c r="B14528" s="704" t="s">
        <v>696</v>
      </c>
      <c r="C14528" s="704" t="s">
        <v>773</v>
      </c>
      <c r="D14528" s="704" t="s">
        <v>563</v>
      </c>
      <c r="E14528" s="704" t="s">
        <v>448</v>
      </c>
      <c r="F14528" s="705">
        <v>2.3723167304111467E-3</v>
      </c>
      <c r="G14528" s="705">
        <v>2.6948646944734791</v>
      </c>
    </row>
    <row r="14529" spans="2:7" ht="11.25" hidden="1" customHeight="1" outlineLevel="2" x14ac:dyDescent="0.25">
      <c r="B14529" s="704" t="s">
        <v>696</v>
      </c>
      <c r="C14529" s="704" t="s">
        <v>774</v>
      </c>
      <c r="D14529" s="704" t="s">
        <v>563</v>
      </c>
      <c r="E14529" s="704" t="s">
        <v>448</v>
      </c>
      <c r="F14529" s="705">
        <v>6.8768265061129499E-4</v>
      </c>
      <c r="G14529" s="705">
        <v>0.92192354191020531</v>
      </c>
    </row>
    <row r="14530" spans="2:7" ht="11.25" hidden="1" customHeight="1" outlineLevel="2" x14ac:dyDescent="0.25">
      <c r="B14530" s="704" t="s">
        <v>696</v>
      </c>
      <c r="C14530" s="704" t="s">
        <v>775</v>
      </c>
      <c r="D14530" s="704" t="s">
        <v>563</v>
      </c>
      <c r="E14530" s="704" t="s">
        <v>448</v>
      </c>
      <c r="F14530" s="705">
        <v>9.3296074384002997E-4</v>
      </c>
      <c r="G14530" s="705">
        <v>11.880801968442666</v>
      </c>
    </row>
    <row r="14531" spans="2:7" ht="11.25" hidden="1" customHeight="1" outlineLevel="2" x14ac:dyDescent="0.25">
      <c r="B14531" s="704" t="s">
        <v>696</v>
      </c>
      <c r="C14531" s="704" t="s">
        <v>839</v>
      </c>
      <c r="D14531" s="704" t="s">
        <v>563</v>
      </c>
      <c r="E14531" s="704" t="s">
        <v>824</v>
      </c>
      <c r="F14531" s="705">
        <v>4.1074718861622048E-2</v>
      </c>
      <c r="G14531" s="705">
        <v>99.674694471250533</v>
      </c>
    </row>
    <row r="14532" spans="2:7" ht="11.25" hidden="1" customHeight="1" outlineLevel="2" x14ac:dyDescent="0.25">
      <c r="B14532" s="704" t="s">
        <v>696</v>
      </c>
      <c r="C14532" s="704" t="s">
        <v>840</v>
      </c>
      <c r="D14532" s="704" t="s">
        <v>563</v>
      </c>
      <c r="E14532" s="704" t="s">
        <v>824</v>
      </c>
      <c r="F14532" s="705">
        <v>1.1970137801713574</v>
      </c>
      <c r="G14532" s="705">
        <v>8812.7770496633439</v>
      </c>
    </row>
    <row r="14533" spans="2:7" ht="11.25" hidden="1" customHeight="1" outlineLevel="2" x14ac:dyDescent="0.25">
      <c r="B14533" s="704" t="s">
        <v>696</v>
      </c>
      <c r="C14533" s="704" t="s">
        <v>841</v>
      </c>
      <c r="D14533" s="704" t="s">
        <v>563</v>
      </c>
      <c r="E14533" s="704" t="s">
        <v>824</v>
      </c>
      <c r="F14533" s="705">
        <v>5.8222033510104852E-3</v>
      </c>
      <c r="G14533" s="705">
        <v>66.624785694858318</v>
      </c>
    </row>
    <row r="14534" spans="2:7" ht="11.25" hidden="1" customHeight="1" outlineLevel="2" x14ac:dyDescent="0.25">
      <c r="B14534" s="704" t="s">
        <v>696</v>
      </c>
      <c r="C14534" s="704" t="s">
        <v>842</v>
      </c>
      <c r="D14534" s="704" t="s">
        <v>563</v>
      </c>
      <c r="E14534" s="704" t="s">
        <v>824</v>
      </c>
      <c r="F14534" s="705">
        <v>2.109825372144145E-3</v>
      </c>
      <c r="G14534" s="705">
        <v>20.650585579218735</v>
      </c>
    </row>
    <row r="14535" spans="2:7" ht="11.25" hidden="1" customHeight="1" outlineLevel="2" x14ac:dyDescent="0.25">
      <c r="B14535" s="704" t="s">
        <v>696</v>
      </c>
      <c r="C14535" s="704" t="s">
        <v>843</v>
      </c>
      <c r="D14535" s="704" t="s">
        <v>563</v>
      </c>
      <c r="E14535" s="704" t="s">
        <v>824</v>
      </c>
      <c r="F14535" s="705">
        <v>2.0392649800155963E-3</v>
      </c>
      <c r="G14535" s="705">
        <v>5.3282136735405174</v>
      </c>
    </row>
    <row r="14536" spans="2:7" ht="11.25" hidden="1" customHeight="1" outlineLevel="2" x14ac:dyDescent="0.25">
      <c r="B14536" s="704" t="s">
        <v>696</v>
      </c>
      <c r="C14536" s="704" t="s">
        <v>844</v>
      </c>
      <c r="D14536" s="704" t="s">
        <v>563</v>
      </c>
      <c r="E14536" s="704" t="s">
        <v>824</v>
      </c>
      <c r="F14536" s="705">
        <v>2.0393528706509146E-3</v>
      </c>
      <c r="G14536" s="705">
        <v>40.527353437117327</v>
      </c>
    </row>
    <row r="14537" spans="2:7" ht="11.25" hidden="1" customHeight="1" outlineLevel="2" x14ac:dyDescent="0.25">
      <c r="B14537" s="704" t="s">
        <v>696</v>
      </c>
      <c r="C14537" s="704" t="s">
        <v>700</v>
      </c>
      <c r="D14537" s="704" t="s">
        <v>563</v>
      </c>
      <c r="E14537" s="704" t="s">
        <v>676</v>
      </c>
      <c r="F14537" s="705">
        <v>6.1819795050413093</v>
      </c>
      <c r="G14537" s="705">
        <v>520.24949159158075</v>
      </c>
    </row>
    <row r="14538" spans="2:7" ht="11.25" hidden="1" customHeight="1" outlineLevel="2" x14ac:dyDescent="0.25">
      <c r="B14538" s="704" t="s">
        <v>696</v>
      </c>
      <c r="C14538" s="704" t="s">
        <v>701</v>
      </c>
      <c r="D14538" s="704" t="s">
        <v>563</v>
      </c>
      <c r="E14538" s="704" t="s">
        <v>676</v>
      </c>
      <c r="F14538" s="705">
        <v>6.75230648301653E-3</v>
      </c>
      <c r="G14538" s="705">
        <v>0.59128248366660552</v>
      </c>
    </row>
    <row r="14539" spans="2:7" ht="11.25" hidden="1" customHeight="1" outlineLevel="2" x14ac:dyDescent="0.25">
      <c r="B14539" s="704" t="s">
        <v>696</v>
      </c>
      <c r="C14539" s="704" t="s">
        <v>702</v>
      </c>
      <c r="D14539" s="704" t="s">
        <v>563</v>
      </c>
      <c r="E14539" s="704" t="s">
        <v>676</v>
      </c>
      <c r="F14539" s="705">
        <v>3.1506203201479149E-3</v>
      </c>
      <c r="G14539" s="705">
        <v>0.32290601891570331</v>
      </c>
    </row>
    <row r="14540" spans="2:7" ht="11.25" hidden="1" customHeight="1" outlineLevel="2" x14ac:dyDescent="0.25">
      <c r="B14540" s="704" t="s">
        <v>696</v>
      </c>
      <c r="C14540" s="704" t="s">
        <v>703</v>
      </c>
      <c r="D14540" s="704" t="s">
        <v>563</v>
      </c>
      <c r="E14540" s="704" t="s">
        <v>676</v>
      </c>
      <c r="F14540" s="705">
        <v>8.8378041809940855E-3</v>
      </c>
      <c r="G14540" s="705">
        <v>0.87029509507414582</v>
      </c>
    </row>
    <row r="14541" spans="2:7" ht="11.25" hidden="1" customHeight="1" outlineLevel="2" x14ac:dyDescent="0.25">
      <c r="B14541" s="704" t="s">
        <v>696</v>
      </c>
      <c r="C14541" s="704" t="s">
        <v>704</v>
      </c>
      <c r="D14541" s="704" t="s">
        <v>563</v>
      </c>
      <c r="E14541" s="704" t="s">
        <v>676</v>
      </c>
      <c r="F14541" s="705">
        <v>1.0729249828688158E-2</v>
      </c>
      <c r="G14541" s="705">
        <v>2.4127739414839184</v>
      </c>
    </row>
    <row r="14542" spans="2:7" ht="11.25" hidden="1" customHeight="1" outlineLevel="2" x14ac:dyDescent="0.25">
      <c r="B14542" s="704" t="s">
        <v>696</v>
      </c>
      <c r="C14542" s="704" t="s">
        <v>887</v>
      </c>
      <c r="D14542" s="704" t="s">
        <v>563</v>
      </c>
      <c r="E14542" s="704" t="s">
        <v>861</v>
      </c>
      <c r="F14542" s="709"/>
      <c r="G14542" s="705">
        <v>162.16680065271757</v>
      </c>
    </row>
    <row r="14543" spans="2:7" ht="11.25" hidden="1" customHeight="1" outlineLevel="2" x14ac:dyDescent="0.25">
      <c r="B14543" s="704" t="s">
        <v>696</v>
      </c>
      <c r="C14543" s="704" t="s">
        <v>888</v>
      </c>
      <c r="D14543" s="704" t="s">
        <v>563</v>
      </c>
      <c r="E14543" s="704" t="s">
        <v>861</v>
      </c>
      <c r="F14543" s="709"/>
      <c r="G14543" s="705">
        <v>2353.1347110182924</v>
      </c>
    </row>
    <row r="14544" spans="2:7" ht="11.25" hidden="1" customHeight="1" outlineLevel="2" x14ac:dyDescent="0.25">
      <c r="B14544" s="704" t="s">
        <v>696</v>
      </c>
      <c r="C14544" s="704" t="s">
        <v>889</v>
      </c>
      <c r="D14544" s="704" t="s">
        <v>563</v>
      </c>
      <c r="E14544" s="704" t="s">
        <v>861</v>
      </c>
      <c r="F14544" s="709"/>
      <c r="G14544" s="705">
        <v>1027.0652716025193</v>
      </c>
    </row>
    <row r="14545" spans="2:7" ht="11.25" hidden="1" customHeight="1" outlineLevel="2" x14ac:dyDescent="0.25">
      <c r="B14545" s="704" t="s">
        <v>696</v>
      </c>
      <c r="C14545" s="704" t="s">
        <v>890</v>
      </c>
      <c r="D14545" s="704" t="s">
        <v>563</v>
      </c>
      <c r="E14545" s="704" t="s">
        <v>861</v>
      </c>
      <c r="F14545" s="709"/>
      <c r="G14545" s="705">
        <v>1042.4598777585547</v>
      </c>
    </row>
    <row r="14546" spans="2:7" ht="11.25" hidden="1" customHeight="1" outlineLevel="2" x14ac:dyDescent="0.25">
      <c r="B14546" s="704" t="s">
        <v>696</v>
      </c>
      <c r="C14546" s="704" t="s">
        <v>891</v>
      </c>
      <c r="D14546" s="704" t="s">
        <v>563</v>
      </c>
      <c r="E14546" s="704" t="s">
        <v>861</v>
      </c>
      <c r="F14546" s="709"/>
      <c r="G14546" s="705">
        <v>40.075866510922239</v>
      </c>
    </row>
    <row r="14547" spans="2:7" ht="11.25" hidden="1" customHeight="1" outlineLevel="2" x14ac:dyDescent="0.25">
      <c r="B14547" s="704" t="s">
        <v>696</v>
      </c>
      <c r="C14547" s="704" t="s">
        <v>892</v>
      </c>
      <c r="D14547" s="704" t="s">
        <v>563</v>
      </c>
      <c r="E14547" s="704" t="s">
        <v>861</v>
      </c>
      <c r="F14547" s="709"/>
      <c r="G14547" s="705">
        <v>2531.467368757093</v>
      </c>
    </row>
    <row r="14548" spans="2:7" ht="11.25" hidden="1" customHeight="1" outlineLevel="2" x14ac:dyDescent="0.25">
      <c r="B14548" s="704" t="s">
        <v>696</v>
      </c>
      <c r="C14548" s="704" t="s">
        <v>893</v>
      </c>
      <c r="D14548" s="704" t="s">
        <v>563</v>
      </c>
      <c r="E14548" s="704" t="s">
        <v>861</v>
      </c>
      <c r="F14548" s="709"/>
      <c r="G14548" s="705">
        <v>1481.478106044116</v>
      </c>
    </row>
    <row r="14549" spans="2:7" ht="11.25" hidden="1" customHeight="1" outlineLevel="2" x14ac:dyDescent="0.25">
      <c r="B14549" s="704" t="s">
        <v>696</v>
      </c>
      <c r="C14549" s="704" t="s">
        <v>727</v>
      </c>
      <c r="D14549" s="704" t="s">
        <v>728</v>
      </c>
      <c r="E14549" s="704" t="s">
        <v>448</v>
      </c>
      <c r="F14549" s="705">
        <v>9.9836221055874183E-3</v>
      </c>
      <c r="G14549" s="705">
        <v>5.4681965961827981</v>
      </c>
    </row>
    <row r="14550" spans="2:7" ht="11.25" hidden="1" customHeight="1" outlineLevel="2" x14ac:dyDescent="0.25">
      <c r="B14550" s="704" t="s">
        <v>696</v>
      </c>
      <c r="C14550" s="704" t="s">
        <v>729</v>
      </c>
      <c r="D14550" s="704" t="s">
        <v>728</v>
      </c>
      <c r="E14550" s="704" t="s">
        <v>448</v>
      </c>
      <c r="F14550" s="705">
        <v>5.4837456705275608E-2</v>
      </c>
      <c r="G14550" s="705">
        <v>29.5977667880905</v>
      </c>
    </row>
    <row r="14551" spans="2:7" ht="11.25" hidden="1" customHeight="1" outlineLevel="2" x14ac:dyDescent="0.25">
      <c r="B14551" s="704" t="s">
        <v>696</v>
      </c>
      <c r="C14551" s="704" t="s">
        <v>730</v>
      </c>
      <c r="D14551" s="704" t="s">
        <v>728</v>
      </c>
      <c r="E14551" s="704" t="s">
        <v>448</v>
      </c>
      <c r="F14551" s="705">
        <v>0.14327301532974249</v>
      </c>
      <c r="G14551" s="705">
        <v>74.700099253373494</v>
      </c>
    </row>
    <row r="14552" spans="2:7" ht="11.25" hidden="1" customHeight="1" outlineLevel="2" x14ac:dyDescent="0.25">
      <c r="B14552" s="704" t="s">
        <v>696</v>
      </c>
      <c r="C14552" s="704" t="s">
        <v>731</v>
      </c>
      <c r="D14552" s="704" t="s">
        <v>728</v>
      </c>
      <c r="E14552" s="704" t="s">
        <v>448</v>
      </c>
      <c r="F14552" s="705">
        <v>0.60077613051794565</v>
      </c>
      <c r="G14552" s="705">
        <v>329.39162501691618</v>
      </c>
    </row>
    <row r="14553" spans="2:7" ht="11.25" hidden="1" customHeight="1" outlineLevel="2" x14ac:dyDescent="0.25">
      <c r="B14553" s="704" t="s">
        <v>696</v>
      </c>
      <c r="C14553" s="704" t="s">
        <v>732</v>
      </c>
      <c r="D14553" s="704" t="s">
        <v>728</v>
      </c>
      <c r="E14553" s="704" t="s">
        <v>448</v>
      </c>
      <c r="F14553" s="705">
        <v>0.17662631431873171</v>
      </c>
      <c r="G14553" s="705">
        <v>104.09813107282822</v>
      </c>
    </row>
    <row r="14554" spans="2:7" ht="11.25" hidden="1" customHeight="1" outlineLevel="2" x14ac:dyDescent="0.25">
      <c r="B14554" s="704" t="s">
        <v>696</v>
      </c>
      <c r="C14554" s="704" t="s">
        <v>733</v>
      </c>
      <c r="D14554" s="704" t="s">
        <v>728</v>
      </c>
      <c r="E14554" s="704" t="s">
        <v>448</v>
      </c>
      <c r="F14554" s="705">
        <v>0.56720814482890192</v>
      </c>
      <c r="G14554" s="705">
        <v>287.22356114839448</v>
      </c>
    </row>
    <row r="14555" spans="2:7" ht="11.25" hidden="1" customHeight="1" outlineLevel="2" x14ac:dyDescent="0.25">
      <c r="B14555" s="704" t="s">
        <v>696</v>
      </c>
      <c r="C14555" s="704" t="s">
        <v>734</v>
      </c>
      <c r="D14555" s="704" t="s">
        <v>728</v>
      </c>
      <c r="E14555" s="704" t="s">
        <v>448</v>
      </c>
      <c r="F14555" s="705">
        <v>0.12449732322631317</v>
      </c>
      <c r="G14555" s="705">
        <v>66.997349014560001</v>
      </c>
    </row>
    <row r="14556" spans="2:7" ht="11.25" hidden="1" customHeight="1" outlineLevel="2" x14ac:dyDescent="0.25">
      <c r="B14556" s="704" t="s">
        <v>696</v>
      </c>
      <c r="C14556" s="704" t="s">
        <v>735</v>
      </c>
      <c r="D14556" s="704" t="s">
        <v>728</v>
      </c>
      <c r="E14556" s="704" t="s">
        <v>448</v>
      </c>
      <c r="F14556" s="705">
        <v>0.50062389142601016</v>
      </c>
      <c r="G14556" s="705">
        <v>268.19850488421292</v>
      </c>
    </row>
    <row r="14557" spans="2:7" ht="11.25" hidden="1" customHeight="1" outlineLevel="2" x14ac:dyDescent="0.25">
      <c r="B14557" s="704" t="s">
        <v>696</v>
      </c>
      <c r="C14557" s="704" t="s">
        <v>736</v>
      </c>
      <c r="D14557" s="704" t="s">
        <v>728</v>
      </c>
      <c r="E14557" s="704" t="s">
        <v>448</v>
      </c>
      <c r="F14557" s="705">
        <v>0.2168205070359345</v>
      </c>
      <c r="G14557" s="705">
        <v>31.886896620437032</v>
      </c>
    </row>
    <row r="14558" spans="2:7" ht="11.25" hidden="1" customHeight="1" outlineLevel="2" x14ac:dyDescent="0.25">
      <c r="B14558" s="704" t="s">
        <v>696</v>
      </c>
      <c r="C14558" s="704" t="s">
        <v>737</v>
      </c>
      <c r="D14558" s="704" t="s">
        <v>728</v>
      </c>
      <c r="E14558" s="704" t="s">
        <v>448</v>
      </c>
      <c r="F14558" s="705">
        <v>0.58272653972717281</v>
      </c>
      <c r="G14558" s="705">
        <v>85.702315637339836</v>
      </c>
    </row>
    <row r="14559" spans="2:7" ht="11.25" hidden="1" customHeight="1" outlineLevel="2" x14ac:dyDescent="0.25">
      <c r="B14559" s="704" t="s">
        <v>696</v>
      </c>
      <c r="C14559" s="704" t="s">
        <v>738</v>
      </c>
      <c r="D14559" s="704" t="s">
        <v>728</v>
      </c>
      <c r="E14559" s="704" t="s">
        <v>448</v>
      </c>
      <c r="F14559" s="705">
        <v>2.4525688544656656E-4</v>
      </c>
      <c r="G14559" s="705">
        <v>0.12258946757710555</v>
      </c>
    </row>
    <row r="14560" spans="2:7" ht="11.25" hidden="1" customHeight="1" outlineLevel="2" x14ac:dyDescent="0.25">
      <c r="B14560" s="704" t="s">
        <v>696</v>
      </c>
      <c r="C14560" s="704" t="s">
        <v>776</v>
      </c>
      <c r="D14560" s="704" t="s">
        <v>728</v>
      </c>
      <c r="E14560" s="704" t="s">
        <v>448</v>
      </c>
      <c r="F14560" s="705">
        <v>1.5095083632085156</v>
      </c>
      <c r="G14560" s="705">
        <v>933.22945498479169</v>
      </c>
    </row>
    <row r="14561" spans="2:7" ht="11.25" hidden="1" customHeight="1" outlineLevel="2" x14ac:dyDescent="0.25">
      <c r="B14561" s="704" t="s">
        <v>696</v>
      </c>
      <c r="C14561" s="704" t="s">
        <v>777</v>
      </c>
      <c r="D14561" s="704" t="s">
        <v>728</v>
      </c>
      <c r="E14561" s="704" t="s">
        <v>448</v>
      </c>
      <c r="F14561" s="705">
        <v>0.70496220797167486</v>
      </c>
      <c r="G14561" s="705">
        <v>837.25251789663832</v>
      </c>
    </row>
    <row r="14562" spans="2:7" ht="11.25" hidden="1" customHeight="1" outlineLevel="2" x14ac:dyDescent="0.25">
      <c r="B14562" s="704" t="s">
        <v>696</v>
      </c>
      <c r="C14562" s="704" t="s">
        <v>778</v>
      </c>
      <c r="D14562" s="704" t="s">
        <v>728</v>
      </c>
      <c r="E14562" s="704" t="s">
        <v>448</v>
      </c>
      <c r="F14562" s="705">
        <v>0.12760677902467896</v>
      </c>
      <c r="G14562" s="705">
        <v>78.252612168423738</v>
      </c>
    </row>
    <row r="14563" spans="2:7" ht="11.25" hidden="1" customHeight="1" outlineLevel="2" x14ac:dyDescent="0.25">
      <c r="B14563" s="704" t="s">
        <v>696</v>
      </c>
      <c r="C14563" s="704" t="s">
        <v>779</v>
      </c>
      <c r="D14563" s="704" t="s">
        <v>728</v>
      </c>
      <c r="E14563" s="704" t="s">
        <v>448</v>
      </c>
      <c r="F14563" s="705">
        <v>0.57141793280067166</v>
      </c>
      <c r="G14563" s="705">
        <v>426.16929808940921</v>
      </c>
    </row>
    <row r="14564" spans="2:7" ht="11.25" hidden="1" customHeight="1" outlineLevel="2" x14ac:dyDescent="0.25">
      <c r="B14564" s="704" t="s">
        <v>696</v>
      </c>
      <c r="C14564" s="704" t="s">
        <v>780</v>
      </c>
      <c r="D14564" s="704" t="s">
        <v>728</v>
      </c>
      <c r="E14564" s="704" t="s">
        <v>448</v>
      </c>
      <c r="F14564" s="705">
        <v>6.9164528859776385E-3</v>
      </c>
      <c r="G14564" s="705">
        <v>5.1952783089270529</v>
      </c>
    </row>
    <row r="14565" spans="2:7" ht="11.25" hidden="1" customHeight="1" outlineLevel="2" x14ac:dyDescent="0.25">
      <c r="B14565" s="704" t="s">
        <v>696</v>
      </c>
      <c r="C14565" s="704" t="s">
        <v>781</v>
      </c>
      <c r="D14565" s="704" t="s">
        <v>728</v>
      </c>
      <c r="E14565" s="704" t="s">
        <v>448</v>
      </c>
      <c r="F14565" s="705">
        <v>1.5665855611360344E-2</v>
      </c>
      <c r="G14565" s="705">
        <v>19.394858267559929</v>
      </c>
    </row>
    <row r="14566" spans="2:7" ht="11.25" hidden="1" customHeight="1" outlineLevel="2" x14ac:dyDescent="0.25">
      <c r="B14566" s="704" t="s">
        <v>696</v>
      </c>
      <c r="C14566" s="704" t="s">
        <v>782</v>
      </c>
      <c r="D14566" s="704" t="s">
        <v>728</v>
      </c>
      <c r="E14566" s="704" t="s">
        <v>448</v>
      </c>
      <c r="F14566" s="705">
        <v>1.3163806985250947E-2</v>
      </c>
      <c r="G14566" s="705">
        <v>9.911665150409501</v>
      </c>
    </row>
    <row r="14567" spans="2:7" ht="11.25" hidden="1" customHeight="1" outlineLevel="2" x14ac:dyDescent="0.25">
      <c r="B14567" s="704" t="s">
        <v>696</v>
      </c>
      <c r="C14567" s="704" t="s">
        <v>783</v>
      </c>
      <c r="D14567" s="704" t="s">
        <v>728</v>
      </c>
      <c r="E14567" s="704" t="s">
        <v>448</v>
      </c>
      <c r="F14567" s="705">
        <v>0.51427785867372144</v>
      </c>
      <c r="G14567" s="705">
        <v>800.13703796315428</v>
      </c>
    </row>
    <row r="14568" spans="2:7" ht="11.25" hidden="1" customHeight="1" outlineLevel="2" x14ac:dyDescent="0.25">
      <c r="B14568" s="704" t="s">
        <v>696</v>
      </c>
      <c r="C14568" s="704" t="s">
        <v>784</v>
      </c>
      <c r="D14568" s="704" t="s">
        <v>728</v>
      </c>
      <c r="E14568" s="704" t="s">
        <v>448</v>
      </c>
      <c r="F14568" s="705">
        <v>0.19168623490243339</v>
      </c>
      <c r="G14568" s="705">
        <v>103.02151092300956</v>
      </c>
    </row>
    <row r="14569" spans="2:7" ht="11.25" hidden="1" customHeight="1" outlineLevel="2" x14ac:dyDescent="0.25">
      <c r="B14569" s="704" t="s">
        <v>696</v>
      </c>
      <c r="C14569" s="704" t="s">
        <v>785</v>
      </c>
      <c r="D14569" s="704" t="s">
        <v>728</v>
      </c>
      <c r="E14569" s="704" t="s">
        <v>448</v>
      </c>
      <c r="F14569" s="705">
        <v>0.51514701888428027</v>
      </c>
      <c r="G14569" s="705">
        <v>276.8908339959446</v>
      </c>
    </row>
    <row r="14570" spans="2:7" ht="11.25" hidden="1" customHeight="1" outlineLevel="2" x14ac:dyDescent="0.25">
      <c r="B14570" s="704" t="s">
        <v>696</v>
      </c>
      <c r="C14570" s="704" t="s">
        <v>786</v>
      </c>
      <c r="D14570" s="704" t="s">
        <v>728</v>
      </c>
      <c r="E14570" s="704" t="s">
        <v>448</v>
      </c>
      <c r="F14570" s="705">
        <v>0.14848144090433579</v>
      </c>
      <c r="G14570" s="705">
        <v>187.24908861449197</v>
      </c>
    </row>
    <row r="14571" spans="2:7" ht="11.25" hidden="1" customHeight="1" outlineLevel="2" x14ac:dyDescent="0.25">
      <c r="B14571" s="704" t="s">
        <v>696</v>
      </c>
      <c r="C14571" s="704" t="s">
        <v>787</v>
      </c>
      <c r="D14571" s="704" t="s">
        <v>728</v>
      </c>
      <c r="E14571" s="704" t="s">
        <v>448</v>
      </c>
      <c r="F14571" s="705">
        <v>6.5687482087436064E-2</v>
      </c>
      <c r="G14571" s="705">
        <v>92.442158167683814</v>
      </c>
    </row>
    <row r="14572" spans="2:7" ht="11.25" hidden="1" customHeight="1" outlineLevel="2" x14ac:dyDescent="0.25">
      <c r="B14572" s="704" t="s">
        <v>696</v>
      </c>
      <c r="C14572" s="704" t="s">
        <v>788</v>
      </c>
      <c r="D14572" s="704" t="s">
        <v>728</v>
      </c>
      <c r="E14572" s="704" t="s">
        <v>448</v>
      </c>
      <c r="F14572" s="705">
        <v>9.258361298386629E-2</v>
      </c>
      <c r="G14572" s="705">
        <v>105.21827326427098</v>
      </c>
    </row>
    <row r="14573" spans="2:7" ht="11.25" hidden="1" customHeight="1" outlineLevel="2" x14ac:dyDescent="0.25">
      <c r="B14573" s="704" t="s">
        <v>696</v>
      </c>
      <c r="C14573" s="704" t="s">
        <v>789</v>
      </c>
      <c r="D14573" s="704" t="s">
        <v>728</v>
      </c>
      <c r="E14573" s="704" t="s">
        <v>448</v>
      </c>
      <c r="F14573" s="705">
        <v>7.1351491600673764E-2</v>
      </c>
      <c r="G14573" s="705">
        <v>48.996508013403641</v>
      </c>
    </row>
    <row r="14574" spans="2:7" ht="11.25" hidden="1" customHeight="1" outlineLevel="2" x14ac:dyDescent="0.25">
      <c r="B14574" s="704" t="s">
        <v>696</v>
      </c>
      <c r="C14574" s="704" t="s">
        <v>790</v>
      </c>
      <c r="D14574" s="704" t="s">
        <v>728</v>
      </c>
      <c r="E14574" s="704" t="s">
        <v>448</v>
      </c>
      <c r="F14574" s="705">
        <v>1.9854911789044694</v>
      </c>
      <c r="G14574" s="705">
        <v>2509.9437120859293</v>
      </c>
    </row>
    <row r="14575" spans="2:7" ht="11.25" hidden="1" customHeight="1" outlineLevel="2" x14ac:dyDescent="0.25">
      <c r="B14575" s="704" t="s">
        <v>696</v>
      </c>
      <c r="C14575" s="704" t="s">
        <v>791</v>
      </c>
      <c r="D14575" s="704" t="s">
        <v>728</v>
      </c>
      <c r="E14575" s="704" t="s">
        <v>448</v>
      </c>
      <c r="F14575" s="705">
        <v>0.89253630052877686</v>
      </c>
      <c r="G14575" s="705">
        <v>1256.3293519711069</v>
      </c>
    </row>
    <row r="14576" spans="2:7" ht="11.25" hidden="1" customHeight="1" outlineLevel="2" x14ac:dyDescent="0.25">
      <c r="B14576" s="704" t="s">
        <v>696</v>
      </c>
      <c r="C14576" s="704" t="s">
        <v>792</v>
      </c>
      <c r="D14576" s="704" t="s">
        <v>728</v>
      </c>
      <c r="E14576" s="704" t="s">
        <v>448</v>
      </c>
      <c r="F14576" s="705">
        <v>0.10047925675920505</v>
      </c>
      <c r="G14576" s="705">
        <v>210.33576996412668</v>
      </c>
    </row>
    <row r="14577" spans="2:7" ht="11.25" hidden="1" customHeight="1" outlineLevel="2" x14ac:dyDescent="0.25">
      <c r="B14577" s="704" t="s">
        <v>696</v>
      </c>
      <c r="C14577" s="704" t="s">
        <v>793</v>
      </c>
      <c r="D14577" s="704" t="s">
        <v>728</v>
      </c>
      <c r="E14577" s="704" t="s">
        <v>448</v>
      </c>
      <c r="F14577" s="705">
        <v>2.7951918343631981</v>
      </c>
      <c r="G14577" s="705">
        <v>4053.0020365206396</v>
      </c>
    </row>
    <row r="14578" spans="2:7" ht="11.25" hidden="1" customHeight="1" outlineLevel="2" x14ac:dyDescent="0.25">
      <c r="B14578" s="704" t="s">
        <v>696</v>
      </c>
      <c r="C14578" s="704" t="s">
        <v>794</v>
      </c>
      <c r="D14578" s="704" t="s">
        <v>728</v>
      </c>
      <c r="E14578" s="704" t="s">
        <v>448</v>
      </c>
      <c r="F14578" s="705">
        <v>0.11418760942865759</v>
      </c>
      <c r="G14578" s="705">
        <v>88.905371127196673</v>
      </c>
    </row>
    <row r="14579" spans="2:7" ht="11.25" hidden="1" customHeight="1" outlineLevel="2" x14ac:dyDescent="0.25">
      <c r="B14579" s="704" t="s">
        <v>696</v>
      </c>
      <c r="C14579" s="704" t="s">
        <v>795</v>
      </c>
      <c r="D14579" s="704" t="s">
        <v>728</v>
      </c>
      <c r="E14579" s="704" t="s">
        <v>448</v>
      </c>
      <c r="F14579" s="705">
        <v>0.15917885665927953</v>
      </c>
      <c r="G14579" s="705">
        <v>124.1822842736166</v>
      </c>
    </row>
    <row r="14580" spans="2:7" ht="11.25" hidden="1" customHeight="1" outlineLevel="2" x14ac:dyDescent="0.25">
      <c r="B14580" s="704" t="s">
        <v>696</v>
      </c>
      <c r="C14580" s="704" t="s">
        <v>845</v>
      </c>
      <c r="D14580" s="704" t="s">
        <v>728</v>
      </c>
      <c r="E14580" s="704" t="s">
        <v>824</v>
      </c>
      <c r="F14580" s="705">
        <v>7.8219610733166467E-3</v>
      </c>
      <c r="G14580" s="705">
        <v>69.775162967066436</v>
      </c>
    </row>
    <row r="14581" spans="2:7" ht="11.25" hidden="1" customHeight="1" outlineLevel="2" x14ac:dyDescent="0.25">
      <c r="B14581" s="704" t="s">
        <v>696</v>
      </c>
      <c r="C14581" s="704" t="s">
        <v>894</v>
      </c>
      <c r="D14581" s="704" t="s">
        <v>728</v>
      </c>
      <c r="E14581" s="704" t="s">
        <v>861</v>
      </c>
      <c r="F14581" s="709"/>
      <c r="G14581" s="705">
        <v>0.10846338127553809</v>
      </c>
    </row>
    <row r="14582" spans="2:7" ht="11.25" hidden="1" customHeight="1" outlineLevel="2" x14ac:dyDescent="0.25">
      <c r="B14582" s="704" t="s">
        <v>696</v>
      </c>
      <c r="C14582" s="704" t="s">
        <v>895</v>
      </c>
      <c r="D14582" s="704" t="s">
        <v>728</v>
      </c>
      <c r="E14582" s="704" t="s">
        <v>861</v>
      </c>
      <c r="F14582" s="709"/>
      <c r="G14582" s="705">
        <v>28.985977098955715</v>
      </c>
    </row>
    <row r="14583" spans="2:7" ht="11.25" hidden="1" customHeight="1" outlineLevel="2" x14ac:dyDescent="0.25">
      <c r="B14583" s="704" t="s">
        <v>696</v>
      </c>
      <c r="C14583" s="704" t="s">
        <v>896</v>
      </c>
      <c r="D14583" s="704" t="s">
        <v>728</v>
      </c>
      <c r="E14583" s="704" t="s">
        <v>861</v>
      </c>
      <c r="F14583" s="709"/>
      <c r="G14583" s="705">
        <v>758.46383147360336</v>
      </c>
    </row>
    <row r="14584" spans="2:7" ht="11.25" hidden="1" customHeight="1" outlineLevel="2" x14ac:dyDescent="0.25">
      <c r="B14584" s="704" t="s">
        <v>696</v>
      </c>
      <c r="C14584" s="704" t="s">
        <v>897</v>
      </c>
      <c r="D14584" s="704" t="s">
        <v>728</v>
      </c>
      <c r="E14584" s="704" t="s">
        <v>861</v>
      </c>
      <c r="F14584" s="709"/>
      <c r="G14584" s="705">
        <v>156.52129293443102</v>
      </c>
    </row>
    <row r="14585" spans="2:7" ht="11.25" hidden="1" customHeight="1" outlineLevel="2" x14ac:dyDescent="0.25">
      <c r="B14585" s="704" t="s">
        <v>696</v>
      </c>
      <c r="C14585" s="704" t="s">
        <v>898</v>
      </c>
      <c r="D14585" s="704" t="s">
        <v>728</v>
      </c>
      <c r="E14585" s="704" t="s">
        <v>861</v>
      </c>
      <c r="F14585" s="709"/>
      <c r="G14585" s="705">
        <v>1032.6284039372747</v>
      </c>
    </row>
    <row r="14586" spans="2:7" ht="11.25" hidden="1" customHeight="1" outlineLevel="2" x14ac:dyDescent="0.25">
      <c r="B14586" s="704" t="s">
        <v>696</v>
      </c>
      <c r="C14586" s="704" t="s">
        <v>899</v>
      </c>
      <c r="D14586" s="704" t="s">
        <v>728</v>
      </c>
      <c r="E14586" s="704" t="s">
        <v>861</v>
      </c>
      <c r="F14586" s="709"/>
      <c r="G14586" s="705">
        <v>121.75574246050925</v>
      </c>
    </row>
    <row r="14587" spans="2:7" ht="11.25" hidden="1" customHeight="1" outlineLevel="2" x14ac:dyDescent="0.25">
      <c r="B14587" s="704" t="s">
        <v>696</v>
      </c>
      <c r="C14587" s="704" t="s">
        <v>900</v>
      </c>
      <c r="D14587" s="704" t="s">
        <v>728</v>
      </c>
      <c r="E14587" s="704" t="s">
        <v>861</v>
      </c>
      <c r="F14587" s="709"/>
      <c r="G14587" s="705">
        <v>2.9002983460274092</v>
      </c>
    </row>
    <row r="14588" spans="2:7" ht="11.25" hidden="1" customHeight="1" outlineLevel="2" x14ac:dyDescent="0.25">
      <c r="B14588" s="704" t="s">
        <v>696</v>
      </c>
      <c r="C14588" s="704" t="s">
        <v>744</v>
      </c>
      <c r="D14588" s="704" t="s">
        <v>745</v>
      </c>
      <c r="E14588" s="704" t="s">
        <v>448</v>
      </c>
      <c r="F14588" s="705">
        <v>7.3859261569282726E-3</v>
      </c>
      <c r="G14588" s="705">
        <v>4.2709018109005275</v>
      </c>
    </row>
    <row r="14589" spans="2:7" ht="11.25" hidden="1" customHeight="1" outlineLevel="2" x14ac:dyDescent="0.25">
      <c r="B14589" s="704" t="s">
        <v>696</v>
      </c>
      <c r="C14589" s="704" t="s">
        <v>812</v>
      </c>
      <c r="D14589" s="704" t="s">
        <v>745</v>
      </c>
      <c r="E14589" s="704" t="s">
        <v>448</v>
      </c>
      <c r="F14589" s="705">
        <v>8.7272366448715982E-3</v>
      </c>
      <c r="G14589" s="705">
        <v>9.6166205374446019</v>
      </c>
    </row>
    <row r="14590" spans="2:7" ht="11.25" hidden="1" customHeight="1" outlineLevel="2" x14ac:dyDescent="0.25">
      <c r="B14590" s="704" t="s">
        <v>696</v>
      </c>
      <c r="C14590" s="704" t="s">
        <v>813</v>
      </c>
      <c r="D14590" s="704" t="s">
        <v>745</v>
      </c>
      <c r="E14590" s="704" t="s">
        <v>448</v>
      </c>
      <c r="F14590" s="705">
        <v>8.9526281437277952E-5</v>
      </c>
      <c r="G14590" s="705">
        <v>0.1048150160741104</v>
      </c>
    </row>
    <row r="14591" spans="2:7" ht="11.25" hidden="1" customHeight="1" outlineLevel="2" x14ac:dyDescent="0.25">
      <c r="B14591" s="704" t="s">
        <v>696</v>
      </c>
      <c r="C14591" s="704" t="s">
        <v>917</v>
      </c>
      <c r="D14591" s="704" t="s">
        <v>745</v>
      </c>
      <c r="E14591" s="704" t="s">
        <v>861</v>
      </c>
      <c r="F14591" s="709"/>
      <c r="G14591" s="705">
        <v>118.73512888054715</v>
      </c>
    </row>
    <row r="14592" spans="2:7" ht="11.25" hidden="1" customHeight="1" outlineLevel="2" x14ac:dyDescent="0.25">
      <c r="B14592" s="704" t="s">
        <v>696</v>
      </c>
      <c r="C14592" s="704" t="s">
        <v>816</v>
      </c>
      <c r="D14592" s="704" t="s">
        <v>712</v>
      </c>
      <c r="E14592" s="704" t="s">
        <v>448</v>
      </c>
      <c r="F14592" s="705">
        <v>6.0932519104968698E-3</v>
      </c>
      <c r="G14592" s="705">
        <v>7.3048477072746651</v>
      </c>
    </row>
    <row r="14593" spans="2:7" ht="11.25" hidden="1" customHeight="1" outlineLevel="2" x14ac:dyDescent="0.25">
      <c r="B14593" s="704" t="s">
        <v>696</v>
      </c>
      <c r="C14593" s="704" t="s">
        <v>711</v>
      </c>
      <c r="D14593" s="704" t="s">
        <v>712</v>
      </c>
      <c r="E14593" s="704" t="s">
        <v>676</v>
      </c>
      <c r="F14593" s="705">
        <v>2.1704919503229895E-2</v>
      </c>
      <c r="G14593" s="705">
        <v>4.963250424254591</v>
      </c>
    </row>
    <row r="14594" spans="2:7" ht="11.25" hidden="1" customHeight="1" outlineLevel="2" x14ac:dyDescent="0.25">
      <c r="B14594" s="704" t="s">
        <v>696</v>
      </c>
      <c r="C14594" s="704" t="s">
        <v>921</v>
      </c>
      <c r="D14594" s="704" t="s">
        <v>712</v>
      </c>
      <c r="E14594" s="704" t="s">
        <v>861</v>
      </c>
      <c r="F14594" s="709"/>
      <c r="G14594" s="705">
        <v>26.315340949307451</v>
      </c>
    </row>
    <row r="14595" spans="2:7" ht="11.25" hidden="1" customHeight="1" outlineLevel="2" x14ac:dyDescent="0.25">
      <c r="B14595" s="704" t="s">
        <v>696</v>
      </c>
      <c r="C14595" s="704" t="s">
        <v>817</v>
      </c>
      <c r="D14595" s="704" t="s">
        <v>818</v>
      </c>
      <c r="E14595" s="704" t="s">
        <v>448</v>
      </c>
      <c r="F14595" s="705">
        <v>1.7582760929188515</v>
      </c>
      <c r="G14595" s="705">
        <v>1444.8244916845877</v>
      </c>
    </row>
    <row r="14596" spans="2:7" ht="11.25" hidden="1" customHeight="1" outlineLevel="2" x14ac:dyDescent="0.25">
      <c r="B14596" s="704" t="s">
        <v>696</v>
      </c>
      <c r="C14596" s="704" t="s">
        <v>819</v>
      </c>
      <c r="D14596" s="704" t="s">
        <v>818</v>
      </c>
      <c r="E14596" s="704" t="s">
        <v>448</v>
      </c>
      <c r="F14596" s="705">
        <v>0.76563549214764848</v>
      </c>
      <c r="G14596" s="705">
        <v>609.71196406233901</v>
      </c>
    </row>
    <row r="14597" spans="2:7" ht="11.25" hidden="1" customHeight="1" outlineLevel="2" x14ac:dyDescent="0.25">
      <c r="B14597" s="704" t="s">
        <v>696</v>
      </c>
      <c r="C14597" s="704" t="s">
        <v>820</v>
      </c>
      <c r="D14597" s="704" t="s">
        <v>818</v>
      </c>
      <c r="E14597" s="704" t="s">
        <v>448</v>
      </c>
      <c r="F14597" s="705">
        <v>0.29270895092112043</v>
      </c>
      <c r="G14597" s="705">
        <v>455.1025108856644</v>
      </c>
    </row>
    <row r="14598" spans="2:7" ht="11.25" hidden="1" customHeight="1" outlineLevel="2" x14ac:dyDescent="0.25">
      <c r="B14598" s="704" t="s">
        <v>696</v>
      </c>
      <c r="C14598" s="704" t="s">
        <v>857</v>
      </c>
      <c r="D14598" s="704" t="s">
        <v>818</v>
      </c>
      <c r="E14598" s="704" t="s">
        <v>664</v>
      </c>
      <c r="F14598" s="709"/>
      <c r="G14598" s="705">
        <v>405.20748273856896</v>
      </c>
    </row>
    <row r="14599" spans="2:7" ht="11.25" hidden="1" customHeight="1" outlineLevel="2" x14ac:dyDescent="0.25">
      <c r="B14599" s="704" t="s">
        <v>696</v>
      </c>
      <c r="C14599" s="704" t="s">
        <v>858</v>
      </c>
      <c r="D14599" s="704" t="s">
        <v>818</v>
      </c>
      <c r="E14599" s="704" t="s">
        <v>664</v>
      </c>
      <c r="F14599" s="709"/>
      <c r="G14599" s="705">
        <v>3.3836346703051579</v>
      </c>
    </row>
    <row r="14600" spans="2:7" ht="11.25" hidden="1" customHeight="1" outlineLevel="2" x14ac:dyDescent="0.25">
      <c r="B14600" s="704" t="s">
        <v>696</v>
      </c>
      <c r="C14600" s="704" t="s">
        <v>922</v>
      </c>
      <c r="D14600" s="704" t="s">
        <v>822</v>
      </c>
      <c r="E14600" s="704" t="s">
        <v>861</v>
      </c>
      <c r="F14600" s="709"/>
      <c r="G14600" s="705">
        <v>182.81411312857585</v>
      </c>
    </row>
    <row r="14601" spans="2:7" ht="11.25" hidden="1" customHeight="1" outlineLevel="2" x14ac:dyDescent="0.25">
      <c r="B14601" s="704" t="s">
        <v>696</v>
      </c>
      <c r="C14601" s="704" t="s">
        <v>821</v>
      </c>
      <c r="D14601" s="704" t="s">
        <v>822</v>
      </c>
      <c r="E14601" s="704" t="s">
        <v>448</v>
      </c>
      <c r="F14601" s="705">
        <v>5.8245920189223307E-3</v>
      </c>
      <c r="G14601" s="705">
        <v>7.8296999392866011</v>
      </c>
    </row>
    <row r="14602" spans="2:7" ht="11.25" hidden="1" customHeight="1" outlineLevel="2" x14ac:dyDescent="0.25">
      <c r="B14602" s="704" t="s">
        <v>696</v>
      </c>
      <c r="C14602" s="704" t="s">
        <v>855</v>
      </c>
      <c r="D14602" s="704" t="s">
        <v>822</v>
      </c>
      <c r="E14602" s="704" t="s">
        <v>824</v>
      </c>
      <c r="F14602" s="705">
        <v>9.2051486309579456E-5</v>
      </c>
      <c r="G14602" s="705">
        <v>0.26645300607187544</v>
      </c>
    </row>
    <row r="14603" spans="2:7" ht="11.25" hidden="1" customHeight="1" outlineLevel="2" x14ac:dyDescent="0.25">
      <c r="B14603" s="704" t="s">
        <v>696</v>
      </c>
      <c r="C14603" s="704" t="s">
        <v>714</v>
      </c>
      <c r="D14603" s="704" t="s">
        <v>715</v>
      </c>
      <c r="E14603" s="704" t="s">
        <v>448</v>
      </c>
      <c r="F14603" s="705">
        <v>1.411431061829955</v>
      </c>
      <c r="G14603" s="705">
        <v>357.83638726176002</v>
      </c>
    </row>
    <row r="14604" spans="2:7" ht="11.25" hidden="1" customHeight="1" outlineLevel="2" x14ac:dyDescent="0.25">
      <c r="B14604" s="704" t="s">
        <v>696</v>
      </c>
      <c r="C14604" s="704" t="s">
        <v>716</v>
      </c>
      <c r="D14604" s="704" t="s">
        <v>715</v>
      </c>
      <c r="E14604" s="704" t="s">
        <v>448</v>
      </c>
      <c r="F14604" s="705">
        <v>1.2217467237388766E-33</v>
      </c>
      <c r="G14604" s="705">
        <v>1.4883506685854614E-30</v>
      </c>
    </row>
    <row r="14605" spans="2:7" ht="11.25" hidden="1" customHeight="1" outlineLevel="2" x14ac:dyDescent="0.25">
      <c r="B14605" s="704" t="s">
        <v>696</v>
      </c>
      <c r="C14605" s="704" t="s">
        <v>717</v>
      </c>
      <c r="D14605" s="704" t="s">
        <v>715</v>
      </c>
      <c r="E14605" s="704" t="s">
        <v>448</v>
      </c>
      <c r="F14605" s="705">
        <v>1.5118312018812359</v>
      </c>
      <c r="G14605" s="705">
        <v>413.18481786908904</v>
      </c>
    </row>
    <row r="14606" spans="2:7" ht="11.25" hidden="1" customHeight="1" outlineLevel="2" x14ac:dyDescent="0.25">
      <c r="B14606" s="704" t="s">
        <v>696</v>
      </c>
      <c r="C14606" s="704" t="s">
        <v>718</v>
      </c>
      <c r="D14606" s="704" t="s">
        <v>715</v>
      </c>
      <c r="E14606" s="704" t="s">
        <v>448</v>
      </c>
      <c r="F14606" s="705">
        <v>9.6810498399260481E-2</v>
      </c>
      <c r="G14606" s="705">
        <v>106.22956157076491</v>
      </c>
    </row>
    <row r="14607" spans="2:7" ht="11.25" hidden="1" customHeight="1" outlineLevel="2" x14ac:dyDescent="0.25">
      <c r="B14607" s="704" t="s">
        <v>696</v>
      </c>
      <c r="C14607" s="704" t="s">
        <v>746</v>
      </c>
      <c r="D14607" s="704" t="s">
        <v>715</v>
      </c>
      <c r="E14607" s="704" t="s">
        <v>448</v>
      </c>
      <c r="F14607" s="705">
        <v>0.24980878770086723</v>
      </c>
      <c r="G14607" s="705">
        <v>172.91043026300696</v>
      </c>
    </row>
    <row r="14608" spans="2:7" ht="11.25" hidden="1" customHeight="1" outlineLevel="2" x14ac:dyDescent="0.25">
      <c r="B14608" s="704" t="s">
        <v>696</v>
      </c>
      <c r="C14608" s="704" t="s">
        <v>747</v>
      </c>
      <c r="D14608" s="704" t="s">
        <v>715</v>
      </c>
      <c r="E14608" s="704" t="s">
        <v>448</v>
      </c>
      <c r="F14608" s="705">
        <v>2.1628506190706775</v>
      </c>
      <c r="G14608" s="705">
        <v>1843.0009775508097</v>
      </c>
    </row>
    <row r="14609" spans="2:7" ht="11.25" hidden="1" customHeight="1" outlineLevel="2" x14ac:dyDescent="0.25">
      <c r="B14609" s="704" t="s">
        <v>696</v>
      </c>
      <c r="C14609" s="704" t="s">
        <v>748</v>
      </c>
      <c r="D14609" s="704" t="s">
        <v>715</v>
      </c>
      <c r="E14609" s="704" t="s">
        <v>448</v>
      </c>
      <c r="F14609" s="705">
        <v>0.20034036704840155</v>
      </c>
      <c r="G14609" s="705">
        <v>258.99291158072703</v>
      </c>
    </row>
    <row r="14610" spans="2:7" ht="11.25" hidden="1" customHeight="1" outlineLevel="2" x14ac:dyDescent="0.25">
      <c r="B14610" s="704" t="s">
        <v>696</v>
      </c>
      <c r="C14610" s="704" t="s">
        <v>749</v>
      </c>
      <c r="D14610" s="704" t="s">
        <v>715</v>
      </c>
      <c r="E14610" s="704" t="s">
        <v>448</v>
      </c>
      <c r="F14610" s="705">
        <v>0.1320244259675516</v>
      </c>
      <c r="G14610" s="705">
        <v>103.65559872668655</v>
      </c>
    </row>
    <row r="14611" spans="2:7" ht="11.25" hidden="1" customHeight="1" outlineLevel="2" x14ac:dyDescent="0.25">
      <c r="B14611" s="704" t="s">
        <v>696</v>
      </c>
      <c r="C14611" s="704" t="s">
        <v>823</v>
      </c>
      <c r="D14611" s="704" t="s">
        <v>715</v>
      </c>
      <c r="E14611" s="704" t="s">
        <v>824</v>
      </c>
      <c r="F14611" s="705">
        <v>4.2912131950305875E-3</v>
      </c>
      <c r="G14611" s="705">
        <v>7.1692385698538557</v>
      </c>
    </row>
    <row r="14612" spans="2:7" ht="11.25" hidden="1" customHeight="1" outlineLevel="2" x14ac:dyDescent="0.25">
      <c r="B14612" s="704" t="s">
        <v>696</v>
      </c>
      <c r="C14612" s="704" t="s">
        <v>860</v>
      </c>
      <c r="D14612" s="704" t="s">
        <v>715</v>
      </c>
      <c r="E14612" s="704" t="s">
        <v>861</v>
      </c>
      <c r="F14612" s="709"/>
      <c r="G14612" s="705">
        <v>142.09373670000505</v>
      </c>
    </row>
    <row r="14613" spans="2:7" ht="11.25" hidden="1" customHeight="1" outlineLevel="2" x14ac:dyDescent="0.25">
      <c r="B14613" s="704" t="s">
        <v>696</v>
      </c>
      <c r="C14613" s="704" t="s">
        <v>919</v>
      </c>
      <c r="D14613" s="704" t="s">
        <v>920</v>
      </c>
      <c r="E14613" s="704" t="s">
        <v>861</v>
      </c>
      <c r="F14613" s="709"/>
      <c r="G14613" s="705">
        <v>1.8944843593013732E-29</v>
      </c>
    </row>
    <row r="14614" spans="2:7" ht="11.25" hidden="1" customHeight="1" outlineLevel="1" x14ac:dyDescent="0.25">
      <c r="B14614" s="707" t="s">
        <v>962</v>
      </c>
      <c r="C14614" s="704"/>
      <c r="D14614" s="704"/>
      <c r="E14614" s="704"/>
      <c r="F14614" s="709">
        <f t="shared" ref="F14614:G14614" si="47">SUBTOTAL(9,F14403:F14613)</f>
        <v>36.335680524689643</v>
      </c>
      <c r="G14614" s="705">
        <f t="shared" si="47"/>
        <v>103895.22463274641</v>
      </c>
    </row>
    <row r="14615" spans="2:7" ht="11.25" hidden="1" customHeight="1" outlineLevel="2" x14ac:dyDescent="0.25">
      <c r="B14615" s="704" t="s">
        <v>697</v>
      </c>
      <c r="C14615" s="704" t="s">
        <v>739</v>
      </c>
      <c r="D14615" s="704" t="s">
        <v>44</v>
      </c>
      <c r="E14615" s="704" t="s">
        <v>448</v>
      </c>
      <c r="F14615" s="705">
        <v>1.7445183806224771E-3</v>
      </c>
      <c r="G14615" s="705">
        <v>1.0640458289903718</v>
      </c>
    </row>
    <row r="14616" spans="2:7" ht="11.25" hidden="1" customHeight="1" outlineLevel="2" x14ac:dyDescent="0.25">
      <c r="B14616" s="704" t="s">
        <v>697</v>
      </c>
      <c r="C14616" s="704" t="s">
        <v>796</v>
      </c>
      <c r="D14616" s="704" t="s">
        <v>44</v>
      </c>
      <c r="E14616" s="704" t="s">
        <v>448</v>
      </c>
      <c r="F14616" s="705">
        <v>1.8273140724471722E-3</v>
      </c>
      <c r="G14616" s="705">
        <v>2.5812258728068342</v>
      </c>
    </row>
    <row r="14617" spans="2:7" ht="11.25" hidden="1" customHeight="1" outlineLevel="2" x14ac:dyDescent="0.25">
      <c r="B14617" s="704" t="s">
        <v>697</v>
      </c>
      <c r="C14617" s="704" t="s">
        <v>797</v>
      </c>
      <c r="D14617" s="704" t="s">
        <v>44</v>
      </c>
      <c r="E14617" s="704" t="s">
        <v>448</v>
      </c>
      <c r="F14617" s="705">
        <v>2.920296600984348E-3</v>
      </c>
      <c r="G14617" s="705">
        <v>10.043399929485441</v>
      </c>
    </row>
    <row r="14618" spans="2:7" ht="11.25" hidden="1" customHeight="1" outlineLevel="2" x14ac:dyDescent="0.25">
      <c r="B14618" s="704" t="s">
        <v>697</v>
      </c>
      <c r="C14618" s="704" t="s">
        <v>798</v>
      </c>
      <c r="D14618" s="704" t="s">
        <v>44</v>
      </c>
      <c r="E14618" s="704" t="s">
        <v>448</v>
      </c>
      <c r="F14618" s="705">
        <v>4.8025984871774048E-5</v>
      </c>
      <c r="G14618" s="705">
        <v>6.32590858247562E-2</v>
      </c>
    </row>
    <row r="14619" spans="2:7" ht="11.25" hidden="1" customHeight="1" outlineLevel="2" x14ac:dyDescent="0.25">
      <c r="B14619" s="704" t="s">
        <v>697</v>
      </c>
      <c r="C14619" s="704" t="s">
        <v>799</v>
      </c>
      <c r="D14619" s="704" t="s">
        <v>44</v>
      </c>
      <c r="E14619" s="704" t="s">
        <v>448</v>
      </c>
      <c r="F14619" s="705">
        <v>5.1882796426460003E-3</v>
      </c>
      <c r="G14619" s="705">
        <v>6.8287101244723001</v>
      </c>
    </row>
    <row r="14620" spans="2:7" ht="11.25" hidden="1" customHeight="1" outlineLevel="2" x14ac:dyDescent="0.25">
      <c r="B14620" s="704" t="s">
        <v>697</v>
      </c>
      <c r="C14620" s="704" t="s">
        <v>800</v>
      </c>
      <c r="D14620" s="704" t="s">
        <v>44</v>
      </c>
      <c r="E14620" s="704" t="s">
        <v>448</v>
      </c>
      <c r="F14620" s="705">
        <v>1.7065020640447885E-3</v>
      </c>
      <c r="G14620" s="705">
        <v>2.1390476854942326</v>
      </c>
    </row>
    <row r="14621" spans="2:7" ht="11.25" hidden="1" customHeight="1" outlineLevel="2" x14ac:dyDescent="0.25">
      <c r="B14621" s="704" t="s">
        <v>697</v>
      </c>
      <c r="C14621" s="704" t="s">
        <v>801</v>
      </c>
      <c r="D14621" s="704" t="s">
        <v>44</v>
      </c>
      <c r="E14621" s="704" t="s">
        <v>448</v>
      </c>
      <c r="F14621" s="705">
        <v>2.2268920797414347E-2</v>
      </c>
      <c r="G14621" s="705">
        <v>23.236881716136118</v>
      </c>
    </row>
    <row r="14622" spans="2:7" ht="11.25" hidden="1" customHeight="1" outlineLevel="2" x14ac:dyDescent="0.25">
      <c r="B14622" s="704" t="s">
        <v>697</v>
      </c>
      <c r="C14622" s="704" t="s">
        <v>802</v>
      </c>
      <c r="D14622" s="704" t="s">
        <v>44</v>
      </c>
      <c r="E14622" s="704" t="s">
        <v>448</v>
      </c>
      <c r="F14622" s="705">
        <v>7.3239258185491332E-2</v>
      </c>
      <c r="G14622" s="705">
        <v>49.808282798379317</v>
      </c>
    </row>
    <row r="14623" spans="2:7" ht="11.25" hidden="1" customHeight="1" outlineLevel="2" x14ac:dyDescent="0.25">
      <c r="B14623" s="704" t="s">
        <v>697</v>
      </c>
      <c r="C14623" s="704" t="s">
        <v>803</v>
      </c>
      <c r="D14623" s="704" t="s">
        <v>44</v>
      </c>
      <c r="E14623" s="704" t="s">
        <v>448</v>
      </c>
      <c r="F14623" s="705">
        <v>8.2332517713019828E-3</v>
      </c>
      <c r="G14623" s="705">
        <v>10.836435626843578</v>
      </c>
    </row>
    <row r="14624" spans="2:7" ht="11.25" hidden="1" customHeight="1" outlineLevel="2" x14ac:dyDescent="0.25">
      <c r="B14624" s="704" t="s">
        <v>697</v>
      </c>
      <c r="C14624" s="704" t="s">
        <v>804</v>
      </c>
      <c r="D14624" s="704" t="s">
        <v>44</v>
      </c>
      <c r="E14624" s="704" t="s">
        <v>448</v>
      </c>
      <c r="F14624" s="705">
        <v>1.2254659862426078E-2</v>
      </c>
      <c r="G14624" s="705">
        <v>15.691121547798108</v>
      </c>
    </row>
    <row r="14625" spans="2:7" ht="11.25" hidden="1" customHeight="1" outlineLevel="2" x14ac:dyDescent="0.25">
      <c r="B14625" s="704" t="s">
        <v>697</v>
      </c>
      <c r="C14625" s="704" t="s">
        <v>805</v>
      </c>
      <c r="D14625" s="704" t="s">
        <v>44</v>
      </c>
      <c r="E14625" s="704" t="s">
        <v>448</v>
      </c>
      <c r="F14625" s="705">
        <v>2.4569309679864579E-3</v>
      </c>
      <c r="G14625" s="705">
        <v>17.406867636016941</v>
      </c>
    </row>
    <row r="14626" spans="2:7" ht="11.25" hidden="1" customHeight="1" outlineLevel="2" x14ac:dyDescent="0.25">
      <c r="B14626" s="704" t="s">
        <v>697</v>
      </c>
      <c r="C14626" s="704" t="s">
        <v>846</v>
      </c>
      <c r="D14626" s="704" t="s">
        <v>44</v>
      </c>
      <c r="E14626" s="704" t="s">
        <v>824</v>
      </c>
      <c r="F14626" s="705">
        <v>5.9957536615459128E-5</v>
      </c>
      <c r="G14626" s="705">
        <v>9.5269860378409635E-2</v>
      </c>
    </row>
    <row r="14627" spans="2:7" ht="11.25" hidden="1" customHeight="1" outlineLevel="2" x14ac:dyDescent="0.25">
      <c r="B14627" s="704" t="s">
        <v>697</v>
      </c>
      <c r="C14627" s="704" t="s">
        <v>847</v>
      </c>
      <c r="D14627" s="704" t="s">
        <v>44</v>
      </c>
      <c r="E14627" s="704" t="s">
        <v>824</v>
      </c>
      <c r="F14627" s="705">
        <v>1.230318479061639E-5</v>
      </c>
      <c r="G14627" s="705">
        <v>0.1296610794423034</v>
      </c>
    </row>
    <row r="14628" spans="2:7" ht="11.25" hidden="1" customHeight="1" outlineLevel="2" x14ac:dyDescent="0.25">
      <c r="B14628" s="704" t="s">
        <v>697</v>
      </c>
      <c r="C14628" s="704" t="s">
        <v>705</v>
      </c>
      <c r="D14628" s="704" t="s">
        <v>44</v>
      </c>
      <c r="E14628" s="704" t="s">
        <v>676</v>
      </c>
      <c r="F14628" s="705">
        <v>2.4001418362239058E-3</v>
      </c>
      <c r="G14628" s="705">
        <v>2.5166540181020464E-2</v>
      </c>
    </row>
    <row r="14629" spans="2:7" ht="11.25" hidden="1" customHeight="1" outlineLevel="2" x14ac:dyDescent="0.25">
      <c r="B14629" s="704" t="s">
        <v>697</v>
      </c>
      <c r="C14629" s="704" t="s">
        <v>706</v>
      </c>
      <c r="D14629" s="704" t="s">
        <v>44</v>
      </c>
      <c r="E14629" s="704" t="s">
        <v>676</v>
      </c>
      <c r="F14629" s="705">
        <v>7.6182226558378576E-4</v>
      </c>
      <c r="G14629" s="705">
        <v>7.9856339589474065E-3</v>
      </c>
    </row>
    <row r="14630" spans="2:7" ht="11.25" hidden="1" customHeight="1" outlineLevel="2" x14ac:dyDescent="0.25">
      <c r="B14630" s="704" t="s">
        <v>697</v>
      </c>
      <c r="C14630" s="704" t="s">
        <v>901</v>
      </c>
      <c r="D14630" s="704" t="s">
        <v>44</v>
      </c>
      <c r="E14630" s="704" t="s">
        <v>861</v>
      </c>
      <c r="F14630" s="709"/>
      <c r="G14630" s="705">
        <v>0.18610777644276197</v>
      </c>
    </row>
    <row r="14631" spans="2:7" ht="11.25" hidden="1" customHeight="1" outlineLevel="2" x14ac:dyDescent="0.25">
      <c r="B14631" s="704" t="s">
        <v>697</v>
      </c>
      <c r="C14631" s="704" t="s">
        <v>902</v>
      </c>
      <c r="D14631" s="704" t="s">
        <v>44</v>
      </c>
      <c r="E14631" s="704" t="s">
        <v>861</v>
      </c>
      <c r="F14631" s="709"/>
      <c r="G14631" s="705">
        <v>8045.8875259068309</v>
      </c>
    </row>
    <row r="14632" spans="2:7" ht="11.25" hidden="1" customHeight="1" outlineLevel="2" x14ac:dyDescent="0.25">
      <c r="B14632" s="704" t="s">
        <v>697</v>
      </c>
      <c r="C14632" s="704" t="s">
        <v>903</v>
      </c>
      <c r="D14632" s="704" t="s">
        <v>44</v>
      </c>
      <c r="E14632" s="704" t="s">
        <v>861</v>
      </c>
      <c r="F14632" s="709"/>
      <c r="G14632" s="705">
        <v>721.96167891038374</v>
      </c>
    </row>
    <row r="14633" spans="2:7" ht="11.25" hidden="1" customHeight="1" outlineLevel="2" x14ac:dyDescent="0.25">
      <c r="B14633" s="704" t="s">
        <v>697</v>
      </c>
      <c r="C14633" s="704" t="s">
        <v>904</v>
      </c>
      <c r="D14633" s="704" t="s">
        <v>44</v>
      </c>
      <c r="E14633" s="704" t="s">
        <v>861</v>
      </c>
      <c r="F14633" s="709"/>
      <c r="G14633" s="705">
        <v>4.0131210431438324</v>
      </c>
    </row>
    <row r="14634" spans="2:7" ht="11.25" hidden="1" customHeight="1" outlineLevel="2" x14ac:dyDescent="0.25">
      <c r="B14634" s="704" t="s">
        <v>697</v>
      </c>
      <c r="C14634" s="704" t="s">
        <v>905</v>
      </c>
      <c r="D14634" s="704" t="s">
        <v>44</v>
      </c>
      <c r="E14634" s="704" t="s">
        <v>861</v>
      </c>
      <c r="F14634" s="709"/>
      <c r="G14634" s="705">
        <v>0.82368760201841917</v>
      </c>
    </row>
    <row r="14635" spans="2:7" ht="11.25" hidden="1" customHeight="1" outlineLevel="2" x14ac:dyDescent="0.25">
      <c r="B14635" s="704" t="s">
        <v>697</v>
      </c>
      <c r="C14635" s="704" t="s">
        <v>906</v>
      </c>
      <c r="D14635" s="704" t="s">
        <v>44</v>
      </c>
      <c r="E14635" s="704" t="s">
        <v>861</v>
      </c>
      <c r="F14635" s="709"/>
      <c r="G14635" s="705">
        <v>61.285843822354501</v>
      </c>
    </row>
    <row r="14636" spans="2:7" ht="11.25" hidden="1" customHeight="1" outlineLevel="2" x14ac:dyDescent="0.25">
      <c r="B14636" s="704" t="s">
        <v>697</v>
      </c>
      <c r="C14636" s="704" t="s">
        <v>907</v>
      </c>
      <c r="D14636" s="704" t="s">
        <v>44</v>
      </c>
      <c r="E14636" s="704" t="s">
        <v>861</v>
      </c>
      <c r="F14636" s="709"/>
      <c r="G14636" s="705">
        <v>0.15349855454929506</v>
      </c>
    </row>
    <row r="14637" spans="2:7" ht="11.25" hidden="1" customHeight="1" outlineLevel="2" x14ac:dyDescent="0.25">
      <c r="B14637" s="704" t="s">
        <v>697</v>
      </c>
      <c r="C14637" s="704" t="s">
        <v>908</v>
      </c>
      <c r="D14637" s="704" t="s">
        <v>44</v>
      </c>
      <c r="E14637" s="704" t="s">
        <v>861</v>
      </c>
      <c r="F14637" s="709"/>
      <c r="G14637" s="705">
        <v>56.644891292917542</v>
      </c>
    </row>
    <row r="14638" spans="2:7" ht="11.25" hidden="1" customHeight="1" outlineLevel="2" x14ac:dyDescent="0.25">
      <c r="B14638" s="704" t="s">
        <v>697</v>
      </c>
      <c r="C14638" s="704" t="s">
        <v>909</v>
      </c>
      <c r="D14638" s="704" t="s">
        <v>44</v>
      </c>
      <c r="E14638" s="704" t="s">
        <v>861</v>
      </c>
      <c r="F14638" s="709"/>
      <c r="G14638" s="705">
        <v>157.34463231973592</v>
      </c>
    </row>
    <row r="14639" spans="2:7" ht="11.25" hidden="1" customHeight="1" outlineLevel="2" x14ac:dyDescent="0.25">
      <c r="B14639" s="704" t="s">
        <v>697</v>
      </c>
      <c r="C14639" s="704" t="s">
        <v>910</v>
      </c>
      <c r="D14639" s="704" t="s">
        <v>44</v>
      </c>
      <c r="E14639" s="704" t="s">
        <v>861</v>
      </c>
      <c r="F14639" s="709"/>
      <c r="G14639" s="705">
        <v>115.67894580615162</v>
      </c>
    </row>
    <row r="14640" spans="2:7" ht="11.25" hidden="1" customHeight="1" outlineLevel="2" x14ac:dyDescent="0.25">
      <c r="B14640" s="704" t="s">
        <v>697</v>
      </c>
      <c r="C14640" s="704" t="s">
        <v>814</v>
      </c>
      <c r="D14640" s="704" t="s">
        <v>815</v>
      </c>
      <c r="E14640" s="704" t="s">
        <v>448</v>
      </c>
      <c r="F14640" s="705">
        <v>2.1290600677037856E-3</v>
      </c>
      <c r="G14640" s="705">
        <v>6.2184481965325373</v>
      </c>
    </row>
    <row r="14641" spans="2:7" ht="11.25" hidden="1" customHeight="1" outlineLevel="2" x14ac:dyDescent="0.25">
      <c r="B14641" s="704" t="s">
        <v>697</v>
      </c>
      <c r="C14641" s="704" t="s">
        <v>854</v>
      </c>
      <c r="D14641" s="704" t="s">
        <v>815</v>
      </c>
      <c r="E14641" s="704" t="s">
        <v>824</v>
      </c>
      <c r="F14641" s="705">
        <v>6.1861745624093448E-4</v>
      </c>
      <c r="G14641" s="705">
        <v>5.6837809053225747</v>
      </c>
    </row>
    <row r="14642" spans="2:7" ht="11.25" hidden="1" customHeight="1" outlineLevel="2" x14ac:dyDescent="0.25">
      <c r="B14642" s="704" t="s">
        <v>697</v>
      </c>
      <c r="C14642" s="704" t="s">
        <v>918</v>
      </c>
      <c r="D14642" s="704" t="s">
        <v>815</v>
      </c>
      <c r="E14642" s="704" t="s">
        <v>861</v>
      </c>
      <c r="F14642" s="709"/>
      <c r="G14642" s="705">
        <v>390.83676561208318</v>
      </c>
    </row>
    <row r="14643" spans="2:7" ht="11.25" hidden="1" customHeight="1" outlineLevel="2" x14ac:dyDescent="0.25">
      <c r="B14643" s="704" t="s">
        <v>697</v>
      </c>
      <c r="C14643" s="704" t="s">
        <v>740</v>
      </c>
      <c r="D14643" s="704" t="s">
        <v>562</v>
      </c>
      <c r="E14643" s="704" t="s">
        <v>448</v>
      </c>
      <c r="F14643" s="705">
        <v>1.4853962678633991E-2</v>
      </c>
      <c r="G14643" s="705">
        <v>7.3605295088915534</v>
      </c>
    </row>
    <row r="14644" spans="2:7" ht="11.25" hidden="1" customHeight="1" outlineLevel="2" x14ac:dyDescent="0.25">
      <c r="B14644" s="704" t="s">
        <v>697</v>
      </c>
      <c r="C14644" s="704" t="s">
        <v>741</v>
      </c>
      <c r="D14644" s="704" t="s">
        <v>562</v>
      </c>
      <c r="E14644" s="704" t="s">
        <v>448</v>
      </c>
      <c r="F14644" s="705">
        <v>9.4916121297656308E-2</v>
      </c>
      <c r="G14644" s="705">
        <v>49.107068082036555</v>
      </c>
    </row>
    <row r="14645" spans="2:7" ht="11.25" hidden="1" customHeight="1" outlineLevel="2" x14ac:dyDescent="0.25">
      <c r="B14645" s="704" t="s">
        <v>697</v>
      </c>
      <c r="C14645" s="704" t="s">
        <v>742</v>
      </c>
      <c r="D14645" s="704" t="s">
        <v>562</v>
      </c>
      <c r="E14645" s="704" t="s">
        <v>448</v>
      </c>
      <c r="F14645" s="705">
        <v>4.2250214331710654E-5</v>
      </c>
      <c r="G14645" s="705">
        <v>1.8939094609985139E-2</v>
      </c>
    </row>
    <row r="14646" spans="2:7" ht="11.25" hidden="1" customHeight="1" outlineLevel="2" x14ac:dyDescent="0.25">
      <c r="B14646" s="704" t="s">
        <v>697</v>
      </c>
      <c r="C14646" s="704" t="s">
        <v>743</v>
      </c>
      <c r="D14646" s="704" t="s">
        <v>562</v>
      </c>
      <c r="E14646" s="704" t="s">
        <v>448</v>
      </c>
      <c r="F14646" s="705">
        <v>6.6479919854277748E-4</v>
      </c>
      <c r="G14646" s="705">
        <v>0.29800314517819759</v>
      </c>
    </row>
    <row r="14647" spans="2:7" ht="11.25" hidden="1" customHeight="1" outlineLevel="2" x14ac:dyDescent="0.25">
      <c r="B14647" s="704" t="s">
        <v>697</v>
      </c>
      <c r="C14647" s="704" t="s">
        <v>806</v>
      </c>
      <c r="D14647" s="704" t="s">
        <v>562</v>
      </c>
      <c r="E14647" s="704" t="s">
        <v>448</v>
      </c>
      <c r="F14647" s="705">
        <v>1.2525941779097507</v>
      </c>
      <c r="G14647" s="705">
        <v>1515.1277760483033</v>
      </c>
    </row>
    <row r="14648" spans="2:7" ht="11.25" hidden="1" customHeight="1" outlineLevel="2" x14ac:dyDescent="0.25">
      <c r="B14648" s="704" t="s">
        <v>697</v>
      </c>
      <c r="C14648" s="704" t="s">
        <v>807</v>
      </c>
      <c r="D14648" s="704" t="s">
        <v>562</v>
      </c>
      <c r="E14648" s="704" t="s">
        <v>448</v>
      </c>
      <c r="F14648" s="705">
        <v>0.26963576758023999</v>
      </c>
      <c r="G14648" s="705">
        <v>379.14557351045181</v>
      </c>
    </row>
    <row r="14649" spans="2:7" ht="11.25" hidden="1" customHeight="1" outlineLevel="2" x14ac:dyDescent="0.25">
      <c r="B14649" s="704" t="s">
        <v>697</v>
      </c>
      <c r="C14649" s="704" t="s">
        <v>808</v>
      </c>
      <c r="D14649" s="704" t="s">
        <v>562</v>
      </c>
      <c r="E14649" s="704" t="s">
        <v>448</v>
      </c>
      <c r="F14649" s="705">
        <v>0.12446704519310667</v>
      </c>
      <c r="G14649" s="705">
        <v>201.05802446795116</v>
      </c>
    </row>
    <row r="14650" spans="2:7" ht="11.25" hidden="1" customHeight="1" outlineLevel="2" x14ac:dyDescent="0.25">
      <c r="B14650" s="704" t="s">
        <v>697</v>
      </c>
      <c r="C14650" s="704" t="s">
        <v>809</v>
      </c>
      <c r="D14650" s="704" t="s">
        <v>562</v>
      </c>
      <c r="E14650" s="704" t="s">
        <v>448</v>
      </c>
      <c r="F14650" s="705">
        <v>0.28679385297718296</v>
      </c>
      <c r="G14650" s="705">
        <v>431.39743494108751</v>
      </c>
    </row>
    <row r="14651" spans="2:7" ht="11.25" hidden="1" customHeight="1" outlineLevel="2" x14ac:dyDescent="0.25">
      <c r="B14651" s="704" t="s">
        <v>697</v>
      </c>
      <c r="C14651" s="704" t="s">
        <v>810</v>
      </c>
      <c r="D14651" s="704" t="s">
        <v>562</v>
      </c>
      <c r="E14651" s="704" t="s">
        <v>448</v>
      </c>
      <c r="F14651" s="705">
        <v>0.54163096415622658</v>
      </c>
      <c r="G14651" s="705">
        <v>679.62908687562094</v>
      </c>
    </row>
    <row r="14652" spans="2:7" ht="11.25" hidden="1" customHeight="1" outlineLevel="2" x14ac:dyDescent="0.25">
      <c r="B14652" s="704" t="s">
        <v>697</v>
      </c>
      <c r="C14652" s="704" t="s">
        <v>811</v>
      </c>
      <c r="D14652" s="704" t="s">
        <v>562</v>
      </c>
      <c r="E14652" s="704" t="s">
        <v>448</v>
      </c>
      <c r="F14652" s="705">
        <v>2.3058406444197398E-2</v>
      </c>
      <c r="G14652" s="705">
        <v>31.965955225755881</v>
      </c>
    </row>
    <row r="14653" spans="2:7" ht="11.25" hidden="1" customHeight="1" outlineLevel="2" x14ac:dyDescent="0.25">
      <c r="B14653" s="704" t="s">
        <v>697</v>
      </c>
      <c r="C14653" s="704" t="s">
        <v>848</v>
      </c>
      <c r="D14653" s="704" t="s">
        <v>562</v>
      </c>
      <c r="E14653" s="704" t="s">
        <v>824</v>
      </c>
      <c r="F14653" s="705">
        <v>7.3328489510338019E-2</v>
      </c>
      <c r="G14653" s="705">
        <v>201.59500627913744</v>
      </c>
    </row>
    <row r="14654" spans="2:7" ht="11.25" hidden="1" customHeight="1" outlineLevel="2" x14ac:dyDescent="0.25">
      <c r="B14654" s="704" t="s">
        <v>697</v>
      </c>
      <c r="C14654" s="704" t="s">
        <v>849</v>
      </c>
      <c r="D14654" s="704" t="s">
        <v>562</v>
      </c>
      <c r="E14654" s="704" t="s">
        <v>824</v>
      </c>
      <c r="F14654" s="705">
        <v>1.06465150052929E-2</v>
      </c>
      <c r="G14654" s="705">
        <v>44.902228597148998</v>
      </c>
    </row>
    <row r="14655" spans="2:7" ht="11.25" hidden="1" customHeight="1" outlineLevel="2" x14ac:dyDescent="0.25">
      <c r="B14655" s="704" t="s">
        <v>697</v>
      </c>
      <c r="C14655" s="704" t="s">
        <v>850</v>
      </c>
      <c r="D14655" s="704" t="s">
        <v>562</v>
      </c>
      <c r="E14655" s="704" t="s">
        <v>824</v>
      </c>
      <c r="F14655" s="705">
        <v>7.8764943278680898E-3</v>
      </c>
      <c r="G14655" s="705">
        <v>52.633471673695801</v>
      </c>
    </row>
    <row r="14656" spans="2:7" ht="11.25" hidden="1" customHeight="1" outlineLevel="2" x14ac:dyDescent="0.25">
      <c r="B14656" s="704" t="s">
        <v>697</v>
      </c>
      <c r="C14656" s="704" t="s">
        <v>851</v>
      </c>
      <c r="D14656" s="704" t="s">
        <v>562</v>
      </c>
      <c r="E14656" s="704" t="s">
        <v>824</v>
      </c>
      <c r="F14656" s="705">
        <v>1.3796667924116789E-2</v>
      </c>
      <c r="G14656" s="705">
        <v>65.383949421575181</v>
      </c>
    </row>
    <row r="14657" spans="2:7" ht="11.25" hidden="1" customHeight="1" outlineLevel="2" x14ac:dyDescent="0.25">
      <c r="B14657" s="704" t="s">
        <v>697</v>
      </c>
      <c r="C14657" s="704" t="s">
        <v>852</v>
      </c>
      <c r="D14657" s="704" t="s">
        <v>562</v>
      </c>
      <c r="E14657" s="704" t="s">
        <v>824</v>
      </c>
      <c r="F14657" s="705">
        <v>3.4449533463809984E-4</v>
      </c>
      <c r="G14657" s="705">
        <v>0.88384441559019666</v>
      </c>
    </row>
    <row r="14658" spans="2:7" ht="11.25" hidden="1" customHeight="1" outlineLevel="2" x14ac:dyDescent="0.25">
      <c r="B14658" s="704" t="s">
        <v>697</v>
      </c>
      <c r="C14658" s="704" t="s">
        <v>853</v>
      </c>
      <c r="D14658" s="704" t="s">
        <v>562</v>
      </c>
      <c r="E14658" s="704" t="s">
        <v>824</v>
      </c>
      <c r="F14658" s="705">
        <v>1.0050694786151339E-4</v>
      </c>
      <c r="G14658" s="705">
        <v>0.82097404928424733</v>
      </c>
    </row>
    <row r="14659" spans="2:7" ht="11.25" hidden="1" customHeight="1" outlineLevel="2" x14ac:dyDescent="0.25">
      <c r="B14659" s="704" t="s">
        <v>697</v>
      </c>
      <c r="C14659" s="704" t="s">
        <v>707</v>
      </c>
      <c r="D14659" s="704" t="s">
        <v>562</v>
      </c>
      <c r="E14659" s="704" t="s">
        <v>676</v>
      </c>
      <c r="F14659" s="705">
        <v>1.6201484591108302</v>
      </c>
      <c r="G14659" s="705">
        <v>44.989842843554328</v>
      </c>
    </row>
    <row r="14660" spans="2:7" ht="11.25" hidden="1" customHeight="1" outlineLevel="2" x14ac:dyDescent="0.25">
      <c r="B14660" s="704" t="s">
        <v>697</v>
      </c>
      <c r="C14660" s="704" t="s">
        <v>708</v>
      </c>
      <c r="D14660" s="704" t="s">
        <v>562</v>
      </c>
      <c r="E14660" s="704" t="s">
        <v>676</v>
      </c>
      <c r="F14660" s="705">
        <v>6.2114199145451354E-2</v>
      </c>
      <c r="G14660" s="705">
        <v>2.2579461629686737</v>
      </c>
    </row>
    <row r="14661" spans="2:7" ht="11.25" hidden="1" customHeight="1" outlineLevel="2" x14ac:dyDescent="0.25">
      <c r="B14661" s="704" t="s">
        <v>697</v>
      </c>
      <c r="C14661" s="704" t="s">
        <v>709</v>
      </c>
      <c r="D14661" s="704" t="s">
        <v>562</v>
      </c>
      <c r="E14661" s="704" t="s">
        <v>676</v>
      </c>
      <c r="F14661" s="705">
        <v>4.4593407557090681E-2</v>
      </c>
      <c r="G14661" s="705">
        <v>3.1276383486012045</v>
      </c>
    </row>
    <row r="14662" spans="2:7" ht="11.25" hidden="1" customHeight="1" outlineLevel="2" x14ac:dyDescent="0.25">
      <c r="B14662" s="704" t="s">
        <v>697</v>
      </c>
      <c r="C14662" s="704" t="s">
        <v>710</v>
      </c>
      <c r="D14662" s="704" t="s">
        <v>562</v>
      </c>
      <c r="E14662" s="704" t="s">
        <v>676</v>
      </c>
      <c r="F14662" s="705">
        <v>0.52243437838819229</v>
      </c>
      <c r="G14662" s="705">
        <v>109.32740132390965</v>
      </c>
    </row>
    <row r="14663" spans="2:7" ht="11.25" hidden="1" customHeight="1" outlineLevel="2" x14ac:dyDescent="0.25">
      <c r="B14663" s="704" t="s">
        <v>697</v>
      </c>
      <c r="C14663" s="704" t="s">
        <v>911</v>
      </c>
      <c r="D14663" s="704" t="s">
        <v>562</v>
      </c>
      <c r="E14663" s="704" t="s">
        <v>861</v>
      </c>
      <c r="F14663" s="709"/>
      <c r="G14663" s="705">
        <v>1165.8372272032475</v>
      </c>
    </row>
    <row r="14664" spans="2:7" ht="11.25" hidden="1" customHeight="1" outlineLevel="2" x14ac:dyDescent="0.25">
      <c r="B14664" s="704" t="s">
        <v>697</v>
      </c>
      <c r="C14664" s="704" t="s">
        <v>912</v>
      </c>
      <c r="D14664" s="704" t="s">
        <v>562</v>
      </c>
      <c r="E14664" s="704" t="s">
        <v>861</v>
      </c>
      <c r="F14664" s="709"/>
      <c r="G14664" s="705">
        <v>275.06681161823451</v>
      </c>
    </row>
    <row r="14665" spans="2:7" ht="11.25" hidden="1" customHeight="1" outlineLevel="2" x14ac:dyDescent="0.25">
      <c r="B14665" s="704" t="s">
        <v>697</v>
      </c>
      <c r="C14665" s="704" t="s">
        <v>913</v>
      </c>
      <c r="D14665" s="704" t="s">
        <v>562</v>
      </c>
      <c r="E14665" s="704" t="s">
        <v>861</v>
      </c>
      <c r="F14665" s="709"/>
      <c r="G14665" s="705">
        <v>763.20409956412709</v>
      </c>
    </row>
    <row r="14666" spans="2:7" ht="11.25" hidden="1" customHeight="1" outlineLevel="2" x14ac:dyDescent="0.25">
      <c r="B14666" s="704" t="s">
        <v>697</v>
      </c>
      <c r="C14666" s="704" t="s">
        <v>914</v>
      </c>
      <c r="D14666" s="704" t="s">
        <v>562</v>
      </c>
      <c r="E14666" s="704" t="s">
        <v>861</v>
      </c>
      <c r="F14666" s="709"/>
      <c r="G14666" s="705">
        <v>387.53015098087985</v>
      </c>
    </row>
    <row r="14667" spans="2:7" ht="11.25" hidden="1" customHeight="1" outlineLevel="2" x14ac:dyDescent="0.25">
      <c r="B14667" s="704" t="s">
        <v>697</v>
      </c>
      <c r="C14667" s="704" t="s">
        <v>915</v>
      </c>
      <c r="D14667" s="704" t="s">
        <v>562</v>
      </c>
      <c r="E14667" s="704" t="s">
        <v>861</v>
      </c>
      <c r="F14667" s="709"/>
      <c r="G14667" s="705">
        <v>37.228571553874872</v>
      </c>
    </row>
    <row r="14668" spans="2:7" ht="11.25" hidden="1" customHeight="1" outlineLevel="2" x14ac:dyDescent="0.25">
      <c r="B14668" s="704" t="s">
        <v>697</v>
      </c>
      <c r="C14668" s="704" t="s">
        <v>916</v>
      </c>
      <c r="D14668" s="704" t="s">
        <v>562</v>
      </c>
      <c r="E14668" s="704" t="s">
        <v>861</v>
      </c>
      <c r="F14668" s="709"/>
      <c r="G14668" s="705">
        <v>33.030173560982064</v>
      </c>
    </row>
    <row r="14669" spans="2:7" ht="11.25" hidden="1" customHeight="1" outlineLevel="2" x14ac:dyDescent="0.25">
      <c r="B14669" s="704" t="s">
        <v>697</v>
      </c>
      <c r="C14669" s="704" t="s">
        <v>719</v>
      </c>
      <c r="D14669" s="704" t="s">
        <v>675</v>
      </c>
      <c r="E14669" s="704" t="s">
        <v>448</v>
      </c>
      <c r="F14669" s="705">
        <v>1.9244278157094008E-2</v>
      </c>
      <c r="G14669" s="705">
        <v>11.865440688714433</v>
      </c>
    </row>
    <row r="14670" spans="2:7" ht="11.25" hidden="1" customHeight="1" outlineLevel="2" x14ac:dyDescent="0.25">
      <c r="B14670" s="704" t="s">
        <v>697</v>
      </c>
      <c r="C14670" s="704" t="s">
        <v>720</v>
      </c>
      <c r="D14670" s="704" t="s">
        <v>675</v>
      </c>
      <c r="E14670" s="704" t="s">
        <v>448</v>
      </c>
      <c r="F14670" s="705">
        <v>1.5904162180314235E-3</v>
      </c>
      <c r="G14670" s="705">
        <v>0.76956439274527377</v>
      </c>
    </row>
    <row r="14671" spans="2:7" ht="11.25" hidden="1" customHeight="1" outlineLevel="2" x14ac:dyDescent="0.25">
      <c r="B14671" s="704" t="s">
        <v>697</v>
      </c>
      <c r="C14671" s="704" t="s">
        <v>721</v>
      </c>
      <c r="D14671" s="704" t="s">
        <v>675</v>
      </c>
      <c r="E14671" s="704" t="s">
        <v>448</v>
      </c>
      <c r="F14671" s="705">
        <v>1.9260422297550503E-3</v>
      </c>
      <c r="G14671" s="705">
        <v>0.91996928261994704</v>
      </c>
    </row>
    <row r="14672" spans="2:7" ht="11.25" hidden="1" customHeight="1" outlineLevel="2" x14ac:dyDescent="0.25">
      <c r="B14672" s="704" t="s">
        <v>697</v>
      </c>
      <c r="C14672" s="704" t="s">
        <v>722</v>
      </c>
      <c r="D14672" s="704" t="s">
        <v>675</v>
      </c>
      <c r="E14672" s="704" t="s">
        <v>448</v>
      </c>
      <c r="F14672" s="705">
        <v>1.536921992822546E-5</v>
      </c>
      <c r="G14672" s="705">
        <v>6.8892145663255596E-3</v>
      </c>
    </row>
    <row r="14673" spans="2:7" ht="11.25" hidden="1" customHeight="1" outlineLevel="2" x14ac:dyDescent="0.25">
      <c r="B14673" s="704" t="s">
        <v>697</v>
      </c>
      <c r="C14673" s="704" t="s">
        <v>723</v>
      </c>
      <c r="D14673" s="704" t="s">
        <v>675</v>
      </c>
      <c r="E14673" s="704" t="s">
        <v>448</v>
      </c>
      <c r="F14673" s="705">
        <v>5.4826217168742225E-2</v>
      </c>
      <c r="G14673" s="705">
        <v>30.662143801298612</v>
      </c>
    </row>
    <row r="14674" spans="2:7" ht="11.25" hidden="1" customHeight="1" outlineLevel="2" x14ac:dyDescent="0.25">
      <c r="B14674" s="704" t="s">
        <v>697</v>
      </c>
      <c r="C14674" s="704" t="s">
        <v>724</v>
      </c>
      <c r="D14674" s="704" t="s">
        <v>675</v>
      </c>
      <c r="E14674" s="704" t="s">
        <v>448</v>
      </c>
      <c r="F14674" s="705">
        <v>4.0020221830596565E-4</v>
      </c>
      <c r="G14674" s="705">
        <v>0.17938958369728566</v>
      </c>
    </row>
    <row r="14675" spans="2:7" ht="11.25" hidden="1" customHeight="1" outlineLevel="2" x14ac:dyDescent="0.25">
      <c r="B14675" s="704" t="s">
        <v>697</v>
      </c>
      <c r="C14675" s="704" t="s">
        <v>750</v>
      </c>
      <c r="D14675" s="704" t="s">
        <v>675</v>
      </c>
      <c r="E14675" s="704" t="s">
        <v>448</v>
      </c>
      <c r="F14675" s="705">
        <v>6.7635634916892477E-3</v>
      </c>
      <c r="G14675" s="705">
        <v>10.54813584455707</v>
      </c>
    </row>
    <row r="14676" spans="2:7" ht="11.25" hidden="1" customHeight="1" outlineLevel="2" x14ac:dyDescent="0.25">
      <c r="B14676" s="704" t="s">
        <v>697</v>
      </c>
      <c r="C14676" s="704" t="s">
        <v>751</v>
      </c>
      <c r="D14676" s="704" t="s">
        <v>675</v>
      </c>
      <c r="E14676" s="704" t="s">
        <v>448</v>
      </c>
      <c r="F14676" s="705">
        <v>5.9905040942566818E-5</v>
      </c>
      <c r="G14676" s="705">
        <v>7.7947961708111205E-2</v>
      </c>
    </row>
    <row r="14677" spans="2:7" ht="11.25" hidden="1" customHeight="1" outlineLevel="2" x14ac:dyDescent="0.25">
      <c r="B14677" s="704" t="s">
        <v>697</v>
      </c>
      <c r="C14677" s="704" t="s">
        <v>752</v>
      </c>
      <c r="D14677" s="704" t="s">
        <v>675</v>
      </c>
      <c r="E14677" s="704" t="s">
        <v>448</v>
      </c>
      <c r="F14677" s="705">
        <v>1.6478353630890591E-2</v>
      </c>
      <c r="G14677" s="705">
        <v>19.738687356135554</v>
      </c>
    </row>
    <row r="14678" spans="2:7" ht="11.25" hidden="1" customHeight="1" outlineLevel="2" x14ac:dyDescent="0.25">
      <c r="B14678" s="704" t="s">
        <v>697</v>
      </c>
      <c r="C14678" s="704" t="s">
        <v>753</v>
      </c>
      <c r="D14678" s="704" t="s">
        <v>675</v>
      </c>
      <c r="E14678" s="704" t="s">
        <v>448</v>
      </c>
      <c r="F14678" s="705">
        <v>1.1803644215976633E-2</v>
      </c>
      <c r="G14678" s="705">
        <v>18.651851721638163</v>
      </c>
    </row>
    <row r="14679" spans="2:7" ht="11.25" hidden="1" customHeight="1" outlineLevel="2" x14ac:dyDescent="0.25">
      <c r="B14679" s="704" t="s">
        <v>697</v>
      </c>
      <c r="C14679" s="704" t="s">
        <v>754</v>
      </c>
      <c r="D14679" s="704" t="s">
        <v>675</v>
      </c>
      <c r="E14679" s="704" t="s">
        <v>448</v>
      </c>
      <c r="F14679" s="705">
        <v>2.9062658882609761E-2</v>
      </c>
      <c r="G14679" s="705">
        <v>37.123491147504978</v>
      </c>
    </row>
    <row r="14680" spans="2:7" ht="11.25" hidden="1" customHeight="1" outlineLevel="2" x14ac:dyDescent="0.25">
      <c r="B14680" s="704" t="s">
        <v>697</v>
      </c>
      <c r="C14680" s="704" t="s">
        <v>755</v>
      </c>
      <c r="D14680" s="704" t="s">
        <v>675</v>
      </c>
      <c r="E14680" s="704" t="s">
        <v>448</v>
      </c>
      <c r="F14680" s="705">
        <v>1.1367596695741826E-2</v>
      </c>
      <c r="G14680" s="705">
        <v>15.654980043085438</v>
      </c>
    </row>
    <row r="14681" spans="2:7" ht="11.25" hidden="1" customHeight="1" outlineLevel="2" x14ac:dyDescent="0.25">
      <c r="B14681" s="704" t="s">
        <v>697</v>
      </c>
      <c r="C14681" s="704" t="s">
        <v>756</v>
      </c>
      <c r="D14681" s="704" t="s">
        <v>675</v>
      </c>
      <c r="E14681" s="704" t="s">
        <v>448</v>
      </c>
      <c r="F14681" s="705">
        <v>6.1259590889929216E-4</v>
      </c>
      <c r="G14681" s="705">
        <v>0.81279590337117424</v>
      </c>
    </row>
    <row r="14682" spans="2:7" ht="11.25" hidden="1" customHeight="1" outlineLevel="2" x14ac:dyDescent="0.25">
      <c r="B14682" s="704" t="s">
        <v>697</v>
      </c>
      <c r="C14682" s="704" t="s">
        <v>757</v>
      </c>
      <c r="D14682" s="704" t="s">
        <v>675</v>
      </c>
      <c r="E14682" s="704" t="s">
        <v>448</v>
      </c>
      <c r="F14682" s="705">
        <v>2.166267153228223E-2</v>
      </c>
      <c r="G14682" s="705">
        <v>32.773275569895773</v>
      </c>
    </row>
    <row r="14683" spans="2:7" ht="11.25" hidden="1" customHeight="1" outlineLevel="2" x14ac:dyDescent="0.25">
      <c r="B14683" s="704" t="s">
        <v>697</v>
      </c>
      <c r="C14683" s="704" t="s">
        <v>758</v>
      </c>
      <c r="D14683" s="704" t="s">
        <v>675</v>
      </c>
      <c r="E14683" s="704" t="s">
        <v>448</v>
      </c>
      <c r="F14683" s="705">
        <v>9.7539453380934438E-3</v>
      </c>
      <c r="G14683" s="705">
        <v>11.287642780858933</v>
      </c>
    </row>
    <row r="14684" spans="2:7" ht="11.25" hidden="1" customHeight="1" outlineLevel="2" x14ac:dyDescent="0.25">
      <c r="B14684" s="704" t="s">
        <v>697</v>
      </c>
      <c r="C14684" s="704" t="s">
        <v>759</v>
      </c>
      <c r="D14684" s="704" t="s">
        <v>675</v>
      </c>
      <c r="E14684" s="704" t="s">
        <v>448</v>
      </c>
      <c r="F14684" s="705">
        <v>4.8252300828086542E-2</v>
      </c>
      <c r="G14684" s="705">
        <v>68.2602895506312</v>
      </c>
    </row>
    <row r="14685" spans="2:7" ht="11.25" hidden="1" customHeight="1" outlineLevel="2" x14ac:dyDescent="0.25">
      <c r="B14685" s="704" t="s">
        <v>697</v>
      </c>
      <c r="C14685" s="704" t="s">
        <v>760</v>
      </c>
      <c r="D14685" s="704" t="s">
        <v>675</v>
      </c>
      <c r="E14685" s="704" t="s">
        <v>448</v>
      </c>
      <c r="F14685" s="705">
        <v>3.2519186615173369E-2</v>
      </c>
      <c r="G14685" s="705">
        <v>32.700249004442604</v>
      </c>
    </row>
    <row r="14686" spans="2:7" ht="11.25" hidden="1" customHeight="1" outlineLevel="2" x14ac:dyDescent="0.25">
      <c r="B14686" s="704" t="s">
        <v>697</v>
      </c>
      <c r="C14686" s="704" t="s">
        <v>761</v>
      </c>
      <c r="D14686" s="704" t="s">
        <v>675</v>
      </c>
      <c r="E14686" s="704" t="s">
        <v>448</v>
      </c>
      <c r="F14686" s="705">
        <v>1.5468187114101122E-3</v>
      </c>
      <c r="G14686" s="705">
        <v>2.6067245892415558</v>
      </c>
    </row>
    <row r="14687" spans="2:7" ht="11.25" hidden="1" customHeight="1" outlineLevel="2" x14ac:dyDescent="0.25">
      <c r="B14687" s="704" t="s">
        <v>697</v>
      </c>
      <c r="C14687" s="704" t="s">
        <v>762</v>
      </c>
      <c r="D14687" s="704" t="s">
        <v>675</v>
      </c>
      <c r="E14687" s="704" t="s">
        <v>448</v>
      </c>
      <c r="F14687" s="705">
        <v>3.1424009511798732E-3</v>
      </c>
      <c r="G14687" s="705">
        <v>4.420062778896849</v>
      </c>
    </row>
    <row r="14688" spans="2:7" ht="11.25" hidden="1" customHeight="1" outlineLevel="2" x14ac:dyDescent="0.25">
      <c r="B14688" s="704" t="s">
        <v>697</v>
      </c>
      <c r="C14688" s="704" t="s">
        <v>763</v>
      </c>
      <c r="D14688" s="704" t="s">
        <v>675</v>
      </c>
      <c r="E14688" s="704" t="s">
        <v>448</v>
      </c>
      <c r="F14688" s="705">
        <v>1.3973820206286444E-3</v>
      </c>
      <c r="G14688" s="705">
        <v>3.9607755637512163</v>
      </c>
    </row>
    <row r="14689" spans="2:7" ht="11.25" hidden="1" customHeight="1" outlineLevel="2" x14ac:dyDescent="0.25">
      <c r="B14689" s="704" t="s">
        <v>697</v>
      </c>
      <c r="C14689" s="704" t="s">
        <v>764</v>
      </c>
      <c r="D14689" s="704" t="s">
        <v>675</v>
      </c>
      <c r="E14689" s="704" t="s">
        <v>448</v>
      </c>
      <c r="F14689" s="705">
        <v>1.6273610453521371E-3</v>
      </c>
      <c r="G14689" s="705">
        <v>9.4600841119494028</v>
      </c>
    </row>
    <row r="14690" spans="2:7" ht="11.25" hidden="1" customHeight="1" outlineLevel="2" x14ac:dyDescent="0.25">
      <c r="B14690" s="704" t="s">
        <v>697</v>
      </c>
      <c r="C14690" s="704" t="s">
        <v>765</v>
      </c>
      <c r="D14690" s="704" t="s">
        <v>675</v>
      </c>
      <c r="E14690" s="704" t="s">
        <v>448</v>
      </c>
      <c r="F14690" s="705">
        <v>1.5383942809834896E-2</v>
      </c>
      <c r="G14690" s="705">
        <v>22.417935668409797</v>
      </c>
    </row>
    <row r="14691" spans="2:7" ht="11.25" hidden="1" customHeight="1" outlineLevel="2" x14ac:dyDescent="0.25">
      <c r="B14691" s="704" t="s">
        <v>697</v>
      </c>
      <c r="C14691" s="704" t="s">
        <v>766</v>
      </c>
      <c r="D14691" s="704" t="s">
        <v>675</v>
      </c>
      <c r="E14691" s="704" t="s">
        <v>448</v>
      </c>
      <c r="F14691" s="705">
        <v>9.5473763614551642E-3</v>
      </c>
      <c r="G14691" s="705">
        <v>15.385721142870356</v>
      </c>
    </row>
    <row r="14692" spans="2:7" ht="11.25" hidden="1" customHeight="1" outlineLevel="2" x14ac:dyDescent="0.25">
      <c r="B14692" s="704" t="s">
        <v>697</v>
      </c>
      <c r="C14692" s="704" t="s">
        <v>767</v>
      </c>
      <c r="D14692" s="704" t="s">
        <v>675</v>
      </c>
      <c r="E14692" s="704" t="s">
        <v>448</v>
      </c>
      <c r="F14692" s="705">
        <v>4.8053217768195102E-3</v>
      </c>
      <c r="G14692" s="705">
        <v>5.0694566580504965</v>
      </c>
    </row>
    <row r="14693" spans="2:7" ht="11.25" hidden="1" customHeight="1" outlineLevel="2" x14ac:dyDescent="0.25">
      <c r="B14693" s="704" t="s">
        <v>697</v>
      </c>
      <c r="C14693" s="704" t="s">
        <v>768</v>
      </c>
      <c r="D14693" s="704" t="s">
        <v>675</v>
      </c>
      <c r="E14693" s="704" t="s">
        <v>448</v>
      </c>
      <c r="F14693" s="705">
        <v>2.2439635639761295E-3</v>
      </c>
      <c r="G14693" s="705">
        <v>3.5812248277846779</v>
      </c>
    </row>
    <row r="14694" spans="2:7" ht="11.25" hidden="1" customHeight="1" outlineLevel="2" x14ac:dyDescent="0.25">
      <c r="B14694" s="704" t="s">
        <v>697</v>
      </c>
      <c r="C14694" s="704" t="s">
        <v>825</v>
      </c>
      <c r="D14694" s="704" t="s">
        <v>675</v>
      </c>
      <c r="E14694" s="704" t="s">
        <v>824</v>
      </c>
      <c r="F14694" s="705">
        <v>4.2841426433953752E-4</v>
      </c>
      <c r="G14694" s="705">
        <v>2.0284615008197178</v>
      </c>
    </row>
    <row r="14695" spans="2:7" ht="11.25" hidden="1" customHeight="1" outlineLevel="2" x14ac:dyDescent="0.25">
      <c r="B14695" s="704" t="s">
        <v>697</v>
      </c>
      <c r="C14695" s="704" t="s">
        <v>826</v>
      </c>
      <c r="D14695" s="704" t="s">
        <v>675</v>
      </c>
      <c r="E14695" s="704" t="s">
        <v>824</v>
      </c>
      <c r="F14695" s="705">
        <v>3.1846949036357634E-4</v>
      </c>
      <c r="G14695" s="705">
        <v>3.4041395554532841</v>
      </c>
    </row>
    <row r="14696" spans="2:7" ht="11.25" hidden="1" customHeight="1" outlineLevel="2" x14ac:dyDescent="0.25">
      <c r="B14696" s="704" t="s">
        <v>697</v>
      </c>
      <c r="C14696" s="704" t="s">
        <v>827</v>
      </c>
      <c r="D14696" s="704" t="s">
        <v>675</v>
      </c>
      <c r="E14696" s="704" t="s">
        <v>824</v>
      </c>
      <c r="F14696" s="705">
        <v>2.3582128492283575E-4</v>
      </c>
      <c r="G14696" s="705">
        <v>0.56314684559623673</v>
      </c>
    </row>
    <row r="14697" spans="2:7" ht="11.25" hidden="1" customHeight="1" outlineLevel="2" x14ac:dyDescent="0.25">
      <c r="B14697" s="704" t="s">
        <v>697</v>
      </c>
      <c r="C14697" s="704" t="s">
        <v>828</v>
      </c>
      <c r="D14697" s="704" t="s">
        <v>675</v>
      </c>
      <c r="E14697" s="704" t="s">
        <v>824</v>
      </c>
      <c r="F14697" s="705">
        <v>6.4303409818046548E-5</v>
      </c>
      <c r="G14697" s="705">
        <v>0.35288049630769525</v>
      </c>
    </row>
    <row r="14698" spans="2:7" ht="11.25" hidden="1" customHeight="1" outlineLevel="2" x14ac:dyDescent="0.25">
      <c r="B14698" s="704" t="s">
        <v>697</v>
      </c>
      <c r="C14698" s="704" t="s">
        <v>829</v>
      </c>
      <c r="D14698" s="704" t="s">
        <v>675</v>
      </c>
      <c r="E14698" s="704" t="s">
        <v>824</v>
      </c>
      <c r="F14698" s="705">
        <v>1.3915694299473211E-3</v>
      </c>
      <c r="G14698" s="705">
        <v>6.244789903577443</v>
      </c>
    </row>
    <row r="14699" spans="2:7" ht="11.25" hidden="1" customHeight="1" outlineLevel="2" x14ac:dyDescent="0.25">
      <c r="B14699" s="704" t="s">
        <v>697</v>
      </c>
      <c r="C14699" s="704" t="s">
        <v>830</v>
      </c>
      <c r="D14699" s="704" t="s">
        <v>675</v>
      </c>
      <c r="E14699" s="704" t="s">
        <v>824</v>
      </c>
      <c r="F14699" s="705">
        <v>1.2624742695856739E-3</v>
      </c>
      <c r="G14699" s="705">
        <v>2.2484836408553095</v>
      </c>
    </row>
    <row r="14700" spans="2:7" ht="11.25" hidden="1" customHeight="1" outlineLevel="2" x14ac:dyDescent="0.25">
      <c r="B14700" s="704" t="s">
        <v>697</v>
      </c>
      <c r="C14700" s="704" t="s">
        <v>831</v>
      </c>
      <c r="D14700" s="704" t="s">
        <v>675</v>
      </c>
      <c r="E14700" s="704" t="s">
        <v>824</v>
      </c>
      <c r="F14700" s="705">
        <v>3.5027854667896651E-4</v>
      </c>
      <c r="G14700" s="705">
        <v>5.7774329502054016</v>
      </c>
    </row>
    <row r="14701" spans="2:7" ht="11.25" hidden="1" customHeight="1" outlineLevel="2" x14ac:dyDescent="0.25">
      <c r="B14701" s="704" t="s">
        <v>697</v>
      </c>
      <c r="C14701" s="704" t="s">
        <v>832</v>
      </c>
      <c r="D14701" s="704" t="s">
        <v>675</v>
      </c>
      <c r="E14701" s="704" t="s">
        <v>824</v>
      </c>
      <c r="F14701" s="705">
        <v>9.5747414047953354E-4</v>
      </c>
      <c r="G14701" s="705">
        <v>2.3010895943824243</v>
      </c>
    </row>
    <row r="14702" spans="2:7" ht="11.25" hidden="1" customHeight="1" outlineLevel="2" x14ac:dyDescent="0.25">
      <c r="B14702" s="704" t="s">
        <v>697</v>
      </c>
      <c r="C14702" s="704" t="s">
        <v>833</v>
      </c>
      <c r="D14702" s="704" t="s">
        <v>675</v>
      </c>
      <c r="E14702" s="704" t="s">
        <v>824</v>
      </c>
      <c r="F14702" s="705">
        <v>1.462325070447592E-4</v>
      </c>
      <c r="G14702" s="705">
        <v>0.37027893154606556</v>
      </c>
    </row>
    <row r="14703" spans="2:7" ht="11.25" hidden="1" customHeight="1" outlineLevel="2" x14ac:dyDescent="0.25">
      <c r="B14703" s="704" t="s">
        <v>697</v>
      </c>
      <c r="C14703" s="704" t="s">
        <v>834</v>
      </c>
      <c r="D14703" s="704" t="s">
        <v>675</v>
      </c>
      <c r="E14703" s="704" t="s">
        <v>824</v>
      </c>
      <c r="F14703" s="705">
        <v>1.0591903452740585E-3</v>
      </c>
      <c r="G14703" s="705">
        <v>4.0056111393972351</v>
      </c>
    </row>
    <row r="14704" spans="2:7" ht="11.25" hidden="1" customHeight="1" outlineLevel="2" x14ac:dyDescent="0.25">
      <c r="B14704" s="704" t="s">
        <v>697</v>
      </c>
      <c r="C14704" s="704" t="s">
        <v>835</v>
      </c>
      <c r="D14704" s="704" t="s">
        <v>675</v>
      </c>
      <c r="E14704" s="704" t="s">
        <v>824</v>
      </c>
      <c r="F14704" s="705">
        <v>1.3284539190730003E-3</v>
      </c>
      <c r="G14704" s="705">
        <v>9.7538638907069615</v>
      </c>
    </row>
    <row r="14705" spans="2:7" ht="11.25" hidden="1" customHeight="1" outlineLevel="2" x14ac:dyDescent="0.25">
      <c r="B14705" s="704" t="s">
        <v>697</v>
      </c>
      <c r="C14705" s="704" t="s">
        <v>836</v>
      </c>
      <c r="D14705" s="704" t="s">
        <v>675</v>
      </c>
      <c r="E14705" s="704" t="s">
        <v>824</v>
      </c>
      <c r="F14705" s="705">
        <v>9.2693154642369373E-5</v>
      </c>
      <c r="G14705" s="705">
        <v>1.0189024248582901</v>
      </c>
    </row>
    <row r="14706" spans="2:7" ht="11.25" hidden="1" customHeight="1" outlineLevel="2" x14ac:dyDescent="0.25">
      <c r="B14706" s="704" t="s">
        <v>697</v>
      </c>
      <c r="C14706" s="704" t="s">
        <v>837</v>
      </c>
      <c r="D14706" s="704" t="s">
        <v>675</v>
      </c>
      <c r="E14706" s="704" t="s">
        <v>824</v>
      </c>
      <c r="F14706" s="705">
        <v>3.0569346889818289E-3</v>
      </c>
      <c r="G14706" s="705">
        <v>8.4402226135949192</v>
      </c>
    </row>
    <row r="14707" spans="2:7" ht="11.25" hidden="1" customHeight="1" outlineLevel="2" x14ac:dyDescent="0.25">
      <c r="B14707" s="704" t="s">
        <v>697</v>
      </c>
      <c r="C14707" s="704" t="s">
        <v>838</v>
      </c>
      <c r="D14707" s="704" t="s">
        <v>675</v>
      </c>
      <c r="E14707" s="704" t="s">
        <v>824</v>
      </c>
      <c r="F14707" s="705">
        <v>1.5768547756311142E-3</v>
      </c>
      <c r="G14707" s="705">
        <v>3.4903824005292177</v>
      </c>
    </row>
    <row r="14708" spans="2:7" ht="11.25" hidden="1" customHeight="1" outlineLevel="2" x14ac:dyDescent="0.25">
      <c r="B14708" s="704" t="s">
        <v>697</v>
      </c>
      <c r="C14708" s="704" t="s">
        <v>674</v>
      </c>
      <c r="D14708" s="704" t="s">
        <v>675</v>
      </c>
      <c r="E14708" s="704" t="s">
        <v>676</v>
      </c>
      <c r="F14708" s="705">
        <v>4.4716165448079933E-3</v>
      </c>
      <c r="G14708" s="705">
        <v>0.11066290061093272</v>
      </c>
    </row>
    <row r="14709" spans="2:7" ht="11.25" hidden="1" customHeight="1" outlineLevel="2" x14ac:dyDescent="0.25">
      <c r="B14709" s="704" t="s">
        <v>697</v>
      </c>
      <c r="C14709" s="704" t="s">
        <v>862</v>
      </c>
      <c r="D14709" s="704" t="s">
        <v>675</v>
      </c>
      <c r="E14709" s="704" t="s">
        <v>861</v>
      </c>
      <c r="F14709" s="709"/>
      <c r="G14709" s="705">
        <v>328.57067439068271</v>
      </c>
    </row>
    <row r="14710" spans="2:7" ht="11.25" hidden="1" customHeight="1" outlineLevel="2" x14ac:dyDescent="0.25">
      <c r="B14710" s="704" t="s">
        <v>697</v>
      </c>
      <c r="C14710" s="704" t="s">
        <v>863</v>
      </c>
      <c r="D14710" s="704" t="s">
        <v>675</v>
      </c>
      <c r="E14710" s="704" t="s">
        <v>861</v>
      </c>
      <c r="F14710" s="709"/>
      <c r="G14710" s="705">
        <v>0.53559275834672404</v>
      </c>
    </row>
    <row r="14711" spans="2:7" ht="11.25" hidden="1" customHeight="1" outlineLevel="2" x14ac:dyDescent="0.25">
      <c r="B14711" s="704" t="s">
        <v>697</v>
      </c>
      <c r="C14711" s="704" t="s">
        <v>864</v>
      </c>
      <c r="D14711" s="704" t="s">
        <v>675</v>
      </c>
      <c r="E14711" s="704" t="s">
        <v>861</v>
      </c>
      <c r="F14711" s="709"/>
      <c r="G14711" s="705">
        <v>8.823699840115987</v>
      </c>
    </row>
    <row r="14712" spans="2:7" ht="11.25" hidden="1" customHeight="1" outlineLevel="2" x14ac:dyDescent="0.25">
      <c r="B14712" s="704" t="s">
        <v>697</v>
      </c>
      <c r="C14712" s="704" t="s">
        <v>865</v>
      </c>
      <c r="D14712" s="704" t="s">
        <v>675</v>
      </c>
      <c r="E14712" s="704" t="s">
        <v>861</v>
      </c>
      <c r="F14712" s="709"/>
      <c r="G14712" s="705">
        <v>822.45128173444971</v>
      </c>
    </row>
    <row r="14713" spans="2:7" ht="11.25" hidden="1" customHeight="1" outlineLevel="2" x14ac:dyDescent="0.25">
      <c r="B14713" s="704" t="s">
        <v>697</v>
      </c>
      <c r="C14713" s="704" t="s">
        <v>866</v>
      </c>
      <c r="D14713" s="704" t="s">
        <v>675</v>
      </c>
      <c r="E14713" s="704" t="s">
        <v>861</v>
      </c>
      <c r="F14713" s="709"/>
      <c r="G14713" s="705">
        <v>894.6541402717412</v>
      </c>
    </row>
    <row r="14714" spans="2:7" ht="11.25" hidden="1" customHeight="1" outlineLevel="2" x14ac:dyDescent="0.25">
      <c r="B14714" s="704" t="s">
        <v>697</v>
      </c>
      <c r="C14714" s="704" t="s">
        <v>867</v>
      </c>
      <c r="D14714" s="704" t="s">
        <v>675</v>
      </c>
      <c r="E14714" s="704" t="s">
        <v>861</v>
      </c>
      <c r="F14714" s="709"/>
      <c r="G14714" s="705">
        <v>49.289541480635279</v>
      </c>
    </row>
    <row r="14715" spans="2:7" ht="11.25" hidden="1" customHeight="1" outlineLevel="2" x14ac:dyDescent="0.25">
      <c r="B14715" s="704" t="s">
        <v>697</v>
      </c>
      <c r="C14715" s="704" t="s">
        <v>868</v>
      </c>
      <c r="D14715" s="704" t="s">
        <v>675</v>
      </c>
      <c r="E14715" s="704" t="s">
        <v>861</v>
      </c>
      <c r="F14715" s="709"/>
      <c r="G14715" s="705">
        <v>30.422973709045671</v>
      </c>
    </row>
    <row r="14716" spans="2:7" ht="11.25" hidden="1" customHeight="1" outlineLevel="2" x14ac:dyDescent="0.25">
      <c r="B14716" s="704" t="s">
        <v>697</v>
      </c>
      <c r="C14716" s="704" t="s">
        <v>869</v>
      </c>
      <c r="D14716" s="704" t="s">
        <v>675</v>
      </c>
      <c r="E14716" s="704" t="s">
        <v>861</v>
      </c>
      <c r="F14716" s="709"/>
      <c r="G14716" s="705">
        <v>90.841460488144136</v>
      </c>
    </row>
    <row r="14717" spans="2:7" ht="11.25" hidden="1" customHeight="1" outlineLevel="2" x14ac:dyDescent="0.25">
      <c r="B14717" s="704" t="s">
        <v>697</v>
      </c>
      <c r="C14717" s="704" t="s">
        <v>870</v>
      </c>
      <c r="D14717" s="704" t="s">
        <v>675</v>
      </c>
      <c r="E14717" s="704" t="s">
        <v>861</v>
      </c>
      <c r="F14717" s="709"/>
      <c r="G14717" s="705">
        <v>390.1817632172714</v>
      </c>
    </row>
    <row r="14718" spans="2:7" ht="11.25" hidden="1" customHeight="1" outlineLevel="2" x14ac:dyDescent="0.25">
      <c r="B14718" s="704" t="s">
        <v>697</v>
      </c>
      <c r="C14718" s="704" t="s">
        <v>871</v>
      </c>
      <c r="D14718" s="704" t="s">
        <v>675</v>
      </c>
      <c r="E14718" s="704" t="s">
        <v>861</v>
      </c>
      <c r="F14718" s="709"/>
      <c r="G14718" s="705">
        <v>335.51065547882769</v>
      </c>
    </row>
    <row r="14719" spans="2:7" ht="11.25" hidden="1" customHeight="1" outlineLevel="2" x14ac:dyDescent="0.25">
      <c r="B14719" s="704" t="s">
        <v>697</v>
      </c>
      <c r="C14719" s="704" t="s">
        <v>872</v>
      </c>
      <c r="D14719" s="704" t="s">
        <v>675</v>
      </c>
      <c r="E14719" s="704" t="s">
        <v>861</v>
      </c>
      <c r="F14719" s="709"/>
      <c r="G14719" s="705">
        <v>3333.0800469534629</v>
      </c>
    </row>
    <row r="14720" spans="2:7" ht="11.25" hidden="1" customHeight="1" outlineLevel="2" x14ac:dyDescent="0.25">
      <c r="B14720" s="704" t="s">
        <v>697</v>
      </c>
      <c r="C14720" s="704" t="s">
        <v>873</v>
      </c>
      <c r="D14720" s="704" t="s">
        <v>675</v>
      </c>
      <c r="E14720" s="704" t="s">
        <v>861</v>
      </c>
      <c r="F14720" s="709"/>
      <c r="G14720" s="705">
        <v>27.647740461977872</v>
      </c>
    </row>
    <row r="14721" spans="2:7" ht="11.25" hidden="1" customHeight="1" outlineLevel="2" x14ac:dyDescent="0.25">
      <c r="B14721" s="704" t="s">
        <v>697</v>
      </c>
      <c r="C14721" s="704" t="s">
        <v>874</v>
      </c>
      <c r="D14721" s="704" t="s">
        <v>675</v>
      </c>
      <c r="E14721" s="704" t="s">
        <v>861</v>
      </c>
      <c r="F14721" s="709"/>
      <c r="G14721" s="705">
        <v>13.059291775272998</v>
      </c>
    </row>
    <row r="14722" spans="2:7" ht="11.25" hidden="1" customHeight="1" outlineLevel="2" x14ac:dyDescent="0.25">
      <c r="B14722" s="704" t="s">
        <v>697</v>
      </c>
      <c r="C14722" s="704" t="s">
        <v>875</v>
      </c>
      <c r="D14722" s="704" t="s">
        <v>675</v>
      </c>
      <c r="E14722" s="704" t="s">
        <v>861</v>
      </c>
      <c r="F14722" s="709"/>
      <c r="G14722" s="705">
        <v>761.24683827976378</v>
      </c>
    </row>
    <row r="14723" spans="2:7" ht="11.25" hidden="1" customHeight="1" outlineLevel="2" x14ac:dyDescent="0.25">
      <c r="B14723" s="704" t="s">
        <v>697</v>
      </c>
      <c r="C14723" s="704" t="s">
        <v>876</v>
      </c>
      <c r="D14723" s="704" t="s">
        <v>675</v>
      </c>
      <c r="E14723" s="704" t="s">
        <v>861</v>
      </c>
      <c r="F14723" s="709"/>
      <c r="G14723" s="705">
        <v>829.24942876641398</v>
      </c>
    </row>
    <row r="14724" spans="2:7" ht="11.25" hidden="1" customHeight="1" outlineLevel="2" x14ac:dyDescent="0.25">
      <c r="B14724" s="704" t="s">
        <v>697</v>
      </c>
      <c r="C14724" s="704" t="s">
        <v>877</v>
      </c>
      <c r="D14724" s="704" t="s">
        <v>675</v>
      </c>
      <c r="E14724" s="704" t="s">
        <v>861</v>
      </c>
      <c r="F14724" s="709"/>
      <c r="G14724" s="705">
        <v>2850.7624443895238</v>
      </c>
    </row>
    <row r="14725" spans="2:7" ht="11.25" hidden="1" customHeight="1" outlineLevel="2" x14ac:dyDescent="0.25">
      <c r="B14725" s="704" t="s">
        <v>697</v>
      </c>
      <c r="C14725" s="704" t="s">
        <v>878</v>
      </c>
      <c r="D14725" s="704" t="s">
        <v>675</v>
      </c>
      <c r="E14725" s="704" t="s">
        <v>861</v>
      </c>
      <c r="F14725" s="709"/>
      <c r="G14725" s="705">
        <v>134.2099268855255</v>
      </c>
    </row>
    <row r="14726" spans="2:7" ht="11.25" hidden="1" customHeight="1" outlineLevel="2" x14ac:dyDescent="0.25">
      <c r="B14726" s="704" t="s">
        <v>697</v>
      </c>
      <c r="C14726" s="704" t="s">
        <v>879</v>
      </c>
      <c r="D14726" s="704" t="s">
        <v>675</v>
      </c>
      <c r="E14726" s="704" t="s">
        <v>861</v>
      </c>
      <c r="F14726" s="709"/>
      <c r="G14726" s="705">
        <v>1066.8789865699268</v>
      </c>
    </row>
    <row r="14727" spans="2:7" ht="11.25" hidden="1" customHeight="1" outlineLevel="2" x14ac:dyDescent="0.25">
      <c r="B14727" s="704" t="s">
        <v>697</v>
      </c>
      <c r="C14727" s="704" t="s">
        <v>880</v>
      </c>
      <c r="D14727" s="704" t="s">
        <v>675</v>
      </c>
      <c r="E14727" s="704" t="s">
        <v>861</v>
      </c>
      <c r="F14727" s="709"/>
      <c r="G14727" s="705">
        <v>3627.9182396621973</v>
      </c>
    </row>
    <row r="14728" spans="2:7" ht="11.25" hidden="1" customHeight="1" outlineLevel="2" x14ac:dyDescent="0.25">
      <c r="B14728" s="704" t="s">
        <v>697</v>
      </c>
      <c r="C14728" s="704" t="s">
        <v>881</v>
      </c>
      <c r="D14728" s="704" t="s">
        <v>675</v>
      </c>
      <c r="E14728" s="704" t="s">
        <v>861</v>
      </c>
      <c r="F14728" s="709"/>
      <c r="G14728" s="705">
        <v>2200.1122025786426</v>
      </c>
    </row>
    <row r="14729" spans="2:7" ht="11.25" hidden="1" customHeight="1" outlineLevel="2" x14ac:dyDescent="0.25">
      <c r="B14729" s="704" t="s">
        <v>697</v>
      </c>
      <c r="C14729" s="704" t="s">
        <v>882</v>
      </c>
      <c r="D14729" s="704" t="s">
        <v>675</v>
      </c>
      <c r="E14729" s="704" t="s">
        <v>861</v>
      </c>
      <c r="F14729" s="709"/>
      <c r="G14729" s="705">
        <v>3320.2546013975834</v>
      </c>
    </row>
    <row r="14730" spans="2:7" ht="11.25" hidden="1" customHeight="1" outlineLevel="2" x14ac:dyDescent="0.25">
      <c r="B14730" s="704" t="s">
        <v>697</v>
      </c>
      <c r="C14730" s="704" t="s">
        <v>883</v>
      </c>
      <c r="D14730" s="704" t="s">
        <v>675</v>
      </c>
      <c r="E14730" s="704" t="s">
        <v>861</v>
      </c>
      <c r="F14730" s="709"/>
      <c r="G14730" s="705">
        <v>1508.5976616871999</v>
      </c>
    </row>
    <row r="14731" spans="2:7" ht="11.25" hidden="1" customHeight="1" outlineLevel="2" x14ac:dyDescent="0.25">
      <c r="B14731" s="704" t="s">
        <v>697</v>
      </c>
      <c r="C14731" s="704" t="s">
        <v>884</v>
      </c>
      <c r="D14731" s="704" t="s">
        <v>675</v>
      </c>
      <c r="E14731" s="704" t="s">
        <v>861</v>
      </c>
      <c r="F14731" s="709"/>
      <c r="G14731" s="705">
        <v>357.13289890466234</v>
      </c>
    </row>
    <row r="14732" spans="2:7" ht="11.25" hidden="1" customHeight="1" outlineLevel="2" x14ac:dyDescent="0.25">
      <c r="B14732" s="704" t="s">
        <v>697</v>
      </c>
      <c r="C14732" s="704" t="s">
        <v>885</v>
      </c>
      <c r="D14732" s="704" t="s">
        <v>675</v>
      </c>
      <c r="E14732" s="704" t="s">
        <v>861</v>
      </c>
      <c r="F14732" s="709"/>
      <c r="G14732" s="705">
        <v>4.648103852033767</v>
      </c>
    </row>
    <row r="14733" spans="2:7" ht="11.25" hidden="1" customHeight="1" outlineLevel="2" x14ac:dyDescent="0.25">
      <c r="B14733" s="704" t="s">
        <v>697</v>
      </c>
      <c r="C14733" s="704" t="s">
        <v>886</v>
      </c>
      <c r="D14733" s="704" t="s">
        <v>675</v>
      </c>
      <c r="E14733" s="704" t="s">
        <v>861</v>
      </c>
      <c r="F14733" s="709"/>
      <c r="G14733" s="705">
        <v>342.21830331096754</v>
      </c>
    </row>
    <row r="14734" spans="2:7" ht="11.25" hidden="1" customHeight="1" outlineLevel="2" x14ac:dyDescent="0.25">
      <c r="B14734" s="704" t="s">
        <v>697</v>
      </c>
      <c r="C14734" s="704" t="s">
        <v>725</v>
      </c>
      <c r="D14734" s="704" t="s">
        <v>563</v>
      </c>
      <c r="E14734" s="704" t="s">
        <v>448</v>
      </c>
      <c r="F14734" s="705">
        <v>3.6468844974520359E-4</v>
      </c>
      <c r="G14734" s="705">
        <v>0.16347537255280076</v>
      </c>
    </row>
    <row r="14735" spans="2:7" ht="11.25" hidden="1" customHeight="1" outlineLevel="2" x14ac:dyDescent="0.25">
      <c r="B14735" s="704" t="s">
        <v>697</v>
      </c>
      <c r="C14735" s="704" t="s">
        <v>726</v>
      </c>
      <c r="D14735" s="704" t="s">
        <v>563</v>
      </c>
      <c r="E14735" s="704" t="s">
        <v>448</v>
      </c>
      <c r="F14735" s="705">
        <v>2.8722448153366881E-5</v>
      </c>
      <c r="G14735" s="705">
        <v>1.2875125628862255E-2</v>
      </c>
    </row>
    <row r="14736" spans="2:7" ht="11.25" hidden="1" customHeight="1" outlineLevel="2" x14ac:dyDescent="0.25">
      <c r="B14736" s="704" t="s">
        <v>697</v>
      </c>
      <c r="C14736" s="704" t="s">
        <v>769</v>
      </c>
      <c r="D14736" s="704" t="s">
        <v>563</v>
      </c>
      <c r="E14736" s="704" t="s">
        <v>448</v>
      </c>
      <c r="F14736" s="705">
        <v>1.8602631201337757E-2</v>
      </c>
      <c r="G14736" s="705">
        <v>19.884245098114253</v>
      </c>
    </row>
    <row r="14737" spans="2:7" ht="11.25" hidden="1" customHeight="1" outlineLevel="2" x14ac:dyDescent="0.25">
      <c r="B14737" s="704" t="s">
        <v>697</v>
      </c>
      <c r="C14737" s="704" t="s">
        <v>770</v>
      </c>
      <c r="D14737" s="704" t="s">
        <v>563</v>
      </c>
      <c r="E14737" s="704" t="s">
        <v>448</v>
      </c>
      <c r="F14737" s="705">
        <v>1.6911457413295226E-2</v>
      </c>
      <c r="G14737" s="705">
        <v>58.88264417107186</v>
      </c>
    </row>
    <row r="14738" spans="2:7" ht="11.25" hidden="1" customHeight="1" outlineLevel="2" x14ac:dyDescent="0.25">
      <c r="B14738" s="704" t="s">
        <v>697</v>
      </c>
      <c r="C14738" s="704" t="s">
        <v>771</v>
      </c>
      <c r="D14738" s="704" t="s">
        <v>563</v>
      </c>
      <c r="E14738" s="704" t="s">
        <v>448</v>
      </c>
      <c r="F14738" s="705">
        <v>6.3220225157992419E-3</v>
      </c>
      <c r="G14738" s="705">
        <v>14.870953554526624</v>
      </c>
    </row>
    <row r="14739" spans="2:7" ht="11.25" hidden="1" customHeight="1" outlineLevel="2" x14ac:dyDescent="0.25">
      <c r="B14739" s="704" t="s">
        <v>697</v>
      </c>
      <c r="C14739" s="704" t="s">
        <v>772</v>
      </c>
      <c r="D14739" s="704" t="s">
        <v>563</v>
      </c>
      <c r="E14739" s="704" t="s">
        <v>448</v>
      </c>
      <c r="F14739" s="705">
        <v>2.1207627583295433E-2</v>
      </c>
      <c r="G14739" s="705">
        <v>27.718778224054205</v>
      </c>
    </row>
    <row r="14740" spans="2:7" ht="11.25" hidden="1" customHeight="1" outlineLevel="2" x14ac:dyDescent="0.25">
      <c r="B14740" s="704" t="s">
        <v>697</v>
      </c>
      <c r="C14740" s="704" t="s">
        <v>773</v>
      </c>
      <c r="D14740" s="704" t="s">
        <v>563</v>
      </c>
      <c r="E14740" s="704" t="s">
        <v>448</v>
      </c>
      <c r="F14740" s="705">
        <v>1.1882757579932536E-3</v>
      </c>
      <c r="G14740" s="705">
        <v>1.3619001888479747</v>
      </c>
    </row>
    <row r="14741" spans="2:7" ht="11.25" hidden="1" customHeight="1" outlineLevel="2" x14ac:dyDescent="0.25">
      <c r="B14741" s="704" t="s">
        <v>697</v>
      </c>
      <c r="C14741" s="704" t="s">
        <v>774</v>
      </c>
      <c r="D14741" s="704" t="s">
        <v>563</v>
      </c>
      <c r="E14741" s="704" t="s">
        <v>448</v>
      </c>
      <c r="F14741" s="705">
        <v>4.3489247538599325E-4</v>
      </c>
      <c r="G14741" s="705">
        <v>0.58933428077303229</v>
      </c>
    </row>
    <row r="14742" spans="2:7" ht="11.25" hidden="1" customHeight="1" outlineLevel="2" x14ac:dyDescent="0.25">
      <c r="B14742" s="704" t="s">
        <v>697</v>
      </c>
      <c r="C14742" s="704" t="s">
        <v>775</v>
      </c>
      <c r="D14742" s="704" t="s">
        <v>563</v>
      </c>
      <c r="E14742" s="704" t="s">
        <v>448</v>
      </c>
      <c r="F14742" s="705">
        <v>4.6643110265598105E-4</v>
      </c>
      <c r="G14742" s="705">
        <v>6.0041765747264861</v>
      </c>
    </row>
    <row r="14743" spans="2:7" ht="11.25" hidden="1" customHeight="1" outlineLevel="2" x14ac:dyDescent="0.25">
      <c r="B14743" s="704" t="s">
        <v>697</v>
      </c>
      <c r="C14743" s="704" t="s">
        <v>839</v>
      </c>
      <c r="D14743" s="704" t="s">
        <v>563</v>
      </c>
      <c r="E14743" s="704" t="s">
        <v>824</v>
      </c>
      <c r="F14743" s="705">
        <v>2.0757850449514097E-2</v>
      </c>
      <c r="G14743" s="705">
        <v>50.372438933102387</v>
      </c>
    </row>
    <row r="14744" spans="2:7" ht="11.25" hidden="1" customHeight="1" outlineLevel="2" x14ac:dyDescent="0.25">
      <c r="B14744" s="704" t="s">
        <v>697</v>
      </c>
      <c r="C14744" s="704" t="s">
        <v>840</v>
      </c>
      <c r="D14744" s="704" t="s">
        <v>563</v>
      </c>
      <c r="E14744" s="704" t="s">
        <v>824</v>
      </c>
      <c r="F14744" s="705">
        <v>0.60493278448590626</v>
      </c>
      <c r="G14744" s="705">
        <v>4453.6990742271319</v>
      </c>
    </row>
    <row r="14745" spans="2:7" ht="11.25" hidden="1" customHeight="1" outlineLevel="2" x14ac:dyDescent="0.25">
      <c r="B14745" s="704" t="s">
        <v>697</v>
      </c>
      <c r="C14745" s="704" t="s">
        <v>841</v>
      </c>
      <c r="D14745" s="704" t="s">
        <v>563</v>
      </c>
      <c r="E14745" s="704" t="s">
        <v>824</v>
      </c>
      <c r="F14745" s="705">
        <v>2.942358987565636E-3</v>
      </c>
      <c r="G14745" s="705">
        <v>33.670065367858257</v>
      </c>
    </row>
    <row r="14746" spans="2:7" ht="11.25" hidden="1" customHeight="1" outlineLevel="2" x14ac:dyDescent="0.25">
      <c r="B14746" s="704" t="s">
        <v>697</v>
      </c>
      <c r="C14746" s="704" t="s">
        <v>842</v>
      </c>
      <c r="D14746" s="704" t="s">
        <v>563</v>
      </c>
      <c r="E14746" s="704" t="s">
        <v>824</v>
      </c>
      <c r="F14746" s="705">
        <v>1.0662384328488351E-3</v>
      </c>
      <c r="G14746" s="705">
        <v>10.436150251267705</v>
      </c>
    </row>
    <row r="14747" spans="2:7" ht="11.25" hidden="1" customHeight="1" outlineLevel="2" x14ac:dyDescent="0.25">
      <c r="B14747" s="704" t="s">
        <v>697</v>
      </c>
      <c r="C14747" s="704" t="s">
        <v>843</v>
      </c>
      <c r="D14747" s="704" t="s">
        <v>563</v>
      </c>
      <c r="E14747" s="704" t="s">
        <v>824</v>
      </c>
      <c r="F14747" s="705">
        <v>1.0305792095386104E-3</v>
      </c>
      <c r="G14747" s="705">
        <v>2.6927094504721389</v>
      </c>
    </row>
    <row r="14748" spans="2:7" ht="11.25" hidden="1" customHeight="1" outlineLevel="2" x14ac:dyDescent="0.25">
      <c r="B14748" s="704" t="s">
        <v>697</v>
      </c>
      <c r="C14748" s="704" t="s">
        <v>844</v>
      </c>
      <c r="D14748" s="704" t="s">
        <v>563</v>
      </c>
      <c r="E14748" s="704" t="s">
        <v>824</v>
      </c>
      <c r="F14748" s="705">
        <v>1.0306241170174892E-3</v>
      </c>
      <c r="G14748" s="705">
        <v>20.481235834305252</v>
      </c>
    </row>
    <row r="14749" spans="2:7" ht="11.25" hidden="1" customHeight="1" outlineLevel="2" x14ac:dyDescent="0.25">
      <c r="B14749" s="704" t="s">
        <v>697</v>
      </c>
      <c r="C14749" s="704" t="s">
        <v>700</v>
      </c>
      <c r="D14749" s="704" t="s">
        <v>563</v>
      </c>
      <c r="E14749" s="704" t="s">
        <v>676</v>
      </c>
      <c r="F14749" s="705">
        <v>3.1241759318926765</v>
      </c>
      <c r="G14749" s="705">
        <v>262.91739579379703</v>
      </c>
    </row>
    <row r="14750" spans="2:7" ht="11.25" hidden="1" customHeight="1" outlineLevel="2" x14ac:dyDescent="0.25">
      <c r="B14750" s="704" t="s">
        <v>697</v>
      </c>
      <c r="C14750" s="704" t="s">
        <v>701</v>
      </c>
      <c r="D14750" s="704" t="s">
        <v>563</v>
      </c>
      <c r="E14750" s="704" t="s">
        <v>676</v>
      </c>
      <c r="F14750" s="705">
        <v>3.4124007360450651E-3</v>
      </c>
      <c r="G14750" s="705">
        <v>0.29881513783050406</v>
      </c>
    </row>
    <row r="14751" spans="2:7" ht="11.25" hidden="1" customHeight="1" outlineLevel="2" x14ac:dyDescent="0.25">
      <c r="B14751" s="704" t="s">
        <v>697</v>
      </c>
      <c r="C14751" s="704" t="s">
        <v>702</v>
      </c>
      <c r="D14751" s="704" t="s">
        <v>563</v>
      </c>
      <c r="E14751" s="704" t="s">
        <v>676</v>
      </c>
      <c r="F14751" s="705">
        <v>1.5922238874414682E-3</v>
      </c>
      <c r="G14751" s="705">
        <v>0.16318646859922473</v>
      </c>
    </row>
    <row r="14752" spans="2:7" ht="11.25" hidden="1" customHeight="1" outlineLevel="2" x14ac:dyDescent="0.25">
      <c r="B14752" s="704" t="s">
        <v>697</v>
      </c>
      <c r="C14752" s="704" t="s">
        <v>703</v>
      </c>
      <c r="D14752" s="704" t="s">
        <v>563</v>
      </c>
      <c r="E14752" s="704" t="s">
        <v>676</v>
      </c>
      <c r="F14752" s="705">
        <v>5.6495257359917041E-3</v>
      </c>
      <c r="G14752" s="705">
        <v>0.55633182059210673</v>
      </c>
    </row>
    <row r="14753" spans="2:7" ht="11.25" hidden="1" customHeight="1" outlineLevel="2" x14ac:dyDescent="0.25">
      <c r="B14753" s="704" t="s">
        <v>697</v>
      </c>
      <c r="C14753" s="704" t="s">
        <v>704</v>
      </c>
      <c r="D14753" s="704" t="s">
        <v>563</v>
      </c>
      <c r="E14753" s="704" t="s">
        <v>676</v>
      </c>
      <c r="F14753" s="705">
        <v>5.4222234021296493E-3</v>
      </c>
      <c r="G14753" s="705">
        <v>1.2193389800143624</v>
      </c>
    </row>
    <row r="14754" spans="2:7" ht="11.25" hidden="1" customHeight="1" outlineLevel="2" x14ac:dyDescent="0.25">
      <c r="B14754" s="704" t="s">
        <v>697</v>
      </c>
      <c r="C14754" s="704" t="s">
        <v>887</v>
      </c>
      <c r="D14754" s="704" t="s">
        <v>563</v>
      </c>
      <c r="E14754" s="704" t="s">
        <v>861</v>
      </c>
      <c r="F14754" s="709"/>
      <c r="G14754" s="705">
        <v>81.953951546776935</v>
      </c>
    </row>
    <row r="14755" spans="2:7" ht="11.25" hidden="1" customHeight="1" outlineLevel="2" x14ac:dyDescent="0.25">
      <c r="B14755" s="704" t="s">
        <v>697</v>
      </c>
      <c r="C14755" s="704" t="s">
        <v>888</v>
      </c>
      <c r="D14755" s="704" t="s">
        <v>563</v>
      </c>
      <c r="E14755" s="704" t="s">
        <v>861</v>
      </c>
      <c r="F14755" s="709"/>
      <c r="G14755" s="705">
        <v>1189.1987686792472</v>
      </c>
    </row>
    <row r="14756" spans="2:7" ht="11.25" hidden="1" customHeight="1" outlineLevel="2" x14ac:dyDescent="0.25">
      <c r="B14756" s="704" t="s">
        <v>697</v>
      </c>
      <c r="C14756" s="704" t="s">
        <v>889</v>
      </c>
      <c r="D14756" s="704" t="s">
        <v>563</v>
      </c>
      <c r="E14756" s="704" t="s">
        <v>861</v>
      </c>
      <c r="F14756" s="709"/>
      <c r="G14756" s="705">
        <v>519.04622186925076</v>
      </c>
    </row>
    <row r="14757" spans="2:7" ht="11.25" hidden="1" customHeight="1" outlineLevel="2" x14ac:dyDescent="0.25">
      <c r="B14757" s="704" t="s">
        <v>697</v>
      </c>
      <c r="C14757" s="704" t="s">
        <v>890</v>
      </c>
      <c r="D14757" s="704" t="s">
        <v>563</v>
      </c>
      <c r="E14757" s="704" t="s">
        <v>861</v>
      </c>
      <c r="F14757" s="709"/>
      <c r="G14757" s="705">
        <v>526.826010541963</v>
      </c>
    </row>
    <row r="14758" spans="2:7" ht="11.25" hidden="1" customHeight="1" outlineLevel="2" x14ac:dyDescent="0.25">
      <c r="B14758" s="704" t="s">
        <v>697</v>
      </c>
      <c r="C14758" s="704" t="s">
        <v>891</v>
      </c>
      <c r="D14758" s="704" t="s">
        <v>563</v>
      </c>
      <c r="E14758" s="704" t="s">
        <v>861</v>
      </c>
      <c r="F14758" s="709"/>
      <c r="G14758" s="705">
        <v>20.253077445864474</v>
      </c>
    </row>
    <row r="14759" spans="2:7" ht="11.25" hidden="1" customHeight="1" outlineLevel="2" x14ac:dyDescent="0.25">
      <c r="B14759" s="704" t="s">
        <v>697</v>
      </c>
      <c r="C14759" s="704" t="s">
        <v>892</v>
      </c>
      <c r="D14759" s="704" t="s">
        <v>563</v>
      </c>
      <c r="E14759" s="704" t="s">
        <v>861</v>
      </c>
      <c r="F14759" s="709"/>
      <c r="G14759" s="705">
        <v>1618.2292911925458</v>
      </c>
    </row>
    <row r="14760" spans="2:7" ht="11.25" hidden="1" customHeight="1" outlineLevel="2" x14ac:dyDescent="0.25">
      <c r="B14760" s="704" t="s">
        <v>697</v>
      </c>
      <c r="C14760" s="704" t="s">
        <v>893</v>
      </c>
      <c r="D14760" s="704" t="s">
        <v>563</v>
      </c>
      <c r="E14760" s="704" t="s">
        <v>861</v>
      </c>
      <c r="F14760" s="709"/>
      <c r="G14760" s="705">
        <v>748.6921368370422</v>
      </c>
    </row>
    <row r="14761" spans="2:7" ht="11.25" hidden="1" customHeight="1" outlineLevel="2" x14ac:dyDescent="0.25">
      <c r="B14761" s="704" t="s">
        <v>697</v>
      </c>
      <c r="C14761" s="704" t="s">
        <v>727</v>
      </c>
      <c r="D14761" s="704" t="s">
        <v>728</v>
      </c>
      <c r="E14761" s="704" t="s">
        <v>448</v>
      </c>
      <c r="F14761" s="705">
        <v>6.5519837354494348E-3</v>
      </c>
      <c r="G14761" s="705">
        <v>3.5886286845693411</v>
      </c>
    </row>
    <row r="14762" spans="2:7" ht="11.25" hidden="1" customHeight="1" outlineLevel="2" x14ac:dyDescent="0.25">
      <c r="B14762" s="704" t="s">
        <v>697</v>
      </c>
      <c r="C14762" s="704" t="s">
        <v>729</v>
      </c>
      <c r="D14762" s="704" t="s">
        <v>728</v>
      </c>
      <c r="E14762" s="704" t="s">
        <v>448</v>
      </c>
      <c r="F14762" s="705">
        <v>2.4749640163307916E-2</v>
      </c>
      <c r="G14762" s="705">
        <v>13.358280765501567</v>
      </c>
    </row>
    <row r="14763" spans="2:7" ht="11.25" hidden="1" customHeight="1" outlineLevel="2" x14ac:dyDescent="0.25">
      <c r="B14763" s="704" t="s">
        <v>697</v>
      </c>
      <c r="C14763" s="704" t="s">
        <v>730</v>
      </c>
      <c r="D14763" s="704" t="s">
        <v>728</v>
      </c>
      <c r="E14763" s="704" t="s">
        <v>448</v>
      </c>
      <c r="F14763" s="705">
        <v>9.402617313322785E-2</v>
      </c>
      <c r="G14763" s="705">
        <v>49.023612044238035</v>
      </c>
    </row>
    <row r="14764" spans="2:7" ht="11.25" hidden="1" customHeight="1" outlineLevel="2" x14ac:dyDescent="0.25">
      <c r="B14764" s="704" t="s">
        <v>697</v>
      </c>
      <c r="C14764" s="704" t="s">
        <v>731</v>
      </c>
      <c r="D14764" s="704" t="s">
        <v>728</v>
      </c>
      <c r="E14764" s="704" t="s">
        <v>448</v>
      </c>
      <c r="F14764" s="705">
        <v>0.27114672933561607</v>
      </c>
      <c r="G14764" s="705">
        <v>148.66350700146478</v>
      </c>
    </row>
    <row r="14765" spans="2:7" ht="11.25" hidden="1" customHeight="1" outlineLevel="2" x14ac:dyDescent="0.25">
      <c r="B14765" s="704" t="s">
        <v>697</v>
      </c>
      <c r="C14765" s="704" t="s">
        <v>732</v>
      </c>
      <c r="D14765" s="704" t="s">
        <v>728</v>
      </c>
      <c r="E14765" s="704" t="s">
        <v>448</v>
      </c>
      <c r="F14765" s="705">
        <v>0.11591506774051616</v>
      </c>
      <c r="G14765" s="705">
        <v>68.31685410302228</v>
      </c>
    </row>
    <row r="14766" spans="2:7" ht="11.25" hidden="1" customHeight="1" outlineLevel="2" x14ac:dyDescent="0.25">
      <c r="B14766" s="704" t="s">
        <v>697</v>
      </c>
      <c r="C14766" s="704" t="s">
        <v>733</v>
      </c>
      <c r="D14766" s="704" t="s">
        <v>728</v>
      </c>
      <c r="E14766" s="704" t="s">
        <v>448</v>
      </c>
      <c r="F14766" s="705">
        <v>0.25599655754754702</v>
      </c>
      <c r="G14766" s="705">
        <v>129.63190358786494</v>
      </c>
    </row>
    <row r="14767" spans="2:7" ht="11.25" hidden="1" customHeight="1" outlineLevel="2" x14ac:dyDescent="0.25">
      <c r="B14767" s="704" t="s">
        <v>697</v>
      </c>
      <c r="C14767" s="704" t="s">
        <v>734</v>
      </c>
      <c r="D14767" s="704" t="s">
        <v>728</v>
      </c>
      <c r="E14767" s="704" t="s">
        <v>448</v>
      </c>
      <c r="F14767" s="705">
        <v>8.170427418343168E-2</v>
      </c>
      <c r="G14767" s="705">
        <v>43.968601191284357</v>
      </c>
    </row>
    <row r="14768" spans="2:7" ht="11.25" hidden="1" customHeight="1" outlineLevel="2" x14ac:dyDescent="0.25">
      <c r="B14768" s="704" t="s">
        <v>697</v>
      </c>
      <c r="C14768" s="704" t="s">
        <v>735</v>
      </c>
      <c r="D14768" s="704" t="s">
        <v>728</v>
      </c>
      <c r="E14768" s="704" t="s">
        <v>448</v>
      </c>
      <c r="F14768" s="705">
        <v>0.22594528465569386</v>
      </c>
      <c r="G14768" s="705">
        <v>121.04534528099919</v>
      </c>
    </row>
    <row r="14769" spans="2:7" ht="11.25" hidden="1" customHeight="1" outlineLevel="2" x14ac:dyDescent="0.25">
      <c r="B14769" s="704" t="s">
        <v>697</v>
      </c>
      <c r="C14769" s="704" t="s">
        <v>736</v>
      </c>
      <c r="D14769" s="704" t="s">
        <v>728</v>
      </c>
      <c r="E14769" s="704" t="s">
        <v>448</v>
      </c>
      <c r="F14769" s="705">
        <v>1.7703098600000002E-34</v>
      </c>
      <c r="G14769" s="705">
        <v>2.6023334480000002E-32</v>
      </c>
    </row>
    <row r="14770" spans="2:7" ht="11.25" hidden="1" customHeight="1" outlineLevel="2" x14ac:dyDescent="0.25">
      <c r="B14770" s="704" t="s">
        <v>697</v>
      </c>
      <c r="C14770" s="704" t="s">
        <v>737</v>
      </c>
      <c r="D14770" s="704" t="s">
        <v>728</v>
      </c>
      <c r="E14770" s="704" t="s">
        <v>448</v>
      </c>
      <c r="F14770" s="705">
        <v>7.1032856400000004E-32</v>
      </c>
      <c r="G14770" s="705">
        <v>1.042564798E-29</v>
      </c>
    </row>
    <row r="14771" spans="2:7" ht="11.25" hidden="1" customHeight="1" outlineLevel="2" x14ac:dyDescent="0.25">
      <c r="B14771" s="704" t="s">
        <v>697</v>
      </c>
      <c r="C14771" s="704" t="s">
        <v>738</v>
      </c>
      <c r="D14771" s="704" t="s">
        <v>728</v>
      </c>
      <c r="E14771" s="704" t="s">
        <v>448</v>
      </c>
      <c r="F14771" s="705">
        <v>1.1069120048298309E-4</v>
      </c>
      <c r="G14771" s="705">
        <v>5.5327979205064992E-2</v>
      </c>
    </row>
    <row r="14772" spans="2:7" ht="11.25" hidden="1" customHeight="1" outlineLevel="2" x14ac:dyDescent="0.25">
      <c r="B14772" s="704" t="s">
        <v>697</v>
      </c>
      <c r="C14772" s="704" t="s">
        <v>776</v>
      </c>
      <c r="D14772" s="704" t="s">
        <v>728</v>
      </c>
      <c r="E14772" s="704" t="s">
        <v>448</v>
      </c>
      <c r="F14772" s="705">
        <v>0.98399626266990137</v>
      </c>
      <c r="G14772" s="705">
        <v>612.4535827099777</v>
      </c>
    </row>
    <row r="14773" spans="2:7" ht="11.25" hidden="1" customHeight="1" outlineLevel="2" x14ac:dyDescent="0.25">
      <c r="B14773" s="704" t="s">
        <v>697</v>
      </c>
      <c r="C14773" s="704" t="s">
        <v>777</v>
      </c>
      <c r="D14773" s="704" t="s">
        <v>728</v>
      </c>
      <c r="E14773" s="704" t="s">
        <v>448</v>
      </c>
      <c r="F14773" s="705">
        <v>0.31602646971731285</v>
      </c>
      <c r="G14773" s="705">
        <v>377.87507884516469</v>
      </c>
    </row>
    <row r="14774" spans="2:7" ht="11.25" hidden="1" customHeight="1" outlineLevel="2" x14ac:dyDescent="0.25">
      <c r="B14774" s="704" t="s">
        <v>697</v>
      </c>
      <c r="C14774" s="704" t="s">
        <v>778</v>
      </c>
      <c r="D14774" s="704" t="s">
        <v>728</v>
      </c>
      <c r="E14774" s="704" t="s">
        <v>448</v>
      </c>
      <c r="F14774" s="705">
        <v>8.3182412470919911E-2</v>
      </c>
      <c r="G14774" s="705">
        <v>51.3550665395382</v>
      </c>
    </row>
    <row r="14775" spans="2:7" ht="11.25" hidden="1" customHeight="1" outlineLevel="2" x14ac:dyDescent="0.25">
      <c r="B14775" s="704" t="s">
        <v>697</v>
      </c>
      <c r="C14775" s="704" t="s">
        <v>779</v>
      </c>
      <c r="D14775" s="704" t="s">
        <v>728</v>
      </c>
      <c r="E14775" s="704" t="s">
        <v>448</v>
      </c>
      <c r="F14775" s="705">
        <v>0.25616015185944291</v>
      </c>
      <c r="G14775" s="705">
        <v>192.34185849741365</v>
      </c>
    </row>
    <row r="14776" spans="2:7" ht="11.25" hidden="1" customHeight="1" outlineLevel="2" x14ac:dyDescent="0.25">
      <c r="B14776" s="704" t="s">
        <v>697</v>
      </c>
      <c r="C14776" s="704" t="s">
        <v>780</v>
      </c>
      <c r="D14776" s="704" t="s">
        <v>728</v>
      </c>
      <c r="E14776" s="704" t="s">
        <v>448</v>
      </c>
      <c r="F14776" s="705">
        <v>4.5085951610475397E-3</v>
      </c>
      <c r="G14776" s="705">
        <v>3.4095201763166845</v>
      </c>
    </row>
    <row r="14777" spans="2:7" ht="11.25" hidden="1" customHeight="1" outlineLevel="2" x14ac:dyDescent="0.25">
      <c r="B14777" s="704" t="s">
        <v>697</v>
      </c>
      <c r="C14777" s="704" t="s">
        <v>781</v>
      </c>
      <c r="D14777" s="704" t="s">
        <v>728</v>
      </c>
      <c r="E14777" s="704" t="s">
        <v>448</v>
      </c>
      <c r="F14777" s="705">
        <v>7.022819659721756E-3</v>
      </c>
      <c r="G14777" s="705">
        <v>8.7534270043001463</v>
      </c>
    </row>
    <row r="14778" spans="2:7" ht="11.25" hidden="1" customHeight="1" outlineLevel="2" x14ac:dyDescent="0.25">
      <c r="B14778" s="704" t="s">
        <v>697</v>
      </c>
      <c r="C14778" s="704" t="s">
        <v>782</v>
      </c>
      <c r="D14778" s="704" t="s">
        <v>728</v>
      </c>
      <c r="E14778" s="704" t="s">
        <v>448</v>
      </c>
      <c r="F14778" s="705">
        <v>8.5810268020994635E-3</v>
      </c>
      <c r="G14778" s="705">
        <v>6.5047611182327083</v>
      </c>
    </row>
    <row r="14779" spans="2:7" ht="11.25" hidden="1" customHeight="1" outlineLevel="2" x14ac:dyDescent="0.25">
      <c r="B14779" s="704" t="s">
        <v>697</v>
      </c>
      <c r="C14779" s="704" t="s">
        <v>783</v>
      </c>
      <c r="D14779" s="704" t="s">
        <v>728</v>
      </c>
      <c r="E14779" s="704" t="s">
        <v>448</v>
      </c>
      <c r="F14779" s="705">
        <v>0.23057324666061338</v>
      </c>
      <c r="G14779" s="705">
        <v>361.12386969012368</v>
      </c>
    </row>
    <row r="14780" spans="2:7" ht="11.25" hidden="1" customHeight="1" outlineLevel="2" x14ac:dyDescent="0.25">
      <c r="B14780" s="704" t="s">
        <v>697</v>
      </c>
      <c r="C14780" s="704" t="s">
        <v>784</v>
      </c>
      <c r="D14780" s="704" t="s">
        <v>728</v>
      </c>
      <c r="E14780" s="704" t="s">
        <v>448</v>
      </c>
      <c r="F14780" s="705">
        <v>1.37655811414E-32</v>
      </c>
      <c r="G14780" s="705">
        <v>7.5309819200000002E-30</v>
      </c>
    </row>
    <row r="14781" spans="2:7" ht="11.25" hidden="1" customHeight="1" outlineLevel="2" x14ac:dyDescent="0.25">
      <c r="B14781" s="704" t="s">
        <v>697</v>
      </c>
      <c r="C14781" s="704" t="s">
        <v>785</v>
      </c>
      <c r="D14781" s="704" t="s">
        <v>728</v>
      </c>
      <c r="E14781" s="704" t="s">
        <v>448</v>
      </c>
      <c r="F14781" s="705">
        <v>1.17714141666E-32</v>
      </c>
      <c r="G14781" s="705">
        <v>6.4383722479999999E-30</v>
      </c>
    </row>
    <row r="14782" spans="2:7" ht="11.25" hidden="1" customHeight="1" outlineLevel="2" x14ac:dyDescent="0.25">
      <c r="B14782" s="704" t="s">
        <v>697</v>
      </c>
      <c r="C14782" s="704" t="s">
        <v>786</v>
      </c>
      <c r="D14782" s="704" t="s">
        <v>728</v>
      </c>
      <c r="E14782" s="704" t="s">
        <v>448</v>
      </c>
      <c r="F14782" s="705">
        <v>9.6790038927871386E-2</v>
      </c>
      <c r="G14782" s="705">
        <v>122.88653608905017</v>
      </c>
    </row>
    <row r="14783" spans="2:7" ht="11.25" hidden="1" customHeight="1" outlineLevel="2" x14ac:dyDescent="0.25">
      <c r="B14783" s="704" t="s">
        <v>697</v>
      </c>
      <c r="C14783" s="704" t="s">
        <v>787</v>
      </c>
      <c r="D14783" s="704" t="s">
        <v>728</v>
      </c>
      <c r="E14783" s="704" t="s">
        <v>448</v>
      </c>
      <c r="F14783" s="705">
        <v>2.9446929408748202E-2</v>
      </c>
      <c r="G14783" s="705">
        <v>41.721690420725636</v>
      </c>
    </row>
    <row r="14784" spans="2:7" ht="11.25" hidden="1" customHeight="1" outlineLevel="2" x14ac:dyDescent="0.25">
      <c r="B14784" s="704" t="s">
        <v>697</v>
      </c>
      <c r="C14784" s="704" t="s">
        <v>788</v>
      </c>
      <c r="D14784" s="704" t="s">
        <v>728</v>
      </c>
      <c r="E14784" s="704" t="s">
        <v>448</v>
      </c>
      <c r="F14784" s="705">
        <v>4.150534620988889E-2</v>
      </c>
      <c r="G14784" s="705">
        <v>47.487878947667582</v>
      </c>
    </row>
    <row r="14785" spans="2:7" ht="11.25" hidden="1" customHeight="1" outlineLevel="2" x14ac:dyDescent="0.25">
      <c r="B14785" s="704" t="s">
        <v>697</v>
      </c>
      <c r="C14785" s="704" t="s">
        <v>789</v>
      </c>
      <c r="D14785" s="704" t="s">
        <v>728</v>
      </c>
      <c r="E14785" s="704" t="s">
        <v>448</v>
      </c>
      <c r="F14785" s="705">
        <v>3.1986044539158813E-2</v>
      </c>
      <c r="G14785" s="705">
        <v>22.113474074826183</v>
      </c>
    </row>
    <row r="14786" spans="2:7" ht="11.25" hidden="1" customHeight="1" outlineLevel="2" x14ac:dyDescent="0.25">
      <c r="B14786" s="704" t="s">
        <v>697</v>
      </c>
      <c r="C14786" s="704" t="s">
        <v>790</v>
      </c>
      <c r="D14786" s="704" t="s">
        <v>728</v>
      </c>
      <c r="E14786" s="704" t="s">
        <v>448</v>
      </c>
      <c r="F14786" s="705">
        <v>1.2942724285890759</v>
      </c>
      <c r="G14786" s="705">
        <v>1647.208429746001</v>
      </c>
    </row>
    <row r="14787" spans="2:7" ht="11.25" hidden="1" customHeight="1" outlineLevel="2" x14ac:dyDescent="0.25">
      <c r="B14787" s="704" t="s">
        <v>697</v>
      </c>
      <c r="C14787" s="704" t="s">
        <v>791</v>
      </c>
      <c r="D14787" s="704" t="s">
        <v>728</v>
      </c>
      <c r="E14787" s="704" t="s">
        <v>448</v>
      </c>
      <c r="F14787" s="705">
        <v>0.40011343927687959</v>
      </c>
      <c r="G14787" s="705">
        <v>567.01566853723773</v>
      </c>
    </row>
    <row r="14788" spans="2:7" ht="11.25" hidden="1" customHeight="1" outlineLevel="2" x14ac:dyDescent="0.25">
      <c r="B14788" s="704" t="s">
        <v>697</v>
      </c>
      <c r="C14788" s="704" t="s">
        <v>792</v>
      </c>
      <c r="D14788" s="704" t="s">
        <v>728</v>
      </c>
      <c r="E14788" s="704" t="s">
        <v>448</v>
      </c>
      <c r="F14788" s="705">
        <v>4.5047840762684574E-2</v>
      </c>
      <c r="G14788" s="705">
        <v>94.930315318806251</v>
      </c>
    </row>
    <row r="14789" spans="2:7" ht="11.25" hidden="1" customHeight="1" outlineLevel="2" x14ac:dyDescent="0.25">
      <c r="B14789" s="704" t="s">
        <v>697</v>
      </c>
      <c r="C14789" s="704" t="s">
        <v>793</v>
      </c>
      <c r="D14789" s="704" t="s">
        <v>728</v>
      </c>
      <c r="E14789" s="704" t="s">
        <v>448</v>
      </c>
      <c r="F14789" s="705">
        <v>1.2530520612754668</v>
      </c>
      <c r="G14789" s="705">
        <v>1829.2295106599977</v>
      </c>
    </row>
    <row r="14790" spans="2:7" ht="11.25" hidden="1" customHeight="1" outlineLevel="2" x14ac:dyDescent="0.25">
      <c r="B14790" s="704" t="s">
        <v>697</v>
      </c>
      <c r="C14790" s="704" t="s">
        <v>794</v>
      </c>
      <c r="D14790" s="704" t="s">
        <v>728</v>
      </c>
      <c r="E14790" s="704" t="s">
        <v>448</v>
      </c>
      <c r="F14790" s="705">
        <v>7.4435594770321675E-2</v>
      </c>
      <c r="G14790" s="705">
        <v>58.346234703400228</v>
      </c>
    </row>
    <row r="14791" spans="2:7" ht="11.25" hidden="1" customHeight="1" outlineLevel="2" x14ac:dyDescent="0.25">
      <c r="B14791" s="704" t="s">
        <v>697</v>
      </c>
      <c r="C14791" s="704" t="s">
        <v>795</v>
      </c>
      <c r="D14791" s="704" t="s">
        <v>728</v>
      </c>
      <c r="E14791" s="704" t="s">
        <v>448</v>
      </c>
      <c r="F14791" s="705">
        <v>7.135896842742355E-2</v>
      </c>
      <c r="G14791" s="705">
        <v>56.04687553950221</v>
      </c>
    </row>
    <row r="14792" spans="2:7" ht="11.25" hidden="1" customHeight="1" outlineLevel="2" x14ac:dyDescent="0.25">
      <c r="B14792" s="704" t="s">
        <v>697</v>
      </c>
      <c r="C14792" s="704" t="s">
        <v>845</v>
      </c>
      <c r="D14792" s="704" t="s">
        <v>728</v>
      </c>
      <c r="E14792" s="704" t="s">
        <v>824</v>
      </c>
      <c r="F14792" s="705">
        <v>3.5302662366687829E-3</v>
      </c>
      <c r="G14792" s="705">
        <v>31.491437030172097</v>
      </c>
    </row>
    <row r="14793" spans="2:7" ht="11.25" hidden="1" customHeight="1" outlineLevel="2" x14ac:dyDescent="0.25">
      <c r="B14793" s="704" t="s">
        <v>697</v>
      </c>
      <c r="C14793" s="704" t="s">
        <v>894</v>
      </c>
      <c r="D14793" s="704" t="s">
        <v>728</v>
      </c>
      <c r="E14793" s="704" t="s">
        <v>861</v>
      </c>
      <c r="F14793" s="709"/>
      <c r="G14793" s="705">
        <v>4.895248033170721E-2</v>
      </c>
    </row>
    <row r="14794" spans="2:7" ht="11.25" hidden="1" customHeight="1" outlineLevel="2" x14ac:dyDescent="0.25">
      <c r="B14794" s="704" t="s">
        <v>697</v>
      </c>
      <c r="C14794" s="704" t="s">
        <v>895</v>
      </c>
      <c r="D14794" s="704" t="s">
        <v>728</v>
      </c>
      <c r="E14794" s="704" t="s">
        <v>861</v>
      </c>
      <c r="F14794" s="709"/>
      <c r="G14794" s="705">
        <v>2.6001288280000003E-29</v>
      </c>
    </row>
    <row r="14795" spans="2:7" ht="11.25" hidden="1" customHeight="1" outlineLevel="2" x14ac:dyDescent="0.25">
      <c r="B14795" s="704" t="s">
        <v>697</v>
      </c>
      <c r="C14795" s="704" t="s">
        <v>896</v>
      </c>
      <c r="D14795" s="704" t="s">
        <v>728</v>
      </c>
      <c r="E14795" s="704" t="s">
        <v>861</v>
      </c>
      <c r="F14795" s="709"/>
      <c r="G14795" s="705">
        <v>342.31549447706152</v>
      </c>
    </row>
    <row r="14796" spans="2:7" ht="11.25" hidden="1" customHeight="1" outlineLevel="2" x14ac:dyDescent="0.25">
      <c r="B14796" s="704" t="s">
        <v>697</v>
      </c>
      <c r="C14796" s="704" t="s">
        <v>897</v>
      </c>
      <c r="D14796" s="704" t="s">
        <v>728</v>
      </c>
      <c r="E14796" s="704" t="s">
        <v>861</v>
      </c>
      <c r="F14796" s="709"/>
      <c r="G14796" s="705">
        <v>70.642363894968597</v>
      </c>
    </row>
    <row r="14797" spans="2:7" ht="11.25" hidden="1" customHeight="1" outlineLevel="2" x14ac:dyDescent="0.25">
      <c r="B14797" s="704" t="s">
        <v>697</v>
      </c>
      <c r="C14797" s="704" t="s">
        <v>898</v>
      </c>
      <c r="D14797" s="704" t="s">
        <v>728</v>
      </c>
      <c r="E14797" s="704" t="s">
        <v>861</v>
      </c>
      <c r="F14797" s="709"/>
      <c r="G14797" s="705">
        <v>466.05351416785169</v>
      </c>
    </row>
    <row r="14798" spans="2:7" ht="11.25" hidden="1" customHeight="1" outlineLevel="2" x14ac:dyDescent="0.25">
      <c r="B14798" s="704" t="s">
        <v>697</v>
      </c>
      <c r="C14798" s="704" t="s">
        <v>899</v>
      </c>
      <c r="D14798" s="704" t="s">
        <v>728</v>
      </c>
      <c r="E14798" s="704" t="s">
        <v>861</v>
      </c>
      <c r="F14798" s="709"/>
      <c r="G14798" s="705">
        <v>54.951728350653831</v>
      </c>
    </row>
    <row r="14799" spans="2:7" ht="11.25" hidden="1" customHeight="1" outlineLevel="2" x14ac:dyDescent="0.25">
      <c r="B14799" s="704" t="s">
        <v>697</v>
      </c>
      <c r="C14799" s="704" t="s">
        <v>900</v>
      </c>
      <c r="D14799" s="704" t="s">
        <v>728</v>
      </c>
      <c r="E14799" s="704" t="s">
        <v>861</v>
      </c>
      <c r="F14799" s="709"/>
      <c r="G14799" s="705">
        <v>1.3089845243992875</v>
      </c>
    </row>
    <row r="14800" spans="2:7" ht="11.25" hidden="1" customHeight="1" outlineLevel="2" x14ac:dyDescent="0.25">
      <c r="B14800" s="704" t="s">
        <v>697</v>
      </c>
      <c r="C14800" s="704" t="s">
        <v>744</v>
      </c>
      <c r="D14800" s="704" t="s">
        <v>745</v>
      </c>
      <c r="E14800" s="704" t="s">
        <v>448</v>
      </c>
      <c r="F14800" s="705">
        <v>6.8167051634671225E-2</v>
      </c>
      <c r="G14800" s="705">
        <v>39.417599668865485</v>
      </c>
    </row>
    <row r="14801" spans="2:7" ht="11.25" hidden="1" customHeight="1" outlineLevel="2" x14ac:dyDescent="0.25">
      <c r="B14801" s="704" t="s">
        <v>697</v>
      </c>
      <c r="C14801" s="704" t="s">
        <v>812</v>
      </c>
      <c r="D14801" s="704" t="s">
        <v>745</v>
      </c>
      <c r="E14801" s="704" t="s">
        <v>448</v>
      </c>
      <c r="F14801" s="705">
        <v>7.9688703159370697E-2</v>
      </c>
      <c r="G14801" s="705">
        <v>88.754870885745817</v>
      </c>
    </row>
    <row r="14802" spans="2:7" ht="11.25" hidden="1" customHeight="1" outlineLevel="2" x14ac:dyDescent="0.25">
      <c r="B14802" s="704" t="s">
        <v>697</v>
      </c>
      <c r="C14802" s="704" t="s">
        <v>813</v>
      </c>
      <c r="D14802" s="704" t="s">
        <v>745</v>
      </c>
      <c r="E14802" s="704" t="s">
        <v>448</v>
      </c>
      <c r="F14802" s="705">
        <v>8.1740297001954879E-4</v>
      </c>
      <c r="G14802" s="705">
        <v>1.0426679063467732</v>
      </c>
    </row>
    <row r="14803" spans="2:7" ht="11.25" hidden="1" customHeight="1" outlineLevel="2" x14ac:dyDescent="0.25">
      <c r="B14803" s="704" t="s">
        <v>697</v>
      </c>
      <c r="C14803" s="704" t="s">
        <v>917</v>
      </c>
      <c r="D14803" s="704" t="s">
        <v>745</v>
      </c>
      <c r="E14803" s="704" t="s">
        <v>861</v>
      </c>
      <c r="F14803" s="709"/>
      <c r="G14803" s="705">
        <v>1181.141502274781</v>
      </c>
    </row>
    <row r="14804" spans="2:7" ht="11.25" hidden="1" customHeight="1" outlineLevel="2" x14ac:dyDescent="0.25">
      <c r="B14804" s="704" t="s">
        <v>697</v>
      </c>
      <c r="C14804" s="704" t="s">
        <v>816</v>
      </c>
      <c r="D14804" s="704" t="s">
        <v>712</v>
      </c>
      <c r="E14804" s="704" t="s">
        <v>448</v>
      </c>
      <c r="F14804" s="705">
        <v>7.598663754000002E-36</v>
      </c>
      <c r="G14804" s="705">
        <v>8.85375392E-33</v>
      </c>
    </row>
    <row r="14805" spans="2:7" ht="11.25" hidden="1" customHeight="1" outlineLevel="2" x14ac:dyDescent="0.25">
      <c r="B14805" s="704" t="s">
        <v>697</v>
      </c>
      <c r="C14805" s="704" t="s">
        <v>711</v>
      </c>
      <c r="D14805" s="704" t="s">
        <v>712</v>
      </c>
      <c r="E14805" s="704" t="s">
        <v>676</v>
      </c>
      <c r="F14805" s="705">
        <v>3.1359396728E-33</v>
      </c>
      <c r="G14805" s="705">
        <v>7.3524077000000003E-31</v>
      </c>
    </row>
    <row r="14806" spans="2:7" ht="11.25" hidden="1" customHeight="1" outlineLevel="2" x14ac:dyDescent="0.25">
      <c r="B14806" s="704" t="s">
        <v>697</v>
      </c>
      <c r="C14806" s="704" t="s">
        <v>921</v>
      </c>
      <c r="D14806" s="704" t="s">
        <v>712</v>
      </c>
      <c r="E14806" s="704" t="s">
        <v>861</v>
      </c>
      <c r="F14806" s="709"/>
      <c r="G14806" s="705">
        <v>7.9710240719999993E-32</v>
      </c>
    </row>
    <row r="14807" spans="2:7" ht="11.25" hidden="1" customHeight="1" outlineLevel="2" x14ac:dyDescent="0.25">
      <c r="B14807" s="704" t="s">
        <v>697</v>
      </c>
      <c r="C14807" s="704" t="s">
        <v>817</v>
      </c>
      <c r="D14807" s="704" t="s">
        <v>818</v>
      </c>
      <c r="E14807" s="704" t="s">
        <v>448</v>
      </c>
      <c r="F14807" s="705">
        <v>3.2235064731661458</v>
      </c>
      <c r="G14807" s="705">
        <v>2648.8446339886632</v>
      </c>
    </row>
    <row r="14808" spans="2:7" ht="11.25" hidden="1" customHeight="1" outlineLevel="2" x14ac:dyDescent="0.25">
      <c r="B14808" s="704" t="s">
        <v>697</v>
      </c>
      <c r="C14808" s="704" t="s">
        <v>819</v>
      </c>
      <c r="D14808" s="704" t="s">
        <v>818</v>
      </c>
      <c r="E14808" s="704" t="s">
        <v>448</v>
      </c>
      <c r="F14808" s="705">
        <v>1.403665457647967</v>
      </c>
      <c r="G14808" s="705">
        <v>1117.8052808221689</v>
      </c>
    </row>
    <row r="14809" spans="2:7" ht="11.25" hidden="1" customHeight="1" outlineLevel="2" x14ac:dyDescent="0.25">
      <c r="B14809" s="704" t="s">
        <v>697</v>
      </c>
      <c r="C14809" s="704" t="s">
        <v>820</v>
      </c>
      <c r="D14809" s="704" t="s">
        <v>818</v>
      </c>
      <c r="E14809" s="704" t="s">
        <v>448</v>
      </c>
      <c r="F14809" s="705">
        <v>0.75367087697340085</v>
      </c>
      <c r="G14809" s="705">
        <v>1175.6815847397349</v>
      </c>
    </row>
    <row r="14810" spans="2:7" ht="11.25" hidden="1" customHeight="1" outlineLevel="2" x14ac:dyDescent="0.25">
      <c r="B14810" s="704" t="s">
        <v>697</v>
      </c>
      <c r="C14810" s="704" t="s">
        <v>857</v>
      </c>
      <c r="D14810" s="704" t="s">
        <v>818</v>
      </c>
      <c r="E14810" s="704" t="s">
        <v>664</v>
      </c>
      <c r="F14810" s="709"/>
      <c r="G14810" s="705">
        <v>1046.7858984729598</v>
      </c>
    </row>
    <row r="14811" spans="2:7" ht="11.25" hidden="1" customHeight="1" outlineLevel="2" x14ac:dyDescent="0.25">
      <c r="B14811" s="704" t="s">
        <v>697</v>
      </c>
      <c r="C14811" s="704" t="s">
        <v>858</v>
      </c>
      <c r="D14811" s="704" t="s">
        <v>818</v>
      </c>
      <c r="E14811" s="704" t="s">
        <v>664</v>
      </c>
      <c r="F14811" s="709"/>
      <c r="G14811" s="705">
        <v>6.2033293173438553</v>
      </c>
    </row>
    <row r="14812" spans="2:7" ht="11.25" hidden="1" customHeight="1" outlineLevel="2" x14ac:dyDescent="0.25">
      <c r="B14812" s="704" t="s">
        <v>697</v>
      </c>
      <c r="C14812" s="704" t="s">
        <v>922</v>
      </c>
      <c r="D14812" s="704" t="s">
        <v>822</v>
      </c>
      <c r="E14812" s="704" t="s">
        <v>861</v>
      </c>
      <c r="F14812" s="709"/>
      <c r="G14812" s="705">
        <v>3.9397285844655876</v>
      </c>
    </row>
    <row r="14813" spans="2:7" ht="11.25" hidden="1" customHeight="1" outlineLevel="2" x14ac:dyDescent="0.25">
      <c r="B14813" s="704" t="s">
        <v>697</v>
      </c>
      <c r="C14813" s="704" t="s">
        <v>821</v>
      </c>
      <c r="D14813" s="704" t="s">
        <v>822</v>
      </c>
      <c r="E14813" s="704" t="s">
        <v>448</v>
      </c>
      <c r="F14813" s="705">
        <v>1.2418145592836338E-4</v>
      </c>
      <c r="G14813" s="705">
        <v>0.16873380542616212</v>
      </c>
    </row>
    <row r="14814" spans="2:7" ht="11.25" hidden="1" customHeight="1" outlineLevel="2" x14ac:dyDescent="0.25">
      <c r="B14814" s="704" t="s">
        <v>697</v>
      </c>
      <c r="C14814" s="704" t="s">
        <v>855</v>
      </c>
      <c r="D14814" s="704" t="s">
        <v>822</v>
      </c>
      <c r="E14814" s="704" t="s">
        <v>824</v>
      </c>
      <c r="F14814" s="705">
        <v>1.9837532846788799E-6</v>
      </c>
      <c r="G14814" s="705">
        <v>5.7421875522407576E-3</v>
      </c>
    </row>
    <row r="14815" spans="2:7" ht="11.25" hidden="1" customHeight="1" outlineLevel="2" x14ac:dyDescent="0.25">
      <c r="B14815" s="704" t="s">
        <v>697</v>
      </c>
      <c r="C14815" s="704" t="s">
        <v>714</v>
      </c>
      <c r="D14815" s="704" t="s">
        <v>715</v>
      </c>
      <c r="E14815" s="704" t="s">
        <v>448</v>
      </c>
      <c r="F14815" s="705">
        <v>1.4114310618249204</v>
      </c>
      <c r="G14815" s="705">
        <v>357.83638726176002</v>
      </c>
    </row>
    <row r="14816" spans="2:7" ht="11.25" hidden="1" customHeight="1" outlineLevel="2" x14ac:dyDescent="0.25">
      <c r="B14816" s="704" t="s">
        <v>697</v>
      </c>
      <c r="C14816" s="704" t="s">
        <v>716</v>
      </c>
      <c r="D14816" s="704" t="s">
        <v>715</v>
      </c>
      <c r="E14816" s="704" t="s">
        <v>448</v>
      </c>
      <c r="F14816" s="705">
        <v>1.2209185559999999E-33</v>
      </c>
      <c r="G14816" s="705">
        <v>1.4909845060000002E-30</v>
      </c>
    </row>
    <row r="14817" spans="2:7" ht="11.25" hidden="1" customHeight="1" outlineLevel="2" x14ac:dyDescent="0.25">
      <c r="B14817" s="704" t="s">
        <v>697</v>
      </c>
      <c r="C14817" s="704" t="s">
        <v>717</v>
      </c>
      <c r="D14817" s="704" t="s">
        <v>715</v>
      </c>
      <c r="E14817" s="704" t="s">
        <v>448</v>
      </c>
      <c r="F14817" s="705">
        <v>1.5118312018958091</v>
      </c>
      <c r="G14817" s="705">
        <v>413.18481786782138</v>
      </c>
    </row>
    <row r="14818" spans="2:7" ht="11.25" hidden="1" customHeight="1" outlineLevel="2" x14ac:dyDescent="0.25">
      <c r="B14818" s="704" t="s">
        <v>697</v>
      </c>
      <c r="C14818" s="704" t="s">
        <v>718</v>
      </c>
      <c r="D14818" s="704" t="s">
        <v>715</v>
      </c>
      <c r="E14818" s="704" t="s">
        <v>448</v>
      </c>
      <c r="F14818" s="705">
        <v>9.6810498400065392E-2</v>
      </c>
      <c r="G14818" s="705">
        <v>106.22956157090668</v>
      </c>
    </row>
    <row r="14819" spans="2:7" ht="11.25" hidden="1" customHeight="1" outlineLevel="2" x14ac:dyDescent="0.25">
      <c r="B14819" s="704" t="s">
        <v>697</v>
      </c>
      <c r="C14819" s="704" t="s">
        <v>746</v>
      </c>
      <c r="D14819" s="704" t="s">
        <v>715</v>
      </c>
      <c r="E14819" s="704" t="s">
        <v>448</v>
      </c>
      <c r="F14819" s="705">
        <v>0.24812817860500444</v>
      </c>
      <c r="G14819" s="705">
        <v>172.91043027123987</v>
      </c>
    </row>
    <row r="14820" spans="2:7" ht="11.25" hidden="1" customHeight="1" outlineLevel="2" x14ac:dyDescent="0.25">
      <c r="B14820" s="704" t="s">
        <v>697</v>
      </c>
      <c r="C14820" s="704" t="s">
        <v>747</v>
      </c>
      <c r="D14820" s="704" t="s">
        <v>715</v>
      </c>
      <c r="E14820" s="704" t="s">
        <v>448</v>
      </c>
      <c r="F14820" s="705">
        <v>2.1484163264528555</v>
      </c>
      <c r="G14820" s="705">
        <v>1843.0009775508097</v>
      </c>
    </row>
    <row r="14821" spans="2:7" ht="11.25" hidden="1" customHeight="1" outlineLevel="2" x14ac:dyDescent="0.25">
      <c r="B14821" s="704" t="s">
        <v>697</v>
      </c>
      <c r="C14821" s="704" t="s">
        <v>748</v>
      </c>
      <c r="D14821" s="704" t="s">
        <v>715</v>
      </c>
      <c r="E14821" s="704" t="s">
        <v>448</v>
      </c>
      <c r="F14821" s="705">
        <v>0.26527748897687153</v>
      </c>
      <c r="G14821" s="705">
        <v>345.32406464860134</v>
      </c>
    </row>
    <row r="14822" spans="2:7" ht="11.25" hidden="1" customHeight="1" outlineLevel="2" x14ac:dyDescent="0.25">
      <c r="B14822" s="704" t="s">
        <v>697</v>
      </c>
      <c r="C14822" s="704" t="s">
        <v>749</v>
      </c>
      <c r="D14822" s="704" t="s">
        <v>715</v>
      </c>
      <c r="E14822" s="704" t="s">
        <v>448</v>
      </c>
      <c r="F14822" s="705">
        <v>0.13121693630474432</v>
      </c>
      <c r="G14822" s="705">
        <v>103.65559872787497</v>
      </c>
    </row>
    <row r="14823" spans="2:7" ht="11.25" hidden="1" customHeight="1" outlineLevel="2" x14ac:dyDescent="0.25">
      <c r="B14823" s="704" t="s">
        <v>697</v>
      </c>
      <c r="C14823" s="704" t="s">
        <v>823</v>
      </c>
      <c r="D14823" s="704" t="s">
        <v>715</v>
      </c>
      <c r="E14823" s="704" t="s">
        <v>824</v>
      </c>
      <c r="F14823" s="705">
        <v>4.2912131951980698E-3</v>
      </c>
      <c r="G14823" s="705">
        <v>7.169238569826927</v>
      </c>
    </row>
    <row r="14824" spans="2:7" ht="11.25" hidden="1" customHeight="1" outlineLevel="2" x14ac:dyDescent="0.25">
      <c r="B14824" s="704" t="s">
        <v>697</v>
      </c>
      <c r="C14824" s="704" t="s">
        <v>860</v>
      </c>
      <c r="D14824" s="704" t="s">
        <v>715</v>
      </c>
      <c r="E14824" s="704" t="s">
        <v>861</v>
      </c>
      <c r="F14824" s="709"/>
      <c r="G14824" s="705">
        <v>142.09373670146664</v>
      </c>
    </row>
    <row r="14825" spans="2:7" ht="11.25" hidden="1" customHeight="1" outlineLevel="2" x14ac:dyDescent="0.25">
      <c r="B14825" s="704" t="s">
        <v>697</v>
      </c>
      <c r="C14825" s="704" t="s">
        <v>919</v>
      </c>
      <c r="D14825" s="704" t="s">
        <v>920</v>
      </c>
      <c r="E14825" s="704" t="s">
        <v>861</v>
      </c>
      <c r="F14825" s="709"/>
      <c r="G14825" s="705">
        <v>3.0018436612999997E-30</v>
      </c>
    </row>
    <row r="14826" spans="2:7" ht="11.25" hidden="1" customHeight="1" outlineLevel="1" x14ac:dyDescent="0.25">
      <c r="B14826" s="707" t="s">
        <v>963</v>
      </c>
      <c r="C14826" s="704"/>
      <c r="D14826" s="704"/>
      <c r="E14826" s="704"/>
      <c r="F14826" s="709">
        <f t="shared" ref="F14826:G14826" si="48">SUBTOTAL(9,F14615:F14825)</f>
        <v>26.917005988804551</v>
      </c>
      <c r="G14826" s="705">
        <f t="shared" si="48"/>
        <v>68043.606877006838</v>
      </c>
    </row>
    <row r="14827" spans="2:7" ht="11.25" hidden="1" customHeight="1" outlineLevel="2" x14ac:dyDescent="0.25">
      <c r="B14827" s="704" t="s">
        <v>698</v>
      </c>
      <c r="C14827" s="704" t="s">
        <v>739</v>
      </c>
      <c r="D14827" s="704" t="s">
        <v>44</v>
      </c>
      <c r="E14827" s="704" t="s">
        <v>448</v>
      </c>
      <c r="F14827" s="705">
        <v>2.6521723520431147E-3</v>
      </c>
      <c r="G14827" s="705">
        <v>1.6176572506777971</v>
      </c>
    </row>
    <row r="14828" spans="2:7" ht="11.25" hidden="1" customHeight="1" outlineLevel="2" x14ac:dyDescent="0.25">
      <c r="B14828" s="704" t="s">
        <v>698</v>
      </c>
      <c r="C14828" s="704" t="s">
        <v>796</v>
      </c>
      <c r="D14828" s="704" t="s">
        <v>44</v>
      </c>
      <c r="E14828" s="704" t="s">
        <v>448</v>
      </c>
      <c r="F14828" s="705">
        <v>2.7780460947831372E-3</v>
      </c>
      <c r="G14828" s="705">
        <v>3.924208145406566</v>
      </c>
    </row>
    <row r="14829" spans="2:7" ht="11.25" hidden="1" customHeight="1" outlineLevel="2" x14ac:dyDescent="0.25">
      <c r="B14829" s="704" t="s">
        <v>698</v>
      </c>
      <c r="C14829" s="704" t="s">
        <v>797</v>
      </c>
      <c r="D14829" s="704" t="s">
        <v>44</v>
      </c>
      <c r="E14829" s="704" t="s">
        <v>448</v>
      </c>
      <c r="F14829" s="705">
        <v>4.439694420993236E-3</v>
      </c>
      <c r="G14829" s="705">
        <v>15.268868643745213</v>
      </c>
    </row>
    <row r="14830" spans="2:7" ht="11.25" hidden="1" customHeight="1" outlineLevel="2" x14ac:dyDescent="0.25">
      <c r="B14830" s="704" t="s">
        <v>698</v>
      </c>
      <c r="C14830" s="704" t="s">
        <v>798</v>
      </c>
      <c r="D14830" s="704" t="s">
        <v>44</v>
      </c>
      <c r="E14830" s="704" t="s">
        <v>448</v>
      </c>
      <c r="F14830" s="705">
        <v>7.3013400838222681E-5</v>
      </c>
      <c r="G14830" s="705">
        <v>9.6172118095266768E-2</v>
      </c>
    </row>
    <row r="14831" spans="2:7" ht="11.25" hidden="1" customHeight="1" outlineLevel="2" x14ac:dyDescent="0.25">
      <c r="B14831" s="704" t="s">
        <v>698</v>
      </c>
      <c r="C14831" s="704" t="s">
        <v>799</v>
      </c>
      <c r="D14831" s="704" t="s">
        <v>44</v>
      </c>
      <c r="E14831" s="704" t="s">
        <v>448</v>
      </c>
      <c r="F14831" s="705">
        <v>7.887685661363171E-3</v>
      </c>
      <c r="G14831" s="705">
        <v>10.38161656148235</v>
      </c>
    </row>
    <row r="14832" spans="2:7" ht="11.25" hidden="1" customHeight="1" outlineLevel="2" x14ac:dyDescent="0.25">
      <c r="B14832" s="704" t="s">
        <v>698</v>
      </c>
      <c r="C14832" s="704" t="s">
        <v>800</v>
      </c>
      <c r="D14832" s="704" t="s">
        <v>44</v>
      </c>
      <c r="E14832" s="704" t="s">
        <v>448</v>
      </c>
      <c r="F14832" s="705">
        <v>2.5943765226834415E-3</v>
      </c>
      <c r="G14832" s="705">
        <v>3.2519704604813668</v>
      </c>
    </row>
    <row r="14833" spans="2:7" ht="11.25" hidden="1" customHeight="1" outlineLevel="2" x14ac:dyDescent="0.25">
      <c r="B14833" s="704" t="s">
        <v>698</v>
      </c>
      <c r="C14833" s="704" t="s">
        <v>801</v>
      </c>
      <c r="D14833" s="704" t="s">
        <v>44</v>
      </c>
      <c r="E14833" s="704" t="s">
        <v>448</v>
      </c>
      <c r="F14833" s="705">
        <v>3.3855200425178665E-2</v>
      </c>
      <c r="G14833" s="705">
        <v>35.32679399798608</v>
      </c>
    </row>
    <row r="14834" spans="2:7" ht="11.25" hidden="1" customHeight="1" outlineLevel="2" x14ac:dyDescent="0.25">
      <c r="B14834" s="704" t="s">
        <v>698</v>
      </c>
      <c r="C14834" s="704" t="s">
        <v>802</v>
      </c>
      <c r="D14834" s="704" t="s">
        <v>44</v>
      </c>
      <c r="E14834" s="704" t="s">
        <v>448</v>
      </c>
      <c r="F14834" s="705">
        <v>0.11134485324987248</v>
      </c>
      <c r="G14834" s="705">
        <v>75.723021232441809</v>
      </c>
    </row>
    <row r="14835" spans="2:7" ht="11.25" hidden="1" customHeight="1" outlineLevel="2" x14ac:dyDescent="0.25">
      <c r="B14835" s="704" t="s">
        <v>698</v>
      </c>
      <c r="C14835" s="704" t="s">
        <v>803</v>
      </c>
      <c r="D14835" s="704" t="s">
        <v>44</v>
      </c>
      <c r="E14835" s="704" t="s">
        <v>448</v>
      </c>
      <c r="F14835" s="705">
        <v>1.2516919994073655E-2</v>
      </c>
      <c r="G14835" s="705">
        <v>16.474525303320039</v>
      </c>
    </row>
    <row r="14836" spans="2:7" ht="11.25" hidden="1" customHeight="1" outlineLevel="2" x14ac:dyDescent="0.25">
      <c r="B14836" s="704" t="s">
        <v>698</v>
      </c>
      <c r="C14836" s="704" t="s">
        <v>804</v>
      </c>
      <c r="D14836" s="704" t="s">
        <v>44</v>
      </c>
      <c r="E14836" s="704" t="s">
        <v>448</v>
      </c>
      <c r="F14836" s="705">
        <v>1.863062901487457E-2</v>
      </c>
      <c r="G14836" s="705">
        <v>23.85504873765078</v>
      </c>
    </row>
    <row r="14837" spans="2:7" ht="11.25" hidden="1" customHeight="1" outlineLevel="2" x14ac:dyDescent="0.25">
      <c r="B14837" s="704" t="s">
        <v>698</v>
      </c>
      <c r="C14837" s="704" t="s">
        <v>805</v>
      </c>
      <c r="D14837" s="704" t="s">
        <v>44</v>
      </c>
      <c r="E14837" s="704" t="s">
        <v>448</v>
      </c>
      <c r="F14837" s="705">
        <v>3.7352456640570601E-3</v>
      </c>
      <c r="G14837" s="705">
        <v>26.463470714495809</v>
      </c>
    </row>
    <row r="14838" spans="2:7" ht="11.25" hidden="1" customHeight="1" outlineLevel="2" x14ac:dyDescent="0.25">
      <c r="B14838" s="704" t="s">
        <v>698</v>
      </c>
      <c r="C14838" s="704" t="s">
        <v>846</v>
      </c>
      <c r="D14838" s="704" t="s">
        <v>44</v>
      </c>
      <c r="E14838" s="704" t="s">
        <v>824</v>
      </c>
      <c r="F14838" s="705">
        <v>9.1152803749606744E-5</v>
      </c>
      <c r="G14838" s="705">
        <v>0.14483764705943181</v>
      </c>
    </row>
    <row r="14839" spans="2:7" ht="11.25" hidden="1" customHeight="1" outlineLevel="2" x14ac:dyDescent="0.25">
      <c r="B14839" s="704" t="s">
        <v>698</v>
      </c>
      <c r="C14839" s="704" t="s">
        <v>847</v>
      </c>
      <c r="D14839" s="704" t="s">
        <v>44</v>
      </c>
      <c r="E14839" s="704" t="s">
        <v>824</v>
      </c>
      <c r="F14839" s="705">
        <v>1.8704381526942318E-5</v>
      </c>
      <c r="G14839" s="705">
        <v>0.19712227797568085</v>
      </c>
    </row>
    <row r="14840" spans="2:7" ht="11.25" hidden="1" customHeight="1" outlineLevel="2" x14ac:dyDescent="0.25">
      <c r="B14840" s="704" t="s">
        <v>698</v>
      </c>
      <c r="C14840" s="704" t="s">
        <v>705</v>
      </c>
      <c r="D14840" s="704" t="s">
        <v>44</v>
      </c>
      <c r="E14840" s="704" t="s">
        <v>676</v>
      </c>
      <c r="F14840" s="705">
        <v>3.6489075330967988E-3</v>
      </c>
      <c r="G14840" s="705">
        <v>3.8260359086493709E-2</v>
      </c>
    </row>
    <row r="14841" spans="2:7" ht="11.25" hidden="1" customHeight="1" outlineLevel="2" x14ac:dyDescent="0.25">
      <c r="B14841" s="704" t="s">
        <v>698</v>
      </c>
      <c r="C14841" s="704" t="s">
        <v>706</v>
      </c>
      <c r="D14841" s="704" t="s">
        <v>44</v>
      </c>
      <c r="E14841" s="704" t="s">
        <v>676</v>
      </c>
      <c r="F14841" s="705">
        <v>1.1581897293172774E-3</v>
      </c>
      <c r="G14841" s="705">
        <v>1.2140467766144313E-2</v>
      </c>
    </row>
    <row r="14842" spans="2:7" ht="11.25" hidden="1" customHeight="1" outlineLevel="2" x14ac:dyDescent="0.25">
      <c r="B14842" s="704" t="s">
        <v>698</v>
      </c>
      <c r="C14842" s="704" t="s">
        <v>901</v>
      </c>
      <c r="D14842" s="704" t="s">
        <v>44</v>
      </c>
      <c r="E14842" s="704" t="s">
        <v>861</v>
      </c>
      <c r="F14842" s="709"/>
      <c r="G14842" s="705">
        <v>0.28293770298027537</v>
      </c>
    </row>
    <row r="14843" spans="2:7" ht="11.25" hidden="1" customHeight="1" outlineLevel="2" x14ac:dyDescent="0.25">
      <c r="B14843" s="704" t="s">
        <v>698</v>
      </c>
      <c r="C14843" s="704" t="s">
        <v>902</v>
      </c>
      <c r="D14843" s="704" t="s">
        <v>44</v>
      </c>
      <c r="E14843" s="704" t="s">
        <v>861</v>
      </c>
      <c r="F14843" s="709"/>
      <c r="G14843" s="705">
        <v>12232.077089572012</v>
      </c>
    </row>
    <row r="14844" spans="2:7" ht="11.25" hidden="1" customHeight="1" outlineLevel="2" x14ac:dyDescent="0.25">
      <c r="B14844" s="704" t="s">
        <v>698</v>
      </c>
      <c r="C14844" s="704" t="s">
        <v>903</v>
      </c>
      <c r="D14844" s="704" t="s">
        <v>44</v>
      </c>
      <c r="E14844" s="704" t="s">
        <v>861</v>
      </c>
      <c r="F14844" s="709"/>
      <c r="G14844" s="705">
        <v>1097.5903288672137</v>
      </c>
    </row>
    <row r="14845" spans="2:7" ht="11.25" hidden="1" customHeight="1" outlineLevel="2" x14ac:dyDescent="0.25">
      <c r="B14845" s="704" t="s">
        <v>698</v>
      </c>
      <c r="C14845" s="704" t="s">
        <v>904</v>
      </c>
      <c r="D14845" s="704" t="s">
        <v>44</v>
      </c>
      <c r="E14845" s="704" t="s">
        <v>861</v>
      </c>
      <c r="F14845" s="709"/>
      <c r="G14845" s="705">
        <v>6.1011044395495988</v>
      </c>
    </row>
    <row r="14846" spans="2:7" ht="11.25" hidden="1" customHeight="1" outlineLevel="2" x14ac:dyDescent="0.25">
      <c r="B14846" s="704" t="s">
        <v>698</v>
      </c>
      <c r="C14846" s="704" t="s">
        <v>905</v>
      </c>
      <c r="D14846" s="704" t="s">
        <v>44</v>
      </c>
      <c r="E14846" s="704" t="s">
        <v>861</v>
      </c>
      <c r="F14846" s="709"/>
      <c r="G14846" s="705">
        <v>1.2522428520113245</v>
      </c>
    </row>
    <row r="14847" spans="2:7" ht="11.25" hidden="1" customHeight="1" outlineLevel="2" x14ac:dyDescent="0.25">
      <c r="B14847" s="704" t="s">
        <v>698</v>
      </c>
      <c r="C14847" s="704" t="s">
        <v>906</v>
      </c>
      <c r="D14847" s="704" t="s">
        <v>44</v>
      </c>
      <c r="E14847" s="704" t="s">
        <v>861</v>
      </c>
      <c r="F14847" s="709"/>
      <c r="G14847" s="705">
        <v>93.172210550254633</v>
      </c>
    </row>
    <row r="14848" spans="2:7" ht="11.25" hidden="1" customHeight="1" outlineLevel="2" x14ac:dyDescent="0.25">
      <c r="B14848" s="704" t="s">
        <v>698</v>
      </c>
      <c r="C14848" s="704" t="s">
        <v>907</v>
      </c>
      <c r="D14848" s="704" t="s">
        <v>44</v>
      </c>
      <c r="E14848" s="704" t="s">
        <v>861</v>
      </c>
      <c r="F14848" s="709"/>
      <c r="G14848" s="705">
        <v>0.23336224832429675</v>
      </c>
    </row>
    <row r="14849" spans="2:7" ht="11.25" hidden="1" customHeight="1" outlineLevel="2" x14ac:dyDescent="0.25">
      <c r="B14849" s="704" t="s">
        <v>698</v>
      </c>
      <c r="C14849" s="704" t="s">
        <v>908</v>
      </c>
      <c r="D14849" s="704" t="s">
        <v>44</v>
      </c>
      <c r="E14849" s="704" t="s">
        <v>861</v>
      </c>
      <c r="F14849" s="709"/>
      <c r="G14849" s="705">
        <v>86.116623850581817</v>
      </c>
    </row>
    <row r="14850" spans="2:7" ht="11.25" hidden="1" customHeight="1" outlineLevel="2" x14ac:dyDescent="0.25">
      <c r="B14850" s="704" t="s">
        <v>698</v>
      </c>
      <c r="C14850" s="704" t="s">
        <v>909</v>
      </c>
      <c r="D14850" s="704" t="s">
        <v>44</v>
      </c>
      <c r="E14850" s="704" t="s">
        <v>861</v>
      </c>
      <c r="F14850" s="709"/>
      <c r="G14850" s="705">
        <v>239.20928830170703</v>
      </c>
    </row>
    <row r="14851" spans="2:7" ht="11.25" hidden="1" customHeight="1" outlineLevel="2" x14ac:dyDescent="0.25">
      <c r="B14851" s="704" t="s">
        <v>698</v>
      </c>
      <c r="C14851" s="704" t="s">
        <v>910</v>
      </c>
      <c r="D14851" s="704" t="s">
        <v>44</v>
      </c>
      <c r="E14851" s="704" t="s">
        <v>861</v>
      </c>
      <c r="F14851" s="709"/>
      <c r="G14851" s="705">
        <v>175.86544013752658</v>
      </c>
    </row>
    <row r="14852" spans="2:7" ht="11.25" hidden="1" customHeight="1" outlineLevel="2" x14ac:dyDescent="0.25">
      <c r="B14852" s="704" t="s">
        <v>698</v>
      </c>
      <c r="C14852" s="704" t="s">
        <v>814</v>
      </c>
      <c r="D14852" s="704" t="s">
        <v>815</v>
      </c>
      <c r="E14852" s="704" t="s">
        <v>448</v>
      </c>
      <c r="F14852" s="705">
        <v>2.63116075488244E-34</v>
      </c>
      <c r="G14852" s="705">
        <v>3.4472761091999997E-31</v>
      </c>
    </row>
    <row r="14853" spans="2:7" ht="11.25" hidden="1" customHeight="1" outlineLevel="2" x14ac:dyDescent="0.25">
      <c r="B14853" s="704" t="s">
        <v>698</v>
      </c>
      <c r="C14853" s="704" t="s">
        <v>854</v>
      </c>
      <c r="D14853" s="704" t="s">
        <v>815</v>
      </c>
      <c r="E14853" s="704" t="s">
        <v>824</v>
      </c>
      <c r="F14853" s="705">
        <v>1.6632094204000005E-36</v>
      </c>
      <c r="G14853" s="705">
        <v>2.4051963276000003E-32</v>
      </c>
    </row>
    <row r="14854" spans="2:7" ht="11.25" hidden="1" customHeight="1" outlineLevel="2" x14ac:dyDescent="0.25">
      <c r="B14854" s="704" t="s">
        <v>698</v>
      </c>
      <c r="C14854" s="704" t="s">
        <v>918</v>
      </c>
      <c r="D14854" s="704" t="s">
        <v>815</v>
      </c>
      <c r="E14854" s="704" t="s">
        <v>861</v>
      </c>
      <c r="F14854" s="709"/>
      <c r="G14854" s="705">
        <v>1.0825125124E-29</v>
      </c>
    </row>
    <row r="14855" spans="2:7" ht="11.25" hidden="1" customHeight="1" outlineLevel="2" x14ac:dyDescent="0.25">
      <c r="B14855" s="704" t="s">
        <v>698</v>
      </c>
      <c r="C14855" s="704" t="s">
        <v>740</v>
      </c>
      <c r="D14855" s="704" t="s">
        <v>562</v>
      </c>
      <c r="E14855" s="704" t="s">
        <v>448</v>
      </c>
      <c r="F14855" s="705">
        <v>9.2979034095624843E-3</v>
      </c>
      <c r="G14855" s="705">
        <v>4.6073462309468267</v>
      </c>
    </row>
    <row r="14856" spans="2:7" ht="11.25" hidden="1" customHeight="1" outlineLevel="2" x14ac:dyDescent="0.25">
      <c r="B14856" s="704" t="s">
        <v>698</v>
      </c>
      <c r="C14856" s="704" t="s">
        <v>741</v>
      </c>
      <c r="D14856" s="704" t="s">
        <v>562</v>
      </c>
      <c r="E14856" s="704" t="s">
        <v>448</v>
      </c>
      <c r="F14856" s="705">
        <v>5.9413151896731416E-2</v>
      </c>
      <c r="G14856" s="705">
        <v>30.738774838759589</v>
      </c>
    </row>
    <row r="14857" spans="2:7" ht="11.25" hidden="1" customHeight="1" outlineLevel="2" x14ac:dyDescent="0.25">
      <c r="B14857" s="704" t="s">
        <v>698</v>
      </c>
      <c r="C14857" s="704" t="s">
        <v>742</v>
      </c>
      <c r="D14857" s="704" t="s">
        <v>562</v>
      </c>
      <c r="E14857" s="704" t="s">
        <v>448</v>
      </c>
      <c r="F14857" s="705">
        <v>2.6446697550729947E-5</v>
      </c>
      <c r="G14857" s="705">
        <v>1.1855017342523061E-2</v>
      </c>
    </row>
    <row r="14858" spans="2:7" ht="11.25" hidden="1" customHeight="1" outlineLevel="2" x14ac:dyDescent="0.25">
      <c r="B14858" s="704" t="s">
        <v>698</v>
      </c>
      <c r="C14858" s="704" t="s">
        <v>743</v>
      </c>
      <c r="D14858" s="704" t="s">
        <v>562</v>
      </c>
      <c r="E14858" s="704" t="s">
        <v>448</v>
      </c>
      <c r="F14858" s="705">
        <v>4.1613380245151844E-4</v>
      </c>
      <c r="G14858" s="705">
        <v>0.18653625755928072</v>
      </c>
    </row>
    <row r="14859" spans="2:7" ht="11.25" hidden="1" customHeight="1" outlineLevel="2" x14ac:dyDescent="0.25">
      <c r="B14859" s="704" t="s">
        <v>698</v>
      </c>
      <c r="C14859" s="704" t="s">
        <v>806</v>
      </c>
      <c r="D14859" s="704" t="s">
        <v>562</v>
      </c>
      <c r="E14859" s="704" t="s">
        <v>448</v>
      </c>
      <c r="F14859" s="705">
        <v>0.7840665293224568</v>
      </c>
      <c r="G14859" s="705">
        <v>948.40026910526331</v>
      </c>
    </row>
    <row r="14860" spans="2:7" ht="11.25" hidden="1" customHeight="1" outlineLevel="2" x14ac:dyDescent="0.25">
      <c r="B14860" s="704" t="s">
        <v>698</v>
      </c>
      <c r="C14860" s="704" t="s">
        <v>807</v>
      </c>
      <c r="D14860" s="704" t="s">
        <v>562</v>
      </c>
      <c r="E14860" s="704" t="s">
        <v>448</v>
      </c>
      <c r="F14860" s="705">
        <v>0.1687795568083493</v>
      </c>
      <c r="G14860" s="705">
        <v>237.32778677854199</v>
      </c>
    </row>
    <row r="14861" spans="2:7" ht="11.25" hidden="1" customHeight="1" outlineLevel="2" x14ac:dyDescent="0.25">
      <c r="B14861" s="704" t="s">
        <v>698</v>
      </c>
      <c r="C14861" s="704" t="s">
        <v>808</v>
      </c>
      <c r="D14861" s="704" t="s">
        <v>562</v>
      </c>
      <c r="E14861" s="704" t="s">
        <v>448</v>
      </c>
      <c r="F14861" s="705">
        <v>7.7910682995426889E-2</v>
      </c>
      <c r="G14861" s="705">
        <v>125.85307544649778</v>
      </c>
    </row>
    <row r="14862" spans="2:7" ht="11.25" hidden="1" customHeight="1" outlineLevel="2" x14ac:dyDescent="0.25">
      <c r="B14862" s="704" t="s">
        <v>698</v>
      </c>
      <c r="C14862" s="704" t="s">
        <v>809</v>
      </c>
      <c r="D14862" s="704" t="s">
        <v>562</v>
      </c>
      <c r="E14862" s="704" t="s">
        <v>448</v>
      </c>
      <c r="F14862" s="705">
        <v>0.17951986564079098</v>
      </c>
      <c r="G14862" s="705">
        <v>270.03503580500643</v>
      </c>
    </row>
    <row r="14863" spans="2:7" ht="11.25" hidden="1" customHeight="1" outlineLevel="2" x14ac:dyDescent="0.25">
      <c r="B14863" s="704" t="s">
        <v>698</v>
      </c>
      <c r="C14863" s="704" t="s">
        <v>810</v>
      </c>
      <c r="D14863" s="704" t="s">
        <v>562</v>
      </c>
      <c r="E14863" s="704" t="s">
        <v>448</v>
      </c>
      <c r="F14863" s="705">
        <v>0.33903614549757299</v>
      </c>
      <c r="G14863" s="705">
        <v>425.41668256838119</v>
      </c>
    </row>
    <row r="14864" spans="2:7" ht="11.25" hidden="1" customHeight="1" outlineLevel="2" x14ac:dyDescent="0.25">
      <c r="B14864" s="704" t="s">
        <v>698</v>
      </c>
      <c r="C14864" s="704" t="s">
        <v>811</v>
      </c>
      <c r="D14864" s="704" t="s">
        <v>562</v>
      </c>
      <c r="E14864" s="704" t="s">
        <v>448</v>
      </c>
      <c r="F14864" s="705">
        <v>1.4433512177440563E-2</v>
      </c>
      <c r="G14864" s="705">
        <v>20.009223602078375</v>
      </c>
    </row>
    <row r="14865" spans="2:7" ht="11.25" hidden="1" customHeight="1" outlineLevel="2" x14ac:dyDescent="0.25">
      <c r="B14865" s="704" t="s">
        <v>698</v>
      </c>
      <c r="C14865" s="704" t="s">
        <v>848</v>
      </c>
      <c r="D14865" s="704" t="s">
        <v>562</v>
      </c>
      <c r="E14865" s="704" t="s">
        <v>824</v>
      </c>
      <c r="F14865" s="705">
        <v>4.5900270086638446E-2</v>
      </c>
      <c r="G14865" s="705">
        <v>126.18924529489709</v>
      </c>
    </row>
    <row r="14866" spans="2:7" ht="11.25" hidden="1" customHeight="1" outlineLevel="2" x14ac:dyDescent="0.25">
      <c r="B14866" s="704" t="s">
        <v>698</v>
      </c>
      <c r="C14866" s="704" t="s">
        <v>849</v>
      </c>
      <c r="D14866" s="704" t="s">
        <v>562</v>
      </c>
      <c r="E14866" s="704" t="s">
        <v>824</v>
      </c>
      <c r="F14866" s="705">
        <v>6.664224954197418E-3</v>
      </c>
      <c r="G14866" s="705">
        <v>28.106729435282233</v>
      </c>
    </row>
    <row r="14867" spans="2:7" ht="11.25" hidden="1" customHeight="1" outlineLevel="2" x14ac:dyDescent="0.25">
      <c r="B14867" s="704" t="s">
        <v>698</v>
      </c>
      <c r="C14867" s="704" t="s">
        <v>850</v>
      </c>
      <c r="D14867" s="704" t="s">
        <v>562</v>
      </c>
      <c r="E14867" s="704" t="s">
        <v>824</v>
      </c>
      <c r="F14867" s="705">
        <v>4.9303266896477292E-3</v>
      </c>
      <c r="G14867" s="705">
        <v>32.946152561838986</v>
      </c>
    </row>
    <row r="14868" spans="2:7" ht="11.25" hidden="1" customHeight="1" outlineLevel="2" x14ac:dyDescent="0.25">
      <c r="B14868" s="704" t="s">
        <v>698</v>
      </c>
      <c r="C14868" s="704" t="s">
        <v>851</v>
      </c>
      <c r="D14868" s="704" t="s">
        <v>562</v>
      </c>
      <c r="E14868" s="704" t="s">
        <v>824</v>
      </c>
      <c r="F14868" s="705">
        <v>8.6360862335731047E-3</v>
      </c>
      <c r="G14868" s="705">
        <v>40.927352772197814</v>
      </c>
    </row>
    <row r="14869" spans="2:7" ht="11.25" hidden="1" customHeight="1" outlineLevel="2" x14ac:dyDescent="0.25">
      <c r="B14869" s="704" t="s">
        <v>698</v>
      </c>
      <c r="C14869" s="704" t="s">
        <v>852</v>
      </c>
      <c r="D14869" s="704" t="s">
        <v>562</v>
      </c>
      <c r="E14869" s="704" t="s">
        <v>824</v>
      </c>
      <c r="F14869" s="705">
        <v>2.156382602380132E-4</v>
      </c>
      <c r="G14869" s="705">
        <v>0.55324594012796635</v>
      </c>
    </row>
    <row r="14870" spans="2:7" ht="11.25" hidden="1" customHeight="1" outlineLevel="2" x14ac:dyDescent="0.25">
      <c r="B14870" s="704" t="s">
        <v>698</v>
      </c>
      <c r="C14870" s="704" t="s">
        <v>853</v>
      </c>
      <c r="D14870" s="704" t="s">
        <v>562</v>
      </c>
      <c r="E14870" s="704" t="s">
        <v>824</v>
      </c>
      <c r="F14870" s="705">
        <v>6.2912714788697737E-5</v>
      </c>
      <c r="G14870" s="705">
        <v>0.51389227736357357</v>
      </c>
    </row>
    <row r="14871" spans="2:7" ht="11.25" hidden="1" customHeight="1" outlineLevel="2" x14ac:dyDescent="0.25">
      <c r="B14871" s="704" t="s">
        <v>698</v>
      </c>
      <c r="C14871" s="704" t="s">
        <v>707</v>
      </c>
      <c r="D14871" s="704" t="s">
        <v>562</v>
      </c>
      <c r="E14871" s="704" t="s">
        <v>676</v>
      </c>
      <c r="F14871" s="705">
        <v>1.0141385558556011</v>
      </c>
      <c r="G14871" s="705">
        <v>28.161586421188282</v>
      </c>
    </row>
    <row r="14872" spans="2:7" ht="11.25" hidden="1" customHeight="1" outlineLevel="2" x14ac:dyDescent="0.25">
      <c r="B14872" s="704" t="s">
        <v>698</v>
      </c>
      <c r="C14872" s="704" t="s">
        <v>708</v>
      </c>
      <c r="D14872" s="704" t="s">
        <v>562</v>
      </c>
      <c r="E14872" s="704" t="s">
        <v>676</v>
      </c>
      <c r="F14872" s="705">
        <v>3.8880617557343837E-2</v>
      </c>
      <c r="G14872" s="705">
        <v>1.4133705507282956</v>
      </c>
    </row>
    <row r="14873" spans="2:7" ht="11.25" hidden="1" customHeight="1" outlineLevel="2" x14ac:dyDescent="0.25">
      <c r="B14873" s="704" t="s">
        <v>698</v>
      </c>
      <c r="C14873" s="704" t="s">
        <v>709</v>
      </c>
      <c r="D14873" s="704" t="s">
        <v>562</v>
      </c>
      <c r="E14873" s="704" t="s">
        <v>676</v>
      </c>
      <c r="F14873" s="705">
        <v>2.7913444141903009E-2</v>
      </c>
      <c r="G14873" s="705">
        <v>1.9577563776975262</v>
      </c>
    </row>
    <row r="14874" spans="2:7" ht="11.25" hidden="1" customHeight="1" outlineLevel="2" x14ac:dyDescent="0.25">
      <c r="B14874" s="704" t="s">
        <v>698</v>
      </c>
      <c r="C14874" s="704" t="s">
        <v>710</v>
      </c>
      <c r="D14874" s="704" t="s">
        <v>562</v>
      </c>
      <c r="E14874" s="704" t="s">
        <v>676</v>
      </c>
      <c r="F14874" s="705">
        <v>0.32701980654527202</v>
      </c>
      <c r="G14874" s="705">
        <v>68.434006398427684</v>
      </c>
    </row>
    <row r="14875" spans="2:7" ht="11.25" hidden="1" customHeight="1" outlineLevel="2" x14ac:dyDescent="0.25">
      <c r="B14875" s="704" t="s">
        <v>698</v>
      </c>
      <c r="C14875" s="704" t="s">
        <v>911</v>
      </c>
      <c r="D14875" s="704" t="s">
        <v>562</v>
      </c>
      <c r="E14875" s="704" t="s">
        <v>861</v>
      </c>
      <c r="F14875" s="709"/>
      <c r="G14875" s="705">
        <v>729.76053953719838</v>
      </c>
    </row>
    <row r="14876" spans="2:7" ht="11.25" hidden="1" customHeight="1" outlineLevel="2" x14ac:dyDescent="0.25">
      <c r="B14876" s="704" t="s">
        <v>698</v>
      </c>
      <c r="C14876" s="704" t="s">
        <v>912</v>
      </c>
      <c r="D14876" s="704" t="s">
        <v>562</v>
      </c>
      <c r="E14876" s="704" t="s">
        <v>861</v>
      </c>
      <c r="F14876" s="709"/>
      <c r="G14876" s="705">
        <v>172.17924993111362</v>
      </c>
    </row>
    <row r="14877" spans="2:7" ht="11.25" hidden="1" customHeight="1" outlineLevel="2" x14ac:dyDescent="0.25">
      <c r="B14877" s="704" t="s">
        <v>698</v>
      </c>
      <c r="C14877" s="704" t="s">
        <v>913</v>
      </c>
      <c r="D14877" s="704" t="s">
        <v>562</v>
      </c>
      <c r="E14877" s="704" t="s">
        <v>861</v>
      </c>
      <c r="F14877" s="709"/>
      <c r="G14877" s="705">
        <v>477.73093688658491</v>
      </c>
    </row>
    <row r="14878" spans="2:7" ht="11.25" hidden="1" customHeight="1" outlineLevel="2" x14ac:dyDescent="0.25">
      <c r="B14878" s="704" t="s">
        <v>698</v>
      </c>
      <c r="C14878" s="704" t="s">
        <v>914</v>
      </c>
      <c r="D14878" s="704" t="s">
        <v>562</v>
      </c>
      <c r="E14878" s="704" t="s">
        <v>861</v>
      </c>
      <c r="F14878" s="709"/>
      <c r="G14878" s="705">
        <v>242.5761156934758</v>
      </c>
    </row>
    <row r="14879" spans="2:7" ht="11.25" hidden="1" customHeight="1" outlineLevel="2" x14ac:dyDescent="0.25">
      <c r="B14879" s="704" t="s">
        <v>698</v>
      </c>
      <c r="C14879" s="704" t="s">
        <v>915</v>
      </c>
      <c r="D14879" s="704" t="s">
        <v>562</v>
      </c>
      <c r="E14879" s="704" t="s">
        <v>861</v>
      </c>
      <c r="F14879" s="709"/>
      <c r="G14879" s="705">
        <v>23.303376170697863</v>
      </c>
    </row>
    <row r="14880" spans="2:7" ht="11.25" hidden="1" customHeight="1" outlineLevel="2" x14ac:dyDescent="0.25">
      <c r="B14880" s="704" t="s">
        <v>698</v>
      </c>
      <c r="C14880" s="704" t="s">
        <v>916</v>
      </c>
      <c r="D14880" s="704" t="s">
        <v>562</v>
      </c>
      <c r="E14880" s="704" t="s">
        <v>861</v>
      </c>
      <c r="F14880" s="709"/>
      <c r="G14880" s="705">
        <v>20.675376971111305</v>
      </c>
    </row>
    <row r="14881" spans="2:7" ht="11.25" hidden="1" customHeight="1" outlineLevel="2" x14ac:dyDescent="0.25">
      <c r="B14881" s="704" t="s">
        <v>698</v>
      </c>
      <c r="C14881" s="704" t="s">
        <v>719</v>
      </c>
      <c r="D14881" s="704" t="s">
        <v>675</v>
      </c>
      <c r="E14881" s="704" t="s">
        <v>448</v>
      </c>
      <c r="F14881" s="705">
        <v>2.1131908312469021E-2</v>
      </c>
      <c r="G14881" s="705">
        <v>13.029291131872442</v>
      </c>
    </row>
    <row r="14882" spans="2:7" ht="11.25" hidden="1" customHeight="1" outlineLevel="2" x14ac:dyDescent="0.25">
      <c r="B14882" s="704" t="s">
        <v>698</v>
      </c>
      <c r="C14882" s="704" t="s">
        <v>720</v>
      </c>
      <c r="D14882" s="704" t="s">
        <v>675</v>
      </c>
      <c r="E14882" s="704" t="s">
        <v>448</v>
      </c>
      <c r="F14882" s="705">
        <v>1.7464174400634005E-3</v>
      </c>
      <c r="G14882" s="705">
        <v>0.84504895157953897</v>
      </c>
    </row>
    <row r="14883" spans="2:7" ht="11.25" hidden="1" customHeight="1" outlineLevel="2" x14ac:dyDescent="0.25">
      <c r="B14883" s="704" t="s">
        <v>698</v>
      </c>
      <c r="C14883" s="704" t="s">
        <v>721</v>
      </c>
      <c r="D14883" s="704" t="s">
        <v>675</v>
      </c>
      <c r="E14883" s="704" t="s">
        <v>448</v>
      </c>
      <c r="F14883" s="705">
        <v>2.1149624201932541E-3</v>
      </c>
      <c r="G14883" s="705">
        <v>1.0102068298667202</v>
      </c>
    </row>
    <row r="14884" spans="2:7" ht="11.25" hidden="1" customHeight="1" outlineLevel="2" x14ac:dyDescent="0.25">
      <c r="B14884" s="704" t="s">
        <v>698</v>
      </c>
      <c r="C14884" s="704" t="s">
        <v>722</v>
      </c>
      <c r="D14884" s="704" t="s">
        <v>675</v>
      </c>
      <c r="E14884" s="704" t="s">
        <v>448</v>
      </c>
      <c r="F14884" s="705">
        <v>1.6876749520896543E-5</v>
      </c>
      <c r="G14884" s="705">
        <v>7.5649618578151161E-3</v>
      </c>
    </row>
    <row r="14885" spans="2:7" ht="11.25" hidden="1" customHeight="1" outlineLevel="2" x14ac:dyDescent="0.25">
      <c r="B14885" s="704" t="s">
        <v>698</v>
      </c>
      <c r="C14885" s="704" t="s">
        <v>723</v>
      </c>
      <c r="D14885" s="704" t="s">
        <v>675</v>
      </c>
      <c r="E14885" s="704" t="s">
        <v>448</v>
      </c>
      <c r="F14885" s="705">
        <v>6.0203965290455554E-2</v>
      </c>
      <c r="G14885" s="705">
        <v>33.669715061985542</v>
      </c>
    </row>
    <row r="14886" spans="2:7" ht="11.25" hidden="1" customHeight="1" outlineLevel="2" x14ac:dyDescent="0.25">
      <c r="B14886" s="704" t="s">
        <v>698</v>
      </c>
      <c r="C14886" s="704" t="s">
        <v>724</v>
      </c>
      <c r="D14886" s="704" t="s">
        <v>675</v>
      </c>
      <c r="E14886" s="704" t="s">
        <v>448</v>
      </c>
      <c r="F14886" s="705">
        <v>4.3945703173802278E-4</v>
      </c>
      <c r="G14886" s="705">
        <v>0.19698545847072607</v>
      </c>
    </row>
    <row r="14887" spans="2:7" ht="11.25" hidden="1" customHeight="1" outlineLevel="2" x14ac:dyDescent="0.25">
      <c r="B14887" s="704" t="s">
        <v>698</v>
      </c>
      <c r="C14887" s="704" t="s">
        <v>750</v>
      </c>
      <c r="D14887" s="704" t="s">
        <v>675</v>
      </c>
      <c r="E14887" s="704" t="s">
        <v>448</v>
      </c>
      <c r="F14887" s="705">
        <v>7.4269853303031031E-3</v>
      </c>
      <c r="G14887" s="705">
        <v>11.582775126493615</v>
      </c>
    </row>
    <row r="14888" spans="2:7" ht="11.25" hidden="1" customHeight="1" outlineLevel="2" x14ac:dyDescent="0.25">
      <c r="B14888" s="704" t="s">
        <v>698</v>
      </c>
      <c r="C14888" s="704" t="s">
        <v>751</v>
      </c>
      <c r="D14888" s="704" t="s">
        <v>675</v>
      </c>
      <c r="E14888" s="704" t="s">
        <v>448</v>
      </c>
      <c r="F14888" s="705">
        <v>6.5781001504463952E-5</v>
      </c>
      <c r="G14888" s="705">
        <v>8.5593652830586939E-2</v>
      </c>
    </row>
    <row r="14889" spans="2:7" ht="11.25" hidden="1" customHeight="1" outlineLevel="2" x14ac:dyDescent="0.25">
      <c r="B14889" s="704" t="s">
        <v>698</v>
      </c>
      <c r="C14889" s="704" t="s">
        <v>752</v>
      </c>
      <c r="D14889" s="704" t="s">
        <v>675</v>
      </c>
      <c r="E14889" s="704" t="s">
        <v>448</v>
      </c>
      <c r="F14889" s="705">
        <v>1.809467839342312E-2</v>
      </c>
      <c r="G14889" s="705">
        <v>21.674817043067122</v>
      </c>
    </row>
    <row r="14890" spans="2:7" ht="11.25" hidden="1" customHeight="1" outlineLevel="2" x14ac:dyDescent="0.25">
      <c r="B14890" s="704" t="s">
        <v>698</v>
      </c>
      <c r="C14890" s="704" t="s">
        <v>753</v>
      </c>
      <c r="D14890" s="704" t="s">
        <v>675</v>
      </c>
      <c r="E14890" s="704" t="s">
        <v>448</v>
      </c>
      <c r="F14890" s="705">
        <v>1.2961433514894267E-2</v>
      </c>
      <c r="G14890" s="705">
        <v>20.481367408088168</v>
      </c>
    </row>
    <row r="14891" spans="2:7" ht="11.25" hidden="1" customHeight="1" outlineLevel="2" x14ac:dyDescent="0.25">
      <c r="B14891" s="704" t="s">
        <v>698</v>
      </c>
      <c r="C14891" s="704" t="s">
        <v>754</v>
      </c>
      <c r="D14891" s="704" t="s">
        <v>675</v>
      </c>
      <c r="E14891" s="704" t="s">
        <v>448</v>
      </c>
      <c r="F14891" s="705">
        <v>3.1913345855798587E-2</v>
      </c>
      <c r="G14891" s="705">
        <v>40.764852541149878</v>
      </c>
    </row>
    <row r="14892" spans="2:7" ht="11.25" hidden="1" customHeight="1" outlineLevel="2" x14ac:dyDescent="0.25">
      <c r="B14892" s="704" t="s">
        <v>698</v>
      </c>
      <c r="C14892" s="704" t="s">
        <v>755</v>
      </c>
      <c r="D14892" s="704" t="s">
        <v>675</v>
      </c>
      <c r="E14892" s="704" t="s">
        <v>448</v>
      </c>
      <c r="F14892" s="705">
        <v>1.2482624440050657E-2</v>
      </c>
      <c r="G14892" s="705">
        <v>17.190543420336219</v>
      </c>
    </row>
    <row r="14893" spans="2:7" ht="11.25" hidden="1" customHeight="1" outlineLevel="2" x14ac:dyDescent="0.25">
      <c r="B14893" s="704" t="s">
        <v>698</v>
      </c>
      <c r="C14893" s="704" t="s">
        <v>756</v>
      </c>
      <c r="D14893" s="704" t="s">
        <v>675</v>
      </c>
      <c r="E14893" s="704" t="s">
        <v>448</v>
      </c>
      <c r="F14893" s="705">
        <v>6.7268399845940292E-4</v>
      </c>
      <c r="G14893" s="705">
        <v>0.89252159627275429</v>
      </c>
    </row>
    <row r="14894" spans="2:7" ht="11.25" hidden="1" customHeight="1" outlineLevel="2" x14ac:dyDescent="0.25">
      <c r="B14894" s="704" t="s">
        <v>698</v>
      </c>
      <c r="C14894" s="704" t="s">
        <v>757</v>
      </c>
      <c r="D14894" s="704" t="s">
        <v>675</v>
      </c>
      <c r="E14894" s="704" t="s">
        <v>448</v>
      </c>
      <c r="F14894" s="705">
        <v>2.3787504076747408E-2</v>
      </c>
      <c r="G14894" s="705">
        <v>35.987942143022401</v>
      </c>
    </row>
    <row r="14895" spans="2:7" ht="11.25" hidden="1" customHeight="1" outlineLevel="2" x14ac:dyDescent="0.25">
      <c r="B14895" s="704" t="s">
        <v>698</v>
      </c>
      <c r="C14895" s="704" t="s">
        <v>758</v>
      </c>
      <c r="D14895" s="704" t="s">
        <v>675</v>
      </c>
      <c r="E14895" s="704" t="s">
        <v>448</v>
      </c>
      <c r="F14895" s="705">
        <v>1.0710682615751609E-2</v>
      </c>
      <c r="G14895" s="705">
        <v>12.394816489272602</v>
      </c>
    </row>
    <row r="14896" spans="2:7" ht="11.25" hidden="1" customHeight="1" outlineLevel="2" x14ac:dyDescent="0.25">
      <c r="B14896" s="704" t="s">
        <v>698</v>
      </c>
      <c r="C14896" s="704" t="s">
        <v>759</v>
      </c>
      <c r="D14896" s="704" t="s">
        <v>675</v>
      </c>
      <c r="E14896" s="704" t="s">
        <v>448</v>
      </c>
      <c r="F14896" s="705">
        <v>5.2985247308876077E-2</v>
      </c>
      <c r="G14896" s="705">
        <v>74.95575475688554</v>
      </c>
    </row>
    <row r="14897" spans="2:7" ht="11.25" hidden="1" customHeight="1" outlineLevel="2" x14ac:dyDescent="0.25">
      <c r="B14897" s="704" t="s">
        <v>698</v>
      </c>
      <c r="C14897" s="704" t="s">
        <v>760</v>
      </c>
      <c r="D14897" s="704" t="s">
        <v>675</v>
      </c>
      <c r="E14897" s="704" t="s">
        <v>448</v>
      </c>
      <c r="F14897" s="705">
        <v>3.5708910511080716E-2</v>
      </c>
      <c r="G14897" s="705">
        <v>35.907742648303085</v>
      </c>
    </row>
    <row r="14898" spans="2:7" ht="11.25" hidden="1" customHeight="1" outlineLevel="2" x14ac:dyDescent="0.25">
      <c r="B14898" s="704" t="s">
        <v>698</v>
      </c>
      <c r="C14898" s="704" t="s">
        <v>761</v>
      </c>
      <c r="D14898" s="704" t="s">
        <v>675</v>
      </c>
      <c r="E14898" s="704" t="s">
        <v>448</v>
      </c>
      <c r="F14898" s="705">
        <v>1.698542516892713E-3</v>
      </c>
      <c r="G14898" s="705">
        <v>2.8624113327232807</v>
      </c>
    </row>
    <row r="14899" spans="2:7" ht="11.25" hidden="1" customHeight="1" outlineLevel="2" x14ac:dyDescent="0.25">
      <c r="B14899" s="704" t="s">
        <v>698</v>
      </c>
      <c r="C14899" s="704" t="s">
        <v>762</v>
      </c>
      <c r="D14899" s="704" t="s">
        <v>675</v>
      </c>
      <c r="E14899" s="704" t="s">
        <v>448</v>
      </c>
      <c r="F14899" s="705">
        <v>3.4506305354439931E-3</v>
      </c>
      <c r="G14899" s="705">
        <v>4.8536161518622247</v>
      </c>
    </row>
    <row r="14900" spans="2:7" ht="11.25" hidden="1" customHeight="1" outlineLevel="2" x14ac:dyDescent="0.25">
      <c r="B14900" s="704" t="s">
        <v>698</v>
      </c>
      <c r="C14900" s="704" t="s">
        <v>763</v>
      </c>
      <c r="D14900" s="704" t="s">
        <v>675</v>
      </c>
      <c r="E14900" s="704" t="s">
        <v>448</v>
      </c>
      <c r="F14900" s="705">
        <v>1.5344479293580261E-3</v>
      </c>
      <c r="G14900" s="705">
        <v>4.3492779191203841</v>
      </c>
    </row>
    <row r="14901" spans="2:7" ht="11.25" hidden="1" customHeight="1" outlineLevel="2" x14ac:dyDescent="0.25">
      <c r="B14901" s="704" t="s">
        <v>698</v>
      </c>
      <c r="C14901" s="704" t="s">
        <v>764</v>
      </c>
      <c r="D14901" s="704" t="s">
        <v>675</v>
      </c>
      <c r="E14901" s="704" t="s">
        <v>448</v>
      </c>
      <c r="F14901" s="705">
        <v>1.7869854610084266E-3</v>
      </c>
      <c r="G14901" s="705">
        <v>10.387996124493155</v>
      </c>
    </row>
    <row r="14902" spans="2:7" ht="11.25" hidden="1" customHeight="1" outlineLevel="2" x14ac:dyDescent="0.25">
      <c r="B14902" s="704" t="s">
        <v>698</v>
      </c>
      <c r="C14902" s="704" t="s">
        <v>765</v>
      </c>
      <c r="D14902" s="704" t="s">
        <v>675</v>
      </c>
      <c r="E14902" s="704" t="s">
        <v>448</v>
      </c>
      <c r="F14902" s="705">
        <v>1.6892926997875035E-2</v>
      </c>
      <c r="G14902" s="705">
        <v>24.616848747697066</v>
      </c>
    </row>
    <row r="14903" spans="2:7" ht="11.25" hidden="1" customHeight="1" outlineLevel="2" x14ac:dyDescent="0.25">
      <c r="B14903" s="704" t="s">
        <v>698</v>
      </c>
      <c r="C14903" s="704" t="s">
        <v>766</v>
      </c>
      <c r="D14903" s="704" t="s">
        <v>675</v>
      </c>
      <c r="E14903" s="704" t="s">
        <v>448</v>
      </c>
      <c r="F14903" s="705">
        <v>1.0483854868132024E-2</v>
      </c>
      <c r="G14903" s="705">
        <v>16.894870028766086</v>
      </c>
    </row>
    <row r="14904" spans="2:7" ht="11.25" hidden="1" customHeight="1" outlineLevel="2" x14ac:dyDescent="0.25">
      <c r="B14904" s="704" t="s">
        <v>698</v>
      </c>
      <c r="C14904" s="704" t="s">
        <v>767</v>
      </c>
      <c r="D14904" s="704" t="s">
        <v>675</v>
      </c>
      <c r="E14904" s="704" t="s">
        <v>448</v>
      </c>
      <c r="F14904" s="705">
        <v>5.2766650558513824E-3</v>
      </c>
      <c r="G14904" s="705">
        <v>5.5667056667213499</v>
      </c>
    </row>
    <row r="14905" spans="2:7" ht="11.25" hidden="1" customHeight="1" outlineLevel="2" x14ac:dyDescent="0.25">
      <c r="B14905" s="704" t="s">
        <v>698</v>
      </c>
      <c r="C14905" s="704" t="s">
        <v>768</v>
      </c>
      <c r="D14905" s="704" t="s">
        <v>675</v>
      </c>
      <c r="E14905" s="704" t="s">
        <v>448</v>
      </c>
      <c r="F14905" s="705">
        <v>2.4640673377183558E-3</v>
      </c>
      <c r="G14905" s="705">
        <v>3.932498989331306</v>
      </c>
    </row>
    <row r="14906" spans="2:7" ht="11.25" hidden="1" customHeight="1" outlineLevel="2" x14ac:dyDescent="0.25">
      <c r="B14906" s="704" t="s">
        <v>698</v>
      </c>
      <c r="C14906" s="704" t="s">
        <v>825</v>
      </c>
      <c r="D14906" s="704" t="s">
        <v>675</v>
      </c>
      <c r="E14906" s="704" t="s">
        <v>824</v>
      </c>
      <c r="F14906" s="705">
        <v>4.7043648881658147E-4</v>
      </c>
      <c r="G14906" s="705">
        <v>2.2274284625250695</v>
      </c>
    </row>
    <row r="14907" spans="2:7" ht="11.25" hidden="1" customHeight="1" outlineLevel="2" x14ac:dyDescent="0.25">
      <c r="B14907" s="704" t="s">
        <v>698</v>
      </c>
      <c r="C14907" s="704" t="s">
        <v>826</v>
      </c>
      <c r="D14907" s="704" t="s">
        <v>675</v>
      </c>
      <c r="E14907" s="704" t="s">
        <v>824</v>
      </c>
      <c r="F14907" s="705">
        <v>3.4970733919950593E-4</v>
      </c>
      <c r="G14907" s="705">
        <v>3.7380442499467272</v>
      </c>
    </row>
    <row r="14908" spans="2:7" ht="11.25" hidden="1" customHeight="1" outlineLevel="2" x14ac:dyDescent="0.25">
      <c r="B14908" s="704" t="s">
        <v>698</v>
      </c>
      <c r="C14908" s="704" t="s">
        <v>827</v>
      </c>
      <c r="D14908" s="704" t="s">
        <v>675</v>
      </c>
      <c r="E14908" s="704" t="s">
        <v>824</v>
      </c>
      <c r="F14908" s="705">
        <v>2.5895240602888278E-4</v>
      </c>
      <c r="G14908" s="705">
        <v>0.61838456883572468</v>
      </c>
    </row>
    <row r="14909" spans="2:7" ht="11.25" hidden="1" customHeight="1" outlineLevel="2" x14ac:dyDescent="0.25">
      <c r="B14909" s="704" t="s">
        <v>698</v>
      </c>
      <c r="C14909" s="704" t="s">
        <v>828</v>
      </c>
      <c r="D14909" s="704" t="s">
        <v>675</v>
      </c>
      <c r="E14909" s="704" t="s">
        <v>824</v>
      </c>
      <c r="F14909" s="705">
        <v>7.0610754680556874E-5</v>
      </c>
      <c r="G14909" s="705">
        <v>0.38749353505467266</v>
      </c>
    </row>
    <row r="14910" spans="2:7" ht="11.25" hidden="1" customHeight="1" outlineLevel="2" x14ac:dyDescent="0.25">
      <c r="B14910" s="704" t="s">
        <v>698</v>
      </c>
      <c r="C14910" s="704" t="s">
        <v>829</v>
      </c>
      <c r="D14910" s="704" t="s">
        <v>675</v>
      </c>
      <c r="E14910" s="704" t="s">
        <v>824</v>
      </c>
      <c r="F14910" s="705">
        <v>1.5280645764433991E-3</v>
      </c>
      <c r="G14910" s="705">
        <v>6.8573264204614732</v>
      </c>
    </row>
    <row r="14911" spans="2:7" ht="11.25" hidden="1" customHeight="1" outlineLevel="2" x14ac:dyDescent="0.25">
      <c r="B14911" s="704" t="s">
        <v>698</v>
      </c>
      <c r="C14911" s="704" t="s">
        <v>830</v>
      </c>
      <c r="D14911" s="704" t="s">
        <v>675</v>
      </c>
      <c r="E14911" s="704" t="s">
        <v>824</v>
      </c>
      <c r="F14911" s="705">
        <v>1.3863074495958877E-3</v>
      </c>
      <c r="G14911" s="705">
        <v>2.4690320022559962</v>
      </c>
    </row>
    <row r="14912" spans="2:7" ht="11.25" hidden="1" customHeight="1" outlineLevel="2" x14ac:dyDescent="0.25">
      <c r="B14912" s="704" t="s">
        <v>698</v>
      </c>
      <c r="C14912" s="704" t="s">
        <v>831</v>
      </c>
      <c r="D14912" s="704" t="s">
        <v>675</v>
      </c>
      <c r="E14912" s="704" t="s">
        <v>824</v>
      </c>
      <c r="F14912" s="705">
        <v>3.8463640510953657E-4</v>
      </c>
      <c r="G14912" s="705">
        <v>6.3441257662699648</v>
      </c>
    </row>
    <row r="14913" spans="2:7" ht="11.25" hidden="1" customHeight="1" outlineLevel="2" x14ac:dyDescent="0.25">
      <c r="B14913" s="704" t="s">
        <v>698</v>
      </c>
      <c r="C14913" s="704" t="s">
        <v>832</v>
      </c>
      <c r="D14913" s="704" t="s">
        <v>675</v>
      </c>
      <c r="E14913" s="704" t="s">
        <v>824</v>
      </c>
      <c r="F14913" s="705">
        <v>1.0513905312791662E-3</v>
      </c>
      <c r="G14913" s="705">
        <v>2.6920039620918246</v>
      </c>
    </row>
    <row r="14914" spans="2:7" ht="11.25" hidden="1" customHeight="1" outlineLevel="2" x14ac:dyDescent="0.25">
      <c r="B14914" s="704" t="s">
        <v>698</v>
      </c>
      <c r="C14914" s="704" t="s">
        <v>833</v>
      </c>
      <c r="D14914" s="704" t="s">
        <v>675</v>
      </c>
      <c r="E14914" s="704" t="s">
        <v>824</v>
      </c>
      <c r="F14914" s="705">
        <v>1.7107484498610846E-4</v>
      </c>
      <c r="G14914" s="705">
        <v>0.43318263392723899</v>
      </c>
    </row>
    <row r="14915" spans="2:7" ht="11.25" hidden="1" customHeight="1" outlineLevel="2" x14ac:dyDescent="0.25">
      <c r="B14915" s="704" t="s">
        <v>698</v>
      </c>
      <c r="C14915" s="704" t="s">
        <v>834</v>
      </c>
      <c r="D14915" s="704" t="s">
        <v>675</v>
      </c>
      <c r="E14915" s="704" t="s">
        <v>824</v>
      </c>
      <c r="F14915" s="705">
        <v>1.2391286123747283E-3</v>
      </c>
      <c r="G14915" s="705">
        <v>4.3985117104174858</v>
      </c>
    </row>
    <row r="14916" spans="2:7" ht="11.25" hidden="1" customHeight="1" outlineLevel="2" x14ac:dyDescent="0.25">
      <c r="B14916" s="704" t="s">
        <v>698</v>
      </c>
      <c r="C14916" s="704" t="s">
        <v>835</v>
      </c>
      <c r="D14916" s="704" t="s">
        <v>675</v>
      </c>
      <c r="E14916" s="704" t="s">
        <v>824</v>
      </c>
      <c r="F14916" s="705">
        <v>1.4587596367087524E-3</v>
      </c>
      <c r="G14916" s="705">
        <v>10.710602175802613</v>
      </c>
    </row>
    <row r="14917" spans="2:7" ht="11.25" hidden="1" customHeight="1" outlineLevel="2" x14ac:dyDescent="0.25">
      <c r="B14917" s="704" t="s">
        <v>698</v>
      </c>
      <c r="C14917" s="704" t="s">
        <v>836</v>
      </c>
      <c r="D14917" s="704" t="s">
        <v>675</v>
      </c>
      <c r="E14917" s="704" t="s">
        <v>824</v>
      </c>
      <c r="F14917" s="705">
        <v>1.017852299817551E-4</v>
      </c>
      <c r="G14917" s="705">
        <v>1.1188445865047394</v>
      </c>
    </row>
    <row r="14918" spans="2:7" ht="11.25" hidden="1" customHeight="1" outlineLevel="2" x14ac:dyDescent="0.25">
      <c r="B14918" s="704" t="s">
        <v>698</v>
      </c>
      <c r="C14918" s="704" t="s">
        <v>837</v>
      </c>
      <c r="D14918" s="704" t="s">
        <v>675</v>
      </c>
      <c r="E14918" s="704" t="s">
        <v>824</v>
      </c>
      <c r="F14918" s="705">
        <v>3.3567827987697934E-3</v>
      </c>
      <c r="G14918" s="705">
        <v>9.2681039280145487</v>
      </c>
    </row>
    <row r="14919" spans="2:7" ht="11.25" hidden="1" customHeight="1" outlineLevel="2" x14ac:dyDescent="0.25">
      <c r="B14919" s="704" t="s">
        <v>698</v>
      </c>
      <c r="C14919" s="704" t="s">
        <v>838</v>
      </c>
      <c r="D14919" s="704" t="s">
        <v>675</v>
      </c>
      <c r="E14919" s="704" t="s">
        <v>824</v>
      </c>
      <c r="F14919" s="705">
        <v>1.7315242288392547E-3</v>
      </c>
      <c r="G14919" s="705">
        <v>3.832745449839702</v>
      </c>
    </row>
    <row r="14920" spans="2:7" ht="11.25" hidden="1" customHeight="1" outlineLevel="2" x14ac:dyDescent="0.25">
      <c r="B14920" s="704" t="s">
        <v>698</v>
      </c>
      <c r="C14920" s="704" t="s">
        <v>674</v>
      </c>
      <c r="D14920" s="704" t="s">
        <v>675</v>
      </c>
      <c r="E14920" s="704" t="s">
        <v>676</v>
      </c>
      <c r="F14920" s="705">
        <v>4.9102281469096121E-3</v>
      </c>
      <c r="G14920" s="705">
        <v>0.1215174373328049</v>
      </c>
    </row>
    <row r="14921" spans="2:7" ht="11.25" hidden="1" customHeight="1" outlineLevel="2" x14ac:dyDescent="0.25">
      <c r="B14921" s="704" t="s">
        <v>698</v>
      </c>
      <c r="C14921" s="704" t="s">
        <v>862</v>
      </c>
      <c r="D14921" s="704" t="s">
        <v>675</v>
      </c>
      <c r="E14921" s="704" t="s">
        <v>861</v>
      </c>
      <c r="F14921" s="709"/>
      <c r="G14921" s="705">
        <v>360.79948700723946</v>
      </c>
    </row>
    <row r="14922" spans="2:7" ht="11.25" hidden="1" customHeight="1" outlineLevel="2" x14ac:dyDescent="0.25">
      <c r="B14922" s="704" t="s">
        <v>698</v>
      </c>
      <c r="C14922" s="704" t="s">
        <v>863</v>
      </c>
      <c r="D14922" s="704" t="s">
        <v>675</v>
      </c>
      <c r="E14922" s="704" t="s">
        <v>861</v>
      </c>
      <c r="F14922" s="709"/>
      <c r="G14922" s="705">
        <v>0.58812755851015364</v>
      </c>
    </row>
    <row r="14923" spans="2:7" ht="11.25" hidden="1" customHeight="1" outlineLevel="2" x14ac:dyDescent="0.25">
      <c r="B14923" s="704" t="s">
        <v>698</v>
      </c>
      <c r="C14923" s="704" t="s">
        <v>864</v>
      </c>
      <c r="D14923" s="704" t="s">
        <v>675</v>
      </c>
      <c r="E14923" s="704" t="s">
        <v>861</v>
      </c>
      <c r="F14923" s="709"/>
      <c r="G14923" s="705">
        <v>9.6891965780686427</v>
      </c>
    </row>
    <row r="14924" spans="2:7" ht="11.25" hidden="1" customHeight="1" outlineLevel="2" x14ac:dyDescent="0.25">
      <c r="B14924" s="704" t="s">
        <v>698</v>
      </c>
      <c r="C14924" s="704" t="s">
        <v>865</v>
      </c>
      <c r="D14924" s="704" t="s">
        <v>675</v>
      </c>
      <c r="E14924" s="704" t="s">
        <v>861</v>
      </c>
      <c r="F14924" s="709"/>
      <c r="G14924" s="705">
        <v>903.12340345594691</v>
      </c>
    </row>
    <row r="14925" spans="2:7" ht="11.25" hidden="1" customHeight="1" outlineLevel="2" x14ac:dyDescent="0.25">
      <c r="B14925" s="704" t="s">
        <v>698</v>
      </c>
      <c r="C14925" s="704" t="s">
        <v>866</v>
      </c>
      <c r="D14925" s="704" t="s">
        <v>675</v>
      </c>
      <c r="E14925" s="704" t="s">
        <v>861</v>
      </c>
      <c r="F14925" s="709"/>
      <c r="G14925" s="705">
        <v>982.40833087962574</v>
      </c>
    </row>
    <row r="14926" spans="2:7" ht="11.25" hidden="1" customHeight="1" outlineLevel="2" x14ac:dyDescent="0.25">
      <c r="B14926" s="704" t="s">
        <v>698</v>
      </c>
      <c r="C14926" s="704" t="s">
        <v>867</v>
      </c>
      <c r="D14926" s="704" t="s">
        <v>675</v>
      </c>
      <c r="E14926" s="704" t="s">
        <v>861</v>
      </c>
      <c r="F14926" s="709"/>
      <c r="G14926" s="705">
        <v>54.124237331466603</v>
      </c>
    </row>
    <row r="14927" spans="2:7" ht="11.25" hidden="1" customHeight="1" outlineLevel="2" x14ac:dyDescent="0.25">
      <c r="B14927" s="704" t="s">
        <v>698</v>
      </c>
      <c r="C14927" s="704" t="s">
        <v>868</v>
      </c>
      <c r="D14927" s="704" t="s">
        <v>675</v>
      </c>
      <c r="E14927" s="704" t="s">
        <v>861</v>
      </c>
      <c r="F14927" s="709"/>
      <c r="G14927" s="705">
        <v>33.40708843956277</v>
      </c>
    </row>
    <row r="14928" spans="2:7" ht="11.25" hidden="1" customHeight="1" outlineLevel="2" x14ac:dyDescent="0.25">
      <c r="B14928" s="704" t="s">
        <v>698</v>
      </c>
      <c r="C14928" s="704" t="s">
        <v>869</v>
      </c>
      <c r="D14928" s="704" t="s">
        <v>675</v>
      </c>
      <c r="E14928" s="704" t="s">
        <v>861</v>
      </c>
      <c r="F14928" s="709"/>
      <c r="G14928" s="705">
        <v>99.751861662577539</v>
      </c>
    </row>
    <row r="14929" spans="2:7" ht="11.25" hidden="1" customHeight="1" outlineLevel="2" x14ac:dyDescent="0.25">
      <c r="B14929" s="704" t="s">
        <v>698</v>
      </c>
      <c r="C14929" s="704" t="s">
        <v>870</v>
      </c>
      <c r="D14929" s="704" t="s">
        <v>675</v>
      </c>
      <c r="E14929" s="704" t="s">
        <v>861</v>
      </c>
      <c r="F14929" s="709"/>
      <c r="G14929" s="705">
        <v>428.45367027728065</v>
      </c>
    </row>
    <row r="14930" spans="2:7" ht="11.25" hidden="1" customHeight="1" outlineLevel="2" x14ac:dyDescent="0.25">
      <c r="B14930" s="704" t="s">
        <v>698</v>
      </c>
      <c r="C14930" s="704" t="s">
        <v>871</v>
      </c>
      <c r="D14930" s="704" t="s">
        <v>675</v>
      </c>
      <c r="E14930" s="704" t="s">
        <v>861</v>
      </c>
      <c r="F14930" s="709"/>
      <c r="G14930" s="705">
        <v>368.41998537933858</v>
      </c>
    </row>
    <row r="14931" spans="2:7" ht="11.25" hidden="1" customHeight="1" outlineLevel="2" x14ac:dyDescent="0.25">
      <c r="B14931" s="704" t="s">
        <v>698</v>
      </c>
      <c r="C14931" s="704" t="s">
        <v>872</v>
      </c>
      <c r="D14931" s="704" t="s">
        <v>675</v>
      </c>
      <c r="E14931" s="704" t="s">
        <v>861</v>
      </c>
      <c r="F14931" s="709"/>
      <c r="G14931" s="705">
        <v>3660.0136359352846</v>
      </c>
    </row>
    <row r="14932" spans="2:7" ht="11.25" hidden="1" customHeight="1" outlineLevel="2" x14ac:dyDescent="0.25">
      <c r="B14932" s="704" t="s">
        <v>698</v>
      </c>
      <c r="C14932" s="704" t="s">
        <v>873</v>
      </c>
      <c r="D14932" s="704" t="s">
        <v>675</v>
      </c>
      <c r="E14932" s="704" t="s">
        <v>861</v>
      </c>
      <c r="F14932" s="709"/>
      <c r="G14932" s="705">
        <v>30.359638158009954</v>
      </c>
    </row>
    <row r="14933" spans="2:7" ht="11.25" hidden="1" customHeight="1" outlineLevel="2" x14ac:dyDescent="0.25">
      <c r="B14933" s="704" t="s">
        <v>698</v>
      </c>
      <c r="C14933" s="704" t="s">
        <v>874</v>
      </c>
      <c r="D14933" s="704" t="s">
        <v>675</v>
      </c>
      <c r="E14933" s="704" t="s">
        <v>861</v>
      </c>
      <c r="F14933" s="709"/>
      <c r="G14933" s="705">
        <v>14.340243140689884</v>
      </c>
    </row>
    <row r="14934" spans="2:7" ht="11.25" hidden="1" customHeight="1" outlineLevel="2" x14ac:dyDescent="0.25">
      <c r="B14934" s="704" t="s">
        <v>698</v>
      </c>
      <c r="C14934" s="704" t="s">
        <v>875</v>
      </c>
      <c r="D14934" s="704" t="s">
        <v>675</v>
      </c>
      <c r="E14934" s="704" t="s">
        <v>861</v>
      </c>
      <c r="F14934" s="709"/>
      <c r="G14934" s="705">
        <v>835.91538372316586</v>
      </c>
    </row>
    <row r="14935" spans="2:7" ht="11.25" hidden="1" customHeight="1" outlineLevel="2" x14ac:dyDescent="0.25">
      <c r="B14935" s="704" t="s">
        <v>698</v>
      </c>
      <c r="C14935" s="704" t="s">
        <v>876</v>
      </c>
      <c r="D14935" s="704" t="s">
        <v>675</v>
      </c>
      <c r="E14935" s="704" t="s">
        <v>861</v>
      </c>
      <c r="F14935" s="709"/>
      <c r="G14935" s="705">
        <v>910.58856982222267</v>
      </c>
    </row>
    <row r="14936" spans="2:7" ht="11.25" hidden="1" customHeight="1" outlineLevel="2" x14ac:dyDescent="0.25">
      <c r="B14936" s="704" t="s">
        <v>698</v>
      </c>
      <c r="C14936" s="704" t="s">
        <v>877</v>
      </c>
      <c r="D14936" s="704" t="s">
        <v>675</v>
      </c>
      <c r="E14936" s="704" t="s">
        <v>861</v>
      </c>
      <c r="F14936" s="709"/>
      <c r="G14936" s="705">
        <v>3130.3858879058889</v>
      </c>
    </row>
    <row r="14937" spans="2:7" ht="11.25" hidden="1" customHeight="1" outlineLevel="2" x14ac:dyDescent="0.25">
      <c r="B14937" s="704" t="s">
        <v>698</v>
      </c>
      <c r="C14937" s="704" t="s">
        <v>878</v>
      </c>
      <c r="D14937" s="704" t="s">
        <v>675</v>
      </c>
      <c r="E14937" s="704" t="s">
        <v>861</v>
      </c>
      <c r="F14937" s="709"/>
      <c r="G14937" s="705">
        <v>147.37425119469393</v>
      </c>
    </row>
    <row r="14938" spans="2:7" ht="11.25" hidden="1" customHeight="1" outlineLevel="2" x14ac:dyDescent="0.25">
      <c r="B14938" s="704" t="s">
        <v>698</v>
      </c>
      <c r="C14938" s="704" t="s">
        <v>879</v>
      </c>
      <c r="D14938" s="704" t="s">
        <v>675</v>
      </c>
      <c r="E14938" s="704" t="s">
        <v>861</v>
      </c>
      <c r="F14938" s="709"/>
      <c r="G14938" s="705">
        <v>1171.5262720258631</v>
      </c>
    </row>
    <row r="14939" spans="2:7" ht="11.25" hidden="1" customHeight="1" outlineLevel="2" x14ac:dyDescent="0.25">
      <c r="B14939" s="704" t="s">
        <v>698</v>
      </c>
      <c r="C14939" s="704" t="s">
        <v>880</v>
      </c>
      <c r="D14939" s="704" t="s">
        <v>675</v>
      </c>
      <c r="E14939" s="704" t="s">
        <v>861</v>
      </c>
      <c r="F14939" s="709"/>
      <c r="G14939" s="705">
        <v>3983.7721252373258</v>
      </c>
    </row>
    <row r="14940" spans="2:7" ht="11.25" hidden="1" customHeight="1" outlineLevel="2" x14ac:dyDescent="0.25">
      <c r="B14940" s="704" t="s">
        <v>698</v>
      </c>
      <c r="C14940" s="704" t="s">
        <v>881</v>
      </c>
      <c r="D14940" s="704" t="s">
        <v>675</v>
      </c>
      <c r="E14940" s="704" t="s">
        <v>861</v>
      </c>
      <c r="F14940" s="709"/>
      <c r="G14940" s="705">
        <v>2415.9158723357186</v>
      </c>
    </row>
    <row r="14941" spans="2:7" ht="11.25" hidden="1" customHeight="1" outlineLevel="2" x14ac:dyDescent="0.25">
      <c r="B14941" s="704" t="s">
        <v>698</v>
      </c>
      <c r="C14941" s="704" t="s">
        <v>882</v>
      </c>
      <c r="D14941" s="704" t="s">
        <v>675</v>
      </c>
      <c r="E14941" s="704" t="s">
        <v>861</v>
      </c>
      <c r="F14941" s="709"/>
      <c r="G14941" s="705">
        <v>3645.9303856438551</v>
      </c>
    </row>
    <row r="14942" spans="2:7" ht="11.25" hidden="1" customHeight="1" outlineLevel="2" x14ac:dyDescent="0.25">
      <c r="B14942" s="704" t="s">
        <v>698</v>
      </c>
      <c r="C14942" s="704" t="s">
        <v>883</v>
      </c>
      <c r="D14942" s="704" t="s">
        <v>675</v>
      </c>
      <c r="E14942" s="704" t="s">
        <v>861</v>
      </c>
      <c r="F14942" s="709"/>
      <c r="G14942" s="705">
        <v>1656.5722540414126</v>
      </c>
    </row>
    <row r="14943" spans="2:7" ht="11.25" hidden="1" customHeight="1" outlineLevel="2" x14ac:dyDescent="0.25">
      <c r="B14943" s="704" t="s">
        <v>698</v>
      </c>
      <c r="C14943" s="704" t="s">
        <v>884</v>
      </c>
      <c r="D14943" s="704" t="s">
        <v>675</v>
      </c>
      <c r="E14943" s="704" t="s">
        <v>861</v>
      </c>
      <c r="F14943" s="709"/>
      <c r="G14943" s="705">
        <v>392.16320498488682</v>
      </c>
    </row>
    <row r="14944" spans="2:7" ht="11.25" hidden="1" customHeight="1" outlineLevel="2" x14ac:dyDescent="0.25">
      <c r="B14944" s="704" t="s">
        <v>698</v>
      </c>
      <c r="C14944" s="704" t="s">
        <v>885</v>
      </c>
      <c r="D14944" s="704" t="s">
        <v>675</v>
      </c>
      <c r="E14944" s="704" t="s">
        <v>861</v>
      </c>
      <c r="F14944" s="709"/>
      <c r="G14944" s="705">
        <v>5.104025495169247</v>
      </c>
    </row>
    <row r="14945" spans="2:7" ht="11.25" hidden="1" customHeight="1" outlineLevel="2" x14ac:dyDescent="0.25">
      <c r="B14945" s="704" t="s">
        <v>698</v>
      </c>
      <c r="C14945" s="704" t="s">
        <v>886</v>
      </c>
      <c r="D14945" s="704" t="s">
        <v>675</v>
      </c>
      <c r="E14945" s="704" t="s">
        <v>861</v>
      </c>
      <c r="F14945" s="709"/>
      <c r="G14945" s="705">
        <v>375.78555883728086</v>
      </c>
    </row>
    <row r="14946" spans="2:7" ht="11.25" hidden="1" customHeight="1" outlineLevel="2" x14ac:dyDescent="0.25">
      <c r="B14946" s="704" t="s">
        <v>698</v>
      </c>
      <c r="C14946" s="704" t="s">
        <v>725</v>
      </c>
      <c r="D14946" s="704" t="s">
        <v>563</v>
      </c>
      <c r="E14946" s="704" t="s">
        <v>448</v>
      </c>
      <c r="F14946" s="705">
        <v>9.5406267830208154E-5</v>
      </c>
      <c r="G14946" s="705">
        <v>4.2766881657676108E-2</v>
      </c>
    </row>
    <row r="14947" spans="2:7" ht="11.25" hidden="1" customHeight="1" outlineLevel="2" x14ac:dyDescent="0.25">
      <c r="B14947" s="704" t="s">
        <v>698</v>
      </c>
      <c r="C14947" s="704" t="s">
        <v>726</v>
      </c>
      <c r="D14947" s="704" t="s">
        <v>563</v>
      </c>
      <c r="E14947" s="704" t="s">
        <v>448</v>
      </c>
      <c r="F14947" s="705">
        <v>7.5140986644624995E-6</v>
      </c>
      <c r="G14947" s="705">
        <v>3.3682723072808152E-3</v>
      </c>
    </row>
    <row r="14948" spans="2:7" ht="11.25" hidden="1" customHeight="1" outlineLevel="2" x14ac:dyDescent="0.25">
      <c r="B14948" s="704" t="s">
        <v>698</v>
      </c>
      <c r="C14948" s="704" t="s">
        <v>769</v>
      </c>
      <c r="D14948" s="704" t="s">
        <v>563</v>
      </c>
      <c r="E14948" s="704" t="s">
        <v>448</v>
      </c>
      <c r="F14948" s="705">
        <v>4.86664772951928E-3</v>
      </c>
      <c r="G14948" s="705">
        <v>4.8426040666188399</v>
      </c>
    </row>
    <row r="14949" spans="2:7" ht="11.25" hidden="1" customHeight="1" outlineLevel="2" x14ac:dyDescent="0.25">
      <c r="B14949" s="704" t="s">
        <v>698</v>
      </c>
      <c r="C14949" s="704" t="s">
        <v>770</v>
      </c>
      <c r="D14949" s="704" t="s">
        <v>563</v>
      </c>
      <c r="E14949" s="704" t="s">
        <v>448</v>
      </c>
      <c r="F14949" s="705">
        <v>4.1251006761173648E-3</v>
      </c>
      <c r="G14949" s="705">
        <v>14.340248505412191</v>
      </c>
    </row>
    <row r="14950" spans="2:7" ht="11.25" hidden="1" customHeight="1" outlineLevel="2" x14ac:dyDescent="0.25">
      <c r="B14950" s="704" t="s">
        <v>698</v>
      </c>
      <c r="C14950" s="704" t="s">
        <v>771</v>
      </c>
      <c r="D14950" s="704" t="s">
        <v>563</v>
      </c>
      <c r="E14950" s="704" t="s">
        <v>448</v>
      </c>
      <c r="F14950" s="705">
        <v>1.54251533904164E-3</v>
      </c>
      <c r="G14950" s="705">
        <v>3.6216651577819503</v>
      </c>
    </row>
    <row r="14951" spans="2:7" ht="11.25" hidden="1" customHeight="1" outlineLevel="2" x14ac:dyDescent="0.25">
      <c r="B14951" s="704" t="s">
        <v>698</v>
      </c>
      <c r="C14951" s="704" t="s">
        <v>772</v>
      </c>
      <c r="D14951" s="704" t="s">
        <v>563</v>
      </c>
      <c r="E14951" s="704" t="s">
        <v>448</v>
      </c>
      <c r="F14951" s="705">
        <v>5.5481419171866048E-3</v>
      </c>
      <c r="G14951" s="705">
        <v>7.2515305426786227</v>
      </c>
    </row>
    <row r="14952" spans="2:7" ht="11.25" hidden="1" customHeight="1" outlineLevel="2" x14ac:dyDescent="0.25">
      <c r="B14952" s="704" t="s">
        <v>698</v>
      </c>
      <c r="C14952" s="704" t="s">
        <v>773</v>
      </c>
      <c r="D14952" s="704" t="s">
        <v>563</v>
      </c>
      <c r="E14952" s="704" t="s">
        <v>448</v>
      </c>
      <c r="F14952" s="705">
        <v>3.1086540177720164E-4</v>
      </c>
      <c r="G14952" s="705">
        <v>0.3562873406800483</v>
      </c>
    </row>
    <row r="14953" spans="2:7" ht="11.25" hidden="1" customHeight="1" outlineLevel="2" x14ac:dyDescent="0.25">
      <c r="B14953" s="704" t="s">
        <v>698</v>
      </c>
      <c r="C14953" s="704" t="s">
        <v>774</v>
      </c>
      <c r="D14953" s="704" t="s">
        <v>563</v>
      </c>
      <c r="E14953" s="704" t="s">
        <v>448</v>
      </c>
      <c r="F14953" s="705">
        <v>2.4239552723012887E-4</v>
      </c>
      <c r="G14953" s="705">
        <v>0.32847694756379531</v>
      </c>
    </row>
    <row r="14954" spans="2:7" ht="11.25" hidden="1" customHeight="1" outlineLevel="2" x14ac:dyDescent="0.25">
      <c r="B14954" s="704" t="s">
        <v>698</v>
      </c>
      <c r="C14954" s="704" t="s">
        <v>775</v>
      </c>
      <c r="D14954" s="704" t="s">
        <v>563</v>
      </c>
      <c r="E14954" s="704" t="s">
        <v>448</v>
      </c>
      <c r="F14954" s="705">
        <v>1.2202335929890334E-4</v>
      </c>
      <c r="G14954" s="705">
        <v>1.5707592380940749</v>
      </c>
    </row>
    <row r="14955" spans="2:7" ht="11.25" hidden="1" customHeight="1" outlineLevel="2" x14ac:dyDescent="0.25">
      <c r="B14955" s="704" t="s">
        <v>698</v>
      </c>
      <c r="C14955" s="704" t="s">
        <v>839</v>
      </c>
      <c r="D14955" s="704" t="s">
        <v>563</v>
      </c>
      <c r="E14955" s="704" t="s">
        <v>824</v>
      </c>
      <c r="F14955" s="705">
        <v>5.430477497400138E-3</v>
      </c>
      <c r="G14955" s="705">
        <v>13.177951153121224</v>
      </c>
    </row>
    <row r="14956" spans="2:7" ht="11.25" hidden="1" customHeight="1" outlineLevel="2" x14ac:dyDescent="0.25">
      <c r="B14956" s="704" t="s">
        <v>698</v>
      </c>
      <c r="C14956" s="704" t="s">
        <v>840</v>
      </c>
      <c r="D14956" s="704" t="s">
        <v>563</v>
      </c>
      <c r="E14956" s="704" t="s">
        <v>824</v>
      </c>
      <c r="F14956" s="705">
        <v>0.15825684174835072</v>
      </c>
      <c r="G14956" s="705">
        <v>1165.1351279114042</v>
      </c>
    </row>
    <row r="14957" spans="2:7" ht="11.25" hidden="1" customHeight="1" outlineLevel="2" x14ac:dyDescent="0.25">
      <c r="B14957" s="704" t="s">
        <v>698</v>
      </c>
      <c r="C14957" s="704" t="s">
        <v>841</v>
      </c>
      <c r="D14957" s="704" t="s">
        <v>563</v>
      </c>
      <c r="E14957" s="704" t="s">
        <v>824</v>
      </c>
      <c r="F14957" s="705">
        <v>7.697521687407273E-4</v>
      </c>
      <c r="G14957" s="705">
        <v>8.8084455105374921</v>
      </c>
    </row>
    <row r="14958" spans="2:7" ht="11.25" hidden="1" customHeight="1" outlineLevel="2" x14ac:dyDescent="0.25">
      <c r="B14958" s="704" t="s">
        <v>698</v>
      </c>
      <c r="C14958" s="704" t="s">
        <v>842</v>
      </c>
      <c r="D14958" s="704" t="s">
        <v>563</v>
      </c>
      <c r="E14958" s="704" t="s">
        <v>824</v>
      </c>
      <c r="F14958" s="705">
        <v>2.7893944456037096E-4</v>
      </c>
      <c r="G14958" s="705">
        <v>2.7302120800991432</v>
      </c>
    </row>
    <row r="14959" spans="2:7" ht="11.25" hidden="1" customHeight="1" outlineLevel="2" x14ac:dyDescent="0.25">
      <c r="B14959" s="704" t="s">
        <v>698</v>
      </c>
      <c r="C14959" s="704" t="s">
        <v>843</v>
      </c>
      <c r="D14959" s="704" t="s">
        <v>563</v>
      </c>
      <c r="E14959" s="704" t="s">
        <v>824</v>
      </c>
      <c r="F14959" s="705">
        <v>2.6961060665974147E-4</v>
      </c>
      <c r="G14959" s="705">
        <v>0.70444145363307997</v>
      </c>
    </row>
    <row r="14960" spans="2:7" ht="11.25" hidden="1" customHeight="1" outlineLevel="2" x14ac:dyDescent="0.25">
      <c r="B14960" s="704" t="s">
        <v>698</v>
      </c>
      <c r="C14960" s="704" t="s">
        <v>844</v>
      </c>
      <c r="D14960" s="704" t="s">
        <v>563</v>
      </c>
      <c r="E14960" s="704" t="s">
        <v>824</v>
      </c>
      <c r="F14960" s="705">
        <v>2.696222580665207E-4</v>
      </c>
      <c r="G14960" s="705">
        <v>5.3581181204252273</v>
      </c>
    </row>
    <row r="14961" spans="2:7" ht="11.25" hidden="1" customHeight="1" outlineLevel="2" x14ac:dyDescent="0.25">
      <c r="B14961" s="704" t="s">
        <v>698</v>
      </c>
      <c r="C14961" s="704" t="s">
        <v>700</v>
      </c>
      <c r="D14961" s="704" t="s">
        <v>563</v>
      </c>
      <c r="E14961" s="704" t="s">
        <v>676</v>
      </c>
      <c r="F14961" s="705">
        <v>0.81731815818166542</v>
      </c>
      <c r="G14961" s="705">
        <v>68.781991958313071</v>
      </c>
    </row>
    <row r="14962" spans="2:7" ht="11.25" hidden="1" customHeight="1" outlineLevel="2" x14ac:dyDescent="0.25">
      <c r="B14962" s="704" t="s">
        <v>698</v>
      </c>
      <c r="C14962" s="704" t="s">
        <v>701</v>
      </c>
      <c r="D14962" s="704" t="s">
        <v>563</v>
      </c>
      <c r="E14962" s="704" t="s">
        <v>676</v>
      </c>
      <c r="F14962" s="705">
        <v>8.927201693249918E-4</v>
      </c>
      <c r="G14962" s="705">
        <v>7.8173266005564096E-2</v>
      </c>
    </row>
    <row r="14963" spans="2:7" ht="11.25" hidden="1" customHeight="1" outlineLevel="2" x14ac:dyDescent="0.25">
      <c r="B14963" s="704" t="s">
        <v>698</v>
      </c>
      <c r="C14963" s="704" t="s">
        <v>702</v>
      </c>
      <c r="D14963" s="704" t="s">
        <v>563</v>
      </c>
      <c r="E14963" s="704" t="s">
        <v>676</v>
      </c>
      <c r="F14963" s="705">
        <v>4.1654248530158928E-4</v>
      </c>
      <c r="G14963" s="705">
        <v>4.2691287401743709E-2</v>
      </c>
    </row>
    <row r="14964" spans="2:7" ht="11.25" hidden="1" customHeight="1" outlineLevel="2" x14ac:dyDescent="0.25">
      <c r="B14964" s="704" t="s">
        <v>698</v>
      </c>
      <c r="C14964" s="704" t="s">
        <v>703</v>
      </c>
      <c r="D14964" s="704" t="s">
        <v>563</v>
      </c>
      <c r="E14964" s="704" t="s">
        <v>676</v>
      </c>
      <c r="F14964" s="705">
        <v>3.1488719114527134E-3</v>
      </c>
      <c r="G14964" s="705">
        <v>0.31008192109175148</v>
      </c>
    </row>
    <row r="14965" spans="2:7" ht="11.25" hidden="1" customHeight="1" outlineLevel="2" x14ac:dyDescent="0.25">
      <c r="B14965" s="704" t="s">
        <v>698</v>
      </c>
      <c r="C14965" s="704" t="s">
        <v>704</v>
      </c>
      <c r="D14965" s="704" t="s">
        <v>563</v>
      </c>
      <c r="E14965" s="704" t="s">
        <v>676</v>
      </c>
      <c r="F14965" s="705">
        <v>1.4185125764654308E-3</v>
      </c>
      <c r="G14965" s="705">
        <v>0.31899215764213895</v>
      </c>
    </row>
    <row r="14966" spans="2:7" ht="11.25" hidden="1" customHeight="1" outlineLevel="2" x14ac:dyDescent="0.25">
      <c r="B14966" s="704" t="s">
        <v>698</v>
      </c>
      <c r="C14966" s="704" t="s">
        <v>887</v>
      </c>
      <c r="D14966" s="704" t="s">
        <v>563</v>
      </c>
      <c r="E14966" s="704" t="s">
        <v>861</v>
      </c>
      <c r="F14966" s="709"/>
      <c r="G14966" s="705">
        <v>21.440033842338725</v>
      </c>
    </row>
    <row r="14967" spans="2:7" ht="11.25" hidden="1" customHeight="1" outlineLevel="2" x14ac:dyDescent="0.25">
      <c r="B14967" s="704" t="s">
        <v>698</v>
      </c>
      <c r="C14967" s="704" t="s">
        <v>888</v>
      </c>
      <c r="D14967" s="704" t="s">
        <v>563</v>
      </c>
      <c r="E14967" s="704" t="s">
        <v>861</v>
      </c>
      <c r="F14967" s="709"/>
      <c r="G14967" s="705">
        <v>311.10721438376669</v>
      </c>
    </row>
    <row r="14968" spans="2:7" ht="11.25" hidden="1" customHeight="1" outlineLevel="2" x14ac:dyDescent="0.25">
      <c r="B14968" s="704" t="s">
        <v>698</v>
      </c>
      <c r="C14968" s="704" t="s">
        <v>889</v>
      </c>
      <c r="D14968" s="704" t="s">
        <v>563</v>
      </c>
      <c r="E14968" s="704" t="s">
        <v>861</v>
      </c>
      <c r="F14968" s="709"/>
      <c r="G14968" s="705">
        <v>135.7880429634215</v>
      </c>
    </row>
    <row r="14969" spans="2:7" ht="11.25" hidden="1" customHeight="1" outlineLevel="2" x14ac:dyDescent="0.25">
      <c r="B14969" s="704" t="s">
        <v>698</v>
      </c>
      <c r="C14969" s="704" t="s">
        <v>890</v>
      </c>
      <c r="D14969" s="704" t="s">
        <v>563</v>
      </c>
      <c r="E14969" s="704" t="s">
        <v>861</v>
      </c>
      <c r="F14969" s="709"/>
      <c r="G14969" s="705">
        <v>137.82335472325181</v>
      </c>
    </row>
    <row r="14970" spans="2:7" ht="11.25" hidden="1" customHeight="1" outlineLevel="2" x14ac:dyDescent="0.25">
      <c r="B14970" s="704" t="s">
        <v>698</v>
      </c>
      <c r="C14970" s="704" t="s">
        <v>891</v>
      </c>
      <c r="D14970" s="704" t="s">
        <v>563</v>
      </c>
      <c r="E14970" s="704" t="s">
        <v>861</v>
      </c>
      <c r="F14970" s="709"/>
      <c r="G14970" s="705">
        <v>5.2984218559263185</v>
      </c>
    </row>
    <row r="14971" spans="2:7" ht="11.25" hidden="1" customHeight="1" outlineLevel="2" x14ac:dyDescent="0.25">
      <c r="B14971" s="704" t="s">
        <v>698</v>
      </c>
      <c r="C14971" s="704" t="s">
        <v>892</v>
      </c>
      <c r="D14971" s="704" t="s">
        <v>563</v>
      </c>
      <c r="E14971" s="704" t="s">
        <v>861</v>
      </c>
      <c r="F14971" s="709"/>
      <c r="G14971" s="705">
        <v>901.95047695305709</v>
      </c>
    </row>
    <row r="14972" spans="2:7" ht="11.25" hidden="1" customHeight="1" outlineLevel="2" x14ac:dyDescent="0.25">
      <c r="B14972" s="704" t="s">
        <v>698</v>
      </c>
      <c r="C14972" s="704" t="s">
        <v>893</v>
      </c>
      <c r="D14972" s="704" t="s">
        <v>563</v>
      </c>
      <c r="E14972" s="704" t="s">
        <v>861</v>
      </c>
      <c r="F14972" s="709"/>
      <c r="G14972" s="705">
        <v>195.86580753221844</v>
      </c>
    </row>
    <row r="14973" spans="2:7" ht="11.25" hidden="1" customHeight="1" outlineLevel="2" x14ac:dyDescent="0.25">
      <c r="B14973" s="704" t="s">
        <v>698</v>
      </c>
      <c r="C14973" s="704" t="s">
        <v>727</v>
      </c>
      <c r="D14973" s="704" t="s">
        <v>728</v>
      </c>
      <c r="E14973" s="704" t="s">
        <v>448</v>
      </c>
      <c r="F14973" s="705">
        <v>8.8582073866051419E-3</v>
      </c>
      <c r="G14973" s="705">
        <v>4.8517806282116549</v>
      </c>
    </row>
    <row r="14974" spans="2:7" ht="11.25" hidden="1" customHeight="1" outlineLevel="2" x14ac:dyDescent="0.25">
      <c r="B14974" s="704" t="s">
        <v>698</v>
      </c>
      <c r="C14974" s="704" t="s">
        <v>729</v>
      </c>
      <c r="D14974" s="704" t="s">
        <v>728</v>
      </c>
      <c r="E14974" s="704" t="s">
        <v>448</v>
      </c>
      <c r="F14974" s="705">
        <v>3.9065624018477463E-2</v>
      </c>
      <c r="G14974" s="705">
        <v>21.085133820712965</v>
      </c>
    </row>
    <row r="14975" spans="2:7" ht="11.25" hidden="1" customHeight="1" outlineLevel="2" x14ac:dyDescent="0.25">
      <c r="B14975" s="704" t="s">
        <v>698</v>
      </c>
      <c r="C14975" s="704" t="s">
        <v>730</v>
      </c>
      <c r="D14975" s="704" t="s">
        <v>728</v>
      </c>
      <c r="E14975" s="704" t="s">
        <v>448</v>
      </c>
      <c r="F14975" s="705">
        <v>0.12712232765276865</v>
      </c>
      <c r="G14975" s="705">
        <v>66.279265620808289</v>
      </c>
    </row>
    <row r="14976" spans="2:7" ht="11.25" hidden="1" customHeight="1" outlineLevel="2" x14ac:dyDescent="0.25">
      <c r="B14976" s="704" t="s">
        <v>698</v>
      </c>
      <c r="C14976" s="704" t="s">
        <v>731</v>
      </c>
      <c r="D14976" s="704" t="s">
        <v>728</v>
      </c>
      <c r="E14976" s="704" t="s">
        <v>448</v>
      </c>
      <c r="F14976" s="705">
        <v>0.42798640113034081</v>
      </c>
      <c r="G14976" s="705">
        <v>234.65493805465331</v>
      </c>
    </row>
    <row r="14977" spans="2:7" ht="11.25" hidden="1" customHeight="1" outlineLevel="2" x14ac:dyDescent="0.25">
      <c r="B14977" s="704" t="s">
        <v>698</v>
      </c>
      <c r="C14977" s="704" t="s">
        <v>732</v>
      </c>
      <c r="D14977" s="704" t="s">
        <v>728</v>
      </c>
      <c r="E14977" s="704" t="s">
        <v>448</v>
      </c>
      <c r="F14977" s="705">
        <v>0.15671578781813225</v>
      </c>
      <c r="G14977" s="705">
        <v>92.363595287757789</v>
      </c>
    </row>
    <row r="14978" spans="2:7" ht="11.25" hidden="1" customHeight="1" outlineLevel="2" x14ac:dyDescent="0.25">
      <c r="B14978" s="704" t="s">
        <v>698</v>
      </c>
      <c r="C14978" s="704" t="s">
        <v>733</v>
      </c>
      <c r="D14978" s="704" t="s">
        <v>728</v>
      </c>
      <c r="E14978" s="704" t="s">
        <v>448</v>
      </c>
      <c r="F14978" s="705">
        <v>0.40407305555667256</v>
      </c>
      <c r="G14978" s="705">
        <v>204.61511726666242</v>
      </c>
    </row>
    <row r="14979" spans="2:7" ht="11.25" hidden="1" customHeight="1" outlineLevel="2" x14ac:dyDescent="0.25">
      <c r="B14979" s="704" t="s">
        <v>698</v>
      </c>
      <c r="C14979" s="704" t="s">
        <v>734</v>
      </c>
      <c r="D14979" s="704" t="s">
        <v>728</v>
      </c>
      <c r="E14979" s="704" t="s">
        <v>448</v>
      </c>
      <c r="F14979" s="705">
        <v>0.11046318719649088</v>
      </c>
      <c r="G14979" s="705">
        <v>59.444958678803808</v>
      </c>
    </row>
    <row r="14980" spans="2:7" ht="11.25" hidden="1" customHeight="1" outlineLevel="2" x14ac:dyDescent="0.25">
      <c r="B14980" s="704" t="s">
        <v>698</v>
      </c>
      <c r="C14980" s="704" t="s">
        <v>735</v>
      </c>
      <c r="D14980" s="704" t="s">
        <v>728</v>
      </c>
      <c r="E14980" s="704" t="s">
        <v>448</v>
      </c>
      <c r="F14980" s="705">
        <v>0.3566389792046637</v>
      </c>
      <c r="G14980" s="705">
        <v>191.06180249424025</v>
      </c>
    </row>
    <row r="14981" spans="2:7" ht="11.25" hidden="1" customHeight="1" outlineLevel="2" x14ac:dyDescent="0.25">
      <c r="B14981" s="704" t="s">
        <v>698</v>
      </c>
      <c r="C14981" s="704" t="s">
        <v>736</v>
      </c>
      <c r="D14981" s="704" t="s">
        <v>728</v>
      </c>
      <c r="E14981" s="704" t="s">
        <v>448</v>
      </c>
      <c r="F14981" s="705">
        <v>1.1512746101999998E-31</v>
      </c>
      <c r="G14981" s="705">
        <v>1.6918253879999999E-29</v>
      </c>
    </row>
    <row r="14982" spans="2:7" ht="11.25" hidden="1" customHeight="1" outlineLevel="2" x14ac:dyDescent="0.25">
      <c r="B14982" s="704" t="s">
        <v>698</v>
      </c>
      <c r="C14982" s="704" t="s">
        <v>737</v>
      </c>
      <c r="D14982" s="704" t="s">
        <v>728</v>
      </c>
      <c r="E14982" s="704" t="s">
        <v>448</v>
      </c>
      <c r="F14982" s="705">
        <v>2.4347823280000003E-33</v>
      </c>
      <c r="G14982" s="705">
        <v>3.5763345640000004E-31</v>
      </c>
    </row>
    <row r="14983" spans="2:7" ht="11.25" hidden="1" customHeight="1" outlineLevel="2" x14ac:dyDescent="0.25">
      <c r="B14983" s="704" t="s">
        <v>698</v>
      </c>
      <c r="C14983" s="704" t="s">
        <v>738</v>
      </c>
      <c r="D14983" s="704" t="s">
        <v>728</v>
      </c>
      <c r="E14983" s="704" t="s">
        <v>448</v>
      </c>
      <c r="F14983" s="705">
        <v>1.7471834919576698E-4</v>
      </c>
      <c r="G14983" s="705">
        <v>8.7331409107599109E-2</v>
      </c>
    </row>
    <row r="14984" spans="2:7" ht="11.25" hidden="1" customHeight="1" outlineLevel="2" x14ac:dyDescent="0.25">
      <c r="B14984" s="704" t="s">
        <v>698</v>
      </c>
      <c r="C14984" s="704" t="s">
        <v>776</v>
      </c>
      <c r="D14984" s="704" t="s">
        <v>728</v>
      </c>
      <c r="E14984" s="704" t="s">
        <v>448</v>
      </c>
      <c r="F14984" s="705">
        <v>1.3303512427459439</v>
      </c>
      <c r="G14984" s="705">
        <v>828.03007425536555</v>
      </c>
    </row>
    <row r="14985" spans="2:7" ht="11.25" hidden="1" customHeight="1" outlineLevel="2" x14ac:dyDescent="0.25">
      <c r="B14985" s="704" t="s">
        <v>698</v>
      </c>
      <c r="C14985" s="704" t="s">
        <v>777</v>
      </c>
      <c r="D14985" s="704" t="s">
        <v>728</v>
      </c>
      <c r="E14985" s="704" t="s">
        <v>448</v>
      </c>
      <c r="F14985" s="705">
        <v>0.49882593440176909</v>
      </c>
      <c r="G14985" s="705">
        <v>596.45022910061107</v>
      </c>
    </row>
    <row r="14986" spans="2:7" ht="11.25" hidden="1" customHeight="1" outlineLevel="2" x14ac:dyDescent="0.25">
      <c r="B14986" s="704" t="s">
        <v>698</v>
      </c>
      <c r="C14986" s="704" t="s">
        <v>778</v>
      </c>
      <c r="D14986" s="704" t="s">
        <v>728</v>
      </c>
      <c r="E14986" s="704" t="s">
        <v>448</v>
      </c>
      <c r="F14986" s="705">
        <v>0.1124616283727933</v>
      </c>
      <c r="G14986" s="705">
        <v>69.431438588500754</v>
      </c>
    </row>
    <row r="14987" spans="2:7" ht="11.25" hidden="1" customHeight="1" outlineLevel="2" x14ac:dyDescent="0.25">
      <c r="B14987" s="704" t="s">
        <v>698</v>
      </c>
      <c r="C14987" s="704" t="s">
        <v>779</v>
      </c>
      <c r="D14987" s="704" t="s">
        <v>728</v>
      </c>
      <c r="E14987" s="704" t="s">
        <v>448</v>
      </c>
      <c r="F14987" s="705">
        <v>0.40433112353010198</v>
      </c>
      <c r="G14987" s="705">
        <v>303.59851289968123</v>
      </c>
    </row>
    <row r="14988" spans="2:7" ht="11.25" hidden="1" customHeight="1" outlineLevel="2" x14ac:dyDescent="0.25">
      <c r="B14988" s="704" t="s">
        <v>698</v>
      </c>
      <c r="C14988" s="704" t="s">
        <v>780</v>
      </c>
      <c r="D14988" s="704" t="s">
        <v>728</v>
      </c>
      <c r="E14988" s="704" t="s">
        <v>448</v>
      </c>
      <c r="F14988" s="705">
        <v>6.0955697877047898E-3</v>
      </c>
      <c r="G14988" s="705">
        <v>4.6096307573425079</v>
      </c>
    </row>
    <row r="14989" spans="2:7" ht="11.25" hidden="1" customHeight="1" outlineLevel="2" x14ac:dyDescent="0.25">
      <c r="B14989" s="704" t="s">
        <v>698</v>
      </c>
      <c r="C14989" s="704" t="s">
        <v>781</v>
      </c>
      <c r="D14989" s="704" t="s">
        <v>728</v>
      </c>
      <c r="E14989" s="704" t="s">
        <v>448</v>
      </c>
      <c r="F14989" s="705">
        <v>1.108503933920937E-2</v>
      </c>
      <c r="G14989" s="705">
        <v>13.816686375189573</v>
      </c>
    </row>
    <row r="14990" spans="2:7" ht="11.25" hidden="1" customHeight="1" outlineLevel="2" x14ac:dyDescent="0.25">
      <c r="B14990" s="704" t="s">
        <v>698</v>
      </c>
      <c r="C14990" s="704" t="s">
        <v>782</v>
      </c>
      <c r="D14990" s="704" t="s">
        <v>728</v>
      </c>
      <c r="E14990" s="704" t="s">
        <v>448</v>
      </c>
      <c r="F14990" s="705">
        <v>1.1601445483541386E-2</v>
      </c>
      <c r="G14990" s="705">
        <v>8.7943568215763896</v>
      </c>
    </row>
    <row r="14991" spans="2:7" ht="11.25" hidden="1" customHeight="1" outlineLevel="2" x14ac:dyDescent="0.25">
      <c r="B14991" s="704" t="s">
        <v>698</v>
      </c>
      <c r="C14991" s="704" t="s">
        <v>783</v>
      </c>
      <c r="D14991" s="704" t="s">
        <v>728</v>
      </c>
      <c r="E14991" s="704" t="s">
        <v>448</v>
      </c>
      <c r="F14991" s="705">
        <v>0.36394416270588015</v>
      </c>
      <c r="G14991" s="705">
        <v>570.00982970278562</v>
      </c>
    </row>
    <row r="14992" spans="2:7" ht="11.25" hidden="1" customHeight="1" outlineLevel="2" x14ac:dyDescent="0.25">
      <c r="B14992" s="704" t="s">
        <v>698</v>
      </c>
      <c r="C14992" s="704" t="s">
        <v>784</v>
      </c>
      <c r="D14992" s="704" t="s">
        <v>728</v>
      </c>
      <c r="E14992" s="704" t="s">
        <v>448</v>
      </c>
      <c r="F14992" s="705">
        <v>8.1607757153999983E-37</v>
      </c>
      <c r="G14992" s="705">
        <v>4.4696465880000001E-34</v>
      </c>
    </row>
    <row r="14993" spans="2:7" ht="11.25" hidden="1" customHeight="1" outlineLevel="2" x14ac:dyDescent="0.25">
      <c r="B14993" s="704" t="s">
        <v>698</v>
      </c>
      <c r="C14993" s="704" t="s">
        <v>785</v>
      </c>
      <c r="D14993" s="704" t="s">
        <v>728</v>
      </c>
      <c r="E14993" s="704" t="s">
        <v>448</v>
      </c>
      <c r="F14993" s="705">
        <v>1.04877300792E-32</v>
      </c>
      <c r="G14993" s="705">
        <v>5.7291459939999999E-30</v>
      </c>
    </row>
    <row r="14994" spans="2:7" ht="11.25" hidden="1" customHeight="1" outlineLevel="2" x14ac:dyDescent="0.25">
      <c r="B14994" s="704" t="s">
        <v>698</v>
      </c>
      <c r="C14994" s="704" t="s">
        <v>786</v>
      </c>
      <c r="D14994" s="704" t="s">
        <v>728</v>
      </c>
      <c r="E14994" s="704" t="s">
        <v>448</v>
      </c>
      <c r="F14994" s="705">
        <v>0.13085901082179421</v>
      </c>
      <c r="G14994" s="705">
        <v>166.14108081985549</v>
      </c>
    </row>
    <row r="14995" spans="2:7" ht="11.25" hidden="1" customHeight="1" outlineLevel="2" x14ac:dyDescent="0.25">
      <c r="B14995" s="704" t="s">
        <v>698</v>
      </c>
      <c r="C14995" s="704" t="s">
        <v>787</v>
      </c>
      <c r="D14995" s="704" t="s">
        <v>728</v>
      </c>
      <c r="E14995" s="704" t="s">
        <v>448</v>
      </c>
      <c r="F14995" s="705">
        <v>4.6479952528141237E-2</v>
      </c>
      <c r="G14995" s="705">
        <v>65.854844091248836</v>
      </c>
    </row>
    <row r="14996" spans="2:7" ht="11.25" hidden="1" customHeight="1" outlineLevel="2" x14ac:dyDescent="0.25">
      <c r="B14996" s="704" t="s">
        <v>698</v>
      </c>
      <c r="C14996" s="704" t="s">
        <v>788</v>
      </c>
      <c r="D14996" s="704" t="s">
        <v>728</v>
      </c>
      <c r="E14996" s="704" t="s">
        <v>448</v>
      </c>
      <c r="F14996" s="705">
        <v>6.5513370320643111E-2</v>
      </c>
      <c r="G14996" s="705">
        <v>74.956371908397784</v>
      </c>
    </row>
    <row r="14997" spans="2:7" ht="11.25" hidden="1" customHeight="1" outlineLevel="2" x14ac:dyDescent="0.25">
      <c r="B14997" s="704" t="s">
        <v>698</v>
      </c>
      <c r="C14997" s="704" t="s">
        <v>789</v>
      </c>
      <c r="D14997" s="704" t="s">
        <v>728</v>
      </c>
      <c r="E14997" s="704" t="s">
        <v>448</v>
      </c>
      <c r="F14997" s="705">
        <v>5.0487775528002182E-2</v>
      </c>
      <c r="G14997" s="705">
        <v>34.904591494681355</v>
      </c>
    </row>
    <row r="14998" spans="2:7" ht="11.25" hidden="1" customHeight="1" outlineLevel="2" x14ac:dyDescent="0.25">
      <c r="B14998" s="704" t="s">
        <v>698</v>
      </c>
      <c r="C14998" s="704" t="s">
        <v>790</v>
      </c>
      <c r="D14998" s="704" t="s">
        <v>728</v>
      </c>
      <c r="E14998" s="704" t="s">
        <v>448</v>
      </c>
      <c r="F14998" s="705">
        <v>1.7498407621255379</v>
      </c>
      <c r="G14998" s="705">
        <v>2227.0066210709383</v>
      </c>
    </row>
    <row r="14999" spans="2:7" ht="11.25" hidden="1" customHeight="1" outlineLevel="2" x14ac:dyDescent="0.25">
      <c r="B14999" s="704" t="s">
        <v>698</v>
      </c>
      <c r="C14999" s="704" t="s">
        <v>791</v>
      </c>
      <c r="D14999" s="704" t="s">
        <v>728</v>
      </c>
      <c r="E14999" s="704" t="s">
        <v>448</v>
      </c>
      <c r="F14999" s="705">
        <v>0.63155137013676532</v>
      </c>
      <c r="G14999" s="705">
        <v>894.99592640877063</v>
      </c>
    </row>
    <row r="15000" spans="2:7" ht="11.25" hidden="1" customHeight="1" outlineLevel="2" x14ac:dyDescent="0.25">
      <c r="B15000" s="704" t="s">
        <v>698</v>
      </c>
      <c r="C15000" s="704" t="s">
        <v>792</v>
      </c>
      <c r="D15000" s="704" t="s">
        <v>728</v>
      </c>
      <c r="E15000" s="704" t="s">
        <v>448</v>
      </c>
      <c r="F15000" s="705">
        <v>7.1104884639037413E-2</v>
      </c>
      <c r="G15000" s="705">
        <v>149.84093284011928</v>
      </c>
    </row>
    <row r="15001" spans="2:7" ht="11.25" hidden="1" customHeight="1" outlineLevel="2" x14ac:dyDescent="0.25">
      <c r="B15001" s="704" t="s">
        <v>698</v>
      </c>
      <c r="C15001" s="704" t="s">
        <v>793</v>
      </c>
      <c r="D15001" s="704" t="s">
        <v>728</v>
      </c>
      <c r="E15001" s="704" t="s">
        <v>448</v>
      </c>
      <c r="F15001" s="705">
        <v>1.9778568648833503</v>
      </c>
      <c r="G15001" s="705">
        <v>2887.3139192750727</v>
      </c>
    </row>
    <row r="15002" spans="2:7" ht="11.25" hidden="1" customHeight="1" outlineLevel="2" x14ac:dyDescent="0.25">
      <c r="B15002" s="704" t="s">
        <v>698</v>
      </c>
      <c r="C15002" s="704" t="s">
        <v>794</v>
      </c>
      <c r="D15002" s="704" t="s">
        <v>728</v>
      </c>
      <c r="E15002" s="704" t="s">
        <v>448</v>
      </c>
      <c r="F15002" s="705">
        <v>0.1006360263666731</v>
      </c>
      <c r="G15002" s="705">
        <v>78.883410923042575</v>
      </c>
    </row>
    <row r="15003" spans="2:7" ht="11.25" hidden="1" customHeight="1" outlineLevel="2" x14ac:dyDescent="0.25">
      <c r="B15003" s="704" t="s">
        <v>698</v>
      </c>
      <c r="C15003" s="704" t="s">
        <v>795</v>
      </c>
      <c r="D15003" s="704" t="s">
        <v>728</v>
      </c>
      <c r="E15003" s="704" t="s">
        <v>448</v>
      </c>
      <c r="F15003" s="705">
        <v>0.11263522195858032</v>
      </c>
      <c r="G15003" s="705">
        <v>88.466132829560266</v>
      </c>
    </row>
    <row r="15004" spans="2:7" ht="11.25" hidden="1" customHeight="1" outlineLevel="2" x14ac:dyDescent="0.25">
      <c r="B15004" s="704" t="s">
        <v>698</v>
      </c>
      <c r="C15004" s="704" t="s">
        <v>845</v>
      </c>
      <c r="D15004" s="704" t="s">
        <v>728</v>
      </c>
      <c r="E15004" s="704" t="s">
        <v>824</v>
      </c>
      <c r="F15004" s="705">
        <v>5.5722816767997405E-3</v>
      </c>
      <c r="G15004" s="705">
        <v>49.707055611986291</v>
      </c>
    </row>
    <row r="15005" spans="2:7" ht="11.25" hidden="1" customHeight="1" outlineLevel="2" x14ac:dyDescent="0.25">
      <c r="B15005" s="704" t="s">
        <v>698</v>
      </c>
      <c r="C15005" s="704" t="s">
        <v>894</v>
      </c>
      <c r="D15005" s="704" t="s">
        <v>728</v>
      </c>
      <c r="E15005" s="704" t="s">
        <v>861</v>
      </c>
      <c r="F15005" s="709"/>
      <c r="G15005" s="705">
        <v>7.7268149243838666E-2</v>
      </c>
    </row>
    <row r="15006" spans="2:7" ht="11.25" hidden="1" customHeight="1" outlineLevel="2" x14ac:dyDescent="0.25">
      <c r="B15006" s="704" t="s">
        <v>698</v>
      </c>
      <c r="C15006" s="704" t="s">
        <v>895</v>
      </c>
      <c r="D15006" s="704" t="s">
        <v>728</v>
      </c>
      <c r="E15006" s="704" t="s">
        <v>861</v>
      </c>
      <c r="F15006" s="709"/>
      <c r="G15006" s="705">
        <v>2.6001288280000003E-29</v>
      </c>
    </row>
    <row r="15007" spans="2:7" ht="11.25" hidden="1" customHeight="1" outlineLevel="2" x14ac:dyDescent="0.25">
      <c r="B15007" s="704" t="s">
        <v>698</v>
      </c>
      <c r="C15007" s="704" t="s">
        <v>896</v>
      </c>
      <c r="D15007" s="704" t="s">
        <v>728</v>
      </c>
      <c r="E15007" s="704" t="s">
        <v>861</v>
      </c>
      <c r="F15007" s="709"/>
      <c r="G15007" s="705">
        <v>540.3214960693191</v>
      </c>
    </row>
    <row r="15008" spans="2:7" ht="11.25" hidden="1" customHeight="1" outlineLevel="2" x14ac:dyDescent="0.25">
      <c r="B15008" s="704" t="s">
        <v>698</v>
      </c>
      <c r="C15008" s="704" t="s">
        <v>897</v>
      </c>
      <c r="D15008" s="704" t="s">
        <v>728</v>
      </c>
      <c r="E15008" s="704" t="s">
        <v>861</v>
      </c>
      <c r="F15008" s="709"/>
      <c r="G15008" s="705">
        <v>111.50406738292817</v>
      </c>
    </row>
    <row r="15009" spans="2:7" ht="11.25" hidden="1" customHeight="1" outlineLevel="2" x14ac:dyDescent="0.25">
      <c r="B15009" s="704" t="s">
        <v>698</v>
      </c>
      <c r="C15009" s="704" t="s">
        <v>898</v>
      </c>
      <c r="D15009" s="704" t="s">
        <v>728</v>
      </c>
      <c r="E15009" s="704" t="s">
        <v>861</v>
      </c>
      <c r="F15009" s="709"/>
      <c r="G15009" s="705">
        <v>735.63337552004998</v>
      </c>
    </row>
    <row r="15010" spans="2:7" ht="11.25" hidden="1" customHeight="1" outlineLevel="2" x14ac:dyDescent="0.25">
      <c r="B15010" s="704" t="s">
        <v>698</v>
      </c>
      <c r="C15010" s="704" t="s">
        <v>899</v>
      </c>
      <c r="D15010" s="704" t="s">
        <v>728</v>
      </c>
      <c r="E15010" s="704" t="s">
        <v>861</v>
      </c>
      <c r="F15010" s="709"/>
      <c r="G15010" s="705">
        <v>86.737528034865477</v>
      </c>
    </row>
    <row r="15011" spans="2:7" ht="11.25" hidden="1" customHeight="1" outlineLevel="2" x14ac:dyDescent="0.25">
      <c r="B15011" s="704" t="s">
        <v>698</v>
      </c>
      <c r="C15011" s="704" t="s">
        <v>900</v>
      </c>
      <c r="D15011" s="704" t="s">
        <v>728</v>
      </c>
      <c r="E15011" s="704" t="s">
        <v>861</v>
      </c>
      <c r="F15011" s="709"/>
      <c r="G15011" s="705">
        <v>2.0661424734243501</v>
      </c>
    </row>
    <row r="15012" spans="2:7" ht="11.25" hidden="1" customHeight="1" outlineLevel="2" x14ac:dyDescent="0.25">
      <c r="B15012" s="704" t="s">
        <v>698</v>
      </c>
      <c r="C15012" s="704" t="s">
        <v>744</v>
      </c>
      <c r="D15012" s="704" t="s">
        <v>745</v>
      </c>
      <c r="E15012" s="704" t="s">
        <v>448</v>
      </c>
      <c r="F15012" s="705">
        <v>5.7404941087289191E-2</v>
      </c>
      <c r="G15012" s="705">
        <v>33.194375606716576</v>
      </c>
    </row>
    <row r="15013" spans="2:7" ht="11.25" hidden="1" customHeight="1" outlineLevel="2" x14ac:dyDescent="0.25">
      <c r="B15013" s="704" t="s">
        <v>698</v>
      </c>
      <c r="C15013" s="704" t="s">
        <v>812</v>
      </c>
      <c r="D15013" s="704" t="s">
        <v>745</v>
      </c>
      <c r="E15013" s="704" t="s">
        <v>448</v>
      </c>
      <c r="F15013" s="705">
        <v>6.7107547458934796E-2</v>
      </c>
      <c r="G15013" s="705">
        <v>74.742326799445806</v>
      </c>
    </row>
    <row r="15014" spans="2:7" ht="11.25" hidden="1" customHeight="1" outlineLevel="2" x14ac:dyDescent="0.25">
      <c r="B15014" s="704" t="s">
        <v>698</v>
      </c>
      <c r="C15014" s="704" t="s">
        <v>813</v>
      </c>
      <c r="D15014" s="704" t="s">
        <v>745</v>
      </c>
      <c r="E15014" s="704" t="s">
        <v>448</v>
      </c>
      <c r="F15014" s="705">
        <v>6.8835252685713023E-4</v>
      </c>
      <c r="G15014" s="705">
        <v>0.8780533944369604</v>
      </c>
    </row>
    <row r="15015" spans="2:7" ht="11.25" hidden="1" customHeight="1" outlineLevel="2" x14ac:dyDescent="0.25">
      <c r="B15015" s="704" t="s">
        <v>698</v>
      </c>
      <c r="C15015" s="704" t="s">
        <v>917</v>
      </c>
      <c r="D15015" s="704" t="s">
        <v>745</v>
      </c>
      <c r="E15015" s="704" t="s">
        <v>861</v>
      </c>
      <c r="F15015" s="709"/>
      <c r="G15015" s="705">
        <v>994.66451391479893</v>
      </c>
    </row>
    <row r="15016" spans="2:7" ht="11.25" hidden="1" customHeight="1" outlineLevel="2" x14ac:dyDescent="0.25">
      <c r="B15016" s="704" t="s">
        <v>698</v>
      </c>
      <c r="C15016" s="704" t="s">
        <v>816</v>
      </c>
      <c r="D15016" s="704" t="s">
        <v>712</v>
      </c>
      <c r="E15016" s="704" t="s">
        <v>448</v>
      </c>
      <c r="F15016" s="705">
        <v>1.7136401028999999E-35</v>
      </c>
      <c r="G15016" s="705">
        <v>1.9967684263999999E-32</v>
      </c>
    </row>
    <row r="15017" spans="2:7" ht="11.25" hidden="1" customHeight="1" outlineLevel="2" x14ac:dyDescent="0.25">
      <c r="B15017" s="704" t="s">
        <v>698</v>
      </c>
      <c r="C15017" s="704" t="s">
        <v>711</v>
      </c>
      <c r="D15017" s="704" t="s">
        <v>712</v>
      </c>
      <c r="E15017" s="704" t="s">
        <v>676</v>
      </c>
      <c r="F15017" s="705">
        <v>3.1359396728E-33</v>
      </c>
      <c r="G15017" s="705">
        <v>7.3524077000000003E-31</v>
      </c>
    </row>
    <row r="15018" spans="2:7" ht="11.25" hidden="1" customHeight="1" outlineLevel="2" x14ac:dyDescent="0.25">
      <c r="B15018" s="704" t="s">
        <v>698</v>
      </c>
      <c r="C15018" s="704" t="s">
        <v>921</v>
      </c>
      <c r="D15018" s="704" t="s">
        <v>712</v>
      </c>
      <c r="E15018" s="704" t="s">
        <v>861</v>
      </c>
      <c r="F15018" s="709"/>
      <c r="G15018" s="705">
        <v>7.9710240719999993E-32</v>
      </c>
    </row>
    <row r="15019" spans="2:7" ht="11.25" hidden="1" customHeight="1" outlineLevel="2" x14ac:dyDescent="0.25">
      <c r="B15019" s="704" t="s">
        <v>698</v>
      </c>
      <c r="C15019" s="704" t="s">
        <v>817</v>
      </c>
      <c r="D15019" s="704" t="s">
        <v>818</v>
      </c>
      <c r="E15019" s="704" t="s">
        <v>448</v>
      </c>
      <c r="F15019" s="705">
        <v>23.736735306350074</v>
      </c>
      <c r="G15019" s="705">
        <v>19505.127604044599</v>
      </c>
    </row>
    <row r="15020" spans="2:7" ht="11.25" hidden="1" customHeight="1" outlineLevel="2" x14ac:dyDescent="0.25">
      <c r="B15020" s="704" t="s">
        <v>698</v>
      </c>
      <c r="C15020" s="704" t="s">
        <v>819</v>
      </c>
      <c r="D15020" s="704" t="s">
        <v>818</v>
      </c>
      <c r="E15020" s="704" t="s">
        <v>448</v>
      </c>
      <c r="F15020" s="705">
        <v>10.336082574179949</v>
      </c>
      <c r="G15020" s="705">
        <v>8231.1171777936634</v>
      </c>
    </row>
    <row r="15021" spans="2:7" ht="11.25" hidden="1" customHeight="1" outlineLevel="2" x14ac:dyDescent="0.25">
      <c r="B15021" s="704" t="s">
        <v>698</v>
      </c>
      <c r="C15021" s="704" t="s">
        <v>820</v>
      </c>
      <c r="D15021" s="704" t="s">
        <v>818</v>
      </c>
      <c r="E15021" s="704" t="s">
        <v>448</v>
      </c>
      <c r="F15021" s="705">
        <v>6.9653800587568364</v>
      </c>
      <c r="G15021" s="705">
        <v>10865.572704358185</v>
      </c>
    </row>
    <row r="15022" spans="2:7" ht="11.25" hidden="1" customHeight="1" outlineLevel="2" x14ac:dyDescent="0.25">
      <c r="B15022" s="704" t="s">
        <v>698</v>
      </c>
      <c r="C15022" s="704" t="s">
        <v>857</v>
      </c>
      <c r="D15022" s="704" t="s">
        <v>818</v>
      </c>
      <c r="E15022" s="704" t="s">
        <v>664</v>
      </c>
      <c r="F15022" s="709"/>
      <c r="G15022" s="705">
        <v>9674.3279153801304</v>
      </c>
    </row>
    <row r="15023" spans="2:7" ht="11.25" hidden="1" customHeight="1" outlineLevel="2" x14ac:dyDescent="0.25">
      <c r="B15023" s="704" t="s">
        <v>698</v>
      </c>
      <c r="C15023" s="704" t="s">
        <v>858</v>
      </c>
      <c r="D15023" s="704" t="s">
        <v>818</v>
      </c>
      <c r="E15023" s="704" t="s">
        <v>664</v>
      </c>
      <c r="F15023" s="709"/>
      <c r="G15023" s="705">
        <v>45.679042856475512</v>
      </c>
    </row>
    <row r="15024" spans="2:7" ht="11.25" hidden="1" customHeight="1" outlineLevel="2" x14ac:dyDescent="0.25">
      <c r="B15024" s="704" t="s">
        <v>698</v>
      </c>
      <c r="C15024" s="704" t="s">
        <v>922</v>
      </c>
      <c r="D15024" s="704" t="s">
        <v>822</v>
      </c>
      <c r="E15024" s="704" t="s">
        <v>861</v>
      </c>
      <c r="F15024" s="709"/>
      <c r="G15024" s="705">
        <v>1.8185952544074</v>
      </c>
    </row>
    <row r="15025" spans="2:7" ht="11.25" hidden="1" customHeight="1" outlineLevel="2" x14ac:dyDescent="0.25">
      <c r="B15025" s="704" t="s">
        <v>698</v>
      </c>
      <c r="C15025" s="704" t="s">
        <v>821</v>
      </c>
      <c r="D15025" s="704" t="s">
        <v>822</v>
      </c>
      <c r="E15025" s="704" t="s">
        <v>448</v>
      </c>
      <c r="F15025" s="705">
        <v>5.7322654772868091E-5</v>
      </c>
      <c r="G15025" s="705">
        <v>7.7888305185286236E-2</v>
      </c>
    </row>
    <row r="15026" spans="2:7" ht="11.25" hidden="1" customHeight="1" outlineLevel="2" x14ac:dyDescent="0.25">
      <c r="B15026" s="704" t="s">
        <v>698</v>
      </c>
      <c r="C15026" s="704" t="s">
        <v>855</v>
      </c>
      <c r="D15026" s="704" t="s">
        <v>822</v>
      </c>
      <c r="E15026" s="704" t="s">
        <v>824</v>
      </c>
      <c r="F15026" s="705">
        <v>9.1570708747803962E-7</v>
      </c>
      <c r="G15026" s="705">
        <v>2.650615789343802E-3</v>
      </c>
    </row>
    <row r="15027" spans="2:7" ht="11.25" hidden="1" customHeight="1" outlineLevel="2" x14ac:dyDescent="0.25">
      <c r="B15027" s="704" t="s">
        <v>698</v>
      </c>
      <c r="C15027" s="704" t="s">
        <v>714</v>
      </c>
      <c r="D15027" s="704" t="s">
        <v>715</v>
      </c>
      <c r="E15027" s="704" t="s">
        <v>448</v>
      </c>
      <c r="F15027" s="705">
        <v>1.8819082221943775</v>
      </c>
      <c r="G15027" s="705">
        <v>477.11495593981999</v>
      </c>
    </row>
    <row r="15028" spans="2:7" ht="11.25" hidden="1" customHeight="1" outlineLevel="2" x14ac:dyDescent="0.25">
      <c r="B15028" s="704" t="s">
        <v>698</v>
      </c>
      <c r="C15028" s="704" t="s">
        <v>716</v>
      </c>
      <c r="D15028" s="704" t="s">
        <v>715</v>
      </c>
      <c r="E15028" s="704" t="s">
        <v>448</v>
      </c>
      <c r="F15028" s="705">
        <v>2.0888774499999998E-33</v>
      </c>
      <c r="G15028" s="705">
        <v>2.5436905559999998E-30</v>
      </c>
    </row>
    <row r="15029" spans="2:7" ht="11.25" hidden="1" customHeight="1" outlineLevel="2" x14ac:dyDescent="0.25">
      <c r="B15029" s="704" t="s">
        <v>698</v>
      </c>
      <c r="C15029" s="704" t="s">
        <v>717</v>
      </c>
      <c r="D15029" s="704" t="s">
        <v>715</v>
      </c>
      <c r="E15029" s="704" t="s">
        <v>448</v>
      </c>
      <c r="F15029" s="705">
        <v>2.0157752595077456</v>
      </c>
      <c r="G15029" s="705">
        <v>550.91278721908009</v>
      </c>
    </row>
    <row r="15030" spans="2:7" ht="11.25" hidden="1" customHeight="1" outlineLevel="2" x14ac:dyDescent="0.25">
      <c r="B15030" s="704" t="s">
        <v>698</v>
      </c>
      <c r="C15030" s="704" t="s">
        <v>718</v>
      </c>
      <c r="D15030" s="704" t="s">
        <v>715</v>
      </c>
      <c r="E15030" s="704" t="s">
        <v>448</v>
      </c>
      <c r="F15030" s="705">
        <v>0.12908065053309148</v>
      </c>
      <c r="G15030" s="705">
        <v>141.6394103892313</v>
      </c>
    </row>
    <row r="15031" spans="2:7" ht="11.25" hidden="1" customHeight="1" outlineLevel="2" x14ac:dyDescent="0.25">
      <c r="B15031" s="704" t="s">
        <v>698</v>
      </c>
      <c r="C15031" s="704" t="s">
        <v>746</v>
      </c>
      <c r="D15031" s="704" t="s">
        <v>715</v>
      </c>
      <c r="E15031" s="704" t="s">
        <v>448</v>
      </c>
      <c r="F15031" s="705">
        <v>0.3308374751944041</v>
      </c>
      <c r="G15031" s="705">
        <v>230.54722731669617</v>
      </c>
    </row>
    <row r="15032" spans="2:7" ht="11.25" hidden="1" customHeight="1" outlineLevel="2" x14ac:dyDescent="0.25">
      <c r="B15032" s="704" t="s">
        <v>698</v>
      </c>
      <c r="C15032" s="704" t="s">
        <v>747</v>
      </c>
      <c r="D15032" s="704" t="s">
        <v>715</v>
      </c>
      <c r="E15032" s="704" t="s">
        <v>448</v>
      </c>
      <c r="F15032" s="705">
        <v>2.8645550247846936</v>
      </c>
      <c r="G15032" s="705">
        <v>2457.33575153726</v>
      </c>
    </row>
    <row r="15033" spans="2:7" ht="11.25" hidden="1" customHeight="1" outlineLevel="2" x14ac:dyDescent="0.25">
      <c r="B15033" s="704" t="s">
        <v>698</v>
      </c>
      <c r="C15033" s="704" t="s">
        <v>748</v>
      </c>
      <c r="D15033" s="704" t="s">
        <v>715</v>
      </c>
      <c r="E15033" s="704" t="s">
        <v>448</v>
      </c>
      <c r="F15033" s="705">
        <v>0.66319356519115358</v>
      </c>
      <c r="G15033" s="705">
        <v>863.30920182332113</v>
      </c>
    </row>
    <row r="15034" spans="2:7" ht="11.25" hidden="1" customHeight="1" outlineLevel="2" x14ac:dyDescent="0.25">
      <c r="B15034" s="704" t="s">
        <v>698</v>
      </c>
      <c r="C15034" s="704" t="s">
        <v>749</v>
      </c>
      <c r="D15034" s="704" t="s">
        <v>715</v>
      </c>
      <c r="E15034" s="704" t="s">
        <v>448</v>
      </c>
      <c r="F15034" s="705">
        <v>0.17495593324540323</v>
      </c>
      <c r="G15034" s="705">
        <v>138.20751017470454</v>
      </c>
    </row>
    <row r="15035" spans="2:7" ht="11.25" hidden="1" customHeight="1" outlineLevel="2" x14ac:dyDescent="0.25">
      <c r="B15035" s="704" t="s">
        <v>698</v>
      </c>
      <c r="C15035" s="704" t="s">
        <v>823</v>
      </c>
      <c r="D15035" s="704" t="s">
        <v>715</v>
      </c>
      <c r="E15035" s="704" t="s">
        <v>824</v>
      </c>
      <c r="F15035" s="705">
        <v>5.7216187382967583E-3</v>
      </c>
      <c r="G15035" s="705">
        <v>9.5589829727909787</v>
      </c>
    </row>
    <row r="15036" spans="2:7" ht="11.25" hidden="1" customHeight="1" outlineLevel="2" x14ac:dyDescent="0.25">
      <c r="B15036" s="704" t="s">
        <v>698</v>
      </c>
      <c r="C15036" s="704" t="s">
        <v>860</v>
      </c>
      <c r="D15036" s="704" t="s">
        <v>715</v>
      </c>
      <c r="E15036" s="704" t="s">
        <v>861</v>
      </c>
      <c r="F15036" s="709"/>
      <c r="G15036" s="705">
        <v>189.45830064831205</v>
      </c>
    </row>
    <row r="15037" spans="2:7" ht="11.25" hidden="1" customHeight="1" outlineLevel="2" x14ac:dyDescent="0.25">
      <c r="B15037" s="704" t="s">
        <v>698</v>
      </c>
      <c r="C15037" s="704" t="s">
        <v>919</v>
      </c>
      <c r="D15037" s="704" t="s">
        <v>920</v>
      </c>
      <c r="E15037" s="704" t="s">
        <v>861</v>
      </c>
      <c r="F15037" s="709"/>
      <c r="G15037" s="705">
        <v>3.3823720964000013E-29</v>
      </c>
    </row>
    <row r="15038" spans="2:7" ht="11.25" hidden="1" customHeight="1" outlineLevel="1" x14ac:dyDescent="0.25">
      <c r="B15038" s="707" t="s">
        <v>964</v>
      </c>
      <c r="C15038" s="704"/>
      <c r="D15038" s="704"/>
      <c r="E15038" s="704"/>
      <c r="F15038" s="709">
        <f t="shared" ref="F15038:G15038" si="49">SUBTOTAL(9,F14827:F15037)</f>
        <v>63.214354960120566</v>
      </c>
      <c r="G15038" s="705">
        <f t="shared" si="49"/>
        <v>113224.52337846957</v>
      </c>
    </row>
    <row r="15039" spans="2:7" ht="11.25" hidden="1" customHeight="1" outlineLevel="2" x14ac:dyDescent="0.25">
      <c r="B15039" s="704" t="s">
        <v>699</v>
      </c>
      <c r="C15039" s="704" t="s">
        <v>739</v>
      </c>
      <c r="D15039" s="704" t="s">
        <v>44</v>
      </c>
      <c r="E15039" s="704" t="s">
        <v>448</v>
      </c>
      <c r="F15039" s="705">
        <v>6.7325372663441813E-35</v>
      </c>
      <c r="G15039" s="705">
        <v>3.4215421049509254E-32</v>
      </c>
    </row>
    <row r="15040" spans="2:7" ht="11.25" hidden="1" customHeight="1" outlineLevel="2" x14ac:dyDescent="0.25">
      <c r="B15040" s="704" t="s">
        <v>699</v>
      </c>
      <c r="C15040" s="704" t="s">
        <v>796</v>
      </c>
      <c r="D15040" s="704" t="s">
        <v>44</v>
      </c>
      <c r="E15040" s="704" t="s">
        <v>448</v>
      </c>
      <c r="F15040" s="705">
        <v>3.2053891469483028E-35</v>
      </c>
      <c r="G15040" s="705">
        <v>4.5034053800298448E-32</v>
      </c>
    </row>
    <row r="15041" spans="2:7" ht="11.25" hidden="1" customHeight="1" outlineLevel="2" x14ac:dyDescent="0.25">
      <c r="B15041" s="704" t="s">
        <v>699</v>
      </c>
      <c r="C15041" s="704" t="s">
        <v>797</v>
      </c>
      <c r="D15041" s="704" t="s">
        <v>44</v>
      </c>
      <c r="E15041" s="704" t="s">
        <v>448</v>
      </c>
      <c r="F15041" s="705">
        <v>3.6466111776779181E-34</v>
      </c>
      <c r="G15041" s="705">
        <v>2.0506426766045641E-30</v>
      </c>
    </row>
    <row r="15042" spans="2:7" ht="11.25" hidden="1" customHeight="1" outlineLevel="2" x14ac:dyDescent="0.25">
      <c r="B15042" s="704" t="s">
        <v>699</v>
      </c>
      <c r="C15042" s="704" t="s">
        <v>798</v>
      </c>
      <c r="D15042" s="704" t="s">
        <v>44</v>
      </c>
      <c r="E15042" s="704" t="s">
        <v>448</v>
      </c>
      <c r="F15042" s="705">
        <v>1.25115406112099E-40</v>
      </c>
      <c r="G15042" s="705">
        <v>1.6424750101005877E-37</v>
      </c>
    </row>
    <row r="15043" spans="2:7" ht="11.25" hidden="1" customHeight="1" outlineLevel="2" x14ac:dyDescent="0.25">
      <c r="B15043" s="704" t="s">
        <v>699</v>
      </c>
      <c r="C15043" s="704" t="s">
        <v>799</v>
      </c>
      <c r="D15043" s="704" t="s">
        <v>44</v>
      </c>
      <c r="E15043" s="704" t="s">
        <v>448</v>
      </c>
      <c r="F15043" s="705">
        <v>1.0678882109993598E-36</v>
      </c>
      <c r="G15043" s="705">
        <v>1.3999479659600153E-33</v>
      </c>
    </row>
    <row r="15044" spans="2:7" ht="11.25" hidden="1" customHeight="1" outlineLevel="2" x14ac:dyDescent="0.25">
      <c r="B15044" s="704" t="s">
        <v>699</v>
      </c>
      <c r="C15044" s="704" t="s">
        <v>800</v>
      </c>
      <c r="D15044" s="704" t="s">
        <v>44</v>
      </c>
      <c r="E15044" s="704" t="s">
        <v>448</v>
      </c>
      <c r="F15044" s="705">
        <v>1.2721410398433914E-35</v>
      </c>
      <c r="G15044" s="705">
        <v>1.4837036410084692E-32</v>
      </c>
    </row>
    <row r="15045" spans="2:7" ht="11.25" hidden="1" customHeight="1" outlineLevel="2" x14ac:dyDescent="0.25">
      <c r="B15045" s="704" t="s">
        <v>699</v>
      </c>
      <c r="C15045" s="704" t="s">
        <v>801</v>
      </c>
      <c r="D15045" s="704" t="s">
        <v>44</v>
      </c>
      <c r="E15045" s="704" t="s">
        <v>448</v>
      </c>
      <c r="F15045" s="705">
        <v>1.6597304970493812E-33</v>
      </c>
      <c r="G15045" s="705">
        <v>2.1675830777834775E-30</v>
      </c>
    </row>
    <row r="15046" spans="2:7" ht="11.25" hidden="1" customHeight="1" outlineLevel="2" x14ac:dyDescent="0.25">
      <c r="B15046" s="704" t="s">
        <v>699</v>
      </c>
      <c r="C15046" s="704" t="s">
        <v>802</v>
      </c>
      <c r="D15046" s="704" t="s">
        <v>44</v>
      </c>
      <c r="E15046" s="704" t="s">
        <v>448</v>
      </c>
      <c r="F15046" s="705">
        <v>3.2387271652855731E-33</v>
      </c>
      <c r="G15046" s="705">
        <v>2.1925866068221845E-30</v>
      </c>
    </row>
    <row r="15047" spans="2:7" ht="11.25" hidden="1" customHeight="1" outlineLevel="2" x14ac:dyDescent="0.25">
      <c r="B15047" s="704" t="s">
        <v>699</v>
      </c>
      <c r="C15047" s="704" t="s">
        <v>803</v>
      </c>
      <c r="D15047" s="704" t="s">
        <v>44</v>
      </c>
      <c r="E15047" s="704" t="s">
        <v>448</v>
      </c>
      <c r="F15047" s="705">
        <v>1.7007358932577879E-34</v>
      </c>
      <c r="G15047" s="705">
        <v>2.2295797325932862E-31</v>
      </c>
    </row>
    <row r="15048" spans="2:7" ht="11.25" hidden="1" customHeight="1" outlineLevel="2" x14ac:dyDescent="0.25">
      <c r="B15048" s="704" t="s">
        <v>699</v>
      </c>
      <c r="C15048" s="704" t="s">
        <v>804</v>
      </c>
      <c r="D15048" s="704" t="s">
        <v>44</v>
      </c>
      <c r="E15048" s="704" t="s">
        <v>448</v>
      </c>
      <c r="F15048" s="705">
        <v>2.3561475446602918E-34</v>
      </c>
      <c r="G15048" s="705">
        <v>2.6850061911512384E-31</v>
      </c>
    </row>
    <row r="15049" spans="2:7" ht="11.25" hidden="1" customHeight="1" outlineLevel="2" x14ac:dyDescent="0.25">
      <c r="B15049" s="704" t="s">
        <v>699</v>
      </c>
      <c r="C15049" s="704" t="s">
        <v>805</v>
      </c>
      <c r="D15049" s="704" t="s">
        <v>44</v>
      </c>
      <c r="E15049" s="704" t="s">
        <v>448</v>
      </c>
      <c r="F15049" s="705">
        <v>1.5305193420695929E-34</v>
      </c>
      <c r="G15049" s="705">
        <v>4.470290073252037E-31</v>
      </c>
    </row>
    <row r="15050" spans="2:7" ht="11.25" hidden="1" customHeight="1" outlineLevel="2" x14ac:dyDescent="0.25">
      <c r="B15050" s="704" t="s">
        <v>699</v>
      </c>
      <c r="C15050" s="704" t="s">
        <v>846</v>
      </c>
      <c r="D15050" s="704" t="s">
        <v>44</v>
      </c>
      <c r="E15050" s="704" t="s">
        <v>824</v>
      </c>
      <c r="F15050" s="705">
        <v>2.6379085957552315E-36</v>
      </c>
      <c r="G15050" s="705">
        <v>4.1915162723227706E-33</v>
      </c>
    </row>
    <row r="15051" spans="2:7" ht="11.25" hidden="1" customHeight="1" outlineLevel="2" x14ac:dyDescent="0.25">
      <c r="B15051" s="704" t="s">
        <v>699</v>
      </c>
      <c r="C15051" s="704" t="s">
        <v>847</v>
      </c>
      <c r="D15051" s="704" t="s">
        <v>44</v>
      </c>
      <c r="E15051" s="704" t="s">
        <v>824</v>
      </c>
      <c r="F15051" s="705">
        <v>5.5019376952036936E-37</v>
      </c>
      <c r="G15051" s="705">
        <v>5.7984014727762259E-33</v>
      </c>
    </row>
    <row r="15052" spans="2:7" ht="11.25" hidden="1" customHeight="1" outlineLevel="2" x14ac:dyDescent="0.25">
      <c r="B15052" s="704" t="s">
        <v>699</v>
      </c>
      <c r="C15052" s="704" t="s">
        <v>705</v>
      </c>
      <c r="D15052" s="704" t="s">
        <v>44</v>
      </c>
      <c r="E15052" s="704" t="s">
        <v>676</v>
      </c>
      <c r="F15052" s="705">
        <v>4.200799385365748E-34</v>
      </c>
      <c r="G15052" s="705">
        <v>4.4047226276265358E-33</v>
      </c>
    </row>
    <row r="15053" spans="2:7" ht="11.25" hidden="1" customHeight="1" outlineLevel="2" x14ac:dyDescent="0.25">
      <c r="B15053" s="704" t="s">
        <v>699</v>
      </c>
      <c r="C15053" s="704" t="s">
        <v>706</v>
      </c>
      <c r="D15053" s="704" t="s">
        <v>44</v>
      </c>
      <c r="E15053" s="704" t="s">
        <v>676</v>
      </c>
      <c r="F15053" s="705">
        <v>2.6369596790981116E-35</v>
      </c>
      <c r="G15053" s="705">
        <v>2.7641370213079294E-34</v>
      </c>
    </row>
    <row r="15054" spans="2:7" ht="11.25" hidden="1" customHeight="1" outlineLevel="2" x14ac:dyDescent="0.25">
      <c r="B15054" s="704" t="s">
        <v>699</v>
      </c>
      <c r="C15054" s="704" t="s">
        <v>901</v>
      </c>
      <c r="D15054" s="704" t="s">
        <v>44</v>
      </c>
      <c r="E15054" s="704" t="s">
        <v>861</v>
      </c>
      <c r="F15054" s="709"/>
      <c r="G15054" s="705">
        <v>5.4461997501739343E-36</v>
      </c>
    </row>
    <row r="15055" spans="2:7" ht="11.25" hidden="1" customHeight="1" outlineLevel="2" x14ac:dyDescent="0.25">
      <c r="B15055" s="704" t="s">
        <v>699</v>
      </c>
      <c r="C15055" s="704" t="s">
        <v>902</v>
      </c>
      <c r="D15055" s="704" t="s">
        <v>44</v>
      </c>
      <c r="E15055" s="704" t="s">
        <v>861</v>
      </c>
      <c r="F15055" s="709"/>
      <c r="G15055" s="705">
        <v>4.8596835975054899E-28</v>
      </c>
    </row>
    <row r="15056" spans="2:7" ht="11.25" hidden="1" customHeight="1" outlineLevel="2" x14ac:dyDescent="0.25">
      <c r="B15056" s="704" t="s">
        <v>699</v>
      </c>
      <c r="C15056" s="704" t="s">
        <v>903</v>
      </c>
      <c r="D15056" s="704" t="s">
        <v>44</v>
      </c>
      <c r="E15056" s="704" t="s">
        <v>861</v>
      </c>
      <c r="F15056" s="709"/>
      <c r="G15056" s="705">
        <v>1.0979987026936561E-28</v>
      </c>
    </row>
    <row r="15057" spans="2:7" ht="11.25" hidden="1" customHeight="1" outlineLevel="2" x14ac:dyDescent="0.25">
      <c r="B15057" s="704" t="s">
        <v>699</v>
      </c>
      <c r="C15057" s="704" t="s">
        <v>904</v>
      </c>
      <c r="D15057" s="704" t="s">
        <v>44</v>
      </c>
      <c r="E15057" s="704" t="s">
        <v>861</v>
      </c>
      <c r="F15057" s="709"/>
      <c r="G15057" s="705">
        <v>5.6168157526635201E-32</v>
      </c>
    </row>
    <row r="15058" spans="2:7" ht="11.25" hidden="1" customHeight="1" outlineLevel="2" x14ac:dyDescent="0.25">
      <c r="B15058" s="704" t="s">
        <v>699</v>
      </c>
      <c r="C15058" s="704" t="s">
        <v>905</v>
      </c>
      <c r="D15058" s="704" t="s">
        <v>44</v>
      </c>
      <c r="E15058" s="704" t="s">
        <v>861</v>
      </c>
      <c r="F15058" s="709"/>
      <c r="G15058" s="705">
        <v>3.5778994380424386E-35</v>
      </c>
    </row>
    <row r="15059" spans="2:7" ht="11.25" hidden="1" customHeight="1" outlineLevel="2" x14ac:dyDescent="0.25">
      <c r="B15059" s="704" t="s">
        <v>699</v>
      </c>
      <c r="C15059" s="704" t="s">
        <v>906</v>
      </c>
      <c r="D15059" s="704" t="s">
        <v>44</v>
      </c>
      <c r="E15059" s="704" t="s">
        <v>861</v>
      </c>
      <c r="F15059" s="709"/>
      <c r="G15059" s="705">
        <v>3.7452592939091155E-31</v>
      </c>
    </row>
    <row r="15060" spans="2:7" ht="11.25" hidden="1" customHeight="1" outlineLevel="2" x14ac:dyDescent="0.25">
      <c r="B15060" s="704" t="s">
        <v>699</v>
      </c>
      <c r="C15060" s="704" t="s">
        <v>907</v>
      </c>
      <c r="D15060" s="704" t="s">
        <v>44</v>
      </c>
      <c r="E15060" s="704" t="s">
        <v>861</v>
      </c>
      <c r="F15060" s="709"/>
      <c r="G15060" s="705">
        <v>1.0268559227017843E-34</v>
      </c>
    </row>
    <row r="15061" spans="2:7" ht="11.25" hidden="1" customHeight="1" outlineLevel="2" x14ac:dyDescent="0.25">
      <c r="B15061" s="704" t="s">
        <v>699</v>
      </c>
      <c r="C15061" s="704" t="s">
        <v>908</v>
      </c>
      <c r="D15061" s="704" t="s">
        <v>44</v>
      </c>
      <c r="E15061" s="704" t="s">
        <v>861</v>
      </c>
      <c r="F15061" s="709"/>
      <c r="G15061" s="705">
        <v>1.3029741115138325E-30</v>
      </c>
    </row>
    <row r="15062" spans="2:7" ht="11.25" hidden="1" customHeight="1" outlineLevel="2" x14ac:dyDescent="0.25">
      <c r="B15062" s="704" t="s">
        <v>699</v>
      </c>
      <c r="C15062" s="704" t="s">
        <v>909</v>
      </c>
      <c r="D15062" s="704" t="s">
        <v>44</v>
      </c>
      <c r="E15062" s="704" t="s">
        <v>861</v>
      </c>
      <c r="F15062" s="709"/>
      <c r="G15062" s="705">
        <v>1.540882820570414E-32</v>
      </c>
    </row>
    <row r="15063" spans="2:7" ht="11.25" hidden="1" customHeight="1" outlineLevel="2" x14ac:dyDescent="0.25">
      <c r="B15063" s="704" t="s">
        <v>699</v>
      </c>
      <c r="C15063" s="704" t="s">
        <v>910</v>
      </c>
      <c r="D15063" s="704" t="s">
        <v>44</v>
      </c>
      <c r="E15063" s="704" t="s">
        <v>861</v>
      </c>
      <c r="F15063" s="709"/>
      <c r="G15063" s="705">
        <v>1.8693729389601288E-30</v>
      </c>
    </row>
    <row r="15064" spans="2:7" ht="11.25" hidden="1" customHeight="1" outlineLevel="2" x14ac:dyDescent="0.25">
      <c r="B15064" s="704" t="s">
        <v>699</v>
      </c>
      <c r="C15064" s="704" t="s">
        <v>814</v>
      </c>
      <c r="D15064" s="704" t="s">
        <v>815</v>
      </c>
      <c r="E15064" s="704" t="s">
        <v>448</v>
      </c>
      <c r="F15064" s="705">
        <v>2.0593414926510195E-34</v>
      </c>
      <c r="G15064" s="705">
        <v>1.3405188215545494E-30</v>
      </c>
    </row>
    <row r="15065" spans="2:7" ht="11.25" hidden="1" customHeight="1" outlineLevel="2" x14ac:dyDescent="0.25">
      <c r="B15065" s="704" t="s">
        <v>699</v>
      </c>
      <c r="C15065" s="704" t="s">
        <v>854</v>
      </c>
      <c r="D15065" s="704" t="s">
        <v>815</v>
      </c>
      <c r="E15065" s="704" t="s">
        <v>824</v>
      </c>
      <c r="F15065" s="705">
        <v>1.6645027218787266E-36</v>
      </c>
      <c r="G15065" s="705">
        <v>2.4044512537756401E-32</v>
      </c>
    </row>
    <row r="15066" spans="2:7" ht="11.25" hidden="1" customHeight="1" outlineLevel="2" x14ac:dyDescent="0.25">
      <c r="B15066" s="704" t="s">
        <v>699</v>
      </c>
      <c r="C15066" s="704" t="s">
        <v>918</v>
      </c>
      <c r="D15066" s="704" t="s">
        <v>815</v>
      </c>
      <c r="E15066" s="704" t="s">
        <v>861</v>
      </c>
      <c r="F15066" s="709"/>
      <c r="G15066" s="705">
        <v>2.4695875283605399E-28</v>
      </c>
    </row>
    <row r="15067" spans="2:7" ht="11.25" hidden="1" customHeight="1" outlineLevel="2" x14ac:dyDescent="0.25">
      <c r="B15067" s="704" t="s">
        <v>699</v>
      </c>
      <c r="C15067" s="704" t="s">
        <v>740</v>
      </c>
      <c r="D15067" s="704" t="s">
        <v>562</v>
      </c>
      <c r="E15067" s="704" t="s">
        <v>448</v>
      </c>
      <c r="F15067" s="705">
        <v>7.2109381319057142E-2</v>
      </c>
      <c r="G15067" s="705">
        <v>35.735070784261353</v>
      </c>
    </row>
    <row r="15068" spans="2:7" ht="11.25" hidden="1" customHeight="1" outlineLevel="2" x14ac:dyDescent="0.25">
      <c r="B15068" s="704" t="s">
        <v>699</v>
      </c>
      <c r="C15068" s="704" t="s">
        <v>741</v>
      </c>
      <c r="D15068" s="704" t="s">
        <v>562</v>
      </c>
      <c r="E15068" s="704" t="s">
        <v>448</v>
      </c>
      <c r="F15068" s="705">
        <v>0.46077539801993883</v>
      </c>
      <c r="G15068" s="705">
        <v>238.41295507060883</v>
      </c>
    </row>
    <row r="15069" spans="2:7" ht="11.25" hidden="1" customHeight="1" outlineLevel="2" x14ac:dyDescent="0.25">
      <c r="B15069" s="704" t="s">
        <v>699</v>
      </c>
      <c r="C15069" s="704" t="s">
        <v>742</v>
      </c>
      <c r="D15069" s="704" t="s">
        <v>562</v>
      </c>
      <c r="E15069" s="704" t="s">
        <v>448</v>
      </c>
      <c r="F15069" s="705">
        <v>2.0510602594091495E-4</v>
      </c>
      <c r="G15069" s="705">
        <v>9.1948527770279481E-2</v>
      </c>
    </row>
    <row r="15070" spans="2:7" ht="11.25" hidden="1" customHeight="1" outlineLevel="2" x14ac:dyDescent="0.25">
      <c r="B15070" s="704" t="s">
        <v>699</v>
      </c>
      <c r="C15070" s="704" t="s">
        <v>743</v>
      </c>
      <c r="D15070" s="704" t="s">
        <v>562</v>
      </c>
      <c r="E15070" s="704" t="s">
        <v>448</v>
      </c>
      <c r="F15070" s="705">
        <v>3.2273026226865057E-3</v>
      </c>
      <c r="G15070" s="705">
        <v>1.4467931290374436</v>
      </c>
    </row>
    <row r="15071" spans="2:7" ht="11.25" hidden="1" customHeight="1" outlineLevel="2" x14ac:dyDescent="0.25">
      <c r="B15071" s="704" t="s">
        <v>699</v>
      </c>
      <c r="C15071" s="704" t="s">
        <v>806</v>
      </c>
      <c r="D15071" s="704" t="s">
        <v>562</v>
      </c>
      <c r="E15071" s="704" t="s">
        <v>448</v>
      </c>
      <c r="F15071" s="705">
        <v>6.1180506136403068</v>
      </c>
      <c r="G15071" s="705">
        <v>7355.8860654933478</v>
      </c>
    </row>
    <row r="15072" spans="2:7" ht="11.25" hidden="1" customHeight="1" outlineLevel="2" x14ac:dyDescent="0.25">
      <c r="B15072" s="704" t="s">
        <v>699</v>
      </c>
      <c r="C15072" s="704" t="s">
        <v>807</v>
      </c>
      <c r="D15072" s="704" t="s">
        <v>562</v>
      </c>
      <c r="E15072" s="704" t="s">
        <v>448</v>
      </c>
      <c r="F15072" s="705">
        <v>1.3168854816368287</v>
      </c>
      <c r="G15072" s="705">
        <v>1840.7379650521693</v>
      </c>
    </row>
    <row r="15073" spans="2:7" ht="11.25" hidden="1" customHeight="1" outlineLevel="2" x14ac:dyDescent="0.25">
      <c r="B15073" s="704" t="s">
        <v>699</v>
      </c>
      <c r="C15073" s="704" t="s">
        <v>808</v>
      </c>
      <c r="D15073" s="704" t="s">
        <v>562</v>
      </c>
      <c r="E15073" s="704" t="s">
        <v>448</v>
      </c>
      <c r="F15073" s="705">
        <v>0.60787476836765519</v>
      </c>
      <c r="G15073" s="705">
        <v>976.12844458231825</v>
      </c>
    </row>
    <row r="15074" spans="2:7" ht="11.25" hidden="1" customHeight="1" outlineLevel="2" x14ac:dyDescent="0.25">
      <c r="B15074" s="704" t="s">
        <v>699</v>
      </c>
      <c r="C15074" s="704" t="s">
        <v>809</v>
      </c>
      <c r="D15074" s="704" t="s">
        <v>562</v>
      </c>
      <c r="E15074" s="704" t="s">
        <v>448</v>
      </c>
      <c r="F15074" s="705">
        <v>1.4007102895760024</v>
      </c>
      <c r="G15074" s="705">
        <v>2094.4194370128689</v>
      </c>
    </row>
    <row r="15075" spans="2:7" ht="11.25" hidden="1" customHeight="1" outlineLevel="2" x14ac:dyDescent="0.25">
      <c r="B15075" s="704" t="s">
        <v>699</v>
      </c>
      <c r="C15075" s="704" t="s">
        <v>810</v>
      </c>
      <c r="D15075" s="704" t="s">
        <v>562</v>
      </c>
      <c r="E15075" s="704" t="s">
        <v>448</v>
      </c>
      <c r="F15075" s="705">
        <v>2.6454950497395657</v>
      </c>
      <c r="G15075" s="705">
        <v>3299.5742241188864</v>
      </c>
    </row>
    <row r="15076" spans="2:7" ht="11.25" hidden="1" customHeight="1" outlineLevel="2" x14ac:dyDescent="0.25">
      <c r="B15076" s="704" t="s">
        <v>699</v>
      </c>
      <c r="C15076" s="704" t="s">
        <v>811</v>
      </c>
      <c r="D15076" s="704" t="s">
        <v>562</v>
      </c>
      <c r="E15076" s="704" t="s">
        <v>448</v>
      </c>
      <c r="F15076" s="705">
        <v>0.11262397568025019</v>
      </c>
      <c r="G15076" s="705">
        <v>155.19359822644017</v>
      </c>
    </row>
    <row r="15077" spans="2:7" ht="11.25" hidden="1" customHeight="1" outlineLevel="2" x14ac:dyDescent="0.25">
      <c r="B15077" s="704" t="s">
        <v>699</v>
      </c>
      <c r="C15077" s="704" t="s">
        <v>848</v>
      </c>
      <c r="D15077" s="704" t="s">
        <v>562</v>
      </c>
      <c r="E15077" s="704" t="s">
        <v>824</v>
      </c>
      <c r="F15077" s="705">
        <v>0.35600685864437548</v>
      </c>
      <c r="G15077" s="705">
        <v>978.73633851137288</v>
      </c>
    </row>
    <row r="15078" spans="2:7" ht="11.25" hidden="1" customHeight="1" outlineLevel="2" x14ac:dyDescent="0.25">
      <c r="B15078" s="704" t="s">
        <v>699</v>
      </c>
      <c r="C15078" s="704" t="s">
        <v>849</v>
      </c>
      <c r="D15078" s="704" t="s">
        <v>562</v>
      </c>
      <c r="E15078" s="704" t="s">
        <v>824</v>
      </c>
      <c r="F15078" s="705">
        <v>5.1688382856910568E-2</v>
      </c>
      <c r="G15078" s="705">
        <v>217.9985297460419</v>
      </c>
    </row>
    <row r="15079" spans="2:7" ht="11.25" hidden="1" customHeight="1" outlineLevel="2" x14ac:dyDescent="0.25">
      <c r="B15079" s="704" t="s">
        <v>699</v>
      </c>
      <c r="C15079" s="704" t="s">
        <v>850</v>
      </c>
      <c r="D15079" s="704" t="s">
        <v>562</v>
      </c>
      <c r="E15079" s="704" t="s">
        <v>824</v>
      </c>
      <c r="F15079" s="705">
        <v>3.8240056055927264E-2</v>
      </c>
      <c r="G15079" s="705">
        <v>255.53358683384806</v>
      </c>
    </row>
    <row r="15080" spans="2:7" ht="11.25" hidden="1" customHeight="1" outlineLevel="2" x14ac:dyDescent="0.25">
      <c r="B15080" s="704" t="s">
        <v>699</v>
      </c>
      <c r="C15080" s="704" t="s">
        <v>851</v>
      </c>
      <c r="D15080" s="704" t="s">
        <v>562</v>
      </c>
      <c r="E15080" s="704" t="s">
        <v>824</v>
      </c>
      <c r="F15080" s="705">
        <v>6.6982327101831968E-2</v>
      </c>
      <c r="G15080" s="705">
        <v>317.436795686994</v>
      </c>
    </row>
    <row r="15081" spans="2:7" ht="11.25" hidden="1" customHeight="1" outlineLevel="2" x14ac:dyDescent="0.25">
      <c r="B15081" s="704" t="s">
        <v>699</v>
      </c>
      <c r="C15081" s="704" t="s">
        <v>852</v>
      </c>
      <c r="D15081" s="704" t="s">
        <v>562</v>
      </c>
      <c r="E15081" s="704" t="s">
        <v>824</v>
      </c>
      <c r="F15081" s="705">
        <v>1.6725092037238058E-3</v>
      </c>
      <c r="G15081" s="705">
        <v>4.291028803047328</v>
      </c>
    </row>
    <row r="15082" spans="2:7" ht="11.25" hidden="1" customHeight="1" outlineLevel="2" x14ac:dyDescent="0.25">
      <c r="B15082" s="704" t="s">
        <v>699</v>
      </c>
      <c r="C15082" s="704" t="s">
        <v>853</v>
      </c>
      <c r="D15082" s="704" t="s">
        <v>562</v>
      </c>
      <c r="E15082" s="704" t="s">
        <v>824</v>
      </c>
      <c r="F15082" s="705">
        <v>4.8795706147164149E-4</v>
      </c>
      <c r="G15082" s="705">
        <v>3.9857984037881882</v>
      </c>
    </row>
    <row r="15083" spans="2:7" ht="11.25" hidden="1" customHeight="1" outlineLevel="2" x14ac:dyDescent="0.25">
      <c r="B15083" s="704" t="s">
        <v>699</v>
      </c>
      <c r="C15083" s="704" t="s">
        <v>707</v>
      </c>
      <c r="D15083" s="704" t="s">
        <v>562</v>
      </c>
      <c r="E15083" s="704" t="s">
        <v>676</v>
      </c>
      <c r="F15083" s="705">
        <v>7.8657579870359395</v>
      </c>
      <c r="G15083" s="705">
        <v>218.42403159830533</v>
      </c>
    </row>
    <row r="15084" spans="2:7" ht="11.25" hidden="1" customHeight="1" outlineLevel="2" x14ac:dyDescent="0.25">
      <c r="B15084" s="704" t="s">
        <v>699</v>
      </c>
      <c r="C15084" s="704" t="s">
        <v>708</v>
      </c>
      <c r="D15084" s="704" t="s">
        <v>562</v>
      </c>
      <c r="E15084" s="704" t="s">
        <v>676</v>
      </c>
      <c r="F15084" s="705">
        <v>0.30156209923680644</v>
      </c>
      <c r="G15084" s="705">
        <v>10.96223943213959</v>
      </c>
    </row>
    <row r="15085" spans="2:7" ht="11.25" hidden="1" customHeight="1" outlineLevel="2" x14ac:dyDescent="0.25">
      <c r="B15085" s="704" t="s">
        <v>699</v>
      </c>
      <c r="C15085" s="704" t="s">
        <v>709</v>
      </c>
      <c r="D15085" s="704" t="s">
        <v>562</v>
      </c>
      <c r="E15085" s="704" t="s">
        <v>676</v>
      </c>
      <c r="F15085" s="705">
        <v>0.21649947585021689</v>
      </c>
      <c r="G15085" s="705">
        <v>15.184567052122661</v>
      </c>
    </row>
    <row r="15086" spans="2:7" ht="11.25" hidden="1" customHeight="1" outlineLevel="2" x14ac:dyDescent="0.25">
      <c r="B15086" s="704" t="s">
        <v>699</v>
      </c>
      <c r="C15086" s="704" t="s">
        <v>710</v>
      </c>
      <c r="D15086" s="704" t="s">
        <v>562</v>
      </c>
      <c r="E15086" s="704" t="s">
        <v>676</v>
      </c>
      <c r="F15086" s="705">
        <v>2.5364016897199861</v>
      </c>
      <c r="G15086" s="705">
        <v>530.78105237226794</v>
      </c>
    </row>
    <row r="15087" spans="2:7" ht="11.25" hidden="1" customHeight="1" outlineLevel="2" x14ac:dyDescent="0.25">
      <c r="B15087" s="704" t="s">
        <v>699</v>
      </c>
      <c r="C15087" s="704" t="s">
        <v>911</v>
      </c>
      <c r="D15087" s="704" t="s">
        <v>562</v>
      </c>
      <c r="E15087" s="704" t="s">
        <v>861</v>
      </c>
      <c r="F15087" s="709"/>
      <c r="G15087" s="705">
        <v>5660.0941161375122</v>
      </c>
    </row>
    <row r="15088" spans="2:7" ht="11.25" hidden="1" customHeight="1" outlineLevel="2" x14ac:dyDescent="0.25">
      <c r="B15088" s="704" t="s">
        <v>699</v>
      </c>
      <c r="C15088" s="704" t="s">
        <v>912</v>
      </c>
      <c r="D15088" s="704" t="s">
        <v>562</v>
      </c>
      <c r="E15088" s="704" t="s">
        <v>861</v>
      </c>
      <c r="F15088" s="709"/>
      <c r="G15088" s="705">
        <v>1335.4392876193074</v>
      </c>
    </row>
    <row r="15089" spans="2:7" ht="11.25" hidden="1" customHeight="1" outlineLevel="2" x14ac:dyDescent="0.25">
      <c r="B15089" s="704" t="s">
        <v>699</v>
      </c>
      <c r="C15089" s="704" t="s">
        <v>913</v>
      </c>
      <c r="D15089" s="704" t="s">
        <v>562</v>
      </c>
      <c r="E15089" s="704" t="s">
        <v>861</v>
      </c>
      <c r="F15089" s="709"/>
      <c r="G15089" s="705">
        <v>3705.326617768555</v>
      </c>
    </row>
    <row r="15090" spans="2:7" ht="11.25" hidden="1" customHeight="1" outlineLevel="2" x14ac:dyDescent="0.25">
      <c r="B15090" s="704" t="s">
        <v>699</v>
      </c>
      <c r="C15090" s="704" t="s">
        <v>914</v>
      </c>
      <c r="D15090" s="704" t="s">
        <v>562</v>
      </c>
      <c r="E15090" s="704" t="s">
        <v>861</v>
      </c>
      <c r="F15090" s="709"/>
      <c r="G15090" s="705">
        <v>1881.4439426397366</v>
      </c>
    </row>
    <row r="15091" spans="2:7" ht="11.25" hidden="1" customHeight="1" outlineLevel="2" x14ac:dyDescent="0.25">
      <c r="B15091" s="704" t="s">
        <v>699</v>
      </c>
      <c r="C15091" s="704" t="s">
        <v>915</v>
      </c>
      <c r="D15091" s="704" t="s">
        <v>562</v>
      </c>
      <c r="E15091" s="704" t="s">
        <v>861</v>
      </c>
      <c r="F15091" s="709"/>
      <c r="G15091" s="705">
        <v>180.74329653592577</v>
      </c>
    </row>
    <row r="15092" spans="2:7" ht="11.25" hidden="1" customHeight="1" outlineLevel="2" x14ac:dyDescent="0.25">
      <c r="B15092" s="704" t="s">
        <v>699</v>
      </c>
      <c r="C15092" s="704" t="s">
        <v>916</v>
      </c>
      <c r="D15092" s="704" t="s">
        <v>562</v>
      </c>
      <c r="E15092" s="704" t="s">
        <v>861</v>
      </c>
      <c r="F15092" s="709"/>
      <c r="G15092" s="705">
        <v>160.36022166420429</v>
      </c>
    </row>
    <row r="15093" spans="2:7" ht="11.25" hidden="1" customHeight="1" outlineLevel="2" x14ac:dyDescent="0.25">
      <c r="B15093" s="704" t="s">
        <v>699</v>
      </c>
      <c r="C15093" s="704" t="s">
        <v>719</v>
      </c>
      <c r="D15093" s="704" t="s">
        <v>675</v>
      </c>
      <c r="E15093" s="704" t="s">
        <v>448</v>
      </c>
      <c r="F15093" s="705">
        <v>3.5412565478112333E-32</v>
      </c>
      <c r="G15093" s="705">
        <v>2.1835275101326463E-29</v>
      </c>
    </row>
    <row r="15094" spans="2:7" ht="11.25" hidden="1" customHeight="1" outlineLevel="2" x14ac:dyDescent="0.25">
      <c r="B15094" s="704" t="s">
        <v>699</v>
      </c>
      <c r="C15094" s="704" t="s">
        <v>720</v>
      </c>
      <c r="D15094" s="704" t="s">
        <v>675</v>
      </c>
      <c r="E15094" s="704" t="s">
        <v>448</v>
      </c>
      <c r="F15094" s="705">
        <v>2.8902979356398801E-36</v>
      </c>
      <c r="G15094" s="705">
        <v>1.3986064880122206E-33</v>
      </c>
    </row>
    <row r="15095" spans="2:7" ht="11.25" hidden="1" customHeight="1" outlineLevel="2" x14ac:dyDescent="0.25">
      <c r="B15095" s="704" t="s">
        <v>699</v>
      </c>
      <c r="C15095" s="704" t="s">
        <v>721</v>
      </c>
      <c r="D15095" s="704" t="s">
        <v>675</v>
      </c>
      <c r="E15095" s="704" t="s">
        <v>448</v>
      </c>
      <c r="F15095" s="705">
        <v>1.3519278733937264E-38</v>
      </c>
      <c r="G15095" s="705">
        <v>6.4577358924786549E-36</v>
      </c>
    </row>
    <row r="15096" spans="2:7" ht="11.25" hidden="1" customHeight="1" outlineLevel="2" x14ac:dyDescent="0.25">
      <c r="B15096" s="704" t="s">
        <v>699</v>
      </c>
      <c r="C15096" s="704" t="s">
        <v>722</v>
      </c>
      <c r="D15096" s="704" t="s">
        <v>675</v>
      </c>
      <c r="E15096" s="704" t="s">
        <v>448</v>
      </c>
      <c r="F15096" s="705">
        <v>1.807527104592972E-36</v>
      </c>
      <c r="G15096" s="705">
        <v>8.1025401359672294E-34</v>
      </c>
    </row>
    <row r="15097" spans="2:7" ht="11.25" hidden="1" customHeight="1" outlineLevel="2" x14ac:dyDescent="0.25">
      <c r="B15097" s="704" t="s">
        <v>699</v>
      </c>
      <c r="C15097" s="704" t="s">
        <v>723</v>
      </c>
      <c r="D15097" s="704" t="s">
        <v>675</v>
      </c>
      <c r="E15097" s="704" t="s">
        <v>448</v>
      </c>
      <c r="F15097" s="705">
        <v>3.5833641940293277E-34</v>
      </c>
      <c r="G15097" s="705">
        <v>2.0536241178263922E-31</v>
      </c>
    </row>
    <row r="15098" spans="2:7" ht="11.25" hidden="1" customHeight="1" outlineLevel="2" x14ac:dyDescent="0.25">
      <c r="B15098" s="704" t="s">
        <v>699</v>
      </c>
      <c r="C15098" s="704" t="s">
        <v>724</v>
      </c>
      <c r="D15098" s="704" t="s">
        <v>675</v>
      </c>
      <c r="E15098" s="704" t="s">
        <v>448</v>
      </c>
      <c r="F15098" s="705">
        <v>4.4947573044558784E-38</v>
      </c>
      <c r="G15098" s="705">
        <v>2.0148500704412117E-35</v>
      </c>
    </row>
    <row r="15099" spans="2:7" ht="11.25" hidden="1" customHeight="1" outlineLevel="2" x14ac:dyDescent="0.25">
      <c r="B15099" s="704" t="s">
        <v>699</v>
      </c>
      <c r="C15099" s="704" t="s">
        <v>750</v>
      </c>
      <c r="D15099" s="704" t="s">
        <v>675</v>
      </c>
      <c r="E15099" s="704" t="s">
        <v>448</v>
      </c>
      <c r="F15099" s="705">
        <v>1.592384341995647E-33</v>
      </c>
      <c r="G15099" s="705">
        <v>2.1887064362259831E-30</v>
      </c>
    </row>
    <row r="15100" spans="2:7" ht="11.25" hidden="1" customHeight="1" outlineLevel="2" x14ac:dyDescent="0.25">
      <c r="B15100" s="704" t="s">
        <v>699</v>
      </c>
      <c r="C15100" s="704" t="s">
        <v>751</v>
      </c>
      <c r="D15100" s="704" t="s">
        <v>675</v>
      </c>
      <c r="E15100" s="704" t="s">
        <v>448</v>
      </c>
      <c r="F15100" s="705">
        <v>2.8188941846536646E-35</v>
      </c>
      <c r="G15100" s="705">
        <v>3.6468459944899661E-32</v>
      </c>
    </row>
    <row r="15101" spans="2:7" ht="11.25" hidden="1" customHeight="1" outlineLevel="2" x14ac:dyDescent="0.25">
      <c r="B15101" s="704" t="s">
        <v>699</v>
      </c>
      <c r="C15101" s="704" t="s">
        <v>752</v>
      </c>
      <c r="D15101" s="704" t="s">
        <v>675</v>
      </c>
      <c r="E15101" s="704" t="s">
        <v>448</v>
      </c>
      <c r="F15101" s="705">
        <v>5.2807307293900074E-33</v>
      </c>
      <c r="G15101" s="705">
        <v>6.0145549583322237E-30</v>
      </c>
    </row>
    <row r="15102" spans="2:7" ht="11.25" hidden="1" customHeight="1" outlineLevel="2" x14ac:dyDescent="0.25">
      <c r="B15102" s="704" t="s">
        <v>699</v>
      </c>
      <c r="C15102" s="704" t="s">
        <v>753</v>
      </c>
      <c r="D15102" s="704" t="s">
        <v>675</v>
      </c>
      <c r="E15102" s="704" t="s">
        <v>448</v>
      </c>
      <c r="F15102" s="705">
        <v>8.5123808420439548E-34</v>
      </c>
      <c r="G15102" s="705">
        <v>1.1081640453670495E-30</v>
      </c>
    </row>
    <row r="15103" spans="2:7" ht="11.25" hidden="1" customHeight="1" outlineLevel="2" x14ac:dyDescent="0.25">
      <c r="B15103" s="704" t="s">
        <v>699</v>
      </c>
      <c r="C15103" s="704" t="s">
        <v>754</v>
      </c>
      <c r="D15103" s="704" t="s">
        <v>675</v>
      </c>
      <c r="E15103" s="704" t="s">
        <v>448</v>
      </c>
      <c r="F15103" s="705">
        <v>2.9100613553238081E-32</v>
      </c>
      <c r="G15103" s="705">
        <v>3.8714333524127069E-29</v>
      </c>
    </row>
    <row r="15104" spans="2:7" ht="11.25" hidden="1" customHeight="1" outlineLevel="2" x14ac:dyDescent="0.25">
      <c r="B15104" s="704" t="s">
        <v>699</v>
      </c>
      <c r="C15104" s="704" t="s">
        <v>755</v>
      </c>
      <c r="D15104" s="704" t="s">
        <v>675</v>
      </c>
      <c r="E15104" s="704" t="s">
        <v>448</v>
      </c>
      <c r="F15104" s="705">
        <v>6.9477016515633839E-33</v>
      </c>
      <c r="G15104" s="705">
        <v>8.9487470916639854E-30</v>
      </c>
    </row>
    <row r="15105" spans="2:7" ht="11.25" hidden="1" customHeight="1" outlineLevel="2" x14ac:dyDescent="0.25">
      <c r="B15105" s="704" t="s">
        <v>699</v>
      </c>
      <c r="C15105" s="704" t="s">
        <v>756</v>
      </c>
      <c r="D15105" s="704" t="s">
        <v>675</v>
      </c>
      <c r="E15105" s="704" t="s">
        <v>448</v>
      </c>
      <c r="F15105" s="705">
        <v>6.3111657622653414E-34</v>
      </c>
      <c r="G15105" s="705">
        <v>7.9647149724644296E-31</v>
      </c>
    </row>
    <row r="15106" spans="2:7" ht="11.25" hidden="1" customHeight="1" outlineLevel="2" x14ac:dyDescent="0.25">
      <c r="B15106" s="704" t="s">
        <v>699</v>
      </c>
      <c r="C15106" s="704" t="s">
        <v>757</v>
      </c>
      <c r="D15106" s="704" t="s">
        <v>675</v>
      </c>
      <c r="E15106" s="704" t="s">
        <v>448</v>
      </c>
      <c r="F15106" s="705">
        <v>7.7763069249459399E-34</v>
      </c>
      <c r="G15106" s="705">
        <v>1.3915771514807513E-30</v>
      </c>
    </row>
    <row r="15107" spans="2:7" ht="11.25" hidden="1" customHeight="1" outlineLevel="2" x14ac:dyDescent="0.25">
      <c r="B15107" s="704" t="s">
        <v>699</v>
      </c>
      <c r="C15107" s="704" t="s">
        <v>758</v>
      </c>
      <c r="D15107" s="704" t="s">
        <v>675</v>
      </c>
      <c r="E15107" s="704" t="s">
        <v>448</v>
      </c>
      <c r="F15107" s="705">
        <v>2.5840475884423704E-33</v>
      </c>
      <c r="G15107" s="705">
        <v>3.0253925261209732E-30</v>
      </c>
    </row>
    <row r="15108" spans="2:7" ht="11.25" hidden="1" customHeight="1" outlineLevel="2" x14ac:dyDescent="0.25">
      <c r="B15108" s="704" t="s">
        <v>699</v>
      </c>
      <c r="C15108" s="704" t="s">
        <v>759</v>
      </c>
      <c r="D15108" s="704" t="s">
        <v>675</v>
      </c>
      <c r="E15108" s="704" t="s">
        <v>448</v>
      </c>
      <c r="F15108" s="705">
        <v>5.1595613345166052E-33</v>
      </c>
      <c r="G15108" s="705">
        <v>6.6774071907901284E-30</v>
      </c>
    </row>
    <row r="15109" spans="2:7" ht="11.25" hidden="1" customHeight="1" outlineLevel="2" x14ac:dyDescent="0.25">
      <c r="B15109" s="704" t="s">
        <v>699</v>
      </c>
      <c r="C15109" s="704" t="s">
        <v>760</v>
      </c>
      <c r="D15109" s="704" t="s">
        <v>675</v>
      </c>
      <c r="E15109" s="704" t="s">
        <v>448</v>
      </c>
      <c r="F15109" s="705">
        <v>2.9121146972715174E-34</v>
      </c>
      <c r="G15109" s="705">
        <v>2.8715258328323827E-31</v>
      </c>
    </row>
    <row r="15110" spans="2:7" ht="11.25" hidden="1" customHeight="1" outlineLevel="2" x14ac:dyDescent="0.25">
      <c r="B15110" s="704" t="s">
        <v>699</v>
      </c>
      <c r="C15110" s="704" t="s">
        <v>761</v>
      </c>
      <c r="D15110" s="704" t="s">
        <v>675</v>
      </c>
      <c r="E15110" s="704" t="s">
        <v>448</v>
      </c>
      <c r="F15110" s="705">
        <v>4.7006865638535548E-34</v>
      </c>
      <c r="G15110" s="705">
        <v>8.1534945445003144E-31</v>
      </c>
    </row>
    <row r="15111" spans="2:7" ht="11.25" hidden="1" customHeight="1" outlineLevel="2" x14ac:dyDescent="0.25">
      <c r="B15111" s="704" t="s">
        <v>699</v>
      </c>
      <c r="C15111" s="704" t="s">
        <v>762</v>
      </c>
      <c r="D15111" s="704" t="s">
        <v>675</v>
      </c>
      <c r="E15111" s="704" t="s">
        <v>448</v>
      </c>
      <c r="F15111" s="705">
        <v>3.8613429593165804E-34</v>
      </c>
      <c r="G15111" s="705">
        <v>7.0591480651042828E-31</v>
      </c>
    </row>
    <row r="15112" spans="2:7" ht="11.25" hidden="1" customHeight="1" outlineLevel="2" x14ac:dyDescent="0.25">
      <c r="B15112" s="704" t="s">
        <v>699</v>
      </c>
      <c r="C15112" s="704" t="s">
        <v>763</v>
      </c>
      <c r="D15112" s="704" t="s">
        <v>675</v>
      </c>
      <c r="E15112" s="704" t="s">
        <v>448</v>
      </c>
      <c r="F15112" s="705">
        <v>8.1554348903242171E-36</v>
      </c>
      <c r="G15112" s="705">
        <v>9.3254471537192438E-32</v>
      </c>
    </row>
    <row r="15113" spans="2:7" ht="11.25" hidden="1" customHeight="1" outlineLevel="2" x14ac:dyDescent="0.25">
      <c r="B15113" s="704" t="s">
        <v>699</v>
      </c>
      <c r="C15113" s="704" t="s">
        <v>764</v>
      </c>
      <c r="D15113" s="704" t="s">
        <v>675</v>
      </c>
      <c r="E15113" s="704" t="s">
        <v>448</v>
      </c>
      <c r="F15113" s="705">
        <v>4.504606933838142E-35</v>
      </c>
      <c r="G15113" s="705">
        <v>2.6624500171759199E-31</v>
      </c>
    </row>
    <row r="15114" spans="2:7" ht="11.25" hidden="1" customHeight="1" outlineLevel="2" x14ac:dyDescent="0.25">
      <c r="B15114" s="704" t="s">
        <v>699</v>
      </c>
      <c r="C15114" s="704" t="s">
        <v>765</v>
      </c>
      <c r="D15114" s="704" t="s">
        <v>675</v>
      </c>
      <c r="E15114" s="704" t="s">
        <v>448</v>
      </c>
      <c r="F15114" s="705">
        <v>1.1093063311404508E-34</v>
      </c>
      <c r="G15114" s="705">
        <v>1.5540462074317711E-31</v>
      </c>
    </row>
    <row r="15115" spans="2:7" ht="11.25" hidden="1" customHeight="1" outlineLevel="2" x14ac:dyDescent="0.25">
      <c r="B15115" s="704" t="s">
        <v>699</v>
      </c>
      <c r="C15115" s="704" t="s">
        <v>766</v>
      </c>
      <c r="D15115" s="704" t="s">
        <v>675</v>
      </c>
      <c r="E15115" s="704" t="s">
        <v>448</v>
      </c>
      <c r="F15115" s="705">
        <v>9.9999841675024043E-33</v>
      </c>
      <c r="G15115" s="705">
        <v>1.3023641966440594E-29</v>
      </c>
    </row>
    <row r="15116" spans="2:7" ht="11.25" hidden="1" customHeight="1" outlineLevel="2" x14ac:dyDescent="0.25">
      <c r="B15116" s="704" t="s">
        <v>699</v>
      </c>
      <c r="C15116" s="704" t="s">
        <v>767</v>
      </c>
      <c r="D15116" s="704" t="s">
        <v>675</v>
      </c>
      <c r="E15116" s="704" t="s">
        <v>448</v>
      </c>
      <c r="F15116" s="705">
        <v>1.3378774024136669E-33</v>
      </c>
      <c r="G15116" s="705">
        <v>1.5687843423089569E-30</v>
      </c>
    </row>
    <row r="15117" spans="2:7" ht="11.25" hidden="1" customHeight="1" outlineLevel="2" x14ac:dyDescent="0.25">
      <c r="B15117" s="704" t="s">
        <v>699</v>
      </c>
      <c r="C15117" s="704" t="s">
        <v>768</v>
      </c>
      <c r="D15117" s="704" t="s">
        <v>675</v>
      </c>
      <c r="E15117" s="704" t="s">
        <v>448</v>
      </c>
      <c r="F15117" s="705">
        <v>7.4273721289766249E-35</v>
      </c>
      <c r="G15117" s="705">
        <v>1.1561437038615444E-31</v>
      </c>
    </row>
    <row r="15118" spans="2:7" ht="11.25" hidden="1" customHeight="1" outlineLevel="2" x14ac:dyDescent="0.25">
      <c r="B15118" s="704" t="s">
        <v>699</v>
      </c>
      <c r="C15118" s="704" t="s">
        <v>825</v>
      </c>
      <c r="D15118" s="704" t="s">
        <v>675</v>
      </c>
      <c r="E15118" s="704" t="s">
        <v>824</v>
      </c>
      <c r="F15118" s="705">
        <v>6.4109261635202507E-35</v>
      </c>
      <c r="G15118" s="705">
        <v>4.5061821783692092E-31</v>
      </c>
    </row>
    <row r="15119" spans="2:7" ht="11.25" hidden="1" customHeight="1" outlineLevel="2" x14ac:dyDescent="0.25">
      <c r="B15119" s="704" t="s">
        <v>699</v>
      </c>
      <c r="C15119" s="704" t="s">
        <v>826</v>
      </c>
      <c r="D15119" s="704" t="s">
        <v>675</v>
      </c>
      <c r="E15119" s="704" t="s">
        <v>824</v>
      </c>
      <c r="F15119" s="705">
        <v>6.3495751445360996E-35</v>
      </c>
      <c r="G15119" s="705">
        <v>5.5876112040841091E-31</v>
      </c>
    </row>
    <row r="15120" spans="2:7" ht="11.25" hidden="1" customHeight="1" outlineLevel="2" x14ac:dyDescent="0.25">
      <c r="B15120" s="704" t="s">
        <v>699</v>
      </c>
      <c r="C15120" s="704" t="s">
        <v>827</v>
      </c>
      <c r="D15120" s="704" t="s">
        <v>675</v>
      </c>
      <c r="E15120" s="704" t="s">
        <v>824</v>
      </c>
      <c r="F15120" s="705">
        <v>1.3931299995213113E-36</v>
      </c>
      <c r="G15120" s="705">
        <v>3.5520604857606628E-33</v>
      </c>
    </row>
    <row r="15121" spans="2:7" ht="11.25" hidden="1" customHeight="1" outlineLevel="2" x14ac:dyDescent="0.25">
      <c r="B15121" s="704" t="s">
        <v>699</v>
      </c>
      <c r="C15121" s="704" t="s">
        <v>828</v>
      </c>
      <c r="D15121" s="704" t="s">
        <v>675</v>
      </c>
      <c r="E15121" s="704" t="s">
        <v>824</v>
      </c>
      <c r="F15121" s="705">
        <v>5.0263454186658089E-35</v>
      </c>
      <c r="G15121" s="705">
        <v>4.4770586099014243E-31</v>
      </c>
    </row>
    <row r="15122" spans="2:7" ht="11.25" hidden="1" customHeight="1" outlineLevel="2" x14ac:dyDescent="0.25">
      <c r="B15122" s="704" t="s">
        <v>699</v>
      </c>
      <c r="C15122" s="704" t="s">
        <v>829</v>
      </c>
      <c r="D15122" s="704" t="s">
        <v>675</v>
      </c>
      <c r="E15122" s="704" t="s">
        <v>824</v>
      </c>
      <c r="F15122" s="705">
        <v>1.5455633489338472E-34</v>
      </c>
      <c r="G15122" s="705">
        <v>2.4976966426871716E-30</v>
      </c>
    </row>
    <row r="15123" spans="2:7" ht="11.25" hidden="1" customHeight="1" outlineLevel="2" x14ac:dyDescent="0.25">
      <c r="B15123" s="704" t="s">
        <v>699</v>
      </c>
      <c r="C15123" s="704" t="s">
        <v>830</v>
      </c>
      <c r="D15123" s="704" t="s">
        <v>675</v>
      </c>
      <c r="E15123" s="704" t="s">
        <v>824</v>
      </c>
      <c r="F15123" s="705">
        <v>5.1446058839019298E-34</v>
      </c>
      <c r="G15123" s="705">
        <v>8.9750478892751075E-31</v>
      </c>
    </row>
    <row r="15124" spans="2:7" ht="11.25" hidden="1" customHeight="1" outlineLevel="2" x14ac:dyDescent="0.25">
      <c r="B15124" s="704" t="s">
        <v>699</v>
      </c>
      <c r="C15124" s="704" t="s">
        <v>831</v>
      </c>
      <c r="D15124" s="704" t="s">
        <v>675</v>
      </c>
      <c r="E15124" s="704" t="s">
        <v>824</v>
      </c>
      <c r="F15124" s="705">
        <v>3.4206548151183186E-37</v>
      </c>
      <c r="G15124" s="705">
        <v>6.4615878927369862E-33</v>
      </c>
    </row>
    <row r="15125" spans="2:7" ht="11.25" hidden="1" customHeight="1" outlineLevel="2" x14ac:dyDescent="0.25">
      <c r="B15125" s="704" t="s">
        <v>699</v>
      </c>
      <c r="C15125" s="704" t="s">
        <v>832</v>
      </c>
      <c r="D15125" s="704" t="s">
        <v>675</v>
      </c>
      <c r="E15125" s="704" t="s">
        <v>824</v>
      </c>
      <c r="F15125" s="705">
        <v>8.9880013977959222E-35</v>
      </c>
      <c r="G15125" s="705">
        <v>2.1532901516339633E-31</v>
      </c>
    </row>
    <row r="15126" spans="2:7" ht="11.25" hidden="1" customHeight="1" outlineLevel="2" x14ac:dyDescent="0.25">
      <c r="B15126" s="704" t="s">
        <v>699</v>
      </c>
      <c r="C15126" s="704" t="s">
        <v>833</v>
      </c>
      <c r="D15126" s="704" t="s">
        <v>675</v>
      </c>
      <c r="E15126" s="704" t="s">
        <v>824</v>
      </c>
      <c r="F15126" s="705">
        <v>6.8279870837335869E-38</v>
      </c>
      <c r="G15126" s="705">
        <v>1.7289290835431349E-34</v>
      </c>
    </row>
    <row r="15127" spans="2:7" ht="11.25" hidden="1" customHeight="1" outlineLevel="2" x14ac:dyDescent="0.25">
      <c r="B15127" s="704" t="s">
        <v>699</v>
      </c>
      <c r="C15127" s="704" t="s">
        <v>834</v>
      </c>
      <c r="D15127" s="704" t="s">
        <v>675</v>
      </c>
      <c r="E15127" s="704" t="s">
        <v>824</v>
      </c>
      <c r="F15127" s="705">
        <v>3.4244957661155564E-35</v>
      </c>
      <c r="G15127" s="705">
        <v>1.2469494268793718E-31</v>
      </c>
    </row>
    <row r="15128" spans="2:7" ht="11.25" hidden="1" customHeight="1" outlineLevel="2" x14ac:dyDescent="0.25">
      <c r="B15128" s="704" t="s">
        <v>699</v>
      </c>
      <c r="C15128" s="704" t="s">
        <v>835</v>
      </c>
      <c r="D15128" s="704" t="s">
        <v>675</v>
      </c>
      <c r="E15128" s="704" t="s">
        <v>824</v>
      </c>
      <c r="F15128" s="705">
        <v>2.9678452413219394E-36</v>
      </c>
      <c r="G15128" s="705">
        <v>5.3996220933115452E-32</v>
      </c>
    </row>
    <row r="15129" spans="2:7" ht="11.25" hidden="1" customHeight="1" outlineLevel="2" x14ac:dyDescent="0.25">
      <c r="B15129" s="704" t="s">
        <v>699</v>
      </c>
      <c r="C15129" s="704" t="s">
        <v>836</v>
      </c>
      <c r="D15129" s="704" t="s">
        <v>675</v>
      </c>
      <c r="E15129" s="704" t="s">
        <v>824</v>
      </c>
      <c r="F15129" s="705">
        <v>6.1973739076226069E-36</v>
      </c>
      <c r="G15129" s="705">
        <v>6.5262886993729976E-32</v>
      </c>
    </row>
    <row r="15130" spans="2:7" ht="11.25" hidden="1" customHeight="1" outlineLevel="2" x14ac:dyDescent="0.25">
      <c r="B15130" s="704" t="s">
        <v>699</v>
      </c>
      <c r="C15130" s="704" t="s">
        <v>837</v>
      </c>
      <c r="D15130" s="704" t="s">
        <v>675</v>
      </c>
      <c r="E15130" s="704" t="s">
        <v>824</v>
      </c>
      <c r="F15130" s="705">
        <v>1.2247076726416674E-35</v>
      </c>
      <c r="G15130" s="705">
        <v>2.7481169934555332E-32</v>
      </c>
    </row>
    <row r="15131" spans="2:7" ht="11.25" hidden="1" customHeight="1" outlineLevel="2" x14ac:dyDescent="0.25">
      <c r="B15131" s="704" t="s">
        <v>699</v>
      </c>
      <c r="C15131" s="704" t="s">
        <v>838</v>
      </c>
      <c r="D15131" s="704" t="s">
        <v>675</v>
      </c>
      <c r="E15131" s="704" t="s">
        <v>824</v>
      </c>
      <c r="F15131" s="705">
        <v>7.4995456310312559E-34</v>
      </c>
      <c r="G15131" s="705">
        <v>1.6600302959676247E-30</v>
      </c>
    </row>
    <row r="15132" spans="2:7" ht="11.25" hidden="1" customHeight="1" outlineLevel="2" x14ac:dyDescent="0.25">
      <c r="B15132" s="704" t="s">
        <v>699</v>
      </c>
      <c r="C15132" s="704" t="s">
        <v>674</v>
      </c>
      <c r="D15132" s="704" t="s">
        <v>675</v>
      </c>
      <c r="E15132" s="704" t="s">
        <v>676</v>
      </c>
      <c r="F15132" s="705">
        <v>2.1032574139291268E-33</v>
      </c>
      <c r="G15132" s="705">
        <v>5.2051066912620041E-32</v>
      </c>
    </row>
    <row r="15133" spans="2:7" ht="11.25" hidden="1" customHeight="1" outlineLevel="2" x14ac:dyDescent="0.25">
      <c r="B15133" s="704" t="s">
        <v>699</v>
      </c>
      <c r="C15133" s="704" t="s">
        <v>862</v>
      </c>
      <c r="D15133" s="704" t="s">
        <v>675</v>
      </c>
      <c r="E15133" s="704" t="s">
        <v>861</v>
      </c>
      <c r="F15133" s="709"/>
      <c r="G15133" s="705">
        <v>2.1125038966377829E-29</v>
      </c>
    </row>
    <row r="15134" spans="2:7" ht="11.25" hidden="1" customHeight="1" outlineLevel="2" x14ac:dyDescent="0.25">
      <c r="B15134" s="704" t="s">
        <v>699</v>
      </c>
      <c r="C15134" s="704" t="s">
        <v>863</v>
      </c>
      <c r="D15134" s="704" t="s">
        <v>675</v>
      </c>
      <c r="E15134" s="704" t="s">
        <v>861</v>
      </c>
      <c r="F15134" s="709"/>
      <c r="G15134" s="705">
        <v>2.5468520671224045E-31</v>
      </c>
    </row>
    <row r="15135" spans="2:7" ht="11.25" hidden="1" customHeight="1" outlineLevel="2" x14ac:dyDescent="0.25">
      <c r="B15135" s="704" t="s">
        <v>699</v>
      </c>
      <c r="C15135" s="704" t="s">
        <v>864</v>
      </c>
      <c r="D15135" s="704" t="s">
        <v>675</v>
      </c>
      <c r="E15135" s="704" t="s">
        <v>861</v>
      </c>
      <c r="F15135" s="709"/>
      <c r="G15135" s="705">
        <v>5.6807384089217021E-32</v>
      </c>
    </row>
    <row r="15136" spans="2:7" ht="11.25" hidden="1" customHeight="1" outlineLevel="2" x14ac:dyDescent="0.25">
      <c r="B15136" s="704" t="s">
        <v>699</v>
      </c>
      <c r="C15136" s="704" t="s">
        <v>865</v>
      </c>
      <c r="D15136" s="704" t="s">
        <v>675</v>
      </c>
      <c r="E15136" s="704" t="s">
        <v>861</v>
      </c>
      <c r="F15136" s="709"/>
      <c r="G15136" s="705">
        <v>2.1908390456812876E-29</v>
      </c>
    </row>
    <row r="15137" spans="2:7" ht="11.25" hidden="1" customHeight="1" outlineLevel="2" x14ac:dyDescent="0.25">
      <c r="B15137" s="704" t="s">
        <v>699</v>
      </c>
      <c r="C15137" s="704" t="s">
        <v>866</v>
      </c>
      <c r="D15137" s="704" t="s">
        <v>675</v>
      </c>
      <c r="E15137" s="704" t="s">
        <v>861</v>
      </c>
      <c r="F15137" s="709"/>
      <c r="G15137" s="705">
        <v>7.2473938761866715E-31</v>
      </c>
    </row>
    <row r="15138" spans="2:7" ht="11.25" hidden="1" customHeight="1" outlineLevel="2" x14ac:dyDescent="0.25">
      <c r="B15138" s="704" t="s">
        <v>699</v>
      </c>
      <c r="C15138" s="704" t="s">
        <v>867</v>
      </c>
      <c r="D15138" s="704" t="s">
        <v>675</v>
      </c>
      <c r="E15138" s="704" t="s">
        <v>861</v>
      </c>
      <c r="F15138" s="709"/>
      <c r="G15138" s="705">
        <v>6.469651473654982E-31</v>
      </c>
    </row>
    <row r="15139" spans="2:7" ht="11.25" hidden="1" customHeight="1" outlineLevel="2" x14ac:dyDescent="0.25">
      <c r="B15139" s="704" t="s">
        <v>699</v>
      </c>
      <c r="C15139" s="704" t="s">
        <v>868</v>
      </c>
      <c r="D15139" s="704" t="s">
        <v>675</v>
      </c>
      <c r="E15139" s="704" t="s">
        <v>861</v>
      </c>
      <c r="F15139" s="709"/>
      <c r="G15139" s="705">
        <v>2.7786197671643139E-30</v>
      </c>
    </row>
    <row r="15140" spans="2:7" ht="11.25" hidden="1" customHeight="1" outlineLevel="2" x14ac:dyDescent="0.25">
      <c r="B15140" s="704" t="s">
        <v>699</v>
      </c>
      <c r="C15140" s="704" t="s">
        <v>869</v>
      </c>
      <c r="D15140" s="704" t="s">
        <v>675</v>
      </c>
      <c r="E15140" s="704" t="s">
        <v>861</v>
      </c>
      <c r="F15140" s="709"/>
      <c r="G15140" s="705">
        <v>3.2943024353921524E-30</v>
      </c>
    </row>
    <row r="15141" spans="2:7" ht="11.25" hidden="1" customHeight="1" outlineLevel="2" x14ac:dyDescent="0.25">
      <c r="B15141" s="704" t="s">
        <v>699</v>
      </c>
      <c r="C15141" s="704" t="s">
        <v>870</v>
      </c>
      <c r="D15141" s="704" t="s">
        <v>675</v>
      </c>
      <c r="E15141" s="704" t="s">
        <v>861</v>
      </c>
      <c r="F15141" s="709"/>
      <c r="G15141" s="705">
        <v>6.6305868479862841E-29</v>
      </c>
    </row>
    <row r="15142" spans="2:7" ht="11.25" hidden="1" customHeight="1" outlineLevel="2" x14ac:dyDescent="0.25">
      <c r="B15142" s="704" t="s">
        <v>699</v>
      </c>
      <c r="C15142" s="704" t="s">
        <v>871</v>
      </c>
      <c r="D15142" s="704" t="s">
        <v>675</v>
      </c>
      <c r="E15142" s="704" t="s">
        <v>861</v>
      </c>
      <c r="F15142" s="709"/>
      <c r="G15142" s="705">
        <v>1.6942062932964157E-29</v>
      </c>
    </row>
    <row r="15143" spans="2:7" ht="11.25" hidden="1" customHeight="1" outlineLevel="2" x14ac:dyDescent="0.25">
      <c r="B15143" s="704" t="s">
        <v>699</v>
      </c>
      <c r="C15143" s="704" t="s">
        <v>872</v>
      </c>
      <c r="D15143" s="704" t="s">
        <v>675</v>
      </c>
      <c r="E15143" s="704" t="s">
        <v>861</v>
      </c>
      <c r="F15143" s="709"/>
      <c r="G15143" s="705">
        <v>1.2678898311801315E-28</v>
      </c>
    </row>
    <row r="15144" spans="2:7" ht="11.25" hidden="1" customHeight="1" outlineLevel="2" x14ac:dyDescent="0.25">
      <c r="B15144" s="704" t="s">
        <v>699</v>
      </c>
      <c r="C15144" s="704" t="s">
        <v>873</v>
      </c>
      <c r="D15144" s="704" t="s">
        <v>675</v>
      </c>
      <c r="E15144" s="704" t="s">
        <v>861</v>
      </c>
      <c r="F15144" s="709"/>
      <c r="G15144" s="705">
        <v>5.7536869703209902E-30</v>
      </c>
    </row>
    <row r="15145" spans="2:7" ht="11.25" hidden="1" customHeight="1" outlineLevel="2" x14ac:dyDescent="0.25">
      <c r="B15145" s="704" t="s">
        <v>699</v>
      </c>
      <c r="C15145" s="704" t="s">
        <v>874</v>
      </c>
      <c r="D15145" s="704" t="s">
        <v>675</v>
      </c>
      <c r="E15145" s="704" t="s">
        <v>861</v>
      </c>
      <c r="F15145" s="709"/>
      <c r="G15145" s="705">
        <v>2.5688594811403869E-30</v>
      </c>
    </row>
    <row r="15146" spans="2:7" ht="11.25" hidden="1" customHeight="1" outlineLevel="2" x14ac:dyDescent="0.25">
      <c r="B15146" s="704" t="s">
        <v>699</v>
      </c>
      <c r="C15146" s="704" t="s">
        <v>875</v>
      </c>
      <c r="D15146" s="704" t="s">
        <v>675</v>
      </c>
      <c r="E15146" s="704" t="s">
        <v>861</v>
      </c>
      <c r="F15146" s="709"/>
      <c r="G15146" s="705">
        <v>1.2978143078073451E-28</v>
      </c>
    </row>
    <row r="15147" spans="2:7" ht="11.25" hidden="1" customHeight="1" outlineLevel="2" x14ac:dyDescent="0.25">
      <c r="B15147" s="704" t="s">
        <v>699</v>
      </c>
      <c r="C15147" s="704" t="s">
        <v>876</v>
      </c>
      <c r="D15147" s="704" t="s">
        <v>675</v>
      </c>
      <c r="E15147" s="704" t="s">
        <v>861</v>
      </c>
      <c r="F15147" s="709"/>
      <c r="G15147" s="705">
        <v>4.5319368336702387E-29</v>
      </c>
    </row>
    <row r="15148" spans="2:7" ht="11.25" hidden="1" customHeight="1" outlineLevel="2" x14ac:dyDescent="0.25">
      <c r="B15148" s="704" t="s">
        <v>699</v>
      </c>
      <c r="C15148" s="704" t="s">
        <v>877</v>
      </c>
      <c r="D15148" s="704" t="s">
        <v>675</v>
      </c>
      <c r="E15148" s="704" t="s">
        <v>861</v>
      </c>
      <c r="F15148" s="709"/>
      <c r="G15148" s="705">
        <v>4.9554371100347877E-28</v>
      </c>
    </row>
    <row r="15149" spans="2:7" ht="11.25" hidden="1" customHeight="1" outlineLevel="2" x14ac:dyDescent="0.25">
      <c r="B15149" s="704" t="s">
        <v>699</v>
      </c>
      <c r="C15149" s="704" t="s">
        <v>878</v>
      </c>
      <c r="D15149" s="704" t="s">
        <v>675</v>
      </c>
      <c r="E15149" s="704" t="s">
        <v>861</v>
      </c>
      <c r="F15149" s="709"/>
      <c r="G15149" s="705">
        <v>1.2734909224969495E-29</v>
      </c>
    </row>
    <row r="15150" spans="2:7" ht="11.25" hidden="1" customHeight="1" outlineLevel="2" x14ac:dyDescent="0.25">
      <c r="B15150" s="704" t="s">
        <v>699</v>
      </c>
      <c r="C15150" s="704" t="s">
        <v>879</v>
      </c>
      <c r="D15150" s="704" t="s">
        <v>675</v>
      </c>
      <c r="E15150" s="704" t="s">
        <v>861</v>
      </c>
      <c r="F15150" s="709"/>
      <c r="G15150" s="705">
        <v>1.1239336321238442E-29</v>
      </c>
    </row>
    <row r="15151" spans="2:7" ht="11.25" hidden="1" customHeight="1" outlineLevel="2" x14ac:dyDescent="0.25">
      <c r="B15151" s="704" t="s">
        <v>699</v>
      </c>
      <c r="C15151" s="704" t="s">
        <v>880</v>
      </c>
      <c r="D15151" s="704" t="s">
        <v>675</v>
      </c>
      <c r="E15151" s="704" t="s">
        <v>861</v>
      </c>
      <c r="F15151" s="709"/>
      <c r="G15151" s="705">
        <v>6.6724197561422064E-28</v>
      </c>
    </row>
    <row r="15152" spans="2:7" ht="11.25" hidden="1" customHeight="1" outlineLevel="2" x14ac:dyDescent="0.25">
      <c r="B15152" s="704" t="s">
        <v>699</v>
      </c>
      <c r="C15152" s="704" t="s">
        <v>881</v>
      </c>
      <c r="D15152" s="704" t="s">
        <v>675</v>
      </c>
      <c r="E15152" s="704" t="s">
        <v>861</v>
      </c>
      <c r="F15152" s="709"/>
      <c r="G15152" s="705">
        <v>1.683010752913425E-27</v>
      </c>
    </row>
    <row r="15153" spans="2:7" ht="11.25" hidden="1" customHeight="1" outlineLevel="2" x14ac:dyDescent="0.25">
      <c r="B15153" s="704" t="s">
        <v>699</v>
      </c>
      <c r="C15153" s="704" t="s">
        <v>882</v>
      </c>
      <c r="D15153" s="704" t="s">
        <v>675</v>
      </c>
      <c r="E15153" s="704" t="s">
        <v>861</v>
      </c>
      <c r="F15153" s="709"/>
      <c r="G15153" s="705">
        <v>2.5047711264957134E-28</v>
      </c>
    </row>
    <row r="15154" spans="2:7" ht="11.25" hidden="1" customHeight="1" outlineLevel="2" x14ac:dyDescent="0.25">
      <c r="B15154" s="704" t="s">
        <v>699</v>
      </c>
      <c r="C15154" s="704" t="s">
        <v>883</v>
      </c>
      <c r="D15154" s="704" t="s">
        <v>675</v>
      </c>
      <c r="E15154" s="704" t="s">
        <v>861</v>
      </c>
      <c r="F15154" s="709"/>
      <c r="G15154" s="705">
        <v>1.9648185978513224E-29</v>
      </c>
    </row>
    <row r="15155" spans="2:7" ht="11.25" hidden="1" customHeight="1" outlineLevel="2" x14ac:dyDescent="0.25">
      <c r="B15155" s="704" t="s">
        <v>699</v>
      </c>
      <c r="C15155" s="704" t="s">
        <v>884</v>
      </c>
      <c r="D15155" s="704" t="s">
        <v>675</v>
      </c>
      <c r="E15155" s="704" t="s">
        <v>861</v>
      </c>
      <c r="F15155" s="709"/>
      <c r="G15155" s="705">
        <v>2.4155894972604634E-28</v>
      </c>
    </row>
    <row r="15156" spans="2:7" ht="11.25" hidden="1" customHeight="1" outlineLevel="2" x14ac:dyDescent="0.25">
      <c r="B15156" s="704" t="s">
        <v>699</v>
      </c>
      <c r="C15156" s="704" t="s">
        <v>885</v>
      </c>
      <c r="D15156" s="704" t="s">
        <v>675</v>
      </c>
      <c r="E15156" s="704" t="s">
        <v>861</v>
      </c>
      <c r="F15156" s="709"/>
      <c r="G15156" s="705">
        <v>3.2635428971378915E-31</v>
      </c>
    </row>
    <row r="15157" spans="2:7" ht="11.25" hidden="1" customHeight="1" outlineLevel="2" x14ac:dyDescent="0.25">
      <c r="B15157" s="704" t="s">
        <v>699</v>
      </c>
      <c r="C15157" s="704" t="s">
        <v>886</v>
      </c>
      <c r="D15157" s="704" t="s">
        <v>675</v>
      </c>
      <c r="E15157" s="704" t="s">
        <v>861</v>
      </c>
      <c r="F15157" s="709"/>
      <c r="G15157" s="705">
        <v>7.731068103147799E-30</v>
      </c>
    </row>
    <row r="15158" spans="2:7" ht="11.25" hidden="1" customHeight="1" outlineLevel="2" x14ac:dyDescent="0.25">
      <c r="B15158" s="704" t="s">
        <v>699</v>
      </c>
      <c r="C15158" s="704" t="s">
        <v>725</v>
      </c>
      <c r="D15158" s="704" t="s">
        <v>563</v>
      </c>
      <c r="E15158" s="704" t="s">
        <v>448</v>
      </c>
      <c r="F15158" s="705">
        <v>1.7394672191487757E-3</v>
      </c>
      <c r="G15158" s="705">
        <v>0.7797989467711457</v>
      </c>
    </row>
    <row r="15159" spans="2:7" ht="11.25" hidden="1" customHeight="1" outlineLevel="2" x14ac:dyDescent="0.25">
      <c r="B15159" s="704" t="s">
        <v>699</v>
      </c>
      <c r="C15159" s="704" t="s">
        <v>726</v>
      </c>
      <c r="D15159" s="704" t="s">
        <v>563</v>
      </c>
      <c r="E15159" s="704" t="s">
        <v>448</v>
      </c>
      <c r="F15159" s="705">
        <v>1.3699847396112964E-4</v>
      </c>
      <c r="G15159" s="705">
        <v>6.1416036487596908E-2</v>
      </c>
    </row>
    <row r="15160" spans="2:7" ht="11.25" hidden="1" customHeight="1" outlineLevel="2" x14ac:dyDescent="0.25">
      <c r="B15160" s="704" t="s">
        <v>699</v>
      </c>
      <c r="C15160" s="704" t="s">
        <v>769</v>
      </c>
      <c r="D15160" s="704" t="s">
        <v>563</v>
      </c>
      <c r="E15160" s="704" t="s">
        <v>448</v>
      </c>
      <c r="F15160" s="705">
        <v>8.9166915397259433E-2</v>
      </c>
      <c r="G15160" s="705">
        <v>94.850497481921465</v>
      </c>
    </row>
    <row r="15161" spans="2:7" ht="11.25" hidden="1" customHeight="1" outlineLevel="2" x14ac:dyDescent="0.25">
      <c r="B15161" s="704" t="s">
        <v>699</v>
      </c>
      <c r="C15161" s="704" t="s">
        <v>770</v>
      </c>
      <c r="D15161" s="704" t="s">
        <v>563</v>
      </c>
      <c r="E15161" s="704" t="s">
        <v>448</v>
      </c>
      <c r="F15161" s="705">
        <v>8.1072203141179341E-2</v>
      </c>
      <c r="G15161" s="705">
        <v>280.87822818993857</v>
      </c>
    </row>
    <row r="15162" spans="2:7" ht="11.25" hidden="1" customHeight="1" outlineLevel="2" x14ac:dyDescent="0.25">
      <c r="B15162" s="704" t="s">
        <v>699</v>
      </c>
      <c r="C15162" s="704" t="s">
        <v>771</v>
      </c>
      <c r="D15162" s="704" t="s">
        <v>563</v>
      </c>
      <c r="E15162" s="704" t="s">
        <v>448</v>
      </c>
      <c r="F15162" s="705">
        <v>3.0333684470770984E-2</v>
      </c>
      <c r="G15162" s="705">
        <v>70.93641720746345</v>
      </c>
    </row>
    <row r="15163" spans="2:7" ht="11.25" hidden="1" customHeight="1" outlineLevel="2" x14ac:dyDescent="0.25">
      <c r="B15163" s="704" t="s">
        <v>699</v>
      </c>
      <c r="C15163" s="704" t="s">
        <v>772</v>
      </c>
      <c r="D15163" s="704" t="s">
        <v>563</v>
      </c>
      <c r="E15163" s="704" t="s">
        <v>448</v>
      </c>
      <c r="F15163" s="705">
        <v>0.10177231060530803</v>
      </c>
      <c r="G15163" s="705">
        <v>132.22226474064894</v>
      </c>
    </row>
    <row r="15164" spans="2:7" ht="11.25" hidden="1" customHeight="1" outlineLevel="2" x14ac:dyDescent="0.25">
      <c r="B15164" s="704" t="s">
        <v>699</v>
      </c>
      <c r="C15164" s="704" t="s">
        <v>773</v>
      </c>
      <c r="D15164" s="704" t="s">
        <v>563</v>
      </c>
      <c r="E15164" s="704" t="s">
        <v>448</v>
      </c>
      <c r="F15164" s="705">
        <v>5.6964773566100142E-3</v>
      </c>
      <c r="G15164" s="705">
        <v>6.4964354852159119</v>
      </c>
    </row>
    <row r="15165" spans="2:7" ht="11.25" hidden="1" customHeight="1" outlineLevel="2" x14ac:dyDescent="0.25">
      <c r="B15165" s="704" t="s">
        <v>699</v>
      </c>
      <c r="C15165" s="704" t="s">
        <v>774</v>
      </c>
      <c r="D15165" s="704" t="s">
        <v>563</v>
      </c>
      <c r="E15165" s="704" t="s">
        <v>448</v>
      </c>
      <c r="F15165" s="705">
        <v>3.2301774922591652E-3</v>
      </c>
      <c r="G15165" s="705">
        <v>4.3511063097358624</v>
      </c>
    </row>
    <row r="15166" spans="2:7" ht="11.25" hidden="1" customHeight="1" outlineLevel="2" x14ac:dyDescent="0.25">
      <c r="B15166" s="704" t="s">
        <v>699</v>
      </c>
      <c r="C15166" s="704" t="s">
        <v>775</v>
      </c>
      <c r="D15166" s="704" t="s">
        <v>563</v>
      </c>
      <c r="E15166" s="704" t="s">
        <v>448</v>
      </c>
      <c r="F15166" s="705">
        <v>2.2383917843001189E-3</v>
      </c>
      <c r="G15166" s="705">
        <v>28.640743724603901</v>
      </c>
    </row>
    <row r="15167" spans="2:7" ht="11.25" hidden="1" customHeight="1" outlineLevel="2" x14ac:dyDescent="0.25">
      <c r="B15167" s="704" t="s">
        <v>699</v>
      </c>
      <c r="C15167" s="704" t="s">
        <v>839</v>
      </c>
      <c r="D15167" s="704" t="s">
        <v>563</v>
      </c>
      <c r="E15167" s="704" t="s">
        <v>824</v>
      </c>
      <c r="F15167" s="705">
        <v>9.9017798106393398E-2</v>
      </c>
      <c r="G15167" s="705">
        <v>240.28327087222627</v>
      </c>
    </row>
    <row r="15168" spans="2:7" ht="11.25" hidden="1" customHeight="1" outlineLevel="2" x14ac:dyDescent="0.25">
      <c r="B15168" s="704" t="s">
        <v>699</v>
      </c>
      <c r="C15168" s="704" t="s">
        <v>840</v>
      </c>
      <c r="D15168" s="704" t="s">
        <v>563</v>
      </c>
      <c r="E15168" s="704" t="s">
        <v>824</v>
      </c>
      <c r="F15168" s="705">
        <v>2.8856085524843293</v>
      </c>
      <c r="G15168" s="705">
        <v>21244.725851189654</v>
      </c>
    </row>
    <row r="15169" spans="2:7" ht="11.25" hidden="1" customHeight="1" outlineLevel="2" x14ac:dyDescent="0.25">
      <c r="B15169" s="704" t="s">
        <v>699</v>
      </c>
      <c r="C15169" s="704" t="s">
        <v>841</v>
      </c>
      <c r="D15169" s="704" t="s">
        <v>563</v>
      </c>
      <c r="E15169" s="704" t="s">
        <v>824</v>
      </c>
      <c r="F15169" s="705">
        <v>1.4035448353310087E-2</v>
      </c>
      <c r="G15169" s="705">
        <v>160.61064696722323</v>
      </c>
    </row>
    <row r="15170" spans="2:7" ht="11.25" hidden="1" customHeight="1" outlineLevel="2" x14ac:dyDescent="0.25">
      <c r="B15170" s="704" t="s">
        <v>699</v>
      </c>
      <c r="C15170" s="704" t="s">
        <v>842</v>
      </c>
      <c r="D15170" s="704" t="s">
        <v>563</v>
      </c>
      <c r="E15170" s="704" t="s">
        <v>824</v>
      </c>
      <c r="F15170" s="705">
        <v>5.0861021733914075E-3</v>
      </c>
      <c r="G15170" s="705">
        <v>49.781881622611223</v>
      </c>
    </row>
    <row r="15171" spans="2:7" ht="11.25" hidden="1" customHeight="1" outlineLevel="2" x14ac:dyDescent="0.25">
      <c r="B15171" s="704" t="s">
        <v>699</v>
      </c>
      <c r="C15171" s="704" t="s">
        <v>843</v>
      </c>
      <c r="D15171" s="704" t="s">
        <v>563</v>
      </c>
      <c r="E15171" s="704" t="s">
        <v>824</v>
      </c>
      <c r="F15171" s="705">
        <v>4.9160022537162468E-3</v>
      </c>
      <c r="G15171" s="705">
        <v>12.844593144114262</v>
      </c>
    </row>
    <row r="15172" spans="2:7" ht="11.25" hidden="1" customHeight="1" outlineLevel="2" x14ac:dyDescent="0.25">
      <c r="B15172" s="704" t="s">
        <v>699</v>
      </c>
      <c r="C15172" s="704" t="s">
        <v>844</v>
      </c>
      <c r="D15172" s="704" t="s">
        <v>563</v>
      </c>
      <c r="E15172" s="704" t="s">
        <v>824</v>
      </c>
      <c r="F15172" s="705">
        <v>4.9162112424242189E-3</v>
      </c>
      <c r="G15172" s="705">
        <v>97.698289714413747</v>
      </c>
    </row>
    <row r="15173" spans="2:7" ht="11.25" hidden="1" customHeight="1" outlineLevel="2" x14ac:dyDescent="0.25">
      <c r="B15173" s="704" t="s">
        <v>699</v>
      </c>
      <c r="C15173" s="704" t="s">
        <v>700</v>
      </c>
      <c r="D15173" s="704" t="s">
        <v>563</v>
      </c>
      <c r="E15173" s="704" t="s">
        <v>676</v>
      </c>
      <c r="F15173" s="705">
        <v>14.902749160859653</v>
      </c>
      <c r="G15173" s="705">
        <v>1254.1506084976045</v>
      </c>
    </row>
    <row r="15174" spans="2:7" ht="11.25" hidden="1" customHeight="1" outlineLevel="2" x14ac:dyDescent="0.25">
      <c r="B15174" s="704" t="s">
        <v>699</v>
      </c>
      <c r="C15174" s="704" t="s">
        <v>701</v>
      </c>
      <c r="D15174" s="704" t="s">
        <v>563</v>
      </c>
      <c r="E15174" s="704" t="s">
        <v>676</v>
      </c>
      <c r="F15174" s="705">
        <v>1.6277587764989873E-2</v>
      </c>
      <c r="G15174" s="705">
        <v>1.4253882186188991</v>
      </c>
    </row>
    <row r="15175" spans="2:7" ht="11.25" hidden="1" customHeight="1" outlineLevel="2" x14ac:dyDescent="0.25">
      <c r="B15175" s="704" t="s">
        <v>699</v>
      </c>
      <c r="C15175" s="704" t="s">
        <v>702</v>
      </c>
      <c r="D15175" s="704" t="s">
        <v>563</v>
      </c>
      <c r="E15175" s="704" t="s">
        <v>676</v>
      </c>
      <c r="F15175" s="705">
        <v>7.5951166385988299E-3</v>
      </c>
      <c r="G15175" s="705">
        <v>0.77842047012836568</v>
      </c>
    </row>
    <row r="15176" spans="2:7" ht="11.25" hidden="1" customHeight="1" outlineLevel="2" x14ac:dyDescent="0.25">
      <c r="B15176" s="704" t="s">
        <v>699</v>
      </c>
      <c r="C15176" s="704" t="s">
        <v>703</v>
      </c>
      <c r="D15176" s="704" t="s">
        <v>563</v>
      </c>
      <c r="E15176" s="704" t="s">
        <v>676</v>
      </c>
      <c r="F15176" s="705">
        <v>4.1710911083980409E-2</v>
      </c>
      <c r="G15176" s="705">
        <v>4.1074430464458604</v>
      </c>
    </row>
    <row r="15177" spans="2:7" ht="11.25" hidden="1" customHeight="1" outlineLevel="2" x14ac:dyDescent="0.25">
      <c r="B15177" s="704" t="s">
        <v>699</v>
      </c>
      <c r="C15177" s="704" t="s">
        <v>704</v>
      </c>
      <c r="D15177" s="704" t="s">
        <v>563</v>
      </c>
      <c r="E15177" s="704" t="s">
        <v>676</v>
      </c>
      <c r="F15177" s="705">
        <v>2.5864722077660659E-2</v>
      </c>
      <c r="G15177" s="705">
        <v>5.8164117203327166</v>
      </c>
    </row>
    <row r="15178" spans="2:7" ht="11.25" hidden="1" customHeight="1" outlineLevel="2" x14ac:dyDescent="0.25">
      <c r="B15178" s="704" t="s">
        <v>699</v>
      </c>
      <c r="C15178" s="704" t="s">
        <v>887</v>
      </c>
      <c r="D15178" s="704" t="s">
        <v>563</v>
      </c>
      <c r="E15178" s="704" t="s">
        <v>861</v>
      </c>
      <c r="F15178" s="709"/>
      <c r="G15178" s="705">
        <v>390.93129382164426</v>
      </c>
    </row>
    <row r="15179" spans="2:7" ht="11.25" hidden="1" customHeight="1" outlineLevel="2" x14ac:dyDescent="0.25">
      <c r="B15179" s="704" t="s">
        <v>699</v>
      </c>
      <c r="C15179" s="704" t="s">
        <v>888</v>
      </c>
      <c r="D15179" s="704" t="s">
        <v>563</v>
      </c>
      <c r="E15179" s="704" t="s">
        <v>861</v>
      </c>
      <c r="F15179" s="709"/>
      <c r="G15179" s="705">
        <v>5672.6332235832742</v>
      </c>
    </row>
    <row r="15180" spans="2:7" ht="11.25" hidden="1" customHeight="1" outlineLevel="2" x14ac:dyDescent="0.25">
      <c r="B15180" s="704" t="s">
        <v>699</v>
      </c>
      <c r="C15180" s="704" t="s">
        <v>889</v>
      </c>
      <c r="D15180" s="704" t="s">
        <v>563</v>
      </c>
      <c r="E15180" s="704" t="s">
        <v>861</v>
      </c>
      <c r="F15180" s="709"/>
      <c r="G15180" s="705">
        <v>2475.9197089843001</v>
      </c>
    </row>
    <row r="15181" spans="2:7" ht="11.25" hidden="1" customHeight="1" outlineLevel="2" x14ac:dyDescent="0.25">
      <c r="B15181" s="704" t="s">
        <v>699</v>
      </c>
      <c r="C15181" s="704" t="s">
        <v>890</v>
      </c>
      <c r="D15181" s="704" t="s">
        <v>563</v>
      </c>
      <c r="E15181" s="704" t="s">
        <v>861</v>
      </c>
      <c r="F15181" s="709"/>
      <c r="G15181" s="705">
        <v>2513.0314417628451</v>
      </c>
    </row>
    <row r="15182" spans="2:7" ht="11.25" hidden="1" customHeight="1" outlineLevel="2" x14ac:dyDescent="0.25">
      <c r="B15182" s="704" t="s">
        <v>699</v>
      </c>
      <c r="C15182" s="704" t="s">
        <v>891</v>
      </c>
      <c r="D15182" s="704" t="s">
        <v>563</v>
      </c>
      <c r="E15182" s="704" t="s">
        <v>861</v>
      </c>
      <c r="F15182" s="709"/>
      <c r="G15182" s="705">
        <v>96.609876106145265</v>
      </c>
    </row>
    <row r="15183" spans="2:7" ht="11.25" hidden="1" customHeight="1" outlineLevel="2" x14ac:dyDescent="0.25">
      <c r="B15183" s="704" t="s">
        <v>699</v>
      </c>
      <c r="C15183" s="704" t="s">
        <v>892</v>
      </c>
      <c r="D15183" s="704" t="s">
        <v>563</v>
      </c>
      <c r="E15183" s="704" t="s">
        <v>861</v>
      </c>
      <c r="F15183" s="709"/>
      <c r="G15183" s="705">
        <v>11947.517405634475</v>
      </c>
    </row>
    <row r="15184" spans="2:7" ht="11.25" hidden="1" customHeight="1" outlineLevel="2" x14ac:dyDescent="0.25">
      <c r="B15184" s="704" t="s">
        <v>699</v>
      </c>
      <c r="C15184" s="704" t="s">
        <v>893</v>
      </c>
      <c r="D15184" s="704" t="s">
        <v>563</v>
      </c>
      <c r="E15184" s="704" t="s">
        <v>861</v>
      </c>
      <c r="F15184" s="709"/>
      <c r="G15184" s="705">
        <v>3571.3621852879669</v>
      </c>
    </row>
    <row r="15185" spans="2:7" ht="11.25" hidden="1" customHeight="1" outlineLevel="2" x14ac:dyDescent="0.25">
      <c r="B15185" s="704" t="s">
        <v>699</v>
      </c>
      <c r="C15185" s="704" t="s">
        <v>727</v>
      </c>
      <c r="D15185" s="704" t="s">
        <v>728</v>
      </c>
      <c r="E15185" s="704" t="s">
        <v>448</v>
      </c>
      <c r="F15185" s="705">
        <v>5.4514246717802285E-2</v>
      </c>
      <c r="G15185" s="705">
        <v>29.85478901724743</v>
      </c>
    </row>
    <row r="15186" spans="2:7" ht="11.25" hidden="1" customHeight="1" outlineLevel="2" x14ac:dyDescent="0.25">
      <c r="B15186" s="704" t="s">
        <v>699</v>
      </c>
      <c r="C15186" s="704" t="s">
        <v>729</v>
      </c>
      <c r="D15186" s="704" t="s">
        <v>728</v>
      </c>
      <c r="E15186" s="704" t="s">
        <v>448</v>
      </c>
      <c r="F15186" s="705">
        <v>4.3923747815527894E-2</v>
      </c>
      <c r="G15186" s="705">
        <v>23.704400752645409</v>
      </c>
    </row>
    <row r="15187" spans="2:7" ht="11.25" hidden="1" customHeight="1" outlineLevel="2" x14ac:dyDescent="0.25">
      <c r="B15187" s="704" t="s">
        <v>699</v>
      </c>
      <c r="C15187" s="704" t="s">
        <v>730</v>
      </c>
      <c r="D15187" s="704" t="s">
        <v>728</v>
      </c>
      <c r="E15187" s="704" t="s">
        <v>448</v>
      </c>
      <c r="F15187" s="705">
        <v>0.78216170953669961</v>
      </c>
      <c r="G15187" s="705">
        <v>407.84088805570002</v>
      </c>
    </row>
    <row r="15188" spans="2:7" ht="11.25" hidden="1" customHeight="1" outlineLevel="2" x14ac:dyDescent="0.25">
      <c r="B15188" s="704" t="s">
        <v>699</v>
      </c>
      <c r="C15188" s="704" t="s">
        <v>731</v>
      </c>
      <c r="D15188" s="704" t="s">
        <v>728</v>
      </c>
      <c r="E15188" s="704" t="s">
        <v>448</v>
      </c>
      <c r="F15188" s="705">
        <v>0.48111144622480817</v>
      </c>
      <c r="G15188" s="705">
        <v>263.80452078356552</v>
      </c>
    </row>
    <row r="15189" spans="2:7" ht="11.25" hidden="1" customHeight="1" outlineLevel="2" x14ac:dyDescent="0.25">
      <c r="B15189" s="704" t="s">
        <v>699</v>
      </c>
      <c r="C15189" s="704" t="s">
        <v>732</v>
      </c>
      <c r="D15189" s="704" t="s">
        <v>728</v>
      </c>
      <c r="E15189" s="704" t="s">
        <v>448</v>
      </c>
      <c r="F15189" s="705">
        <v>0.96444406037473485</v>
      </c>
      <c r="G15189" s="705">
        <v>568.34634115836855</v>
      </c>
    </row>
    <row r="15190" spans="2:7" ht="11.25" hidden="1" customHeight="1" outlineLevel="2" x14ac:dyDescent="0.25">
      <c r="B15190" s="704" t="s">
        <v>699</v>
      </c>
      <c r="C15190" s="704" t="s">
        <v>733</v>
      </c>
      <c r="D15190" s="704" t="s">
        <v>728</v>
      </c>
      <c r="E15190" s="704" t="s">
        <v>448</v>
      </c>
      <c r="F15190" s="705">
        <v>0.45432280485815424</v>
      </c>
      <c r="G15190" s="705">
        <v>230.03310488764376</v>
      </c>
    </row>
    <row r="15191" spans="2:7" ht="11.25" hidden="1" customHeight="1" outlineLevel="2" x14ac:dyDescent="0.25">
      <c r="B15191" s="704" t="s">
        <v>699</v>
      </c>
      <c r="C15191" s="704" t="s">
        <v>734</v>
      </c>
      <c r="D15191" s="704" t="s">
        <v>728</v>
      </c>
      <c r="E15191" s="704" t="s">
        <v>448</v>
      </c>
      <c r="F15191" s="705">
        <v>0.67980107359838038</v>
      </c>
      <c r="G15191" s="705">
        <v>365.78648457262403</v>
      </c>
    </row>
    <row r="15192" spans="2:7" ht="11.25" hidden="1" customHeight="1" outlineLevel="2" x14ac:dyDescent="0.25">
      <c r="B15192" s="704" t="s">
        <v>699</v>
      </c>
      <c r="C15192" s="704" t="s">
        <v>735</v>
      </c>
      <c r="D15192" s="704" t="s">
        <v>728</v>
      </c>
      <c r="E15192" s="704" t="s">
        <v>448</v>
      </c>
      <c r="F15192" s="705">
        <v>0.40099018893817173</v>
      </c>
      <c r="G15192" s="705">
        <v>214.79612426189715</v>
      </c>
    </row>
    <row r="15193" spans="2:7" ht="11.25" hidden="1" customHeight="1" outlineLevel="2" x14ac:dyDescent="0.25">
      <c r="B15193" s="704" t="s">
        <v>699</v>
      </c>
      <c r="C15193" s="704" t="s">
        <v>736</v>
      </c>
      <c r="D15193" s="704" t="s">
        <v>728</v>
      </c>
      <c r="E15193" s="704" t="s">
        <v>448</v>
      </c>
      <c r="F15193" s="705">
        <v>1.1827410213327216</v>
      </c>
      <c r="G15193" s="705">
        <v>174.09334996715754</v>
      </c>
    </row>
    <row r="15194" spans="2:7" ht="11.25" hidden="1" customHeight="1" outlineLevel="2" x14ac:dyDescent="0.25">
      <c r="B15194" s="704" t="s">
        <v>699</v>
      </c>
      <c r="C15194" s="704" t="s">
        <v>737</v>
      </c>
      <c r="D15194" s="704" t="s">
        <v>728</v>
      </c>
      <c r="E15194" s="704" t="s">
        <v>448</v>
      </c>
      <c r="F15194" s="705">
        <v>0.46630107496665163</v>
      </c>
      <c r="G15194" s="705">
        <v>68.637787231194409</v>
      </c>
    </row>
    <row r="15195" spans="2:7" ht="11.25" hidden="1" customHeight="1" outlineLevel="2" x14ac:dyDescent="0.25">
      <c r="B15195" s="704" t="s">
        <v>699</v>
      </c>
      <c r="C15195" s="704" t="s">
        <v>738</v>
      </c>
      <c r="D15195" s="704" t="s">
        <v>728</v>
      </c>
      <c r="E15195" s="704" t="s">
        <v>448</v>
      </c>
      <c r="F15195" s="705">
        <v>1.9644607023462223E-4</v>
      </c>
      <c r="G15195" s="705">
        <v>9.8180029863385046E-2</v>
      </c>
    </row>
    <row r="15196" spans="2:7" ht="11.25" hidden="1" customHeight="1" outlineLevel="2" x14ac:dyDescent="0.25">
      <c r="B15196" s="704" t="s">
        <v>699</v>
      </c>
      <c r="C15196" s="704" t="s">
        <v>776</v>
      </c>
      <c r="D15196" s="704" t="s">
        <v>728</v>
      </c>
      <c r="E15196" s="704" t="s">
        <v>448</v>
      </c>
      <c r="F15196" s="705">
        <v>8.2303804139269889</v>
      </c>
      <c r="G15196" s="705">
        <v>5095.1686995312657</v>
      </c>
    </row>
    <row r="15197" spans="2:7" ht="11.25" hidden="1" customHeight="1" outlineLevel="2" x14ac:dyDescent="0.25">
      <c r="B15197" s="704" t="s">
        <v>699</v>
      </c>
      <c r="C15197" s="704" t="s">
        <v>777</v>
      </c>
      <c r="D15197" s="704" t="s">
        <v>728</v>
      </c>
      <c r="E15197" s="704" t="s">
        <v>448</v>
      </c>
      <c r="F15197" s="705">
        <v>0.56383620125560252</v>
      </c>
      <c r="G15197" s="705">
        <v>670.54318202807542</v>
      </c>
    </row>
    <row r="15198" spans="2:7" ht="11.25" hidden="1" customHeight="1" outlineLevel="2" x14ac:dyDescent="0.25">
      <c r="B15198" s="704" t="s">
        <v>699</v>
      </c>
      <c r="C15198" s="704" t="s">
        <v>778</v>
      </c>
      <c r="D15198" s="704" t="s">
        <v>728</v>
      </c>
      <c r="E15198" s="704" t="s">
        <v>448</v>
      </c>
      <c r="F15198" s="705">
        <v>0.69575755416122609</v>
      </c>
      <c r="G15198" s="705">
        <v>427.2368203019787</v>
      </c>
    </row>
    <row r="15199" spans="2:7" ht="11.25" hidden="1" customHeight="1" outlineLevel="2" x14ac:dyDescent="0.25">
      <c r="B15199" s="704" t="s">
        <v>699</v>
      </c>
      <c r="C15199" s="704" t="s">
        <v>779</v>
      </c>
      <c r="D15199" s="704" t="s">
        <v>728</v>
      </c>
      <c r="E15199" s="704" t="s">
        <v>448</v>
      </c>
      <c r="F15199" s="705">
        <v>0.45702606837572712</v>
      </c>
      <c r="G15199" s="705">
        <v>341.31246034135665</v>
      </c>
    </row>
    <row r="15200" spans="2:7" ht="11.25" hidden="1" customHeight="1" outlineLevel="2" x14ac:dyDescent="0.25">
      <c r="B15200" s="704" t="s">
        <v>699</v>
      </c>
      <c r="C15200" s="704" t="s">
        <v>780</v>
      </c>
      <c r="D15200" s="704" t="s">
        <v>728</v>
      </c>
      <c r="E15200" s="704" t="s">
        <v>448</v>
      </c>
      <c r="F15200" s="705">
        <v>3.7710981157727905E-2</v>
      </c>
      <c r="G15200" s="705">
        <v>28.364736816453856</v>
      </c>
    </row>
    <row r="15201" spans="2:7" ht="11.25" hidden="1" customHeight="1" outlineLevel="2" x14ac:dyDescent="0.25">
      <c r="B15201" s="704" t="s">
        <v>699</v>
      </c>
      <c r="C15201" s="704" t="s">
        <v>781</v>
      </c>
      <c r="D15201" s="704" t="s">
        <v>728</v>
      </c>
      <c r="E15201" s="704" t="s">
        <v>448</v>
      </c>
      <c r="F15201" s="705">
        <v>1.2529718241078172E-2</v>
      </c>
      <c r="G15201" s="705">
        <v>15.533041920129079</v>
      </c>
    </row>
    <row r="15202" spans="2:7" ht="11.25" hidden="1" customHeight="1" outlineLevel="2" x14ac:dyDescent="0.25">
      <c r="B15202" s="704" t="s">
        <v>699</v>
      </c>
      <c r="C15202" s="704" t="s">
        <v>782</v>
      </c>
      <c r="D15202" s="704" t="s">
        <v>728</v>
      </c>
      <c r="E15202" s="704" t="s">
        <v>448</v>
      </c>
      <c r="F15202" s="705">
        <v>7.1773741121301415E-2</v>
      </c>
      <c r="G15202" s="705">
        <v>54.114864116798621</v>
      </c>
    </row>
    <row r="15203" spans="2:7" ht="11.25" hidden="1" customHeight="1" outlineLevel="2" x14ac:dyDescent="0.25">
      <c r="B15203" s="704" t="s">
        <v>699</v>
      </c>
      <c r="C15203" s="704" t="s">
        <v>783</v>
      </c>
      <c r="D15203" s="704" t="s">
        <v>728</v>
      </c>
      <c r="E15203" s="704" t="s">
        <v>448</v>
      </c>
      <c r="F15203" s="705">
        <v>0.41133488746687435</v>
      </c>
      <c r="G15203" s="705">
        <v>640.81786967908135</v>
      </c>
    </row>
    <row r="15204" spans="2:7" ht="11.25" hidden="1" customHeight="1" outlineLevel="2" x14ac:dyDescent="0.25">
      <c r="B15204" s="704" t="s">
        <v>699</v>
      </c>
      <c r="C15204" s="704" t="s">
        <v>784</v>
      </c>
      <c r="D15204" s="704" t="s">
        <v>728</v>
      </c>
      <c r="E15204" s="704" t="s">
        <v>448</v>
      </c>
      <c r="F15204" s="705">
        <v>1.0317800098780574</v>
      </c>
      <c r="G15204" s="705">
        <v>562.46872865603495</v>
      </c>
    </row>
    <row r="15205" spans="2:7" ht="11.25" hidden="1" customHeight="1" outlineLevel="2" x14ac:dyDescent="0.25">
      <c r="B15205" s="704" t="s">
        <v>699</v>
      </c>
      <c r="C15205" s="704" t="s">
        <v>785</v>
      </c>
      <c r="D15205" s="704" t="s">
        <v>728</v>
      </c>
      <c r="E15205" s="704" t="s">
        <v>448</v>
      </c>
      <c r="F15205" s="705">
        <v>0.40684459846971199</v>
      </c>
      <c r="G15205" s="705">
        <v>221.75802689360029</v>
      </c>
    </row>
    <row r="15206" spans="2:7" ht="11.25" hidden="1" customHeight="1" outlineLevel="2" x14ac:dyDescent="0.25">
      <c r="B15206" s="704" t="s">
        <v>699</v>
      </c>
      <c r="C15206" s="704" t="s">
        <v>786</v>
      </c>
      <c r="D15206" s="704" t="s">
        <v>728</v>
      </c>
      <c r="E15206" s="704" t="s">
        <v>448</v>
      </c>
      <c r="F15206" s="705">
        <v>0.8095743227241492</v>
      </c>
      <c r="G15206" s="705">
        <v>1022.3264008261222</v>
      </c>
    </row>
    <row r="15207" spans="2:7" ht="11.25" hidden="1" customHeight="1" outlineLevel="2" x14ac:dyDescent="0.25">
      <c r="B15207" s="704" t="s">
        <v>699</v>
      </c>
      <c r="C15207" s="704" t="s">
        <v>787</v>
      </c>
      <c r="D15207" s="704" t="s">
        <v>728</v>
      </c>
      <c r="E15207" s="704" t="s">
        <v>448</v>
      </c>
      <c r="F15207" s="705">
        <v>5.2537513155171835E-2</v>
      </c>
      <c r="G15207" s="705">
        <v>74.035576611266166</v>
      </c>
    </row>
    <row r="15208" spans="2:7" ht="11.25" hidden="1" customHeight="1" outlineLevel="2" x14ac:dyDescent="0.25">
      <c r="B15208" s="704" t="s">
        <v>699</v>
      </c>
      <c r="C15208" s="704" t="s">
        <v>788</v>
      </c>
      <c r="D15208" s="704" t="s">
        <v>728</v>
      </c>
      <c r="E15208" s="704" t="s">
        <v>448</v>
      </c>
      <c r="F15208" s="705">
        <v>7.4049786390533556E-2</v>
      </c>
      <c r="G15208" s="705">
        <v>84.267680280752941</v>
      </c>
    </row>
    <row r="15209" spans="2:7" ht="11.25" hidden="1" customHeight="1" outlineLevel="2" x14ac:dyDescent="0.25">
      <c r="B15209" s="704" t="s">
        <v>699</v>
      </c>
      <c r="C15209" s="704" t="s">
        <v>789</v>
      </c>
      <c r="D15209" s="704" t="s">
        <v>728</v>
      </c>
      <c r="E15209" s="704" t="s">
        <v>448</v>
      </c>
      <c r="F15209" s="705">
        <v>5.7067665192340918E-2</v>
      </c>
      <c r="G15209" s="705">
        <v>39.24055564395362</v>
      </c>
    </row>
    <row r="15210" spans="2:7" ht="11.25" hidden="1" customHeight="1" outlineLevel="2" x14ac:dyDescent="0.25">
      <c r="B15210" s="704" t="s">
        <v>699</v>
      </c>
      <c r="C15210" s="704" t="s">
        <v>790</v>
      </c>
      <c r="D15210" s="704" t="s">
        <v>728</v>
      </c>
      <c r="E15210" s="704" t="s">
        <v>448</v>
      </c>
      <c r="F15210" s="705">
        <v>10.825603944712267</v>
      </c>
      <c r="G15210" s="705">
        <v>13703.578493284267</v>
      </c>
    </row>
    <row r="15211" spans="2:7" ht="11.25" hidden="1" customHeight="1" outlineLevel="2" x14ac:dyDescent="0.25">
      <c r="B15211" s="704" t="s">
        <v>699</v>
      </c>
      <c r="C15211" s="704" t="s">
        <v>791</v>
      </c>
      <c r="D15211" s="704" t="s">
        <v>728</v>
      </c>
      <c r="E15211" s="704" t="s">
        <v>448</v>
      </c>
      <c r="F15211" s="705">
        <v>0.71385943869658741</v>
      </c>
      <c r="G15211" s="705">
        <v>1006.1756249925194</v>
      </c>
    </row>
    <row r="15212" spans="2:7" ht="11.25" hidden="1" customHeight="1" outlineLevel="2" x14ac:dyDescent="0.25">
      <c r="B15212" s="704" t="s">
        <v>699</v>
      </c>
      <c r="C15212" s="704" t="s">
        <v>792</v>
      </c>
      <c r="D15212" s="704" t="s">
        <v>728</v>
      </c>
      <c r="E15212" s="704" t="s">
        <v>448</v>
      </c>
      <c r="F15212" s="705">
        <v>8.0365826016787531E-2</v>
      </c>
      <c r="G15212" s="705">
        <v>168.45476863086748</v>
      </c>
    </row>
    <row r="15213" spans="2:7" ht="11.25" hidden="1" customHeight="1" outlineLevel="2" x14ac:dyDescent="0.25">
      <c r="B15213" s="704" t="s">
        <v>699</v>
      </c>
      <c r="C15213" s="704" t="s">
        <v>793</v>
      </c>
      <c r="D15213" s="704" t="s">
        <v>728</v>
      </c>
      <c r="E15213" s="704" t="s">
        <v>448</v>
      </c>
      <c r="F15213" s="705">
        <v>2.2356230708927924</v>
      </c>
      <c r="G15213" s="705">
        <v>3245.9874816045703</v>
      </c>
    </row>
    <row r="15214" spans="2:7" ht="11.25" hidden="1" customHeight="1" outlineLevel="2" x14ac:dyDescent="0.25">
      <c r="B15214" s="704" t="s">
        <v>699</v>
      </c>
      <c r="C15214" s="704" t="s">
        <v>794</v>
      </c>
      <c r="D15214" s="704" t="s">
        <v>728</v>
      </c>
      <c r="E15214" s="704" t="s">
        <v>448</v>
      </c>
      <c r="F15214" s="705">
        <v>0.62259253158101036</v>
      </c>
      <c r="G15214" s="705">
        <v>485.3982662338783</v>
      </c>
    </row>
    <row r="15215" spans="2:7" ht="11.25" hidden="1" customHeight="1" outlineLevel="2" x14ac:dyDescent="0.25">
      <c r="B15215" s="704" t="s">
        <v>699</v>
      </c>
      <c r="C15215" s="704" t="s">
        <v>795</v>
      </c>
      <c r="D15215" s="704" t="s">
        <v>728</v>
      </c>
      <c r="E15215" s="704" t="s">
        <v>448</v>
      </c>
      <c r="F15215" s="705">
        <v>0.12731322867892916</v>
      </c>
      <c r="G15215" s="705">
        <v>99.455725420276153</v>
      </c>
    </row>
    <row r="15216" spans="2:7" ht="11.25" hidden="1" customHeight="1" outlineLevel="2" x14ac:dyDescent="0.25">
      <c r="B15216" s="704" t="s">
        <v>699</v>
      </c>
      <c r="C15216" s="704" t="s">
        <v>845</v>
      </c>
      <c r="D15216" s="704" t="s">
        <v>728</v>
      </c>
      <c r="E15216" s="704" t="s">
        <v>824</v>
      </c>
      <c r="F15216" s="705">
        <v>6.2644926523129814E-3</v>
      </c>
      <c r="G15216" s="705">
        <v>55.881843944831445</v>
      </c>
    </row>
    <row r="15217" spans="2:7" ht="11.25" hidden="1" customHeight="1" outlineLevel="2" x14ac:dyDescent="0.25">
      <c r="B15217" s="704" t="s">
        <v>699</v>
      </c>
      <c r="C15217" s="704" t="s">
        <v>894</v>
      </c>
      <c r="D15217" s="704" t="s">
        <v>728</v>
      </c>
      <c r="E15217" s="704" t="s">
        <v>861</v>
      </c>
      <c r="F15217" s="709"/>
      <c r="G15217" s="705">
        <v>8.6866669800039792E-2</v>
      </c>
    </row>
    <row r="15218" spans="2:7" ht="11.25" hidden="1" customHeight="1" outlineLevel="2" x14ac:dyDescent="0.25">
      <c r="B15218" s="704" t="s">
        <v>699</v>
      </c>
      <c r="C15218" s="704" t="s">
        <v>895</v>
      </c>
      <c r="D15218" s="704" t="s">
        <v>728</v>
      </c>
      <c r="E15218" s="704" t="s">
        <v>861</v>
      </c>
      <c r="F15218" s="709"/>
      <c r="G15218" s="705">
        <v>23.214422429791544</v>
      </c>
    </row>
    <row r="15219" spans="2:7" ht="11.25" hidden="1" customHeight="1" outlineLevel="2" x14ac:dyDescent="0.25">
      <c r="B15219" s="704" t="s">
        <v>699</v>
      </c>
      <c r="C15219" s="704" t="s">
        <v>896</v>
      </c>
      <c r="D15219" s="704" t="s">
        <v>728</v>
      </c>
      <c r="E15219" s="704" t="s">
        <v>861</v>
      </c>
      <c r="F15219" s="709"/>
      <c r="G15219" s="705">
        <v>607.44220954041339</v>
      </c>
    </row>
    <row r="15220" spans="2:7" ht="11.25" hidden="1" customHeight="1" outlineLevel="2" x14ac:dyDescent="0.25">
      <c r="B15220" s="704" t="s">
        <v>699</v>
      </c>
      <c r="C15220" s="704" t="s">
        <v>897</v>
      </c>
      <c r="D15220" s="704" t="s">
        <v>728</v>
      </c>
      <c r="E15220" s="704" t="s">
        <v>861</v>
      </c>
      <c r="F15220" s="709"/>
      <c r="G15220" s="705">
        <v>125.35549931894866</v>
      </c>
    </row>
    <row r="15221" spans="2:7" ht="11.25" hidden="1" customHeight="1" outlineLevel="2" x14ac:dyDescent="0.25">
      <c r="B15221" s="704" t="s">
        <v>699</v>
      </c>
      <c r="C15221" s="704" t="s">
        <v>898</v>
      </c>
      <c r="D15221" s="704" t="s">
        <v>728</v>
      </c>
      <c r="E15221" s="704" t="s">
        <v>861</v>
      </c>
      <c r="F15221" s="709"/>
      <c r="G15221" s="705">
        <v>827.01638951450514</v>
      </c>
    </row>
    <row r="15222" spans="2:7" ht="11.25" hidden="1" customHeight="1" outlineLevel="2" x14ac:dyDescent="0.25">
      <c r="B15222" s="704" t="s">
        <v>699</v>
      </c>
      <c r="C15222" s="704" t="s">
        <v>899</v>
      </c>
      <c r="D15222" s="704" t="s">
        <v>728</v>
      </c>
      <c r="E15222" s="704" t="s">
        <v>861</v>
      </c>
      <c r="F15222" s="709"/>
      <c r="G15222" s="705">
        <v>97.512386264789228</v>
      </c>
    </row>
    <row r="15223" spans="2:7" ht="11.25" hidden="1" customHeight="1" outlineLevel="2" x14ac:dyDescent="0.25">
      <c r="B15223" s="704" t="s">
        <v>699</v>
      </c>
      <c r="C15223" s="704" t="s">
        <v>900</v>
      </c>
      <c r="D15223" s="704" t="s">
        <v>728</v>
      </c>
      <c r="E15223" s="704" t="s">
        <v>861</v>
      </c>
      <c r="F15223" s="709"/>
      <c r="G15223" s="705">
        <v>2.322804858196895</v>
      </c>
    </row>
    <row r="15224" spans="2:7" ht="11.25" hidden="1" customHeight="1" outlineLevel="2" x14ac:dyDescent="0.25">
      <c r="B15224" s="704" t="s">
        <v>699</v>
      </c>
      <c r="C15224" s="704" t="s">
        <v>744</v>
      </c>
      <c r="D15224" s="704" t="s">
        <v>745</v>
      </c>
      <c r="E15224" s="704" t="s">
        <v>448</v>
      </c>
      <c r="F15224" s="705">
        <v>2.9467734227582675E-37</v>
      </c>
      <c r="G15224" s="705">
        <v>1.7041150163426568E-34</v>
      </c>
    </row>
    <row r="15225" spans="2:7" ht="11.25" hidden="1" customHeight="1" outlineLevel="2" x14ac:dyDescent="0.25">
      <c r="B15225" s="704" t="s">
        <v>699</v>
      </c>
      <c r="C15225" s="704" t="s">
        <v>812</v>
      </c>
      <c r="D15225" s="704" t="s">
        <v>745</v>
      </c>
      <c r="E15225" s="704" t="s">
        <v>448</v>
      </c>
      <c r="F15225" s="705">
        <v>2.7422756183907537E-35</v>
      </c>
      <c r="G15225" s="705">
        <v>3.0433135541203165E-32</v>
      </c>
    </row>
    <row r="15226" spans="2:7" ht="11.25" hidden="1" customHeight="1" outlineLevel="2" x14ac:dyDescent="0.25">
      <c r="B15226" s="704" t="s">
        <v>699</v>
      </c>
      <c r="C15226" s="704" t="s">
        <v>813</v>
      </c>
      <c r="D15226" s="704" t="s">
        <v>745</v>
      </c>
      <c r="E15226" s="704" t="s">
        <v>448</v>
      </c>
      <c r="F15226" s="705">
        <v>3.1357877272552823E-37</v>
      </c>
      <c r="G15226" s="705">
        <v>4.3186769967087623E-34</v>
      </c>
    </row>
    <row r="15227" spans="2:7" ht="11.25" hidden="1" customHeight="1" outlineLevel="2" x14ac:dyDescent="0.25">
      <c r="B15227" s="704" t="s">
        <v>699</v>
      </c>
      <c r="C15227" s="704" t="s">
        <v>917</v>
      </c>
      <c r="D15227" s="704" t="s">
        <v>745</v>
      </c>
      <c r="E15227" s="704" t="s">
        <v>861</v>
      </c>
      <c r="F15227" s="709"/>
      <c r="G15227" s="705">
        <v>1.4161849396318106E-29</v>
      </c>
    </row>
    <row r="15228" spans="2:7" ht="11.25" hidden="1" customHeight="1" outlineLevel="2" x14ac:dyDescent="0.25">
      <c r="B15228" s="704" t="s">
        <v>699</v>
      </c>
      <c r="C15228" s="704" t="s">
        <v>816</v>
      </c>
      <c r="D15228" s="704" t="s">
        <v>712</v>
      </c>
      <c r="E15228" s="704" t="s">
        <v>448</v>
      </c>
      <c r="F15228" s="705">
        <v>1.6685691472936203E-2</v>
      </c>
      <c r="G15228" s="705">
        <v>20.088329130503634</v>
      </c>
    </row>
    <row r="15229" spans="2:7" ht="11.25" hidden="1" customHeight="1" outlineLevel="2" x14ac:dyDescent="0.25">
      <c r="B15229" s="704" t="s">
        <v>699</v>
      </c>
      <c r="C15229" s="704" t="s">
        <v>711</v>
      </c>
      <c r="D15229" s="704" t="s">
        <v>712</v>
      </c>
      <c r="E15229" s="704" t="s">
        <v>676</v>
      </c>
      <c r="F15229" s="705">
        <v>5.968856006320887E-2</v>
      </c>
      <c r="G15229" s="705">
        <v>13.648946798389323</v>
      </c>
    </row>
    <row r="15230" spans="2:7" ht="11.25" hidden="1" customHeight="1" outlineLevel="2" x14ac:dyDescent="0.25">
      <c r="B15230" s="704" t="s">
        <v>699</v>
      </c>
      <c r="C15230" s="704" t="s">
        <v>921</v>
      </c>
      <c r="D15230" s="704" t="s">
        <v>712</v>
      </c>
      <c r="E15230" s="704" t="s">
        <v>861</v>
      </c>
      <c r="F15230" s="709"/>
      <c r="G15230" s="705">
        <v>72.367194478489935</v>
      </c>
    </row>
    <row r="15231" spans="2:7" ht="11.25" hidden="1" customHeight="1" outlineLevel="2" x14ac:dyDescent="0.25">
      <c r="B15231" s="704" t="s">
        <v>699</v>
      </c>
      <c r="C15231" s="704" t="s">
        <v>817</v>
      </c>
      <c r="D15231" s="704" t="s">
        <v>818</v>
      </c>
      <c r="E15231" s="704" t="s">
        <v>448</v>
      </c>
      <c r="F15231" s="705">
        <v>2.271504020724989</v>
      </c>
      <c r="G15231" s="705">
        <v>1866.2316841987492</v>
      </c>
    </row>
    <row r="15232" spans="2:7" ht="11.25" hidden="1" customHeight="1" outlineLevel="2" x14ac:dyDescent="0.25">
      <c r="B15232" s="704" t="s">
        <v>699</v>
      </c>
      <c r="C15232" s="704" t="s">
        <v>819</v>
      </c>
      <c r="D15232" s="704" t="s">
        <v>818</v>
      </c>
      <c r="E15232" s="704" t="s">
        <v>448</v>
      </c>
      <c r="F15232" s="705">
        <v>0.98911918285216072</v>
      </c>
      <c r="G15232" s="705">
        <v>787.54455160586838</v>
      </c>
    </row>
    <row r="15233" spans="2:7" ht="11.25" hidden="1" customHeight="1" outlineLevel="2" x14ac:dyDescent="0.25">
      <c r="B15233" s="704" t="s">
        <v>699</v>
      </c>
      <c r="C15233" s="704" t="s">
        <v>820</v>
      </c>
      <c r="D15233" s="704" t="s">
        <v>818</v>
      </c>
      <c r="E15233" s="704" t="s">
        <v>448</v>
      </c>
      <c r="F15233" s="705">
        <v>0.56123871673317005</v>
      </c>
      <c r="G15233" s="705">
        <v>872.27995492148671</v>
      </c>
    </row>
    <row r="15234" spans="2:7" ht="11.25" hidden="1" customHeight="1" outlineLevel="2" x14ac:dyDescent="0.25">
      <c r="B15234" s="704" t="s">
        <v>699</v>
      </c>
      <c r="C15234" s="704" t="s">
        <v>857</v>
      </c>
      <c r="D15234" s="704" t="s">
        <v>818</v>
      </c>
      <c r="E15234" s="704" t="s">
        <v>664</v>
      </c>
      <c r="F15234" s="709"/>
      <c r="G15234" s="705">
        <v>776.64753516773828</v>
      </c>
    </row>
    <row r="15235" spans="2:7" ht="11.25" hidden="1" customHeight="1" outlineLevel="2" x14ac:dyDescent="0.25">
      <c r="B15235" s="704" t="s">
        <v>699</v>
      </c>
      <c r="C15235" s="704" t="s">
        <v>858</v>
      </c>
      <c r="D15235" s="704" t="s">
        <v>818</v>
      </c>
      <c r="E15235" s="704" t="s">
        <v>664</v>
      </c>
      <c r="F15235" s="709"/>
      <c r="G15235" s="705">
        <v>4.3705261112404701</v>
      </c>
    </row>
    <row r="15236" spans="2:7" ht="11.25" hidden="1" customHeight="1" outlineLevel="2" x14ac:dyDescent="0.25">
      <c r="B15236" s="704" t="s">
        <v>699</v>
      </c>
      <c r="C15236" s="704" t="s">
        <v>922</v>
      </c>
      <c r="D15236" s="704" t="s">
        <v>822</v>
      </c>
      <c r="E15236" s="704" t="s">
        <v>861</v>
      </c>
      <c r="F15236" s="709"/>
      <c r="G15236" s="705">
        <v>153.41750339997955</v>
      </c>
    </row>
    <row r="15237" spans="2:7" ht="11.25" hidden="1" customHeight="1" outlineLevel="2" x14ac:dyDescent="0.25">
      <c r="B15237" s="704" t="s">
        <v>699</v>
      </c>
      <c r="C15237" s="704" t="s">
        <v>821</v>
      </c>
      <c r="D15237" s="704" t="s">
        <v>822</v>
      </c>
      <c r="E15237" s="704" t="s">
        <v>448</v>
      </c>
      <c r="F15237" s="705">
        <v>4.8649242329520974E-3</v>
      </c>
      <c r="G15237" s="705">
        <v>6.5706869497414058</v>
      </c>
    </row>
    <row r="15238" spans="2:7" ht="11.25" hidden="1" customHeight="1" outlineLevel="2" x14ac:dyDescent="0.25">
      <c r="B15238" s="704" t="s">
        <v>699</v>
      </c>
      <c r="C15238" s="704" t="s">
        <v>855</v>
      </c>
      <c r="D15238" s="704" t="s">
        <v>822</v>
      </c>
      <c r="E15238" s="704" t="s">
        <v>824</v>
      </c>
      <c r="F15238" s="705">
        <v>7.7249555640880236E-5</v>
      </c>
      <c r="G15238" s="705">
        <v>0.22360691391480741</v>
      </c>
    </row>
    <row r="15239" spans="2:7" ht="11.25" hidden="1" customHeight="1" outlineLevel="2" x14ac:dyDescent="0.25">
      <c r="B15239" s="704" t="s">
        <v>699</v>
      </c>
      <c r="C15239" s="704" t="s">
        <v>716</v>
      </c>
      <c r="D15239" s="704" t="s">
        <v>715</v>
      </c>
      <c r="E15239" s="704" t="s">
        <v>448</v>
      </c>
      <c r="F15239" s="705">
        <v>3.4382141394124677E-35</v>
      </c>
      <c r="G15239" s="705">
        <v>4.1921589853032535E-32</v>
      </c>
    </row>
    <row r="15240" spans="2:7" ht="11.25" hidden="1" customHeight="1" outlineLevel="2" x14ac:dyDescent="0.25">
      <c r="B15240" s="704" t="s">
        <v>699</v>
      </c>
      <c r="C15240" s="704" t="s">
        <v>717</v>
      </c>
      <c r="D15240" s="704" t="s">
        <v>715</v>
      </c>
      <c r="E15240" s="704" t="s">
        <v>448</v>
      </c>
      <c r="F15240" s="705">
        <v>2.5727498841494662E-34</v>
      </c>
      <c r="G15240" s="705">
        <v>7.0309237561352104E-32</v>
      </c>
    </row>
    <row r="15241" spans="2:7" ht="11.25" hidden="1" customHeight="1" outlineLevel="2" x14ac:dyDescent="0.25">
      <c r="B15241" s="704" t="s">
        <v>699</v>
      </c>
      <c r="C15241" s="704" t="s">
        <v>718</v>
      </c>
      <c r="D15241" s="704" t="s">
        <v>715</v>
      </c>
      <c r="E15241" s="704" t="s">
        <v>448</v>
      </c>
      <c r="F15241" s="705">
        <v>1.0335191748071537E-33</v>
      </c>
      <c r="G15241" s="705">
        <v>1.1418625961266794E-30</v>
      </c>
    </row>
    <row r="15242" spans="2:7" ht="11.25" hidden="1" customHeight="1" outlineLevel="2" x14ac:dyDescent="0.25">
      <c r="B15242" s="704" t="s">
        <v>699</v>
      </c>
      <c r="C15242" s="704" t="s">
        <v>746</v>
      </c>
      <c r="D15242" s="704" t="s">
        <v>715</v>
      </c>
      <c r="E15242" s="704" t="s">
        <v>448</v>
      </c>
      <c r="F15242" s="705">
        <v>1.0664417689639099E-35</v>
      </c>
      <c r="G15242" s="705">
        <v>7.3960601576518358E-33</v>
      </c>
    </row>
    <row r="15243" spans="2:7" ht="11.25" hidden="1" customHeight="1" outlineLevel="2" x14ac:dyDescent="0.25">
      <c r="B15243" s="704" t="s">
        <v>699</v>
      </c>
      <c r="C15243" s="704" t="s">
        <v>747</v>
      </c>
      <c r="D15243" s="704" t="s">
        <v>715</v>
      </c>
      <c r="E15243" s="704" t="s">
        <v>448</v>
      </c>
      <c r="F15243" s="705">
        <v>8.9301601592572123E-35</v>
      </c>
      <c r="G15243" s="705">
        <v>7.6243334221304502E-32</v>
      </c>
    </row>
    <row r="15244" spans="2:7" ht="11.25" hidden="1" customHeight="1" outlineLevel="2" x14ac:dyDescent="0.25">
      <c r="B15244" s="704" t="s">
        <v>699</v>
      </c>
      <c r="C15244" s="704" t="s">
        <v>748</v>
      </c>
      <c r="D15244" s="704" t="s">
        <v>715</v>
      </c>
      <c r="E15244" s="704" t="s">
        <v>448</v>
      </c>
      <c r="F15244" s="705">
        <v>0.33323099182388533</v>
      </c>
      <c r="G15244" s="705">
        <v>431.65440620760694</v>
      </c>
    </row>
    <row r="15245" spans="2:7" ht="11.25" hidden="1" customHeight="1" outlineLevel="2" x14ac:dyDescent="0.25">
      <c r="B15245" s="704" t="s">
        <v>699</v>
      </c>
      <c r="C15245" s="704" t="s">
        <v>749</v>
      </c>
      <c r="D15245" s="704" t="s">
        <v>715</v>
      </c>
      <c r="E15245" s="704" t="s">
        <v>448</v>
      </c>
      <c r="F15245" s="705">
        <v>7.3664304802545026E-35</v>
      </c>
      <c r="G15245" s="705">
        <v>9.0352181707436596E-32</v>
      </c>
    </row>
    <row r="15246" spans="2:7" ht="11.25" hidden="1" customHeight="1" outlineLevel="2" x14ac:dyDescent="0.25">
      <c r="B15246" s="704" t="s">
        <v>699</v>
      </c>
      <c r="C15246" s="704" t="s">
        <v>823</v>
      </c>
      <c r="D15246" s="704" t="s">
        <v>715</v>
      </c>
      <c r="E15246" s="704" t="s">
        <v>824</v>
      </c>
      <c r="F15246" s="705">
        <v>1.9010908880696712E-35</v>
      </c>
      <c r="G15246" s="705">
        <v>3.1761120668295189E-32</v>
      </c>
    </row>
    <row r="15247" spans="2:7" ht="11.25" hidden="1" customHeight="1" outlineLevel="2" x14ac:dyDescent="0.25">
      <c r="B15247" s="704" t="s">
        <v>699</v>
      </c>
      <c r="C15247" s="704" t="s">
        <v>860</v>
      </c>
      <c r="D15247" s="704" t="s">
        <v>715</v>
      </c>
      <c r="E15247" s="704" t="s">
        <v>861</v>
      </c>
      <c r="F15247" s="709"/>
      <c r="G15247" s="705">
        <v>3.9412429149442822E-29</v>
      </c>
    </row>
    <row r="15248" spans="2:7" ht="11.25" hidden="1" customHeight="1" outlineLevel="2" x14ac:dyDescent="0.25">
      <c r="B15248" s="704" t="s">
        <v>699</v>
      </c>
      <c r="C15248" s="704" t="s">
        <v>919</v>
      </c>
      <c r="D15248" s="704" t="s">
        <v>920</v>
      </c>
      <c r="E15248" s="704" t="s">
        <v>861</v>
      </c>
      <c r="F15248" s="709"/>
      <c r="G15248" s="705">
        <v>3.0023057417662033E-30</v>
      </c>
    </row>
    <row r="15249" spans="2:7" ht="11.25" hidden="1" customHeight="1" outlineLevel="1" x14ac:dyDescent="0.25">
      <c r="B15249" s="711" t="s">
        <v>965</v>
      </c>
      <c r="C15249" s="710"/>
      <c r="D15249" s="710"/>
      <c r="E15249" s="710"/>
      <c r="F15249" s="709">
        <f t="shared" ref="F15249:G15249" si="50">SUBTOTAL(9,F15039:F15248)</f>
        <v>79.767164101014657</v>
      </c>
      <c r="G15249" s="706">
        <f t="shared" si="50"/>
        <v>118910.92512452583</v>
      </c>
    </row>
    <row r="15250" spans="2:7" ht="11.25" customHeight="1" collapsed="1" x14ac:dyDescent="0.25">
      <c r="B15250" s="711" t="s">
        <v>597</v>
      </c>
      <c r="C15250" s="710"/>
      <c r="D15250" s="710"/>
      <c r="E15250" s="710"/>
      <c r="F15250" s="709">
        <f t="shared" ref="F15250:G15250" si="51">SUBTOTAL(9,F10166:F15248)</f>
        <v>1466.2725802679931</v>
      </c>
      <c r="G15250" s="706">
        <f t="shared" si="51"/>
        <v>3591419.5664793872</v>
      </c>
    </row>
  </sheetData>
  <sheetProtection algorithmName="SHA-512" hashValue="apwH0Imc4txncbmzTSQmEaRVXzj/6YKSzs2Ewqx+0Y9ZXnk0C9Vtm2L54ozTPc7zTh3Vq7oJOy5Kk9p5v88svw==" saltValue="36OVxr+/qk2azCPpugBf0Q==" spinCount="100000" sheet="1" objects="1" scenarios="1"/>
  <mergeCells count="3">
    <mergeCell ref="A2:K2"/>
    <mergeCell ref="B4:F4"/>
    <mergeCell ref="H4:I4"/>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62"/>
  <sheetViews>
    <sheetView workbookViewId="0"/>
  </sheetViews>
  <sheetFormatPr defaultColWidth="16.83203125" defaultRowHeight="15" customHeight="1" x14ac:dyDescent="0.2"/>
  <cols>
    <col min="1" max="1" width="4.6640625" customWidth="1"/>
    <col min="2" max="2" width="58.33203125" customWidth="1"/>
    <col min="3" max="3" width="24.6640625" customWidth="1"/>
    <col min="4" max="4" width="4" customWidth="1"/>
    <col min="5" max="5" width="30.83203125" customWidth="1"/>
    <col min="6" max="6" width="2.6640625" customWidth="1"/>
    <col min="7" max="7" width="20" customWidth="1"/>
    <col min="8" max="8" width="2.6640625" customWidth="1"/>
    <col min="9" max="9" width="18.5" customWidth="1"/>
    <col min="10" max="10" width="2.1640625" customWidth="1"/>
    <col min="11" max="11" width="26.1640625" customWidth="1"/>
    <col min="12" max="12" width="2.1640625" customWidth="1"/>
    <col min="13" max="13" width="19.33203125" customWidth="1"/>
    <col min="14" max="14" width="2.1640625" customWidth="1"/>
    <col min="15" max="15" width="17.83203125" customWidth="1"/>
    <col min="16" max="16" width="2.33203125" customWidth="1"/>
    <col min="17" max="17" width="16" customWidth="1"/>
    <col min="18" max="18" width="12.1640625" customWidth="1"/>
    <col min="19" max="19" width="18" customWidth="1"/>
    <col min="20" max="20" width="18.83203125" customWidth="1"/>
    <col min="21" max="21" width="2.1640625" customWidth="1"/>
    <col min="22" max="22" width="10.1640625" customWidth="1"/>
    <col min="23" max="23" width="2.5" customWidth="1"/>
    <col min="24" max="24" width="12.1640625" customWidth="1"/>
    <col min="25" max="25" width="2.6640625" customWidth="1"/>
    <col min="26" max="26" width="14.83203125" customWidth="1"/>
    <col min="27" max="27" width="13.83203125" customWidth="1"/>
    <col min="28" max="28" width="2.6640625" customWidth="1"/>
    <col min="29" max="29" width="12.33203125" customWidth="1"/>
    <col min="30" max="30" width="1.5" customWidth="1"/>
    <col min="31" max="31" width="16.5" customWidth="1"/>
    <col min="32" max="32" width="1.5" customWidth="1"/>
    <col min="33" max="34" width="8.83203125" customWidth="1"/>
  </cols>
  <sheetData>
    <row r="1" spans="1:34" ht="33" x14ac:dyDescent="0.45">
      <c r="A1" s="9" t="s">
        <v>966</v>
      </c>
      <c r="B1" s="9"/>
      <c r="C1" s="481"/>
      <c r="D1" s="481"/>
      <c r="E1" s="482"/>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row>
    <row r="2" spans="1:34" ht="66.75" customHeight="1" x14ac:dyDescent="0.2">
      <c r="A2" s="2511"/>
      <c r="B2" s="2504"/>
      <c r="C2" s="2504"/>
      <c r="D2" s="2504"/>
      <c r="E2" s="2504"/>
      <c r="F2" s="2504"/>
      <c r="G2" s="2504"/>
      <c r="H2" s="2504"/>
      <c r="I2" s="2504"/>
      <c r="J2" s="2504"/>
      <c r="K2" s="2504"/>
      <c r="L2" s="481"/>
      <c r="M2" s="481"/>
      <c r="N2" s="481"/>
      <c r="O2" s="481"/>
      <c r="P2" s="481"/>
      <c r="Q2" s="481"/>
      <c r="R2" s="481"/>
      <c r="S2" s="481"/>
      <c r="T2" s="481"/>
      <c r="U2" s="481"/>
      <c r="V2" s="481"/>
      <c r="W2" s="481"/>
      <c r="X2" s="481"/>
      <c r="Y2" s="481"/>
      <c r="Z2" s="481"/>
      <c r="AA2" s="481"/>
      <c r="AB2" s="481"/>
      <c r="AC2" s="481"/>
      <c r="AD2" s="481"/>
      <c r="AE2" s="481"/>
      <c r="AF2" s="481"/>
      <c r="AG2" s="481"/>
      <c r="AH2" s="481"/>
    </row>
    <row r="3" spans="1:34" ht="21" x14ac:dyDescent="0.4">
      <c r="B3" s="712" t="s">
        <v>967</v>
      </c>
      <c r="C3" s="713"/>
      <c r="D3" s="713"/>
      <c r="E3" s="713"/>
      <c r="F3" s="713"/>
      <c r="G3" s="714"/>
    </row>
    <row r="4" spans="1:34" ht="18.75" x14ac:dyDescent="0.3">
      <c r="B4" s="715" t="s">
        <v>968</v>
      </c>
      <c r="C4" s="716" t="s">
        <v>969</v>
      </c>
      <c r="D4" s="466"/>
      <c r="E4" s="716" t="s">
        <v>970</v>
      </c>
      <c r="F4" s="466"/>
      <c r="G4" s="717" t="s">
        <v>399</v>
      </c>
      <c r="S4" s="2501" t="s">
        <v>0</v>
      </c>
      <c r="T4" s="2502"/>
    </row>
    <row r="5" spans="1:34" ht="11.25" x14ac:dyDescent="0.2">
      <c r="B5" s="491" t="s">
        <v>971</v>
      </c>
      <c r="C5" s="501">
        <v>49</v>
      </c>
      <c r="D5" s="466"/>
      <c r="E5" s="501">
        <f t="shared" ref="E5:E10" si="0">C5*42*1000</f>
        <v>2058000</v>
      </c>
      <c r="F5" s="466"/>
      <c r="G5" s="718">
        <v>175</v>
      </c>
      <c r="I5" s="719"/>
      <c r="S5" s="198"/>
      <c r="T5" s="198"/>
    </row>
    <row r="6" spans="1:34" ht="11.25" x14ac:dyDescent="0.2">
      <c r="B6" s="491" t="s">
        <v>972</v>
      </c>
      <c r="C6" s="501">
        <v>12756</v>
      </c>
      <c r="D6" s="466"/>
      <c r="E6" s="501">
        <f t="shared" si="0"/>
        <v>535752000</v>
      </c>
      <c r="F6" s="466"/>
      <c r="G6" s="503">
        <v>67840</v>
      </c>
      <c r="I6" s="719"/>
      <c r="S6" s="200" t="s">
        <v>4</v>
      </c>
      <c r="T6" s="201">
        <f>'Summ GHG Rpt Expanded'!G4</f>
        <v>1</v>
      </c>
    </row>
    <row r="7" spans="1:34" ht="11.25" x14ac:dyDescent="0.2">
      <c r="B7" s="491" t="s">
        <v>973</v>
      </c>
      <c r="C7" s="501">
        <v>1158</v>
      </c>
      <c r="D7" s="466"/>
      <c r="E7" s="501">
        <f t="shared" si="0"/>
        <v>48636000</v>
      </c>
      <c r="F7" s="466"/>
      <c r="G7" s="503">
        <v>11121</v>
      </c>
      <c r="I7" s="719"/>
      <c r="K7" s="720"/>
      <c r="S7" s="200" t="s">
        <v>5</v>
      </c>
      <c r="T7" s="201">
        <f>'Summ GHG Rpt Expanded'!G5</f>
        <v>28</v>
      </c>
    </row>
    <row r="8" spans="1:34" ht="11.25" x14ac:dyDescent="0.2">
      <c r="B8" s="491" t="s">
        <v>974</v>
      </c>
      <c r="C8" s="501">
        <v>106</v>
      </c>
      <c r="D8" s="466"/>
      <c r="E8" s="501">
        <f t="shared" si="0"/>
        <v>4452000</v>
      </c>
      <c r="F8" s="466"/>
      <c r="G8" s="503">
        <v>403</v>
      </c>
      <c r="I8" s="719"/>
      <c r="S8" s="200" t="s">
        <v>6</v>
      </c>
      <c r="T8" s="201">
        <f>'Summ GHG Rpt Expanded'!G6</f>
        <v>265</v>
      </c>
    </row>
    <row r="9" spans="1:34" ht="11.25" x14ac:dyDescent="0.2">
      <c r="B9" s="491" t="s">
        <v>975</v>
      </c>
      <c r="C9" s="501">
        <v>245</v>
      </c>
      <c r="D9" s="466"/>
      <c r="E9" s="501">
        <f t="shared" si="0"/>
        <v>10290000</v>
      </c>
      <c r="F9" s="466"/>
      <c r="G9" s="503">
        <v>1427</v>
      </c>
      <c r="I9" s="719"/>
      <c r="S9" s="200" t="s">
        <v>7</v>
      </c>
      <c r="T9" s="202">
        <f>'Summ GHG Rpt Expanded'!G7</f>
        <v>23500</v>
      </c>
    </row>
    <row r="10" spans="1:34" ht="11.25" x14ac:dyDescent="0.2">
      <c r="B10" s="491" t="s">
        <v>976</v>
      </c>
      <c r="C10" s="501">
        <v>6563</v>
      </c>
      <c r="D10" s="466"/>
      <c r="E10" s="501">
        <f t="shared" si="0"/>
        <v>275646000</v>
      </c>
      <c r="F10" s="466"/>
      <c r="G10" s="503">
        <v>6892</v>
      </c>
      <c r="I10" s="719"/>
      <c r="S10" s="200" t="s">
        <v>8</v>
      </c>
      <c r="T10" s="202">
        <f>'Summ GHG Rpt Expanded'!G8</f>
        <v>11100</v>
      </c>
    </row>
    <row r="11" spans="1:34" ht="12.75" x14ac:dyDescent="0.2">
      <c r="B11" s="721" t="s">
        <v>977</v>
      </c>
      <c r="C11" s="722">
        <f>E11/42</f>
        <v>430506.19047619047</v>
      </c>
      <c r="D11" s="466"/>
      <c r="E11" s="722">
        <v>18081260</v>
      </c>
      <c r="F11" s="466"/>
      <c r="G11" s="723"/>
      <c r="I11" s="719"/>
    </row>
    <row r="12" spans="1:34" ht="12.75" x14ac:dyDescent="0.2">
      <c r="B12" s="724" t="s">
        <v>978</v>
      </c>
      <c r="C12" s="722"/>
      <c r="D12" s="466"/>
      <c r="E12" s="722">
        <v>3042000</v>
      </c>
      <c r="F12" s="466"/>
      <c r="G12" s="723"/>
      <c r="I12" s="719"/>
    </row>
    <row r="13" spans="1:34" ht="11.25" x14ac:dyDescent="0.2">
      <c r="B13" s="534" t="s">
        <v>979</v>
      </c>
      <c r="C13" s="509">
        <v>189</v>
      </c>
      <c r="D13" s="578"/>
      <c r="E13" s="509">
        <f>C13*42*1000</f>
        <v>7938000</v>
      </c>
      <c r="F13" s="578"/>
      <c r="G13" s="511">
        <v>1235</v>
      </c>
      <c r="I13" s="719"/>
    </row>
    <row r="14" spans="1:34" ht="11.25" x14ac:dyDescent="0.2">
      <c r="E14" s="545"/>
    </row>
    <row r="15" spans="1:34" x14ac:dyDescent="0.25">
      <c r="A15" s="367"/>
      <c r="B15" s="725" t="s">
        <v>632</v>
      </c>
      <c r="C15" s="2"/>
      <c r="D15" s="2"/>
      <c r="F15" s="2"/>
      <c r="G15" s="2"/>
      <c r="H15" s="2"/>
      <c r="I15" s="2"/>
      <c r="J15" s="431"/>
      <c r="K15" s="2"/>
      <c r="L15" s="2"/>
      <c r="M15" s="2"/>
      <c r="N15" s="2"/>
      <c r="O15" s="2"/>
      <c r="P15" s="2"/>
      <c r="Q15" s="2"/>
      <c r="R15" s="2"/>
      <c r="S15" s="2"/>
      <c r="T15" s="2"/>
      <c r="U15" s="2"/>
      <c r="V15" s="2"/>
      <c r="W15" s="2"/>
      <c r="X15" s="2"/>
      <c r="Y15" s="2"/>
      <c r="Z15" s="2"/>
      <c r="AA15" s="2"/>
      <c r="AB15" s="2"/>
      <c r="AC15" s="2"/>
      <c r="AD15" s="2"/>
      <c r="AE15" s="2"/>
      <c r="AF15" s="2"/>
      <c r="AG15" s="2"/>
      <c r="AH15" s="2"/>
    </row>
    <row r="16" spans="1:34" x14ac:dyDescent="0.25">
      <c r="A16" s="367"/>
      <c r="B16" s="726" t="s">
        <v>448</v>
      </c>
      <c r="C16" s="727">
        <v>124238</v>
      </c>
      <c r="D16" s="728" t="s">
        <v>633</v>
      </c>
      <c r="E16" s="729"/>
      <c r="F16" s="2"/>
      <c r="G16" s="2"/>
      <c r="H16" s="2"/>
      <c r="I16" s="2"/>
      <c r="J16" s="431"/>
      <c r="K16" s="2"/>
      <c r="L16" s="2"/>
      <c r="M16" s="2"/>
      <c r="N16" s="2"/>
      <c r="O16" s="2"/>
      <c r="P16" s="2"/>
      <c r="Q16" s="2"/>
      <c r="R16" s="2"/>
      <c r="S16" s="2"/>
      <c r="T16" s="2"/>
      <c r="U16" s="2"/>
      <c r="V16" s="2"/>
      <c r="W16" s="2"/>
      <c r="X16" s="2"/>
      <c r="Y16" s="2"/>
      <c r="Z16" s="2"/>
      <c r="AA16" s="2"/>
      <c r="AB16" s="2"/>
      <c r="AC16" s="2"/>
      <c r="AD16" s="2"/>
      <c r="AE16" s="2"/>
      <c r="AF16" s="2"/>
      <c r="AG16" s="2"/>
      <c r="AH16" s="2"/>
    </row>
    <row r="17" spans="1:34" x14ac:dyDescent="0.25">
      <c r="A17" s="367"/>
      <c r="B17" s="730" t="s">
        <v>141</v>
      </c>
      <c r="C17" s="731">
        <v>138690</v>
      </c>
      <c r="D17" s="732" t="s">
        <v>633</v>
      </c>
      <c r="E17" s="733"/>
      <c r="F17" s="2"/>
      <c r="G17" s="2"/>
      <c r="H17" s="2"/>
      <c r="I17" s="2"/>
      <c r="J17" s="431"/>
      <c r="K17" s="2"/>
      <c r="L17" s="2"/>
      <c r="M17" s="2"/>
      <c r="N17" s="2"/>
      <c r="O17" s="2"/>
      <c r="P17" s="2"/>
      <c r="Q17" s="2"/>
      <c r="R17" s="2"/>
      <c r="S17" s="2"/>
      <c r="T17" s="2"/>
      <c r="U17" s="2"/>
      <c r="V17" s="2"/>
      <c r="W17" s="2"/>
      <c r="X17" s="2"/>
      <c r="Y17" s="2"/>
      <c r="Z17" s="2"/>
      <c r="AA17" s="2"/>
      <c r="AB17" s="2"/>
      <c r="AC17" s="2"/>
      <c r="AD17" s="2"/>
      <c r="AE17" s="2"/>
      <c r="AF17" s="2"/>
      <c r="AG17" s="2"/>
      <c r="AH17" s="2"/>
    </row>
    <row r="18" spans="1:34" x14ac:dyDescent="0.25">
      <c r="A18" s="367"/>
      <c r="B18" s="8"/>
      <c r="C18" s="8"/>
      <c r="D18" s="2522"/>
      <c r="E18" s="2523"/>
      <c r="F18" s="8"/>
      <c r="G18" s="8"/>
      <c r="H18" s="8"/>
      <c r="I18" s="8"/>
      <c r="J18" s="8"/>
      <c r="K18" s="8"/>
      <c r="L18" s="8"/>
      <c r="M18" s="8"/>
      <c r="N18" s="2"/>
      <c r="O18" s="2"/>
      <c r="P18" s="2"/>
      <c r="Q18" s="2"/>
      <c r="R18" s="2"/>
      <c r="S18" s="2"/>
      <c r="T18" s="2"/>
      <c r="U18" s="2"/>
      <c r="V18" s="2"/>
      <c r="W18" s="2"/>
      <c r="X18" s="2"/>
      <c r="Y18" s="2"/>
      <c r="Z18" s="2"/>
      <c r="AA18" s="2"/>
      <c r="AB18" s="2"/>
      <c r="AC18" s="2"/>
      <c r="AD18" s="2"/>
      <c r="AE18" s="2"/>
      <c r="AF18" s="2"/>
      <c r="AG18" s="2"/>
      <c r="AH18" s="2"/>
    </row>
    <row r="19" spans="1:34" x14ac:dyDescent="0.25">
      <c r="A19" s="2"/>
      <c r="B19" s="2"/>
      <c r="C19" s="2"/>
      <c r="D19" s="2"/>
      <c r="E19" s="466"/>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row>
    <row r="20" spans="1:34" x14ac:dyDescent="0.25">
      <c r="A20" s="2"/>
      <c r="B20" s="2"/>
      <c r="C20" s="2"/>
      <c r="D20" s="2"/>
      <c r="E20" s="466"/>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1:34" ht="21" x14ac:dyDescent="0.4">
      <c r="A21" s="2"/>
      <c r="B21" s="620" t="s">
        <v>980</v>
      </c>
      <c r="C21" s="734"/>
      <c r="D21" s="734"/>
      <c r="E21" s="734"/>
      <c r="F21" s="734"/>
      <c r="G21" s="734"/>
      <c r="H21" s="734"/>
      <c r="I21" s="734"/>
      <c r="J21" s="629"/>
      <c r="K21" s="629"/>
      <c r="L21" s="629"/>
      <c r="M21" s="734"/>
      <c r="N21" s="734"/>
      <c r="O21" s="734"/>
      <c r="P21" s="734"/>
      <c r="Q21" s="734"/>
      <c r="R21" s="734"/>
      <c r="S21" s="734"/>
      <c r="T21" s="734"/>
      <c r="U21" s="734"/>
      <c r="V21" s="734"/>
      <c r="W21" s="734"/>
      <c r="X21" s="734"/>
      <c r="Y21" s="734"/>
      <c r="Z21" s="734"/>
      <c r="AA21" s="734"/>
      <c r="AB21" s="734"/>
      <c r="AC21" s="734"/>
      <c r="AD21" s="734"/>
      <c r="AE21" s="734"/>
      <c r="AF21" s="735"/>
      <c r="AG21" s="2"/>
      <c r="AH21" s="2"/>
    </row>
    <row r="22" spans="1:34" ht="21" x14ac:dyDescent="0.4">
      <c r="B22" s="633" t="s">
        <v>981</v>
      </c>
      <c r="C22" s="634"/>
      <c r="D22" s="635"/>
      <c r="E22" s="635"/>
      <c r="F22" s="634"/>
      <c r="G22" s="634"/>
      <c r="H22" s="634"/>
      <c r="I22" s="634"/>
      <c r="J22" s="634"/>
      <c r="K22" s="634"/>
      <c r="L22" s="634"/>
      <c r="M22" s="634"/>
      <c r="N22" s="634"/>
      <c r="O22" s="634"/>
      <c r="P22" s="2"/>
      <c r="Q22" s="2"/>
      <c r="R22" s="2"/>
      <c r="S22" s="2"/>
      <c r="T22" s="466"/>
      <c r="U22" s="466"/>
      <c r="V22" s="466"/>
      <c r="W22" s="466"/>
      <c r="X22" s="466"/>
      <c r="Y22" s="466"/>
      <c r="Z22" s="466"/>
      <c r="AA22" s="466"/>
      <c r="AB22" s="466"/>
      <c r="AC22" s="466"/>
      <c r="AD22" s="466"/>
      <c r="AE22" s="466"/>
      <c r="AF22" s="632"/>
    </row>
    <row r="23" spans="1:34" ht="12.75" x14ac:dyDescent="0.25">
      <c r="B23" s="636"/>
      <c r="C23" s="466"/>
      <c r="D23" s="466"/>
      <c r="E23" s="481"/>
      <c r="F23" s="637"/>
      <c r="G23" s="637"/>
      <c r="H23" s="481"/>
      <c r="I23" s="481"/>
      <c r="J23" s="481"/>
      <c r="K23" s="736"/>
      <c r="L23" s="737"/>
      <c r="M23" s="738" t="s">
        <v>982</v>
      </c>
      <c r="N23" s="737"/>
      <c r="O23" s="739"/>
      <c r="P23" s="481"/>
      <c r="Q23" s="736"/>
      <c r="R23" s="737"/>
      <c r="S23" s="737"/>
      <c r="T23" s="738" t="s">
        <v>983</v>
      </c>
      <c r="U23" s="740"/>
      <c r="V23" s="740"/>
      <c r="W23" s="740"/>
      <c r="X23" s="741"/>
      <c r="Y23" s="466"/>
      <c r="Z23" s="742"/>
      <c r="AA23" s="743" t="s">
        <v>984</v>
      </c>
      <c r="AB23" s="738"/>
      <c r="AC23" s="738"/>
      <c r="AD23" s="738"/>
      <c r="AE23" s="741"/>
      <c r="AF23" s="632"/>
    </row>
    <row r="24" spans="1:34" ht="12.75" x14ac:dyDescent="0.2">
      <c r="A24" s="10"/>
      <c r="B24" s="744"/>
      <c r="C24" s="745" t="s">
        <v>396</v>
      </c>
      <c r="D24" s="746"/>
      <c r="E24" s="745" t="s">
        <v>396</v>
      </c>
      <c r="F24" s="745"/>
      <c r="G24" s="745" t="s">
        <v>985</v>
      </c>
      <c r="H24" s="747"/>
      <c r="I24" s="745" t="s">
        <v>986</v>
      </c>
      <c r="J24" s="747"/>
      <c r="K24" s="748" t="s">
        <v>397</v>
      </c>
      <c r="L24" s="747"/>
      <c r="M24" s="749" t="s">
        <v>397</v>
      </c>
      <c r="N24" s="747"/>
      <c r="O24" s="750" t="s">
        <v>397</v>
      </c>
      <c r="P24" s="747"/>
      <c r="Q24" s="751"/>
      <c r="R24" s="747"/>
      <c r="S24" s="747"/>
      <c r="T24" s="746"/>
      <c r="U24" s="746"/>
      <c r="V24" s="746"/>
      <c r="W24" s="746"/>
      <c r="X24" s="752"/>
      <c r="Y24" s="746"/>
      <c r="Z24" s="753"/>
      <c r="AA24" s="746"/>
      <c r="AB24" s="746"/>
      <c r="AC24" s="746"/>
      <c r="AD24" s="746"/>
      <c r="AE24" s="752"/>
      <c r="AF24" s="124"/>
      <c r="AG24" s="10"/>
      <c r="AH24" s="10"/>
    </row>
    <row r="25" spans="1:34" ht="23.25" x14ac:dyDescent="0.25">
      <c r="A25" s="10"/>
      <c r="B25" s="754" t="s">
        <v>72</v>
      </c>
      <c r="C25" s="755" t="s">
        <v>638</v>
      </c>
      <c r="D25" s="756"/>
      <c r="E25" s="755" t="s">
        <v>399</v>
      </c>
      <c r="F25" s="757"/>
      <c r="G25" s="755" t="s">
        <v>987</v>
      </c>
      <c r="H25" s="757"/>
      <c r="I25" s="755" t="s">
        <v>988</v>
      </c>
      <c r="J25" s="757"/>
      <c r="K25" s="758" t="s">
        <v>989</v>
      </c>
      <c r="L25" s="755"/>
      <c r="M25" s="755" t="s">
        <v>990</v>
      </c>
      <c r="N25" s="757"/>
      <c r="O25" s="759" t="s">
        <v>991</v>
      </c>
      <c r="P25" s="757"/>
      <c r="Q25" s="760" t="s">
        <v>992</v>
      </c>
      <c r="R25" s="761" t="s">
        <v>639</v>
      </c>
      <c r="S25" s="761" t="s">
        <v>993</v>
      </c>
      <c r="T25" s="761" t="s">
        <v>994</v>
      </c>
      <c r="U25" s="756"/>
      <c r="V25" s="761" t="s">
        <v>995</v>
      </c>
      <c r="W25" s="756"/>
      <c r="X25" s="762" t="s">
        <v>996</v>
      </c>
      <c r="Y25" s="761"/>
      <c r="Z25" s="760" t="s">
        <v>997</v>
      </c>
      <c r="AA25" s="761" t="s">
        <v>998</v>
      </c>
      <c r="AB25" s="756"/>
      <c r="AC25" s="761" t="s">
        <v>999</v>
      </c>
      <c r="AD25" s="756"/>
      <c r="AE25" s="762" t="s">
        <v>1000</v>
      </c>
      <c r="AF25" s="124"/>
      <c r="AG25" s="10"/>
      <c r="AH25" s="10"/>
    </row>
    <row r="26" spans="1:34" ht="12.75" x14ac:dyDescent="0.2">
      <c r="A26" s="10"/>
      <c r="B26" s="763" t="s">
        <v>1001</v>
      </c>
      <c r="C26" s="54">
        <f>E5</f>
        <v>2058000</v>
      </c>
      <c r="D26" s="10"/>
      <c r="E26" s="764">
        <f>G5</f>
        <v>175</v>
      </c>
      <c r="F26" s="680" t="s">
        <v>1002</v>
      </c>
      <c r="G26" s="765">
        <v>41.53</v>
      </c>
      <c r="H26" s="680" t="s">
        <v>1002</v>
      </c>
      <c r="I26" s="766">
        <v>1</v>
      </c>
      <c r="J26" s="767" t="s">
        <v>649</v>
      </c>
      <c r="K26" s="768">
        <f t="shared" ref="K26:K28" si="1">E26*1000*G26*I26/2000</f>
        <v>3633.875</v>
      </c>
      <c r="L26" s="767" t="s">
        <v>649</v>
      </c>
      <c r="M26" s="769">
        <f t="shared" ref="M26:M28" si="2">K26*0.90718/1000000</f>
        <v>3.2965787225E-3</v>
      </c>
      <c r="N26" s="767" t="s">
        <v>649</v>
      </c>
      <c r="O26" s="770">
        <f t="shared" ref="O26:O28" si="3">M26*44/12</f>
        <v>1.2087455315833334E-2</v>
      </c>
      <c r="P26" s="176"/>
      <c r="Q26" s="771">
        <v>22.257999999999999</v>
      </c>
      <c r="R26" s="10"/>
      <c r="S26" s="772">
        <v>0.04</v>
      </c>
      <c r="T26" s="773">
        <f t="shared" ref="T26:T27" si="4">E26*1000*Q26*S26/1000000000</f>
        <v>1.5580600000000001E-4</v>
      </c>
      <c r="U26" s="774" t="s">
        <v>649</v>
      </c>
      <c r="V26" s="775">
        <f t="shared" ref="V26:V28" si="5">T26*1000</f>
        <v>0.155806</v>
      </c>
      <c r="W26" s="774" t="s">
        <v>649</v>
      </c>
      <c r="X26" s="776">
        <f t="shared" ref="X26:X28" si="6">(V26*$T$8)/1000000</f>
        <v>4.1288590000000002E-5</v>
      </c>
      <c r="Y26" s="685"/>
      <c r="Z26" s="777">
        <v>2.64</v>
      </c>
      <c r="AA26" s="778">
        <f t="shared" ref="AA26:AA27" si="7">E26*1000*Q26*Z26/1000000000</f>
        <v>1.0283196E-2</v>
      </c>
      <c r="AB26" s="767" t="s">
        <v>649</v>
      </c>
      <c r="AC26" s="685">
        <f t="shared" ref="AC26:AC28" si="8">AA26*1000</f>
        <v>10.283196</v>
      </c>
      <c r="AD26" s="767" t="s">
        <v>649</v>
      </c>
      <c r="AE26" s="779">
        <f t="shared" ref="AE26:AE27" si="9">AC26*$T$7/1000000</f>
        <v>2.8792948799999998E-4</v>
      </c>
      <c r="AF26" s="124"/>
      <c r="AG26" s="10"/>
      <c r="AH26" s="10"/>
    </row>
    <row r="27" spans="1:34" ht="12.75" x14ac:dyDescent="0.2">
      <c r="A27" s="10"/>
      <c r="B27" s="763" t="s">
        <v>1003</v>
      </c>
      <c r="C27" s="54">
        <f>C7</f>
        <v>1158</v>
      </c>
      <c r="D27" s="10"/>
      <c r="E27" s="780">
        <f>G7</f>
        <v>11121</v>
      </c>
      <c r="F27" s="680" t="s">
        <v>1002</v>
      </c>
      <c r="G27" s="781">
        <v>43.431818181818173</v>
      </c>
      <c r="H27" s="680" t="s">
        <v>1002</v>
      </c>
      <c r="I27" s="782">
        <v>1</v>
      </c>
      <c r="J27" s="767" t="s">
        <v>649</v>
      </c>
      <c r="K27" s="783">
        <f t="shared" si="1"/>
        <v>241502.62499999994</v>
      </c>
      <c r="L27" s="767" t="s">
        <v>649</v>
      </c>
      <c r="M27" s="784">
        <f t="shared" si="2"/>
        <v>0.21908635134749993</v>
      </c>
      <c r="N27" s="767" t="s">
        <v>649</v>
      </c>
      <c r="O27" s="785">
        <f t="shared" si="3"/>
        <v>0.80331662160749973</v>
      </c>
      <c r="P27" s="176"/>
      <c r="Q27" s="786">
        <v>22.24</v>
      </c>
      <c r="R27" s="10"/>
      <c r="S27" s="787">
        <v>0.1</v>
      </c>
      <c r="T27" s="663">
        <f t="shared" si="4"/>
        <v>2.4733103999999999E-2</v>
      </c>
      <c r="U27" s="664" t="s">
        <v>649</v>
      </c>
      <c r="V27" s="665">
        <f t="shared" si="5"/>
        <v>24.733103999999997</v>
      </c>
      <c r="W27" s="664" t="s">
        <v>649</v>
      </c>
      <c r="X27" s="788">
        <f t="shared" si="6"/>
        <v>6.5542725599999994E-3</v>
      </c>
      <c r="Y27" s="10"/>
      <c r="Z27" s="667">
        <v>8.7000000000000008E-2</v>
      </c>
      <c r="AA27" s="778">
        <f t="shared" si="7"/>
        <v>2.1517800480000002E-2</v>
      </c>
      <c r="AB27" s="767" t="s">
        <v>649</v>
      </c>
      <c r="AC27" s="685">
        <f t="shared" si="8"/>
        <v>21.517800480000002</v>
      </c>
      <c r="AD27" s="767" t="s">
        <v>649</v>
      </c>
      <c r="AE27" s="779">
        <f t="shared" si="9"/>
        <v>6.0249841344000004E-4</v>
      </c>
      <c r="AF27" s="124"/>
      <c r="AG27" s="10"/>
      <c r="AH27" s="10"/>
    </row>
    <row r="28" spans="1:34" ht="12.75" x14ac:dyDescent="0.2">
      <c r="A28" s="10"/>
      <c r="B28" s="763" t="s">
        <v>977</v>
      </c>
      <c r="C28" s="789">
        <f>E11</f>
        <v>18081260</v>
      </c>
      <c r="D28" s="10"/>
      <c r="E28" s="780">
        <f>C28*$C$17/1000000000</f>
        <v>2507.6899493999999</v>
      </c>
      <c r="F28" s="680" t="s">
        <v>1002</v>
      </c>
      <c r="G28" s="790">
        <v>44.43</v>
      </c>
      <c r="H28" s="680" t="s">
        <v>1002</v>
      </c>
      <c r="I28" s="782">
        <v>1</v>
      </c>
      <c r="J28" s="767" t="s">
        <v>649</v>
      </c>
      <c r="K28" s="783">
        <f t="shared" si="1"/>
        <v>55708.332225920996</v>
      </c>
      <c r="L28" s="767" t="s">
        <v>649</v>
      </c>
      <c r="M28" s="784">
        <f t="shared" si="2"/>
        <v>5.053748482871101E-2</v>
      </c>
      <c r="N28" s="767" t="s">
        <v>649</v>
      </c>
      <c r="O28" s="785">
        <f t="shared" si="3"/>
        <v>0.18530411103860703</v>
      </c>
      <c r="P28" s="176"/>
      <c r="Q28" s="674"/>
      <c r="R28" s="661">
        <v>3.1920000000000002</v>
      </c>
      <c r="S28" s="675">
        <v>0.08</v>
      </c>
      <c r="T28" s="791">
        <f>C28*R28*S28/1000000000</f>
        <v>4.6172305536E-3</v>
      </c>
      <c r="U28" s="767" t="s">
        <v>649</v>
      </c>
      <c r="V28" s="681">
        <f t="shared" si="5"/>
        <v>4.6172305535999998</v>
      </c>
      <c r="W28" s="767" t="s">
        <v>649</v>
      </c>
      <c r="X28" s="792">
        <f t="shared" si="6"/>
        <v>1.2235660967039998E-3</v>
      </c>
      <c r="Y28" s="10"/>
      <c r="Z28" s="667">
        <v>0.25</v>
      </c>
      <c r="AA28" s="778">
        <f>C28*R28*Z28/1000000000</f>
        <v>1.4428845480000001E-2</v>
      </c>
      <c r="AB28" s="767" t="s">
        <v>649</v>
      </c>
      <c r="AC28" s="685">
        <f t="shared" si="8"/>
        <v>14.428845480000001</v>
      </c>
      <c r="AD28" s="767" t="s">
        <v>649</v>
      </c>
      <c r="AE28" s="779">
        <f>(AC28*$T$7)/1000000</f>
        <v>4.0400767344000001E-4</v>
      </c>
      <c r="AF28" s="10"/>
      <c r="AG28" s="793"/>
      <c r="AH28" s="124"/>
    </row>
    <row r="29" spans="1:34" ht="12.75" x14ac:dyDescent="0.2">
      <c r="A29" s="10"/>
      <c r="B29" s="763"/>
      <c r="C29" s="10"/>
      <c r="D29" s="10"/>
      <c r="E29" s="794"/>
      <c r="F29" s="680"/>
      <c r="G29" s="795"/>
      <c r="H29" s="680"/>
      <c r="I29" s="796"/>
      <c r="J29" s="680"/>
      <c r="K29" s="797"/>
      <c r="L29" s="680"/>
      <c r="M29" s="798"/>
      <c r="N29" s="680"/>
      <c r="O29" s="799">
        <f>SUM(O26:O28)</f>
        <v>1.0007081879619402</v>
      </c>
      <c r="P29" s="176"/>
      <c r="Q29" s="677"/>
      <c r="R29" s="176"/>
      <c r="S29" s="176"/>
      <c r="T29" s="10"/>
      <c r="U29" s="10"/>
      <c r="V29" s="11"/>
      <c r="W29" s="10"/>
      <c r="X29" s="800">
        <f>SUM(X26:X28)</f>
        <v>7.8191272467039996E-3</v>
      </c>
      <c r="Y29" s="10"/>
      <c r="Z29" s="674"/>
      <c r="AA29" s="10"/>
      <c r="AB29" s="10"/>
      <c r="AC29" s="11"/>
      <c r="AD29" s="10"/>
      <c r="AE29" s="801">
        <f>SUM(AE26:AE28)</f>
        <v>1.29443557488E-3</v>
      </c>
      <c r="AF29" s="124"/>
      <c r="AG29" s="10"/>
      <c r="AH29" s="10"/>
    </row>
    <row r="30" spans="1:34" ht="12.75" x14ac:dyDescent="0.2">
      <c r="A30" s="10"/>
      <c r="B30" s="763"/>
      <c r="C30" s="789"/>
      <c r="D30" s="10"/>
      <c r="E30" s="176"/>
      <c r="F30" s="176"/>
      <c r="G30" s="176"/>
      <c r="H30" s="176"/>
      <c r="I30" s="176"/>
      <c r="J30" s="176"/>
      <c r="K30" s="689"/>
      <c r="L30" s="802"/>
      <c r="M30" s="690"/>
      <c r="N30" s="803"/>
      <c r="O30" s="804"/>
      <c r="P30" s="176"/>
      <c r="Q30" s="689"/>
      <c r="R30" s="690"/>
      <c r="S30" s="690"/>
      <c r="T30" s="691"/>
      <c r="U30" s="691"/>
      <c r="V30" s="691"/>
      <c r="W30" s="691"/>
      <c r="X30" s="692"/>
      <c r="Y30" s="10"/>
      <c r="Z30" s="693"/>
      <c r="AA30" s="691"/>
      <c r="AB30" s="691"/>
      <c r="AC30" s="691"/>
      <c r="AD30" s="691"/>
      <c r="AE30" s="692"/>
      <c r="AF30" s="124"/>
      <c r="AG30" s="10"/>
      <c r="AH30" s="10"/>
    </row>
    <row r="31" spans="1:34" ht="11.25" x14ac:dyDescent="0.2">
      <c r="B31" s="687"/>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94"/>
    </row>
    <row r="32" spans="1:34" ht="11.25" x14ac:dyDescent="0.2">
      <c r="B32" s="466"/>
      <c r="C32" s="466"/>
      <c r="D32" s="466"/>
      <c r="E32" s="466"/>
      <c r="F32" s="466"/>
      <c r="G32" s="466"/>
      <c r="H32" s="466"/>
      <c r="M32" s="466"/>
      <c r="N32" s="466"/>
      <c r="O32" s="466"/>
      <c r="P32" s="466"/>
      <c r="Q32" s="466"/>
      <c r="R32" s="466"/>
      <c r="S32" s="466"/>
    </row>
    <row r="33" spans="1:34" ht="21" x14ac:dyDescent="0.4">
      <c r="B33" s="805" t="s">
        <v>1004</v>
      </c>
      <c r="C33" s="728"/>
      <c r="D33" s="728"/>
      <c r="E33" s="728"/>
      <c r="F33" s="728"/>
      <c r="G33" s="728"/>
      <c r="H33" s="728"/>
      <c r="I33" s="728"/>
      <c r="J33" s="444"/>
      <c r="K33" s="444"/>
      <c r="L33" s="444"/>
      <c r="M33" s="728"/>
      <c r="N33" s="728"/>
      <c r="O33" s="728"/>
      <c r="P33" s="728"/>
      <c r="Q33" s="728"/>
      <c r="R33" s="728"/>
      <c r="S33" s="728"/>
      <c r="T33" s="728"/>
      <c r="U33" s="728"/>
      <c r="V33" s="728"/>
      <c r="W33" s="728"/>
      <c r="X33" s="728"/>
      <c r="Y33" s="728"/>
      <c r="Z33" s="728"/>
      <c r="AA33" s="728"/>
      <c r="AB33" s="728"/>
      <c r="AC33" s="728"/>
      <c r="AD33" s="728"/>
      <c r="AE33" s="728"/>
      <c r="AF33" s="695"/>
    </row>
    <row r="34" spans="1:34" ht="21" x14ac:dyDescent="0.4">
      <c r="B34" s="806" t="s">
        <v>1005</v>
      </c>
      <c r="C34" s="807"/>
      <c r="D34" s="808"/>
      <c r="E34" s="808"/>
      <c r="F34" s="807"/>
      <c r="G34" s="807"/>
      <c r="H34" s="807"/>
      <c r="I34" s="807"/>
      <c r="J34" s="807"/>
      <c r="K34" s="807"/>
      <c r="L34" s="807"/>
      <c r="M34" s="807"/>
      <c r="N34" s="807"/>
      <c r="O34" s="807"/>
      <c r="P34" s="450"/>
      <c r="Q34" s="450"/>
      <c r="R34" s="450"/>
      <c r="S34" s="450"/>
      <c r="T34" s="492"/>
      <c r="U34" s="492"/>
      <c r="V34" s="492"/>
      <c r="W34" s="492"/>
      <c r="X34" s="492"/>
      <c r="Y34" s="492"/>
      <c r="Z34" s="492"/>
      <c r="AA34" s="492"/>
      <c r="AB34" s="492"/>
      <c r="AC34" s="492"/>
      <c r="AD34" s="492"/>
      <c r="AE34" s="492"/>
      <c r="AF34" s="495"/>
    </row>
    <row r="35" spans="1:34" ht="12.75" x14ac:dyDescent="0.25">
      <c r="B35" s="809"/>
      <c r="C35" s="492"/>
      <c r="D35" s="492"/>
      <c r="E35" s="810"/>
      <c r="F35" s="811"/>
      <c r="G35" s="811"/>
      <c r="H35" s="810"/>
      <c r="I35" s="810"/>
      <c r="J35" s="810"/>
      <c r="K35" s="812"/>
      <c r="L35" s="812"/>
      <c r="M35" s="813" t="s">
        <v>1006</v>
      </c>
      <c r="N35" s="812"/>
      <c r="O35" s="812"/>
      <c r="P35" s="810"/>
      <c r="Q35" s="812"/>
      <c r="R35" s="812"/>
      <c r="S35" s="812"/>
      <c r="T35" s="813" t="s">
        <v>1007</v>
      </c>
      <c r="U35" s="568"/>
      <c r="V35" s="568"/>
      <c r="W35" s="568"/>
      <c r="X35" s="568"/>
      <c r="Y35" s="492"/>
      <c r="Z35" s="568"/>
      <c r="AA35" s="814" t="s">
        <v>1008</v>
      </c>
      <c r="AB35" s="813"/>
      <c r="AC35" s="813"/>
      <c r="AD35" s="813"/>
      <c r="AE35" s="568"/>
      <c r="AF35" s="495"/>
    </row>
    <row r="36" spans="1:34" ht="12.75" x14ac:dyDescent="0.2">
      <c r="B36" s="815"/>
      <c r="C36" s="197" t="s">
        <v>396</v>
      </c>
      <c r="D36" s="186"/>
      <c r="E36" s="197" t="s">
        <v>396</v>
      </c>
      <c r="F36" s="197"/>
      <c r="G36" s="197" t="s">
        <v>985</v>
      </c>
      <c r="H36" s="816"/>
      <c r="I36" s="197" t="s">
        <v>986</v>
      </c>
      <c r="J36" s="816"/>
      <c r="K36" s="213" t="s">
        <v>397</v>
      </c>
      <c r="L36" s="816"/>
      <c r="M36" s="213" t="s">
        <v>397</v>
      </c>
      <c r="N36" s="816"/>
      <c r="O36" s="213" t="s">
        <v>397</v>
      </c>
      <c r="P36" s="816"/>
      <c r="Q36" s="816"/>
      <c r="R36" s="816"/>
      <c r="S36" s="816"/>
      <c r="T36" s="186"/>
      <c r="U36" s="186"/>
      <c r="V36" s="186"/>
      <c r="W36" s="186"/>
      <c r="X36" s="186"/>
      <c r="Y36" s="186"/>
      <c r="Z36" s="186"/>
      <c r="AA36" s="186"/>
      <c r="AB36" s="186"/>
      <c r="AC36" s="186"/>
      <c r="AD36" s="186"/>
      <c r="AE36" s="186"/>
      <c r="AF36" s="495"/>
    </row>
    <row r="37" spans="1:34" ht="23.25" x14ac:dyDescent="0.25">
      <c r="B37" s="817" t="s">
        <v>72</v>
      </c>
      <c r="C37" s="197" t="s">
        <v>638</v>
      </c>
      <c r="D37" s="186"/>
      <c r="E37" s="197" t="s">
        <v>399</v>
      </c>
      <c r="F37" s="816"/>
      <c r="G37" s="197" t="s">
        <v>987</v>
      </c>
      <c r="H37" s="816"/>
      <c r="I37" s="197" t="s">
        <v>988</v>
      </c>
      <c r="J37" s="816"/>
      <c r="K37" s="197" t="s">
        <v>989</v>
      </c>
      <c r="L37" s="197"/>
      <c r="M37" s="197" t="s">
        <v>990</v>
      </c>
      <c r="N37" s="816"/>
      <c r="O37" s="213" t="s">
        <v>1009</v>
      </c>
      <c r="P37" s="816"/>
      <c r="Q37" s="818" t="s">
        <v>992</v>
      </c>
      <c r="R37" s="818" t="s">
        <v>639</v>
      </c>
      <c r="S37" s="818" t="s">
        <v>1010</v>
      </c>
      <c r="T37" s="818" t="s">
        <v>1011</v>
      </c>
      <c r="U37" s="186"/>
      <c r="V37" s="818" t="s">
        <v>1012</v>
      </c>
      <c r="W37" s="186"/>
      <c r="X37" s="818" t="s">
        <v>1013</v>
      </c>
      <c r="Y37" s="818"/>
      <c r="Z37" s="818" t="s">
        <v>1014</v>
      </c>
      <c r="AA37" s="818" t="s">
        <v>1015</v>
      </c>
      <c r="AB37" s="186"/>
      <c r="AC37" s="818" t="s">
        <v>1016</v>
      </c>
      <c r="AD37" s="186"/>
      <c r="AE37" s="818" t="s">
        <v>1017</v>
      </c>
      <c r="AF37" s="495"/>
    </row>
    <row r="38" spans="1:34" ht="12.75" x14ac:dyDescent="0.2">
      <c r="B38" s="815" t="s">
        <v>1018</v>
      </c>
      <c r="C38" s="819">
        <v>3042000</v>
      </c>
      <c r="D38" s="186"/>
      <c r="E38" s="780">
        <f>C38*$C$17/1000000000</f>
        <v>421.89497999999998</v>
      </c>
      <c r="F38" s="820" t="s">
        <v>1002</v>
      </c>
      <c r="G38" s="790">
        <v>44.43</v>
      </c>
      <c r="H38" s="820" t="s">
        <v>1002</v>
      </c>
      <c r="I38" s="782">
        <v>1</v>
      </c>
      <c r="J38" s="664" t="s">
        <v>649</v>
      </c>
      <c r="K38" s="821">
        <f t="shared" ref="K38:K39" si="10">E38*1000*G38*I38/2000</f>
        <v>9372.3969806999994</v>
      </c>
      <c r="L38" s="664" t="s">
        <v>649</v>
      </c>
      <c r="M38" s="784">
        <f t="shared" ref="M38:M39" si="11">K38*0.90718/1000000</f>
        <v>8.5024510929514255E-3</v>
      </c>
      <c r="N38" s="664" t="s">
        <v>649</v>
      </c>
      <c r="O38" s="784">
        <f t="shared" ref="O38:O39" si="12">M38*44/12</f>
        <v>3.1175654007488562E-2</v>
      </c>
      <c r="P38" s="816"/>
      <c r="Q38" s="186"/>
      <c r="R38" s="661">
        <v>3.1920000000000002</v>
      </c>
      <c r="S38" s="675">
        <v>0.08</v>
      </c>
      <c r="T38" s="663">
        <f t="shared" ref="T38:T39" si="13">C38*R38*S38/1000000000</f>
        <v>7.7680512000000005E-4</v>
      </c>
      <c r="U38" s="664" t="s">
        <v>649</v>
      </c>
      <c r="V38" s="665">
        <f t="shared" ref="V38:V39" si="14">T38*1000</f>
        <v>0.77680512000000002</v>
      </c>
      <c r="W38" s="664" t="s">
        <v>649</v>
      </c>
      <c r="X38" s="665">
        <f t="shared" ref="X38:X39" si="15">(V38*$T$8)/1000000</f>
        <v>2.0585335680000001E-4</v>
      </c>
      <c r="Y38" s="186"/>
      <c r="Z38" s="675">
        <v>0.25</v>
      </c>
      <c r="AA38" s="822">
        <f t="shared" ref="AA38:AA39" si="16">C38*R38*Z38/1000000000</f>
        <v>2.4275159999999998E-3</v>
      </c>
      <c r="AB38" s="664" t="s">
        <v>649</v>
      </c>
      <c r="AC38" s="823">
        <f t="shared" ref="AC38:AC39" si="17">AA38*1000</f>
        <v>2.4275159999999998</v>
      </c>
      <c r="AD38" s="664" t="s">
        <v>649</v>
      </c>
      <c r="AE38" s="823">
        <f t="shared" ref="AE38:AE39" si="18">(AC38*$T$7)/1000000</f>
        <v>6.7970447999999987E-5</v>
      </c>
      <c r="AF38" s="495"/>
    </row>
    <row r="39" spans="1:34" ht="12.75" x14ac:dyDescent="0.2">
      <c r="B39" s="815" t="s">
        <v>1019</v>
      </c>
      <c r="C39" s="185">
        <f>E13</f>
        <v>7938000</v>
      </c>
      <c r="D39" s="186"/>
      <c r="E39" s="780">
        <f>G13</f>
        <v>1235</v>
      </c>
      <c r="F39" s="820" t="s">
        <v>1002</v>
      </c>
      <c r="G39" s="790">
        <v>45.11</v>
      </c>
      <c r="H39" s="820" t="s">
        <v>1002</v>
      </c>
      <c r="I39" s="782">
        <v>1</v>
      </c>
      <c r="J39" s="664" t="s">
        <v>649</v>
      </c>
      <c r="K39" s="821">
        <f t="shared" si="10"/>
        <v>27855.424999999999</v>
      </c>
      <c r="L39" s="664" t="s">
        <v>649</v>
      </c>
      <c r="M39" s="784">
        <f t="shared" si="11"/>
        <v>2.5269884451499997E-2</v>
      </c>
      <c r="N39" s="664" t="s">
        <v>649</v>
      </c>
      <c r="O39" s="784">
        <f t="shared" si="12"/>
        <v>9.2656242988833307E-2</v>
      </c>
      <c r="P39" s="816"/>
      <c r="Q39" s="816"/>
      <c r="R39" s="661">
        <v>3.5750000000000002</v>
      </c>
      <c r="S39" s="675">
        <v>0.08</v>
      </c>
      <c r="T39" s="663">
        <f t="shared" si="13"/>
        <v>2.2702680000000002E-3</v>
      </c>
      <c r="U39" s="664" t="s">
        <v>649</v>
      </c>
      <c r="V39" s="665">
        <f t="shared" si="14"/>
        <v>2.2702680000000002</v>
      </c>
      <c r="W39" s="664" t="s">
        <v>649</v>
      </c>
      <c r="X39" s="824">
        <f t="shared" si="15"/>
        <v>6.0162102000000002E-4</v>
      </c>
      <c r="Y39" s="186"/>
      <c r="Z39" s="675">
        <v>0.23</v>
      </c>
      <c r="AA39" s="822">
        <f t="shared" si="16"/>
        <v>6.5270205000000003E-3</v>
      </c>
      <c r="AB39" s="664" t="s">
        <v>649</v>
      </c>
      <c r="AC39" s="823">
        <f t="shared" si="17"/>
        <v>6.5270204999999999</v>
      </c>
      <c r="AD39" s="664" t="s">
        <v>649</v>
      </c>
      <c r="AE39" s="823">
        <f t="shared" si="18"/>
        <v>1.8275657399999999E-4</v>
      </c>
      <c r="AF39" s="495"/>
    </row>
    <row r="40" spans="1:34" ht="12.75" x14ac:dyDescent="0.2">
      <c r="B40" s="815"/>
      <c r="C40" s="186"/>
      <c r="D40" s="186"/>
      <c r="E40" s="780"/>
      <c r="F40" s="820"/>
      <c r="G40" s="825"/>
      <c r="H40" s="820"/>
      <c r="I40" s="826"/>
      <c r="J40" s="820"/>
      <c r="K40" s="821"/>
      <c r="L40" s="820"/>
      <c r="M40" s="784"/>
      <c r="N40" s="820"/>
      <c r="O40" s="827">
        <f>SUM(O38:O39)</f>
        <v>0.12383189699632187</v>
      </c>
      <c r="P40" s="816"/>
      <c r="Q40" s="816"/>
      <c r="R40" s="816"/>
      <c r="S40" s="816"/>
      <c r="T40" s="186"/>
      <c r="U40" s="186"/>
      <c r="V40" s="181"/>
      <c r="W40" s="186"/>
      <c r="X40" s="828">
        <f>(X38+X39)</f>
        <v>8.0747437680000003E-4</v>
      </c>
      <c r="Y40" s="186"/>
      <c r="Z40" s="186"/>
      <c r="AA40" s="186"/>
      <c r="AB40" s="186"/>
      <c r="AC40" s="181"/>
      <c r="AD40" s="186"/>
      <c r="AE40" s="801">
        <f>(AE38+AE39)</f>
        <v>2.5072702199999998E-4</v>
      </c>
      <c r="AF40" s="495"/>
    </row>
    <row r="41" spans="1:34" ht="12.75" x14ac:dyDescent="0.2">
      <c r="B41" s="815"/>
      <c r="C41" s="819"/>
      <c r="D41" s="186"/>
      <c r="E41" s="816"/>
      <c r="F41" s="816"/>
      <c r="G41" s="816"/>
      <c r="H41" s="816"/>
      <c r="I41" s="816"/>
      <c r="J41" s="816"/>
      <c r="K41" s="816"/>
      <c r="L41" s="820"/>
      <c r="M41" s="816"/>
      <c r="N41" s="829"/>
      <c r="P41" s="816"/>
      <c r="Q41" s="816"/>
      <c r="R41" s="816"/>
      <c r="S41" s="816"/>
      <c r="T41" s="186"/>
      <c r="U41" s="186"/>
      <c r="V41" s="186"/>
      <c r="W41" s="186"/>
      <c r="X41" s="186"/>
      <c r="Y41" s="186"/>
      <c r="Z41" s="186"/>
      <c r="AA41" s="186"/>
      <c r="AB41" s="186"/>
      <c r="AC41" s="186"/>
      <c r="AD41" s="186"/>
      <c r="AE41" s="186"/>
      <c r="AF41" s="495"/>
    </row>
    <row r="42" spans="1:34" ht="11.25" x14ac:dyDescent="0.2">
      <c r="I42" s="581"/>
      <c r="J42" s="581"/>
      <c r="K42" s="581"/>
      <c r="L42" s="581"/>
      <c r="T42" s="581"/>
      <c r="U42" s="581"/>
      <c r="V42" s="581"/>
      <c r="W42" s="581"/>
      <c r="X42" s="581"/>
      <c r="Y42" s="581"/>
      <c r="Z42" s="581"/>
      <c r="AA42" s="581"/>
      <c r="AB42" s="581"/>
      <c r="AC42" s="581"/>
      <c r="AD42" s="581"/>
      <c r="AE42" s="581"/>
      <c r="AF42" s="830"/>
    </row>
    <row r="43" spans="1:34" ht="11.25" x14ac:dyDescent="0.2">
      <c r="B43" s="466"/>
      <c r="C43" s="466"/>
      <c r="D43" s="466"/>
      <c r="E43" s="466"/>
      <c r="F43" s="466"/>
      <c r="G43" s="466"/>
      <c r="H43" s="466"/>
      <c r="M43" s="466"/>
      <c r="N43" s="466"/>
      <c r="O43" s="466"/>
      <c r="P43" s="466"/>
      <c r="Q43" s="466"/>
      <c r="R43" s="466"/>
      <c r="S43" s="466"/>
    </row>
    <row r="44" spans="1:34" ht="11.25" x14ac:dyDescent="0.2">
      <c r="B44" s="466"/>
      <c r="C44" s="466"/>
      <c r="D44" s="466"/>
      <c r="E44" s="466"/>
      <c r="F44" s="466"/>
      <c r="G44" s="466"/>
      <c r="H44" s="466"/>
      <c r="M44" s="468">
        <v>171972210</v>
      </c>
      <c r="N44" s="466"/>
      <c r="O44" s="468">
        <f>(M44*0.907184)/(1000000)</f>
        <v>156.01043735664001</v>
      </c>
      <c r="P44" s="466"/>
      <c r="Q44" s="466"/>
      <c r="R44" s="466"/>
      <c r="S44" s="466"/>
    </row>
    <row r="45" spans="1:34" ht="11.25" x14ac:dyDescent="0.2">
      <c r="B45" s="466"/>
      <c r="C45" s="466"/>
      <c r="D45" s="466"/>
      <c r="E45" s="466"/>
      <c r="F45" s="466"/>
      <c r="G45" s="466"/>
      <c r="H45" s="466"/>
      <c r="I45" s="538"/>
      <c r="M45" s="466"/>
      <c r="N45" s="466"/>
      <c r="O45" s="466"/>
      <c r="P45" s="466"/>
      <c r="Q45" s="466"/>
      <c r="R45" s="466"/>
      <c r="S45" s="466"/>
    </row>
    <row r="46" spans="1:34" ht="12.75" x14ac:dyDescent="0.2">
      <c r="A46" s="10"/>
      <c r="B46" s="640"/>
      <c r="C46" s="831"/>
      <c r="D46" s="831"/>
      <c r="E46" s="641" t="s">
        <v>1020</v>
      </c>
      <c r="F46" s="831"/>
      <c r="G46" s="831"/>
      <c r="H46" s="831"/>
      <c r="I46" s="641" t="s">
        <v>1021</v>
      </c>
      <c r="J46" s="832"/>
      <c r="K46" s="831"/>
      <c r="L46" s="833"/>
      <c r="M46" s="831"/>
      <c r="N46" s="832"/>
      <c r="O46" s="629"/>
      <c r="P46" s="629"/>
      <c r="Q46" s="629"/>
      <c r="R46" s="629"/>
      <c r="S46" s="629"/>
      <c r="T46" s="834"/>
      <c r="U46" s="10"/>
      <c r="V46" s="10"/>
      <c r="W46" s="10"/>
      <c r="X46" s="10"/>
      <c r="Y46" s="10"/>
      <c r="Z46" s="10"/>
      <c r="AA46" s="10"/>
      <c r="AB46" s="10"/>
      <c r="AC46" s="10"/>
      <c r="AD46" s="10"/>
      <c r="AE46" s="10"/>
      <c r="AF46" s="10"/>
      <c r="AG46" s="10"/>
      <c r="AH46" s="10"/>
    </row>
    <row r="47" spans="1:34" ht="12.75" x14ac:dyDescent="0.2">
      <c r="A47" s="10"/>
      <c r="B47" s="763"/>
      <c r="C47" s="835" t="s">
        <v>396</v>
      </c>
      <c r="D47" s="176"/>
      <c r="E47" s="835" t="s">
        <v>396</v>
      </c>
      <c r="F47" s="176"/>
      <c r="G47" s="176"/>
      <c r="H47" s="176"/>
      <c r="I47" s="835" t="s">
        <v>396</v>
      </c>
      <c r="J47" s="176"/>
      <c r="K47" s="835" t="s">
        <v>985</v>
      </c>
      <c r="L47" s="176"/>
      <c r="M47" s="835" t="s">
        <v>986</v>
      </c>
      <c r="N47" s="176"/>
      <c r="O47" s="211" t="s">
        <v>397</v>
      </c>
      <c r="P47" s="176"/>
      <c r="Q47" s="211" t="s">
        <v>397</v>
      </c>
      <c r="R47" s="176"/>
      <c r="S47" s="211" t="s">
        <v>397</v>
      </c>
      <c r="T47" s="124"/>
      <c r="U47" s="10"/>
      <c r="V47" s="10"/>
      <c r="W47" s="10"/>
      <c r="X47" s="10"/>
      <c r="Y47" s="10"/>
      <c r="Z47" s="10"/>
      <c r="AA47" s="10"/>
      <c r="AB47" s="10"/>
      <c r="AC47" s="10"/>
      <c r="AD47" s="10"/>
      <c r="AE47" s="10"/>
      <c r="AF47" s="10"/>
      <c r="AG47" s="10"/>
      <c r="AH47" s="10"/>
    </row>
    <row r="48" spans="1:34" ht="14.25" x14ac:dyDescent="0.25">
      <c r="A48" s="10"/>
      <c r="B48" s="763"/>
      <c r="C48" s="835" t="s">
        <v>399</v>
      </c>
      <c r="D48" s="176"/>
      <c r="E48" s="835" t="s">
        <v>399</v>
      </c>
      <c r="F48" s="176"/>
      <c r="G48" s="835" t="s">
        <v>1022</v>
      </c>
      <c r="H48" s="176"/>
      <c r="I48" s="835" t="s">
        <v>399</v>
      </c>
      <c r="J48" s="176"/>
      <c r="K48" s="835" t="s">
        <v>987</v>
      </c>
      <c r="L48" s="176"/>
      <c r="M48" s="835" t="s">
        <v>988</v>
      </c>
      <c r="N48" s="176"/>
      <c r="O48" s="835" t="s">
        <v>989</v>
      </c>
      <c r="P48" s="835"/>
      <c r="Q48" s="835" t="s">
        <v>990</v>
      </c>
      <c r="R48" s="176"/>
      <c r="S48" s="211" t="s">
        <v>1023</v>
      </c>
      <c r="T48" s="124"/>
      <c r="U48" s="10"/>
      <c r="V48" s="10"/>
      <c r="W48" s="10"/>
      <c r="X48" s="10"/>
      <c r="Y48" s="10"/>
      <c r="Z48" s="10"/>
      <c r="AA48" s="10"/>
      <c r="AB48" s="10"/>
      <c r="AC48" s="10"/>
      <c r="AD48" s="10"/>
      <c r="AE48" s="10"/>
      <c r="AF48" s="10"/>
      <c r="AG48" s="10"/>
      <c r="AH48" s="10"/>
    </row>
    <row r="49" spans="1:34" ht="12.75" x14ac:dyDescent="0.2">
      <c r="A49" s="10"/>
      <c r="B49" s="836" t="s">
        <v>1024</v>
      </c>
      <c r="C49" s="780">
        <f>G9</f>
        <v>1427</v>
      </c>
      <c r="D49" s="767" t="s">
        <v>1025</v>
      </c>
      <c r="E49" s="780">
        <v>1427</v>
      </c>
      <c r="F49" s="680" t="s">
        <v>1002</v>
      </c>
      <c r="G49" s="837">
        <v>9.2393732597307904E-2</v>
      </c>
      <c r="H49" s="680" t="s">
        <v>1026</v>
      </c>
      <c r="I49" s="821">
        <f>C49-(E49*G49)</f>
        <v>1295.1541435836416</v>
      </c>
      <c r="J49" s="680" t="s">
        <v>1002</v>
      </c>
      <c r="K49" s="790">
        <v>43.97</v>
      </c>
      <c r="L49" s="680" t="s">
        <v>1002</v>
      </c>
      <c r="M49" s="782">
        <v>1</v>
      </c>
      <c r="N49" s="767" t="s">
        <v>649</v>
      </c>
      <c r="O49" s="821">
        <f>I49*1000*K49*M49/2000</f>
        <v>28473.963846686358</v>
      </c>
      <c r="P49" s="767" t="s">
        <v>649</v>
      </c>
      <c r="Q49" s="784">
        <f>O49*0.90718/1000000</f>
        <v>2.5831010522436929E-2</v>
      </c>
      <c r="R49" s="680" t="s">
        <v>649</v>
      </c>
      <c r="S49" s="827">
        <f>Q49*44/12</f>
        <v>9.4713705248935409E-2</v>
      </c>
      <c r="T49" s="124"/>
      <c r="U49" s="10"/>
      <c r="V49" s="10"/>
      <c r="W49" s="10"/>
      <c r="X49" s="10"/>
      <c r="Y49" s="10"/>
      <c r="Z49" s="10"/>
      <c r="AA49" s="10"/>
      <c r="AB49" s="10"/>
      <c r="AC49" s="10"/>
      <c r="AD49" s="10"/>
      <c r="AE49" s="10"/>
      <c r="AF49" s="10"/>
      <c r="AG49" s="10"/>
      <c r="AH49" s="10"/>
    </row>
    <row r="50" spans="1:34" ht="12.75" x14ac:dyDescent="0.2">
      <c r="A50" s="10"/>
      <c r="B50" s="838"/>
      <c r="C50" s="839"/>
      <c r="D50" s="840"/>
      <c r="E50" s="839"/>
      <c r="F50" s="840"/>
      <c r="G50" s="841"/>
      <c r="H50" s="840"/>
      <c r="I50" s="839"/>
      <c r="J50" s="840"/>
      <c r="K50" s="842"/>
      <c r="L50" s="840"/>
      <c r="M50" s="843"/>
      <c r="N50" s="840"/>
      <c r="O50" s="839"/>
      <c r="P50" s="840"/>
      <c r="Q50" s="844"/>
      <c r="R50" s="840"/>
      <c r="S50" s="844"/>
      <c r="T50" s="132"/>
      <c r="U50" s="10"/>
      <c r="V50" s="10"/>
      <c r="W50" s="10"/>
      <c r="X50" s="10"/>
      <c r="Y50" s="10"/>
      <c r="Z50" s="10"/>
      <c r="AA50" s="10"/>
      <c r="AB50" s="10"/>
      <c r="AC50" s="10"/>
      <c r="AD50" s="10"/>
      <c r="AE50" s="10"/>
      <c r="AF50" s="10"/>
      <c r="AG50" s="10"/>
      <c r="AH50" s="10"/>
    </row>
    <row r="51" spans="1:34" ht="12.75" x14ac:dyDescent="0.2">
      <c r="A51" s="10"/>
      <c r="B51" s="176"/>
      <c r="C51" s="845"/>
      <c r="D51" s="680"/>
      <c r="E51" s="845"/>
      <c r="F51" s="680"/>
      <c r="G51" s="846"/>
      <c r="H51" s="680"/>
      <c r="I51" s="845"/>
      <c r="J51" s="680"/>
      <c r="K51" s="847"/>
      <c r="L51" s="680"/>
      <c r="M51" s="848"/>
      <c r="N51" s="680"/>
      <c r="O51" s="845"/>
      <c r="P51" s="680"/>
      <c r="Q51" s="798"/>
      <c r="R51" s="680"/>
      <c r="S51" s="798"/>
      <c r="T51" s="10"/>
      <c r="U51" s="10"/>
      <c r="V51" s="10"/>
      <c r="W51" s="10"/>
      <c r="X51" s="10"/>
      <c r="Y51" s="10"/>
      <c r="Z51" s="10"/>
      <c r="AA51" s="10"/>
      <c r="AB51" s="10"/>
      <c r="AC51" s="10"/>
      <c r="AD51" s="10"/>
      <c r="AE51" s="10"/>
      <c r="AF51" s="10"/>
      <c r="AG51" s="10"/>
      <c r="AH51" s="10"/>
    </row>
    <row r="52" spans="1:34" ht="11.25" x14ac:dyDescent="0.2">
      <c r="B52" s="466"/>
      <c r="C52" s="466"/>
      <c r="D52" s="466"/>
      <c r="E52" s="466"/>
      <c r="F52" s="466"/>
      <c r="G52" s="466"/>
      <c r="H52" s="466"/>
      <c r="I52" s="538"/>
      <c r="M52" s="466"/>
      <c r="N52" s="466"/>
      <c r="O52" s="466"/>
      <c r="P52" s="466"/>
      <c r="Q52" s="466"/>
      <c r="R52" s="466"/>
      <c r="S52" s="466"/>
    </row>
    <row r="53" spans="1:34" ht="11.25" x14ac:dyDescent="0.2">
      <c r="B53" s="466"/>
      <c r="C53" s="466"/>
      <c r="D53" s="466"/>
      <c r="E53" s="466"/>
      <c r="F53" s="466"/>
      <c r="G53" s="466"/>
      <c r="H53" s="466"/>
      <c r="I53" s="538"/>
      <c r="M53" s="466"/>
      <c r="N53" s="466"/>
      <c r="O53" s="466"/>
      <c r="P53" s="466"/>
      <c r="Q53" s="466"/>
      <c r="R53" s="466"/>
      <c r="S53" s="466"/>
    </row>
    <row r="54" spans="1:34" ht="12.75" x14ac:dyDescent="0.2">
      <c r="B54" s="193"/>
      <c r="C54" s="195" t="s">
        <v>397</v>
      </c>
      <c r="D54" s="195"/>
      <c r="E54" s="195" t="s">
        <v>397</v>
      </c>
      <c r="F54" s="195"/>
      <c r="G54" s="195" t="s">
        <v>397</v>
      </c>
      <c r="H54" s="849"/>
      <c r="I54" s="196" t="s">
        <v>397</v>
      </c>
      <c r="J54" s="211"/>
      <c r="K54" s="466"/>
    </row>
    <row r="55" spans="1:34" ht="14.25" x14ac:dyDescent="0.25">
      <c r="B55" s="184"/>
      <c r="C55" s="213" t="s">
        <v>1027</v>
      </c>
      <c r="D55" s="213"/>
      <c r="E55" s="213" t="s">
        <v>1028</v>
      </c>
      <c r="F55" s="213"/>
      <c r="G55" s="213" t="s">
        <v>1029</v>
      </c>
      <c r="H55" s="492"/>
      <c r="I55" s="214" t="s">
        <v>1030</v>
      </c>
      <c r="J55" s="211"/>
      <c r="K55" s="466"/>
    </row>
    <row r="56" spans="1:34" ht="14.25" x14ac:dyDescent="0.25">
      <c r="B56" s="850" t="s">
        <v>72</v>
      </c>
      <c r="C56" s="851" t="s">
        <v>1031</v>
      </c>
      <c r="D56" s="851"/>
      <c r="E56" s="851" t="s">
        <v>1032</v>
      </c>
      <c r="F56" s="851"/>
      <c r="G56" s="851" t="s">
        <v>1033</v>
      </c>
      <c r="H56" s="581"/>
      <c r="I56" s="852" t="s">
        <v>1034</v>
      </c>
      <c r="J56" s="211"/>
      <c r="K56" s="466"/>
    </row>
    <row r="57" spans="1:34" ht="12.75" x14ac:dyDescent="0.2">
      <c r="B57" s="853" t="s">
        <v>1001</v>
      </c>
      <c r="C57" s="854">
        <f t="shared" ref="C57:C58" si="19">O26</f>
        <v>1.2087455315833334E-2</v>
      </c>
      <c r="D57" s="854"/>
      <c r="E57" s="854">
        <f t="shared" ref="E57:E58" si="20">AE26</f>
        <v>2.8792948799999998E-4</v>
      </c>
      <c r="F57" s="854"/>
      <c r="G57" s="854">
        <f t="shared" ref="G57:G58" si="21">X26</f>
        <v>4.1288590000000002E-5</v>
      </c>
      <c r="H57" s="855"/>
      <c r="I57" s="856">
        <f t="shared" ref="I57:I61" si="22">SUM(C57:H57)</f>
        <v>1.2416673393833335E-2</v>
      </c>
      <c r="J57" s="857"/>
      <c r="K57" s="466"/>
    </row>
    <row r="58" spans="1:34" ht="12.75" x14ac:dyDescent="0.2">
      <c r="B58" s="858" t="s">
        <v>1003</v>
      </c>
      <c r="C58" s="854">
        <f t="shared" si="19"/>
        <v>0.80331662160749973</v>
      </c>
      <c r="D58" s="854"/>
      <c r="E58" s="854">
        <f t="shared" si="20"/>
        <v>6.0249841344000004E-4</v>
      </c>
      <c r="F58" s="854"/>
      <c r="G58" s="854">
        <f t="shared" si="21"/>
        <v>6.5542725599999994E-3</v>
      </c>
      <c r="H58" s="855"/>
      <c r="I58" s="856">
        <f t="shared" si="22"/>
        <v>0.81047339258093964</v>
      </c>
      <c r="J58" s="857"/>
      <c r="K58" s="466"/>
    </row>
    <row r="59" spans="1:34" ht="12.75" x14ac:dyDescent="0.2">
      <c r="B59" s="858" t="s">
        <v>404</v>
      </c>
      <c r="C59" s="854">
        <f t="shared" ref="C59:C60" si="23">O39</f>
        <v>9.2656242988833307E-2</v>
      </c>
      <c r="D59" s="854"/>
      <c r="E59" s="854">
        <f>AE38+AE39</f>
        <v>2.5072702199999998E-4</v>
      </c>
      <c r="F59" s="854"/>
      <c r="G59" s="854">
        <f>X38+X39</f>
        <v>8.0747437680000003E-4</v>
      </c>
      <c r="H59" s="855"/>
      <c r="I59" s="856">
        <f t="shared" si="22"/>
        <v>9.3714444387633308E-2</v>
      </c>
      <c r="J59" s="857"/>
      <c r="K59" s="466"/>
    </row>
    <row r="60" spans="1:34" ht="12.75" x14ac:dyDescent="0.2">
      <c r="B60" s="859" t="s">
        <v>1024</v>
      </c>
      <c r="C60" s="854">
        <f t="shared" si="23"/>
        <v>0.12383189699632187</v>
      </c>
      <c r="D60" s="854"/>
      <c r="E60" s="854">
        <f t="shared" ref="E60:E61" si="24">AE29</f>
        <v>1.29443557488E-3</v>
      </c>
      <c r="F60" s="854"/>
      <c r="G60" s="854">
        <f t="shared" ref="G60:G61" si="25">X29</f>
        <v>7.8191272467039996E-3</v>
      </c>
      <c r="H60" s="855"/>
      <c r="I60" s="856">
        <f t="shared" si="22"/>
        <v>0.13294545981790587</v>
      </c>
      <c r="J60" s="857"/>
      <c r="K60" s="466"/>
    </row>
    <row r="61" spans="1:34" ht="12.75" x14ac:dyDescent="0.2">
      <c r="B61" s="858" t="s">
        <v>1035</v>
      </c>
      <c r="C61" s="854">
        <f>O30</f>
        <v>0</v>
      </c>
      <c r="D61" s="854"/>
      <c r="E61" s="854">
        <f t="shared" si="24"/>
        <v>0</v>
      </c>
      <c r="F61" s="854"/>
      <c r="G61" s="854">
        <f t="shared" si="25"/>
        <v>0</v>
      </c>
      <c r="H61" s="855"/>
      <c r="I61" s="856">
        <f t="shared" si="22"/>
        <v>0</v>
      </c>
      <c r="J61" s="857"/>
      <c r="K61" s="466"/>
    </row>
    <row r="62" spans="1:34" ht="12.75" x14ac:dyDescent="0.2">
      <c r="B62" s="206"/>
      <c r="C62" s="860">
        <f>SUM(C57:C61)</f>
        <v>1.0318922169084883</v>
      </c>
      <c r="D62" s="861"/>
      <c r="E62" s="860">
        <f>SUM(E57:E61)</f>
        <v>2.4355904983199999E-3</v>
      </c>
      <c r="F62" s="862"/>
      <c r="G62" s="863">
        <f>SUM(G57:G61)</f>
        <v>1.5222162773503998E-2</v>
      </c>
      <c r="H62" s="864"/>
      <c r="I62" s="865">
        <f>SUM(I57:I61)</f>
        <v>1.0495499701803122</v>
      </c>
      <c r="J62" s="866"/>
      <c r="K62" s="466"/>
    </row>
  </sheetData>
  <sheetProtection algorithmName="SHA-512" hashValue="700zr5qQ536i9T0snV+2nvQ2LEjFM/Uoa/HDsajAgZSYdLPPRz9e0K9bUQezdoQaPek8yiXuEJplJiI08A6RtQ==" saltValue="yzhicuDliTNPoM0RB/OZPw==" spinCount="100000" sheet="1" objects="1" scenarios="1"/>
  <mergeCells count="3">
    <mergeCell ref="A2:K2"/>
    <mergeCell ref="S4:T4"/>
    <mergeCell ref="D18:E18"/>
  </mergeCells>
  <printOptions gridLines="1"/>
  <pageMargins left="0.17" right="0.16" top="0.23" bottom="0.24" header="0" footer="0"/>
  <pageSetup paperSize="5" orientation="landscape"/>
  <colBreaks count="1" manualBreakCount="1">
    <brk id="32" man="1"/>
  </col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8"/>
  <sheetViews>
    <sheetView workbookViewId="0"/>
  </sheetViews>
  <sheetFormatPr defaultColWidth="16.83203125" defaultRowHeight="15" customHeight="1" x14ac:dyDescent="0.2"/>
  <cols>
    <col min="1" max="1" width="8.83203125" customWidth="1"/>
    <col min="2" max="2" width="15.5" customWidth="1"/>
    <col min="4" max="4" width="23.6640625" customWidth="1"/>
    <col min="5" max="5" width="19.1640625" customWidth="1"/>
    <col min="6" max="6" width="19.5" customWidth="1"/>
    <col min="7" max="7" width="15.1640625" customWidth="1"/>
    <col min="8" max="26" width="8.83203125" customWidth="1"/>
  </cols>
  <sheetData>
    <row r="1" spans="1:13" ht="33" x14ac:dyDescent="0.45">
      <c r="A1" s="9" t="s">
        <v>1036</v>
      </c>
      <c r="B1" s="480"/>
      <c r="F1" s="466"/>
      <c r="G1" s="482"/>
      <c r="H1" s="466"/>
    </row>
    <row r="2" spans="1:13" ht="119.25" customHeight="1" x14ac:dyDescent="0.2"/>
    <row r="3" spans="1:13" ht="21" x14ac:dyDescent="0.4">
      <c r="B3" s="867" t="s">
        <v>1037</v>
      </c>
      <c r="C3" s="868"/>
      <c r="D3" s="867"/>
      <c r="E3" s="9">
        <v>2014</v>
      </c>
      <c r="F3" s="466"/>
      <c r="G3" s="466"/>
      <c r="H3" s="466"/>
      <c r="I3" s="466"/>
      <c r="J3" s="466"/>
      <c r="K3" s="466"/>
      <c r="L3" s="466"/>
      <c r="M3" s="466"/>
    </row>
    <row r="4" spans="1:13" ht="12.75" x14ac:dyDescent="0.25">
      <c r="B4" s="869"/>
      <c r="C4" s="466"/>
      <c r="D4" s="637"/>
      <c r="E4" s="869"/>
      <c r="F4" s="466"/>
      <c r="G4" s="466"/>
      <c r="H4" s="466"/>
      <c r="I4" s="466"/>
      <c r="J4" s="466"/>
      <c r="K4" s="466"/>
      <c r="L4" s="466"/>
      <c r="M4" s="466"/>
    </row>
    <row r="5" spans="1:13" ht="12.75" x14ac:dyDescent="0.2">
      <c r="B5" s="870"/>
      <c r="C5" s="871" t="s">
        <v>396</v>
      </c>
      <c r="D5" s="871" t="s">
        <v>985</v>
      </c>
      <c r="E5" s="871" t="s">
        <v>986</v>
      </c>
      <c r="F5" s="871" t="s">
        <v>397</v>
      </c>
      <c r="G5" s="872" t="s">
        <v>397</v>
      </c>
      <c r="H5" s="466"/>
      <c r="I5" s="466"/>
      <c r="J5" s="2501" t="s">
        <v>0</v>
      </c>
      <c r="K5" s="2502"/>
      <c r="L5" s="466"/>
      <c r="M5" s="873"/>
    </row>
    <row r="6" spans="1:13" ht="14.25" x14ac:dyDescent="0.25">
      <c r="B6" s="874" t="s">
        <v>72</v>
      </c>
      <c r="C6" s="875" t="s">
        <v>399</v>
      </c>
      <c r="D6" s="875" t="s">
        <v>987</v>
      </c>
      <c r="E6" s="875" t="s">
        <v>988</v>
      </c>
      <c r="F6" s="875" t="s">
        <v>989</v>
      </c>
      <c r="G6" s="876" t="s">
        <v>1038</v>
      </c>
      <c r="H6" s="873"/>
      <c r="I6" s="466"/>
      <c r="J6" s="198"/>
      <c r="K6" s="198"/>
      <c r="L6" s="466"/>
      <c r="M6" s="873"/>
    </row>
    <row r="7" spans="1:13" ht="12.75" x14ac:dyDescent="0.2">
      <c r="B7" s="877" t="s">
        <v>89</v>
      </c>
      <c r="C7" s="878">
        <v>0</v>
      </c>
      <c r="D7" s="879">
        <v>56.672727272727272</v>
      </c>
      <c r="E7" s="880">
        <v>1</v>
      </c>
      <c r="F7" s="881">
        <f t="shared" ref="F7:F11" si="0">C7*1000*D7*E7/2000</f>
        <v>0</v>
      </c>
      <c r="G7" s="882">
        <f t="shared" ref="G7:G11" si="1">F7*(44/12)*0.907441/1000000</f>
        <v>0</v>
      </c>
      <c r="H7" s="883"/>
      <c r="I7" s="466"/>
      <c r="J7" s="200" t="s">
        <v>4</v>
      </c>
      <c r="K7" s="201">
        <f>'Summ GHG Rpt Expanded'!G4</f>
        <v>1</v>
      </c>
      <c r="L7" s="883"/>
      <c r="M7" s="884"/>
    </row>
    <row r="8" spans="1:13" ht="12.75" x14ac:dyDescent="0.2">
      <c r="B8" s="885" t="s">
        <v>403</v>
      </c>
      <c r="C8" s="886">
        <v>18638</v>
      </c>
      <c r="D8" s="887">
        <v>44.43</v>
      </c>
      <c r="E8" s="888">
        <v>1</v>
      </c>
      <c r="F8" s="889">
        <f t="shared" si="0"/>
        <v>414043.17</v>
      </c>
      <c r="G8" s="890">
        <f t="shared" si="1"/>
        <v>1.3776390768358899</v>
      </c>
      <c r="H8" s="883"/>
      <c r="I8" s="466"/>
      <c r="J8" s="200" t="s">
        <v>5</v>
      </c>
      <c r="K8" s="201">
        <f>'Summ GHG Rpt Expanded'!G5</f>
        <v>28</v>
      </c>
      <c r="L8" s="883"/>
      <c r="M8" s="884"/>
    </row>
    <row r="9" spans="1:13" ht="12.75" x14ac:dyDescent="0.2">
      <c r="B9" s="885" t="s">
        <v>446</v>
      </c>
      <c r="C9" s="886">
        <v>339</v>
      </c>
      <c r="D9" s="887">
        <v>43.97</v>
      </c>
      <c r="E9" s="888">
        <v>1</v>
      </c>
      <c r="F9" s="889">
        <f t="shared" si="0"/>
        <v>7452.915</v>
      </c>
      <c r="G9" s="890">
        <f t="shared" si="1"/>
        <v>2.4797962348555001E-2</v>
      </c>
      <c r="H9" s="883"/>
      <c r="I9" s="466"/>
      <c r="J9" s="200" t="s">
        <v>6</v>
      </c>
      <c r="K9" s="201">
        <f>'Summ GHG Rpt Expanded'!G6</f>
        <v>265</v>
      </c>
      <c r="L9" s="883"/>
      <c r="M9" s="884"/>
    </row>
    <row r="10" spans="1:13" ht="12.75" x14ac:dyDescent="0.2">
      <c r="B10" s="885" t="s">
        <v>1039</v>
      </c>
      <c r="C10" s="886">
        <v>7829</v>
      </c>
      <c r="D10" s="887">
        <v>37.110283550140529</v>
      </c>
      <c r="E10" s="888">
        <v>1</v>
      </c>
      <c r="F10" s="889">
        <f t="shared" si="0"/>
        <v>145268.2049570251</v>
      </c>
      <c r="G10" s="890">
        <f t="shared" si="1"/>
        <v>0.48334852563949526</v>
      </c>
      <c r="H10" s="883"/>
      <c r="I10" s="466"/>
      <c r="J10" s="200" t="s">
        <v>7</v>
      </c>
      <c r="K10" s="202">
        <f>'Summ GHG Rpt Expanded'!G7</f>
        <v>23500</v>
      </c>
      <c r="L10" s="883"/>
      <c r="M10" s="884"/>
    </row>
    <row r="11" spans="1:13" ht="12.75" x14ac:dyDescent="0.2">
      <c r="B11" s="891" t="s">
        <v>331</v>
      </c>
      <c r="C11" s="892">
        <v>95085</v>
      </c>
      <c r="D11" s="893">
        <v>31.87</v>
      </c>
      <c r="E11" s="894">
        <v>1</v>
      </c>
      <c r="F11" s="895">
        <f t="shared" si="0"/>
        <v>1515179.4750000001</v>
      </c>
      <c r="G11" s="896">
        <f t="shared" si="1"/>
        <v>5.041431919236075</v>
      </c>
      <c r="H11" s="883"/>
      <c r="I11" s="466"/>
      <c r="J11" s="200" t="s">
        <v>8</v>
      </c>
      <c r="K11" s="202">
        <f>'Summ GHG Rpt Expanded'!G8</f>
        <v>11100</v>
      </c>
      <c r="L11" s="883"/>
      <c r="M11" s="884"/>
    </row>
    <row r="12" spans="1:13" ht="12.75" x14ac:dyDescent="0.2">
      <c r="B12" s="897"/>
      <c r="C12" s="898"/>
      <c r="D12" s="898"/>
      <c r="E12" s="899"/>
      <c r="F12" s="900" t="s">
        <v>393</v>
      </c>
      <c r="G12" s="901">
        <f>SUM(G7:G11)</f>
        <v>6.9272174840600158</v>
      </c>
      <c r="H12" s="466"/>
      <c r="I12" s="466"/>
      <c r="J12" s="466"/>
      <c r="K12" s="466"/>
      <c r="L12" s="466"/>
      <c r="M12" s="466"/>
    </row>
    <row r="14" spans="1:13" ht="21" x14ac:dyDescent="0.4">
      <c r="B14" s="867" t="s">
        <v>1040</v>
      </c>
      <c r="C14" s="868"/>
      <c r="D14" s="902"/>
      <c r="E14" s="9">
        <v>2014</v>
      </c>
      <c r="F14" s="466"/>
      <c r="G14" s="466"/>
      <c r="H14" s="466"/>
      <c r="I14" s="466"/>
      <c r="J14" s="466"/>
      <c r="K14" s="466"/>
      <c r="L14" s="466"/>
      <c r="M14" s="466"/>
    </row>
    <row r="15" spans="1:13" ht="12.75" x14ac:dyDescent="0.25">
      <c r="B15" s="869"/>
      <c r="C15" s="466"/>
      <c r="D15" s="637"/>
      <c r="E15" s="869"/>
      <c r="F15" s="466"/>
      <c r="G15" s="466"/>
      <c r="H15" s="466"/>
      <c r="I15" s="466"/>
      <c r="J15" s="466"/>
      <c r="K15" s="466"/>
      <c r="L15" s="466"/>
      <c r="M15" s="466"/>
    </row>
    <row r="16" spans="1:13" ht="12.75" x14ac:dyDescent="0.2">
      <c r="B16" s="870"/>
      <c r="C16" s="871" t="s">
        <v>396</v>
      </c>
      <c r="D16" s="871" t="s">
        <v>985</v>
      </c>
      <c r="E16" s="871" t="s">
        <v>397</v>
      </c>
      <c r="F16" s="871" t="s">
        <v>398</v>
      </c>
      <c r="G16" s="872" t="s">
        <v>397</v>
      </c>
      <c r="H16" s="873"/>
      <c r="I16" s="466"/>
      <c r="J16" s="466"/>
      <c r="K16" s="873"/>
      <c r="L16" s="466"/>
      <c r="M16" s="873"/>
    </row>
    <row r="17" spans="2:13" ht="14.25" x14ac:dyDescent="0.25">
      <c r="B17" s="874" t="s">
        <v>72</v>
      </c>
      <c r="C17" s="875" t="s">
        <v>399</v>
      </c>
      <c r="D17" s="875" t="s">
        <v>1041</v>
      </c>
      <c r="E17" s="875" t="s">
        <v>1042</v>
      </c>
      <c r="F17" s="875"/>
      <c r="G17" s="876" t="s">
        <v>1043</v>
      </c>
      <c r="H17" s="873"/>
      <c r="I17" s="466"/>
      <c r="J17" s="873"/>
      <c r="K17" s="873"/>
      <c r="L17" s="466"/>
      <c r="M17" s="873"/>
    </row>
    <row r="18" spans="2:13" ht="12.75" x14ac:dyDescent="0.2">
      <c r="B18" s="903" t="s">
        <v>89</v>
      </c>
      <c r="C18" s="878">
        <v>0</v>
      </c>
      <c r="D18" s="904">
        <v>1.5034545899835E-3</v>
      </c>
      <c r="E18" s="905">
        <f t="shared" ref="E18:E23" si="2">C18*D18</f>
        <v>0</v>
      </c>
      <c r="F18" s="906">
        <f t="shared" ref="F18:F23" si="3">$K$9</f>
        <v>265</v>
      </c>
      <c r="G18" s="907">
        <f t="shared" ref="G18:G23" si="4">E18*F18/1000000</f>
        <v>0</v>
      </c>
      <c r="H18" s="908"/>
      <c r="I18" s="466"/>
      <c r="J18" s="883"/>
      <c r="K18" s="909"/>
      <c r="L18" s="883"/>
      <c r="M18" s="909"/>
    </row>
    <row r="19" spans="2:13" ht="12.75" x14ac:dyDescent="0.2">
      <c r="B19" s="910" t="s">
        <v>403</v>
      </c>
      <c r="C19" s="886">
        <v>18638</v>
      </c>
      <c r="D19" s="911">
        <v>6.0138183599339984E-4</v>
      </c>
      <c r="E19" s="912">
        <f t="shared" si="2"/>
        <v>11.208554659244987</v>
      </c>
      <c r="F19" s="906">
        <f t="shared" si="3"/>
        <v>265</v>
      </c>
      <c r="G19" s="913">
        <f t="shared" si="4"/>
        <v>2.9702669846999215E-3</v>
      </c>
      <c r="H19" s="908"/>
      <c r="I19" s="466"/>
      <c r="J19" s="883"/>
      <c r="K19" s="909"/>
      <c r="L19" s="883"/>
      <c r="M19" s="909"/>
    </row>
    <row r="20" spans="2:13" ht="12.75" x14ac:dyDescent="0.2">
      <c r="B20" s="910" t="s">
        <v>446</v>
      </c>
      <c r="C20" s="886">
        <v>339</v>
      </c>
      <c r="D20" s="911">
        <v>6.0138183599339984E-4</v>
      </c>
      <c r="E20" s="912">
        <f t="shared" si="2"/>
        <v>0.20386844240176255</v>
      </c>
      <c r="F20" s="906">
        <f t="shared" si="3"/>
        <v>265</v>
      </c>
      <c r="G20" s="913">
        <f t="shared" si="4"/>
        <v>5.4025137236467076E-5</v>
      </c>
      <c r="H20" s="908"/>
      <c r="I20" s="466"/>
      <c r="J20" s="883"/>
      <c r="K20" s="909"/>
      <c r="L20" s="883"/>
      <c r="M20" s="909"/>
    </row>
    <row r="21" spans="2:13" ht="12.75" x14ac:dyDescent="0.2">
      <c r="B21" s="910" t="s">
        <v>1039</v>
      </c>
      <c r="C21" s="886">
        <v>7829</v>
      </c>
      <c r="D21" s="911">
        <v>6.0138183599339984E-4</v>
      </c>
      <c r="E21" s="912">
        <f t="shared" si="2"/>
        <v>4.7082183939923272</v>
      </c>
      <c r="F21" s="906">
        <f t="shared" si="3"/>
        <v>265</v>
      </c>
      <c r="G21" s="913">
        <f t="shared" si="4"/>
        <v>1.2476778744079668E-3</v>
      </c>
      <c r="H21" s="908"/>
      <c r="I21" s="466"/>
      <c r="J21" s="883"/>
      <c r="K21" s="909"/>
      <c r="L21" s="883"/>
      <c r="M21" s="909"/>
    </row>
    <row r="22" spans="2:13" ht="12.75" x14ac:dyDescent="0.2">
      <c r="B22" s="910" t="s">
        <v>331</v>
      </c>
      <c r="C22" s="886">
        <v>95085</v>
      </c>
      <c r="D22" s="911">
        <v>9.4955026735800017E-5</v>
      </c>
      <c r="E22" s="912">
        <f t="shared" si="2"/>
        <v>9.0287987171735438</v>
      </c>
      <c r="F22" s="906">
        <f t="shared" si="3"/>
        <v>265</v>
      </c>
      <c r="G22" s="913">
        <f t="shared" si="4"/>
        <v>2.3926316600509892E-3</v>
      </c>
      <c r="H22" s="908"/>
      <c r="I22" s="466"/>
      <c r="J22" s="883"/>
      <c r="K22" s="909"/>
      <c r="L22" s="883"/>
      <c r="M22" s="909"/>
    </row>
    <row r="23" spans="2:13" ht="12.75" x14ac:dyDescent="0.2">
      <c r="B23" s="914" t="s">
        <v>579</v>
      </c>
      <c r="C23" s="892">
        <v>11488</v>
      </c>
      <c r="D23" s="915">
        <v>3.7982010694320003E-3</v>
      </c>
      <c r="E23" s="916">
        <f t="shared" si="2"/>
        <v>43.633733885634818</v>
      </c>
      <c r="F23" s="906">
        <f t="shared" si="3"/>
        <v>265</v>
      </c>
      <c r="G23" s="917">
        <f t="shared" si="4"/>
        <v>1.1562939479693227E-2</v>
      </c>
      <c r="H23" s="908"/>
      <c r="I23" s="466"/>
      <c r="J23" s="883"/>
      <c r="K23" s="909"/>
      <c r="L23" s="883"/>
      <c r="M23" s="909"/>
    </row>
    <row r="24" spans="2:13" ht="12.75" x14ac:dyDescent="0.2">
      <c r="B24" s="918"/>
      <c r="C24" s="898"/>
      <c r="D24" s="898"/>
      <c r="E24" s="898"/>
      <c r="F24" s="900" t="s">
        <v>393</v>
      </c>
      <c r="G24" s="919">
        <f>SUM(G18:G23)</f>
        <v>1.8227541136088571E-2</v>
      </c>
      <c r="H24" s="466"/>
      <c r="I24" s="873"/>
      <c r="J24" s="883"/>
      <c r="K24" s="920"/>
      <c r="L24" s="883"/>
      <c r="M24" s="921"/>
    </row>
    <row r="25" spans="2:13" ht="11.25" x14ac:dyDescent="0.2">
      <c r="H25" s="466"/>
      <c r="I25" s="466"/>
      <c r="J25" s="466"/>
      <c r="K25" s="466"/>
      <c r="L25" s="466"/>
      <c r="M25" s="466"/>
    </row>
    <row r="26" spans="2:13" ht="11.25" x14ac:dyDescent="0.2">
      <c r="H26" s="466"/>
      <c r="I26" s="466"/>
      <c r="J26" s="466"/>
      <c r="K26" s="466"/>
      <c r="L26" s="466"/>
      <c r="M26" s="466"/>
    </row>
    <row r="27" spans="2:13" ht="21" x14ac:dyDescent="0.4">
      <c r="B27" s="867" t="s">
        <v>1044</v>
      </c>
      <c r="C27" s="868"/>
      <c r="D27" s="902"/>
      <c r="E27" s="9">
        <v>2014</v>
      </c>
      <c r="F27" s="466"/>
      <c r="G27" s="466"/>
      <c r="H27" s="466"/>
      <c r="I27" s="466"/>
      <c r="J27" s="466"/>
      <c r="K27" s="466"/>
      <c r="L27" s="466"/>
      <c r="M27" s="466"/>
    </row>
    <row r="28" spans="2:13" ht="12.75" x14ac:dyDescent="0.25">
      <c r="B28" s="869"/>
      <c r="C28" s="466"/>
      <c r="D28" s="637"/>
      <c r="E28" s="869"/>
      <c r="F28" s="466"/>
      <c r="G28" s="466"/>
      <c r="H28" s="466"/>
      <c r="I28" s="466"/>
      <c r="J28" s="466"/>
      <c r="K28" s="466"/>
      <c r="L28" s="466"/>
      <c r="M28" s="466"/>
    </row>
    <row r="29" spans="2:13" ht="12.75" x14ac:dyDescent="0.2">
      <c r="B29" s="870"/>
      <c r="C29" s="871" t="s">
        <v>396</v>
      </c>
      <c r="D29" s="871" t="s">
        <v>985</v>
      </c>
      <c r="E29" s="871" t="s">
        <v>397</v>
      </c>
      <c r="F29" s="871" t="s">
        <v>398</v>
      </c>
      <c r="G29" s="872" t="s">
        <v>397</v>
      </c>
      <c r="H29" s="873"/>
      <c r="I29" s="466"/>
      <c r="J29" s="466"/>
      <c r="K29" s="873"/>
      <c r="L29" s="466"/>
      <c r="M29" s="466"/>
    </row>
    <row r="30" spans="2:13" ht="14.25" x14ac:dyDescent="0.25">
      <c r="B30" s="874" t="s">
        <v>72</v>
      </c>
      <c r="C30" s="875" t="s">
        <v>399</v>
      </c>
      <c r="D30" s="875" t="s">
        <v>1045</v>
      </c>
      <c r="E30" s="875" t="s">
        <v>1046</v>
      </c>
      <c r="F30" s="875"/>
      <c r="G30" s="876" t="s">
        <v>1047</v>
      </c>
      <c r="H30" s="873"/>
      <c r="I30" s="466"/>
      <c r="J30" s="873"/>
      <c r="K30" s="873"/>
      <c r="L30" s="466"/>
      <c r="M30" s="466"/>
    </row>
    <row r="31" spans="2:13" ht="12.75" x14ac:dyDescent="0.2">
      <c r="B31" s="903" t="s">
        <v>89</v>
      </c>
      <c r="C31" s="878">
        <v>0</v>
      </c>
      <c r="D31" s="904">
        <v>0.3006909179967</v>
      </c>
      <c r="E31" s="922">
        <f t="shared" ref="E31:E36" si="5">C31*D31</f>
        <v>0</v>
      </c>
      <c r="F31" s="906">
        <f t="shared" ref="F31:F36" si="6">$K$8</f>
        <v>28</v>
      </c>
      <c r="G31" s="923">
        <f t="shared" ref="G31:G36" si="7">E31*F31/1000000</f>
        <v>0</v>
      </c>
      <c r="H31" s="908"/>
      <c r="I31" s="466"/>
      <c r="J31" s="883"/>
      <c r="K31" s="884"/>
      <c r="L31" s="883"/>
      <c r="M31" s="909"/>
    </row>
    <row r="32" spans="2:13" ht="12.75" x14ac:dyDescent="0.2">
      <c r="B32" s="910" t="s">
        <v>403</v>
      </c>
      <c r="C32" s="886">
        <v>18638</v>
      </c>
      <c r="D32" s="911">
        <v>1.0023030599889999E-2</v>
      </c>
      <c r="E32" s="924">
        <f t="shared" si="5"/>
        <v>186.8092443207498</v>
      </c>
      <c r="F32" s="906">
        <f t="shared" si="6"/>
        <v>28</v>
      </c>
      <c r="G32" s="925">
        <f t="shared" si="7"/>
        <v>5.2306588409809949E-3</v>
      </c>
      <c r="H32" s="908"/>
      <c r="I32" s="466"/>
      <c r="J32" s="883"/>
      <c r="K32" s="884"/>
      <c r="L32" s="883"/>
      <c r="M32" s="909"/>
    </row>
    <row r="33" spans="2:13" ht="12.75" x14ac:dyDescent="0.2">
      <c r="B33" s="910" t="s">
        <v>446</v>
      </c>
      <c r="C33" s="886">
        <v>339</v>
      </c>
      <c r="D33" s="911">
        <v>1.0023030599889999E-2</v>
      </c>
      <c r="E33" s="924">
        <f t="shared" si="5"/>
        <v>3.3978073733627099</v>
      </c>
      <c r="F33" s="906">
        <f t="shared" si="6"/>
        <v>28</v>
      </c>
      <c r="G33" s="925">
        <f t="shared" si="7"/>
        <v>9.5138606454155879E-5</v>
      </c>
      <c r="H33" s="908"/>
      <c r="I33" s="466"/>
      <c r="J33" s="883"/>
      <c r="K33" s="884"/>
      <c r="L33" s="883"/>
      <c r="M33" s="909"/>
    </row>
    <row r="34" spans="2:13" ht="12.75" x14ac:dyDescent="0.2">
      <c r="B34" s="910" t="s">
        <v>1039</v>
      </c>
      <c r="C34" s="886">
        <v>7829</v>
      </c>
      <c r="D34" s="911">
        <v>1.0023030599889999E-2</v>
      </c>
      <c r="E34" s="924">
        <f t="shared" si="5"/>
        <v>78.47030656653881</v>
      </c>
      <c r="F34" s="906">
        <f t="shared" si="6"/>
        <v>28</v>
      </c>
      <c r="G34" s="925">
        <f t="shared" si="7"/>
        <v>2.1971685838630866E-3</v>
      </c>
      <c r="H34" s="908"/>
      <c r="I34" s="466"/>
      <c r="J34" s="883"/>
      <c r="K34" s="884"/>
      <c r="L34" s="883"/>
      <c r="M34" s="909"/>
    </row>
    <row r="35" spans="2:13" ht="12.75" x14ac:dyDescent="0.2">
      <c r="B35" s="910" t="s">
        <v>331</v>
      </c>
      <c r="C35" s="886">
        <v>95085</v>
      </c>
      <c r="D35" s="911">
        <v>4.7477513367900001E-3</v>
      </c>
      <c r="E35" s="924">
        <f t="shared" si="5"/>
        <v>451.43993585867719</v>
      </c>
      <c r="F35" s="906">
        <f t="shared" si="6"/>
        <v>28</v>
      </c>
      <c r="G35" s="925">
        <f t="shared" si="7"/>
        <v>1.2640318204042962E-2</v>
      </c>
      <c r="H35" s="908"/>
      <c r="I35" s="466"/>
      <c r="J35" s="883"/>
      <c r="K35" s="884"/>
      <c r="L35" s="883"/>
      <c r="M35" s="909"/>
    </row>
    <row r="36" spans="2:13" ht="12.75" x14ac:dyDescent="0.2">
      <c r="B36" s="914" t="s">
        <v>579</v>
      </c>
      <c r="C36" s="892">
        <v>11488</v>
      </c>
      <c r="D36" s="915">
        <v>0.28486508020740003</v>
      </c>
      <c r="E36" s="926">
        <f t="shared" si="5"/>
        <v>3272.5300414226117</v>
      </c>
      <c r="F36" s="906">
        <f t="shared" si="6"/>
        <v>28</v>
      </c>
      <c r="G36" s="927">
        <f t="shared" si="7"/>
        <v>9.1630841159833123E-2</v>
      </c>
      <c r="H36" s="908"/>
      <c r="I36" s="466"/>
      <c r="J36" s="883"/>
      <c r="K36" s="884"/>
      <c r="L36" s="883"/>
      <c r="M36" s="909"/>
    </row>
    <row r="37" spans="2:13" ht="12.75" x14ac:dyDescent="0.2">
      <c r="B37" s="918"/>
      <c r="C37" s="898"/>
      <c r="D37" s="898"/>
      <c r="E37" s="898"/>
      <c r="F37" s="928" t="s">
        <v>393</v>
      </c>
      <c r="G37" s="919">
        <f>SUM(G31:G36)</f>
        <v>0.11179412539517433</v>
      </c>
      <c r="H37" s="466"/>
      <c r="I37" s="466"/>
      <c r="J37" s="883"/>
      <c r="K37" s="920"/>
      <c r="L37" s="466"/>
      <c r="M37" s="921"/>
    </row>
    <row r="41" spans="2:13" ht="21" x14ac:dyDescent="0.4">
      <c r="B41" s="929" t="s">
        <v>1048</v>
      </c>
      <c r="C41" s="930"/>
      <c r="D41" s="931"/>
      <c r="E41" s="929"/>
      <c r="F41" s="466"/>
      <c r="G41" s="466"/>
    </row>
    <row r="42" spans="2:13" ht="12.75" x14ac:dyDescent="0.25">
      <c r="B42" s="869"/>
      <c r="C42" s="466"/>
      <c r="D42" s="637"/>
      <c r="E42" s="869"/>
      <c r="F42" s="466"/>
      <c r="G42" s="466"/>
    </row>
    <row r="43" spans="2:13" ht="12.75" x14ac:dyDescent="0.2">
      <c r="B43" s="870"/>
      <c r="C43" s="871" t="s">
        <v>397</v>
      </c>
      <c r="D43" s="871" t="s">
        <v>397</v>
      </c>
      <c r="E43" s="871" t="s">
        <v>397</v>
      </c>
      <c r="F43" s="872" t="s">
        <v>397</v>
      </c>
      <c r="G43" s="873"/>
    </row>
    <row r="44" spans="2:13" ht="14.25" x14ac:dyDescent="0.25">
      <c r="B44" s="932"/>
      <c r="C44" s="95" t="s">
        <v>1049</v>
      </c>
      <c r="D44" s="95" t="s">
        <v>1050</v>
      </c>
      <c r="E44" s="95" t="s">
        <v>1051</v>
      </c>
      <c r="F44" s="933" t="s">
        <v>393</v>
      </c>
      <c r="G44" s="873"/>
    </row>
    <row r="45" spans="2:13" ht="14.25" x14ac:dyDescent="0.25">
      <c r="B45" s="874" t="s">
        <v>72</v>
      </c>
      <c r="C45" s="875" t="s">
        <v>1052</v>
      </c>
      <c r="D45" s="875" t="s">
        <v>1053</v>
      </c>
      <c r="E45" s="875" t="s">
        <v>1054</v>
      </c>
      <c r="F45" s="876" t="s">
        <v>1055</v>
      </c>
      <c r="G45" s="873"/>
    </row>
    <row r="46" spans="2:13" ht="12.75" x14ac:dyDescent="0.2">
      <c r="B46" s="934" t="s">
        <v>89</v>
      </c>
      <c r="C46" s="935">
        <f t="shared" ref="C46:C50" si="8">G7</f>
        <v>0</v>
      </c>
      <c r="D46" s="936">
        <f t="shared" ref="D46:D51" si="9">G18</f>
        <v>0</v>
      </c>
      <c r="E46" s="936">
        <f t="shared" ref="E46:E51" si="10">G31</f>
        <v>0</v>
      </c>
      <c r="F46" s="937">
        <f t="shared" ref="F46:F51" si="11">C46+D46+E46</f>
        <v>0</v>
      </c>
      <c r="G46" s="938"/>
    </row>
    <row r="47" spans="2:13" ht="12.75" x14ac:dyDescent="0.2">
      <c r="B47" s="939" t="s">
        <v>403</v>
      </c>
      <c r="C47" s="940">
        <f t="shared" si="8"/>
        <v>1.3776390768358899</v>
      </c>
      <c r="D47" s="941">
        <f t="shared" si="9"/>
        <v>2.9702669846999215E-3</v>
      </c>
      <c r="E47" s="941">
        <f t="shared" si="10"/>
        <v>5.2306588409809949E-3</v>
      </c>
      <c r="F47" s="942">
        <f t="shared" si="11"/>
        <v>1.3858400026615707</v>
      </c>
      <c r="G47" s="938"/>
    </row>
    <row r="48" spans="2:13" ht="12.75" x14ac:dyDescent="0.2">
      <c r="B48" s="939" t="s">
        <v>446</v>
      </c>
      <c r="C48" s="940">
        <f t="shared" si="8"/>
        <v>2.4797962348555001E-2</v>
      </c>
      <c r="D48" s="941">
        <f t="shared" si="9"/>
        <v>5.4025137236467076E-5</v>
      </c>
      <c r="E48" s="941">
        <f t="shared" si="10"/>
        <v>9.5138606454155879E-5</v>
      </c>
      <c r="F48" s="942">
        <f t="shared" si="11"/>
        <v>2.4947126092245624E-2</v>
      </c>
      <c r="G48" s="938"/>
    </row>
    <row r="49" spans="2:7" ht="12.75" x14ac:dyDescent="0.2">
      <c r="B49" s="939" t="s">
        <v>1039</v>
      </c>
      <c r="C49" s="940">
        <f t="shared" si="8"/>
        <v>0.48334852563949526</v>
      </c>
      <c r="D49" s="941">
        <f t="shared" si="9"/>
        <v>1.2476778744079668E-3</v>
      </c>
      <c r="E49" s="941">
        <f t="shared" si="10"/>
        <v>2.1971685838630866E-3</v>
      </c>
      <c r="F49" s="942">
        <f t="shared" si="11"/>
        <v>0.48679337209776635</v>
      </c>
      <c r="G49" s="938"/>
    </row>
    <row r="50" spans="2:7" ht="12.75" x14ac:dyDescent="0.2">
      <c r="B50" s="939" t="s">
        <v>331</v>
      </c>
      <c r="C50" s="940">
        <f t="shared" si="8"/>
        <v>5.041431919236075</v>
      </c>
      <c r="D50" s="941">
        <f t="shared" si="9"/>
        <v>2.3926316600509892E-3</v>
      </c>
      <c r="E50" s="941">
        <f t="shared" si="10"/>
        <v>1.2640318204042962E-2</v>
      </c>
      <c r="F50" s="942">
        <f t="shared" si="11"/>
        <v>5.0564648691001688</v>
      </c>
      <c r="G50" s="938"/>
    </row>
    <row r="51" spans="2:7" ht="12.75" x14ac:dyDescent="0.2">
      <c r="B51" s="943" t="s">
        <v>579</v>
      </c>
      <c r="C51" s="944">
        <v>0</v>
      </c>
      <c r="D51" s="945">
        <f t="shared" si="9"/>
        <v>1.1562939479693227E-2</v>
      </c>
      <c r="E51" s="945">
        <f t="shared" si="10"/>
        <v>9.1630841159833123E-2</v>
      </c>
      <c r="F51" s="946">
        <f t="shared" si="11"/>
        <v>0.10319378063952635</v>
      </c>
      <c r="G51" s="938"/>
    </row>
    <row r="52" spans="2:7" ht="12.75" x14ac:dyDescent="0.2">
      <c r="B52" s="898"/>
      <c r="C52" s="898"/>
      <c r="D52" s="898"/>
      <c r="E52" s="928" t="s">
        <v>393</v>
      </c>
      <c r="F52" s="947">
        <f>SUM(F46:F51)</f>
        <v>7.0572391505912782</v>
      </c>
      <c r="G52" s="948"/>
    </row>
    <row r="58" spans="2:7" ht="11.25" x14ac:dyDescent="0.2">
      <c r="B58" s="583" t="s">
        <v>1056</v>
      </c>
    </row>
  </sheetData>
  <sheetProtection algorithmName="SHA-512" hashValue="J3AWU8/mKIkk1FJokbl2M7jyHYZp1I+IsB0zFofYChDnsxMttaHfg9W0bYxsm4AqSBxNxJINEetas35AltKe7A==" saltValue="IW8LgtpAiQcaIyMhDBSKiQ==" spinCount="100000" sheet="1" objects="1" scenarios="1"/>
  <mergeCells count="1">
    <mergeCell ref="J5:K5"/>
  </mergeCells>
  <pageMargins left="0.75" right="0.75" top="1" bottom="1" header="0" footer="0"/>
  <pageSetup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7B86F6F-28AB-4184-B3BC-F5B32342D8B0}"/>
</file>

<file path=customXml/itemProps2.xml><?xml version="1.0" encoding="utf-8"?>
<ds:datastoreItem xmlns:ds="http://schemas.openxmlformats.org/officeDocument/2006/customXml" ds:itemID="{4C878BF6-27C3-4114-871F-0B0C80F3EFD9}"/>
</file>

<file path=customXml/itemProps3.xml><?xml version="1.0" encoding="utf-8"?>
<ds:datastoreItem xmlns:ds="http://schemas.openxmlformats.org/officeDocument/2006/customXml" ds:itemID="{87F272B4-DB2F-41DB-AB99-8F1B46B3B4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Summ GHG Rpt Expanded</vt:lpstr>
      <vt:lpstr>EGU_Emission_By_Fuel_Type</vt:lpstr>
      <vt:lpstr>EGU Details</vt:lpstr>
      <vt:lpstr>Luke</vt:lpstr>
      <vt:lpstr>Imported Electricity</vt:lpstr>
      <vt:lpstr>Trans_On_Road</vt:lpstr>
      <vt:lpstr>Trans_Non_Road</vt:lpstr>
      <vt:lpstr>Trans_Others</vt:lpstr>
      <vt:lpstr>Residential</vt:lpstr>
      <vt:lpstr>Commercial</vt:lpstr>
      <vt:lpstr>Industrial</vt:lpstr>
      <vt:lpstr>LimeT&amp;DSodaODS</vt:lpstr>
      <vt:lpstr>Cement</vt:lpstr>
      <vt:lpstr>Landfills</vt:lpstr>
      <vt:lpstr>LFGTE</vt:lpstr>
      <vt:lpstr>Incinerators</vt:lpstr>
      <vt:lpstr>OpenBurn</vt:lpstr>
      <vt:lpstr>Natural Gas and Oil</vt:lpstr>
      <vt:lpstr>Mining</vt:lpstr>
      <vt:lpstr>Wastewater</vt:lpstr>
      <vt:lpstr>Agricultural</vt:lpstr>
      <vt:lpstr>Land Use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Roger Thunell</dc:creator>
  <cp:lastModifiedBy>Vimal Amin</cp:lastModifiedBy>
  <dcterms:created xsi:type="dcterms:W3CDTF">2006-08-20T19:40:13Z</dcterms:created>
  <dcterms:modified xsi:type="dcterms:W3CDTF">2021-06-09T15:23:30Z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y fmtid="{D5CDD505-2E9C-101B-9397-08002B2CF9AE}" pid="3" name="Order">
    <vt:r8>26700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